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acpco.sharepoint.com/sites/Properties/Ocean Beach/25. CTCAC Application/2026 Application/"/>
    </mc:Choice>
  </mc:AlternateContent>
  <xr:revisionPtr revIDLastSave="576" documentId="8_{BD8670C6-58F0-4F1F-B600-562D9096DEEC}" xr6:coauthVersionLast="47" xr6:coauthVersionMax="47" xr10:uidLastSave="{84D538A5-2B5F-40B3-A174-2B988D7EB4FB}"/>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23256" windowHeight="13896"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7" l="1"/>
  <c r="E100" i="4" l="1"/>
  <c r="C75" i="4" l="1"/>
  <c r="C27" i="4"/>
  <c r="C56" i="4"/>
  <c r="H45" i="4"/>
  <c r="C53" i="4"/>
  <c r="G61" i="4" l="1"/>
  <c r="G95" i="4"/>
  <c r="G86" i="4"/>
  <c r="G85" i="4"/>
  <c r="G79" i="4"/>
  <c r="G76" i="4"/>
  <c r="G74" i="4"/>
  <c r="G73" i="4"/>
  <c r="G72" i="4"/>
  <c r="G69" i="4"/>
  <c r="G68" i="4"/>
  <c r="G67" i="4"/>
  <c r="G66" i="4"/>
  <c r="G65" i="4"/>
  <c r="G60" i="4"/>
  <c r="G59" i="4"/>
  <c r="G58" i="4"/>
  <c r="G53" i="4"/>
  <c r="G51" i="4"/>
  <c r="G50" i="4"/>
  <c r="G49" i="4"/>
  <c r="G48" i="4"/>
  <c r="G47" i="4"/>
  <c r="G46" i="4"/>
  <c r="G40" i="4"/>
  <c r="G27" i="4"/>
  <c r="G21" i="4"/>
  <c r="G20" i="4"/>
  <c r="G19" i="4"/>
  <c r="G18" i="4"/>
  <c r="G17" i="4"/>
  <c r="H94" i="4"/>
  <c r="H80" i="4" s="1"/>
  <c r="H93" i="4"/>
  <c r="H92" i="4"/>
  <c r="H91" i="4"/>
  <c r="H90" i="4"/>
  <c r="H84" i="4"/>
  <c r="H83" i="4"/>
  <c r="H52" i="4"/>
  <c r="G52" i="4" s="1"/>
  <c r="G45" i="4"/>
  <c r="H43" i="4"/>
  <c r="I99" i="4"/>
  <c r="E99" i="4" s="1"/>
  <c r="AO636" i="3"/>
  <c r="AF636" i="3" s="1"/>
  <c r="E41" i="7" s="1"/>
  <c r="G41" i="7" s="1"/>
  <c r="AO635" i="3"/>
  <c r="AF635" i="3" l="1"/>
  <c r="E10" i="7"/>
  <c r="G10" i="7" s="1"/>
  <c r="I10" i="7" s="1"/>
  <c r="K10" i="7" s="1"/>
  <c r="M10" i="7" s="1"/>
  <c r="O10" i="7" s="1"/>
  <c r="Q10" i="7" s="1"/>
  <c r="S10" i="7" s="1"/>
  <c r="U10" i="7" s="1"/>
  <c r="W10" i="7" s="1"/>
  <c r="Y10" i="7" s="1"/>
  <c r="AA10" i="7" s="1"/>
  <c r="AC10" i="7" s="1"/>
  <c r="AE10" i="7" s="1"/>
  <c r="AG10" i="7" s="1"/>
  <c r="S99" i="4" l="1"/>
  <c r="C80" i="4"/>
  <c r="E75" i="4"/>
  <c r="E57" i="4"/>
  <c r="G57" i="4" s="1"/>
  <c r="E56" i="4"/>
  <c r="M984" i="3"/>
  <c r="M967" i="3"/>
  <c r="AA958" i="3"/>
  <c r="I958" i="3"/>
  <c r="E80" i="4" l="1"/>
  <c r="G80" i="4" s="1"/>
  <c r="G56" i="4"/>
  <c r="G75" i="4"/>
  <c r="AF842" i="20"/>
  <c r="E9" i="4" l="1"/>
  <c r="G9" i="4"/>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F24" i="13" s="1"/>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1" i="13"/>
  <c r="E102" i="13"/>
  <c r="E103" i="13"/>
  <c r="B100" i="13"/>
  <c r="C100" i="13" s="1"/>
  <c r="B101" i="13"/>
  <c r="B102" i="13"/>
  <c r="B103" i="13"/>
  <c r="A69" i="13"/>
  <c r="H66" i="13"/>
  <c r="H67" i="13"/>
  <c r="H68" i="13"/>
  <c r="H69" i="13"/>
  <c r="E66" i="13"/>
  <c r="E67" i="13"/>
  <c r="E68" i="13"/>
  <c r="E69" i="13"/>
  <c r="B66" i="13"/>
  <c r="B67" i="13"/>
  <c r="B68" i="13"/>
  <c r="B69" i="13"/>
  <c r="A53" i="13"/>
  <c r="H36" i="13"/>
  <c r="E36" i="13"/>
  <c r="B36" i="13"/>
  <c r="H24" i="13"/>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S100" i="4" s="1"/>
  <c r="S104"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B59" i="4"/>
  <c r="C80" i="11"/>
  <c r="C81" i="11"/>
  <c r="B80" i="11"/>
  <c r="B81" i="11"/>
  <c r="I96" i="13"/>
  <c r="J96" i="13"/>
  <c r="J81" i="13"/>
  <c r="I81" i="13"/>
  <c r="G81" i="13"/>
  <c r="D81" i="13"/>
  <c r="H80" i="13"/>
  <c r="E80" i="13"/>
  <c r="F80" i="13" s="1"/>
  <c r="B80" i="13"/>
  <c r="C80" i="13" s="1"/>
  <c r="D81" i="4"/>
  <c r="E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E95" i="13"/>
  <c r="E94" i="13"/>
  <c r="F94" i="13" s="1"/>
  <c r="E89" i="13"/>
  <c r="E87" i="13"/>
  <c r="E49" i="13"/>
  <c r="F49" i="13" s="1"/>
  <c r="E45" i="13"/>
  <c r="F45" i="13" s="1"/>
  <c r="E41" i="13"/>
  <c r="E37" i="13"/>
  <c r="E35" i="13"/>
  <c r="E34" i="13"/>
  <c r="E33" i="13"/>
  <c r="E32" i="13"/>
  <c r="E31" i="13"/>
  <c r="E30" i="13"/>
  <c r="E29" i="13"/>
  <c r="E27" i="13"/>
  <c r="E15" i="13"/>
  <c r="E14" i="13"/>
  <c r="E13" i="13"/>
  <c r="E10" i="13"/>
  <c r="B99" i="13"/>
  <c r="C99" i="13" s="1"/>
  <c r="B95" i="13"/>
  <c r="C95" i="13" s="1"/>
  <c r="F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B34" i="13"/>
  <c r="B33" i="13"/>
  <c r="B32" i="13"/>
  <c r="B31" i="13"/>
  <c r="B30" i="13"/>
  <c r="B29" i="13"/>
  <c r="B27" i="13"/>
  <c r="B25" i="13"/>
  <c r="C25" i="13" s="1"/>
  <c r="B23" i="13"/>
  <c r="C23" i="13" s="1"/>
  <c r="B22" i="13"/>
  <c r="C22" i="13" s="1"/>
  <c r="B21" i="13"/>
  <c r="C21" i="13" s="1"/>
  <c r="B20" i="13"/>
  <c r="C20" i="13" s="1"/>
  <c r="B19" i="13"/>
  <c r="C19" i="13" s="1"/>
  <c r="B18" i="13"/>
  <c r="C18" i="13" s="1"/>
  <c r="B17" i="13"/>
  <c r="C17" i="13" s="1"/>
  <c r="B5" i="13"/>
  <c r="B6" i="13"/>
  <c r="B7" i="13"/>
  <c r="C8" i="4"/>
  <c r="B9" i="13"/>
  <c r="C9" i="13" s="1"/>
  <c r="C11" i="13" s="1"/>
  <c r="B10" i="13"/>
  <c r="B13" i="13"/>
  <c r="B14" i="13"/>
  <c r="B15" i="13"/>
  <c r="B4" i="13"/>
  <c r="J104" i="13"/>
  <c r="I104" i="13"/>
  <c r="G104" i="13"/>
  <c r="D104" i="13"/>
  <c r="G96" i="13"/>
  <c r="D96" i="13"/>
  <c r="D77" i="13"/>
  <c r="J70" i="13"/>
  <c r="I70" i="13"/>
  <c r="G70" i="13"/>
  <c r="D70" i="13"/>
  <c r="D62" i="13"/>
  <c r="J54" i="13"/>
  <c r="I54" i="13"/>
  <c r="G54" i="13"/>
  <c r="D54" i="13"/>
  <c r="J42" i="13"/>
  <c r="I42" i="13"/>
  <c r="G42" i="13"/>
  <c r="F38" i="13"/>
  <c r="D42" i="13"/>
  <c r="J38" i="13"/>
  <c r="I38" i="13"/>
  <c r="G38" i="13"/>
  <c r="D38" i="13"/>
  <c r="C38" i="13"/>
  <c r="J26" i="13"/>
  <c r="I26" i="13"/>
  <c r="G26" i="13"/>
  <c r="D26" i="13"/>
  <c r="J11" i="13"/>
  <c r="D11" i="13"/>
  <c r="C8" i="13"/>
  <c r="D8" i="13"/>
  <c r="T104" i="4"/>
  <c r="H104" i="13" s="1"/>
  <c r="R103" i="4"/>
  <c r="R102" i="4"/>
  <c r="R101" i="4"/>
  <c r="R99" i="4"/>
  <c r="R95" i="4"/>
  <c r="R89" i="4"/>
  <c r="R88" i="4"/>
  <c r="R87" i="4"/>
  <c r="R76" i="4"/>
  <c r="R75" i="4"/>
  <c r="R72" i="4"/>
  <c r="R73" i="4"/>
  <c r="R74" i="4"/>
  <c r="R69" i="4"/>
  <c r="R61" i="4"/>
  <c r="R60" i="4"/>
  <c r="R59" i="4"/>
  <c r="R58" i="4"/>
  <c r="R57" i="4"/>
  <c r="R56" i="4"/>
  <c r="R49" i="4"/>
  <c r="R48" i="4"/>
  <c r="S48" i="4" s="1"/>
  <c r="E48" i="13" s="1"/>
  <c r="F48" i="13" s="1"/>
  <c r="R47" i="4"/>
  <c r="S47" i="4" s="1"/>
  <c r="E47" i="13" s="1"/>
  <c r="F47" i="13" s="1"/>
  <c r="R41" i="4"/>
  <c r="R37" i="4"/>
  <c r="R35" i="4"/>
  <c r="R34" i="4"/>
  <c r="R33" i="4"/>
  <c r="R32" i="4"/>
  <c r="R31" i="4"/>
  <c r="R30" i="4"/>
  <c r="R29" i="4"/>
  <c r="R27" i="4"/>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E19" i="13" s="1"/>
  <c r="F19" i="13" s="1"/>
  <c r="R18" i="4"/>
  <c r="S18" i="4" s="1"/>
  <c r="E18" i="13" s="1"/>
  <c r="F18" i="13" s="1"/>
  <c r="R17" i="4"/>
  <c r="S17" i="4" s="1"/>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A7" i="8"/>
  <c r="D7" i="8"/>
  <c r="I7" i="8" s="1"/>
  <c r="A8" i="8"/>
  <c r="D8" i="8"/>
  <c r="I8" i="8" s="1"/>
  <c r="J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R9" i="4" s="1"/>
  <c r="T9" i="4" s="1"/>
  <c r="H9" i="13" s="1"/>
  <c r="I9" i="13" s="1"/>
  <c r="I11" i="13" s="1"/>
  <c r="B10" i="4"/>
  <c r="E11" i="4"/>
  <c r="F26" i="4"/>
  <c r="F38"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R40" i="4" s="1"/>
  <c r="S40" i="4" s="1"/>
  <c r="S42" i="4" s="1"/>
  <c r="E42" i="13" s="1"/>
  <c r="B41" i="4"/>
  <c r="E42" i="4"/>
  <c r="G42" i="4"/>
  <c r="H42" i="4"/>
  <c r="K42" i="4"/>
  <c r="L42" i="4"/>
  <c r="O42" i="4"/>
  <c r="Q42" i="4"/>
  <c r="B43" i="4"/>
  <c r="R43" i="4" s="1"/>
  <c r="S43" i="4" s="1"/>
  <c r="E43" i="13" s="1"/>
  <c r="F43" i="13" s="1"/>
  <c r="B45" i="4"/>
  <c r="B46" i="4"/>
  <c r="R46" i="4" s="1"/>
  <c r="S46" i="4" s="1"/>
  <c r="B47" i="4"/>
  <c r="B48" i="4"/>
  <c r="B49" i="4"/>
  <c r="B50" i="4"/>
  <c r="R50" i="4" s="1"/>
  <c r="S50" i="4" s="1"/>
  <c r="E50" i="13" s="1"/>
  <c r="F50" i="13" s="1"/>
  <c r="B51" i="4"/>
  <c r="R51" i="4" s="1"/>
  <c r="S51" i="4" s="1"/>
  <c r="E51" i="13" s="1"/>
  <c r="F51" i="13" s="1"/>
  <c r="B52" i="4"/>
  <c r="B53" i="4"/>
  <c r="R53" i="4" s="1"/>
  <c r="E53" i="13" s="1"/>
  <c r="F53" i="13" s="1"/>
  <c r="E54" i="4"/>
  <c r="H54" i="4"/>
  <c r="K54" i="4"/>
  <c r="L54" i="4"/>
  <c r="O54" i="4"/>
  <c r="Q54" i="4"/>
  <c r="B56" i="4"/>
  <c r="B57" i="4"/>
  <c r="B58" i="4"/>
  <c r="B60" i="4"/>
  <c r="B61" i="4"/>
  <c r="E62" i="4"/>
  <c r="G62" i="4"/>
  <c r="H62" i="4"/>
  <c r="K62" i="4"/>
  <c r="L62" i="4"/>
  <c r="O62" i="4"/>
  <c r="O70" i="4"/>
  <c r="O77" i="4"/>
  <c r="O96" i="4"/>
  <c r="O104" i="4"/>
  <c r="Q62" i="4"/>
  <c r="B65" i="4"/>
  <c r="R65" i="4" s="1"/>
  <c r="S65" i="4" s="1"/>
  <c r="E70" i="4"/>
  <c r="G70" i="4"/>
  <c r="H70" i="4"/>
  <c r="I70" i="4"/>
  <c r="K70" i="4"/>
  <c r="L70" i="4"/>
  <c r="Q70" i="4"/>
  <c r="B72" i="4"/>
  <c r="B73" i="4"/>
  <c r="B74" i="4"/>
  <c r="B75" i="4"/>
  <c r="B76" i="4"/>
  <c r="E77" i="4"/>
  <c r="F77" i="4"/>
  <c r="G77" i="4"/>
  <c r="H77" i="4"/>
  <c r="I77" i="4"/>
  <c r="K77" i="4"/>
  <c r="L77" i="4"/>
  <c r="Q77" i="4"/>
  <c r="B79" i="4"/>
  <c r="R79" i="4" s="1"/>
  <c r="S79" i="4" s="1"/>
  <c r="B83" i="4"/>
  <c r="B84" i="4"/>
  <c r="R84" i="4" s="1"/>
  <c r="S84" i="4" s="1"/>
  <c r="B85" i="4"/>
  <c r="B86" i="4"/>
  <c r="R86" i="4" s="1"/>
  <c r="S86" i="4" s="1"/>
  <c r="E86" i="13" s="1"/>
  <c r="F86" i="13" s="1"/>
  <c r="B87" i="4"/>
  <c r="B88" i="4"/>
  <c r="B89" i="4"/>
  <c r="B90" i="4"/>
  <c r="R90" i="4" s="1"/>
  <c r="S90" i="4" s="1"/>
  <c r="E90" i="13" s="1"/>
  <c r="F90" i="13" s="1"/>
  <c r="B91" i="4"/>
  <c r="R91" i="4" s="1"/>
  <c r="S91" i="4" s="1"/>
  <c r="E91" i="13" s="1"/>
  <c r="F91" i="13" s="1"/>
  <c r="B92" i="4"/>
  <c r="R92" i="4" s="1"/>
  <c r="S92" i="4" s="1"/>
  <c r="E92" i="13" s="1"/>
  <c r="F92" i="13" s="1"/>
  <c r="B93" i="4"/>
  <c r="R93" i="4" s="1"/>
  <c r="S93" i="4" s="1"/>
  <c r="E93" i="13" s="1"/>
  <c r="F93" i="13" s="1"/>
  <c r="B94" i="4"/>
  <c r="R94" i="4" s="1"/>
  <c r="B95" i="4"/>
  <c r="E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100" i="13" l="1"/>
  <c r="F100" i="13" s="1"/>
  <c r="F104" i="13" s="1"/>
  <c r="C104" i="13"/>
  <c r="F96" i="4"/>
  <c r="C81" i="13"/>
  <c r="R85" i="4"/>
  <c r="S85" i="4" s="1"/>
  <c r="E85" i="13" s="1"/>
  <c r="F85" i="13" s="1"/>
  <c r="G96" i="4"/>
  <c r="F11" i="4"/>
  <c r="F12" i="4" s="1"/>
  <c r="F70" i="4"/>
  <c r="E79" i="13"/>
  <c r="F79" i="13" s="1"/>
  <c r="F81" i="13" s="1"/>
  <c r="S81" i="4"/>
  <c r="E81" i="13" s="1"/>
  <c r="C62" i="13"/>
  <c r="F42" i="4"/>
  <c r="S26" i="4"/>
  <c r="E26" i="13" s="1"/>
  <c r="C26" i="13"/>
  <c r="C54" i="13"/>
  <c r="C96" i="13"/>
  <c r="E46" i="13"/>
  <c r="F46" i="13" s="1"/>
  <c r="E84" i="13"/>
  <c r="F84" i="13" s="1"/>
  <c r="S70" i="4"/>
  <c r="E70" i="13" s="1"/>
  <c r="E65" i="13"/>
  <c r="F65" i="13" s="1"/>
  <c r="F70" i="13" s="1"/>
  <c r="R83" i="4"/>
  <c r="E17" i="13"/>
  <c r="F17" i="13" s="1"/>
  <c r="F26" i="13" s="1"/>
  <c r="E40" i="13"/>
  <c r="F40" i="13" s="1"/>
  <c r="F42" i="13" s="1"/>
  <c r="G54" i="4"/>
  <c r="G63" i="4" s="1"/>
  <c r="R45" i="4"/>
  <c r="J6" i="8"/>
  <c r="T11" i="4"/>
  <c r="H11"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G63" i="13"/>
  <c r="G97" i="13" s="1"/>
  <c r="G105" i="13" s="1"/>
  <c r="G107" i="13" s="1"/>
  <c r="M53" i="7"/>
  <c r="K58" i="7"/>
  <c r="C27" i="11"/>
  <c r="AB48" i="15"/>
  <c r="D46" i="11"/>
  <c r="B82" i="11"/>
  <c r="H63" i="4"/>
  <c r="H97" i="4" s="1"/>
  <c r="H105" i="4" s="1"/>
  <c r="I58" i="7"/>
  <c r="C9" i="11"/>
  <c r="B63" i="11"/>
  <c r="B96" i="4"/>
  <c r="B38" i="4"/>
  <c r="D84" i="11"/>
  <c r="B54" i="13"/>
  <c r="K63" i="4"/>
  <c r="K97" i="4" s="1"/>
  <c r="K105" i="4" s="1"/>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96" i="4" l="1"/>
  <c r="J40" i="8"/>
  <c r="Z817" i="3" s="1"/>
  <c r="G81" i="4"/>
  <c r="G97" i="4" s="1"/>
  <c r="G105" i="4" s="1"/>
  <c r="S96" i="4"/>
  <c r="E96" i="13" s="1"/>
  <c r="F96" i="13"/>
  <c r="C63" i="13"/>
  <c r="C97" i="13" s="1"/>
  <c r="C105" i="13" s="1"/>
  <c r="T63" i="4"/>
  <c r="T97" i="4" s="1"/>
  <c r="R52" i="4"/>
  <c r="S52" i="4" s="1"/>
  <c r="E52" i="13" s="1"/>
  <c r="F52" i="13" s="1"/>
  <c r="F54" i="13" s="1"/>
  <c r="F63" i="13" s="1"/>
  <c r="AJ634" i="20"/>
  <c r="AK816" i="20" s="1"/>
  <c r="T841" i="20" s="1"/>
  <c r="AF841" i="20" s="1"/>
  <c r="BE82" i="3" s="1"/>
  <c r="G108" i="21"/>
  <c r="D105" i="11"/>
  <c r="N190" i="24"/>
  <c r="I15" i="21"/>
  <c r="D43" i="11"/>
  <c r="D71" i="11"/>
  <c r="B12" i="4"/>
  <c r="D55" i="11"/>
  <c r="D82" i="11"/>
  <c r="D39" i="11"/>
  <c r="D78" i="11"/>
  <c r="R12" i="4"/>
  <c r="D12" i="11"/>
  <c r="D63" i="11"/>
  <c r="B13" i="11"/>
  <c r="C64" i="11"/>
  <c r="C98" i="11" s="1"/>
  <c r="B64" i="11"/>
  <c r="B98" i="11" s="1"/>
  <c r="B106" i="11" s="1"/>
  <c r="B63" i="4"/>
  <c r="D27" i="11"/>
  <c r="D97" i="11"/>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0" i="21" l="1"/>
  <c r="P20" i="21" s="1" a="1"/>
  <c r="P20" i="21" s="1"/>
  <c r="S20" i="21" s="1"/>
  <c r="O26" i="21"/>
  <c r="P26" i="21" s="1" a="1"/>
  <c r="P26" i="21" s="1"/>
  <c r="S26" i="21" s="1"/>
  <c r="R80" i="4"/>
  <c r="R81" i="4" s="1"/>
  <c r="O25" i="21"/>
  <c r="P25" i="21" s="1" a="1"/>
  <c r="P25" i="21" s="1"/>
  <c r="S25" i="21" s="1"/>
  <c r="H63" i="13"/>
  <c r="AC464" i="3"/>
  <c r="F97" i="13"/>
  <c r="F105" i="13" s="1"/>
  <c r="F107" i="13" s="1"/>
  <c r="S54" i="4"/>
  <c r="E54" i="13" s="1"/>
  <c r="R54" i="4"/>
  <c r="R63" i="4" s="1"/>
  <c r="F54" i="4"/>
  <c r="F63" i="4" s="1"/>
  <c r="AZ1057" i="3"/>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F81" i="4" l="1"/>
  <c r="F97" i="4" s="1"/>
  <c r="F105" i="4" s="1"/>
  <c r="AC463" i="3"/>
  <c r="BE44" i="3" s="1"/>
  <c r="S63" i="4"/>
  <c r="E63" i="13" s="1"/>
  <c r="R97" i="4"/>
  <c r="R105" i="4" s="1"/>
  <c r="AB265" i="20"/>
  <c r="AG267" i="20" s="1"/>
  <c r="AG269" i="20" s="1"/>
  <c r="AK272" i="20" s="1"/>
  <c r="T834" i="20" s="1"/>
  <c r="BE77" i="3" s="1"/>
  <c r="N180" i="24"/>
  <c r="AK190" i="20"/>
  <c r="T827" i="20"/>
  <c r="AF827" i="20" s="1"/>
  <c r="AB47" i="15"/>
  <c r="AB49" i="15" s="1"/>
  <c r="AB54" i="15" s="1"/>
  <c r="AB55" i="15" s="1"/>
  <c r="BE22" i="3"/>
  <c r="H105" i="13"/>
  <c r="T107" i="4"/>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S97" i="4" l="1"/>
  <c r="S105" i="4" s="1"/>
  <c r="AJ1038" i="3"/>
  <c r="AJ1003" i="3"/>
  <c r="H107" i="13"/>
  <c r="BE72" i="3"/>
  <c r="N181" i="24"/>
  <c r="N191" i="24"/>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AZ1055" i="3" l="1"/>
  <c r="BA1065" i="3" s="1"/>
  <c r="E97" i="13"/>
  <c r="E105" i="13"/>
  <c r="S107" i="4"/>
  <c r="I9" i="21"/>
  <c r="T11" i="15"/>
  <c r="T23" i="15" s="1"/>
  <c r="T26" i="15" s="1"/>
  <c r="T28" i="15" s="1"/>
  <c r="AD11" i="15"/>
  <c r="AD23" i="15" s="1"/>
  <c r="AD26" i="15" s="1"/>
  <c r="AD28" i="15" s="1"/>
  <c r="AI11" i="15"/>
  <c r="AI23" i="15" s="1"/>
  <c r="AI26" i="15" s="1"/>
  <c r="AI28" i="15" s="1"/>
  <c r="BE74" i="3"/>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G62" i="7" l="1"/>
  <c r="AZ1060" i="3"/>
  <c r="BA1064" i="3" s="1"/>
  <c r="BA1068" i="3" s="1"/>
  <c r="G166" i="21"/>
  <c r="G165" i="21"/>
  <c r="AA1065" i="3"/>
  <c r="E107" i="13"/>
  <c r="Y11" i="15" s="1"/>
  <c r="Y23" i="15" s="1"/>
  <c r="Y26" i="15" s="1"/>
  <c r="Y28" i="15" s="1"/>
  <c r="T29" i="15" s="1"/>
  <c r="AF564" i="20"/>
  <c r="AC465" i="3"/>
  <c r="AP567" i="20"/>
  <c r="G94" i="21"/>
  <c r="E15" i="21" s="1"/>
  <c r="W58" i="7"/>
  <c r="Y53" i="7"/>
  <c r="T24" i="15"/>
  <c r="AP570" i="20"/>
  <c r="AP569" i="20" s="1"/>
  <c r="K11" i="7"/>
  <c r="K37" i="7" s="1"/>
  <c r="K45" i="7" s="1"/>
  <c r="E66" i="7"/>
  <c r="E67" i="7"/>
  <c r="O5" i="7"/>
  <c r="Q4" i="7"/>
  <c r="M7" i="7"/>
  <c r="M11" i="7" s="1"/>
  <c r="M37" i="7" s="1"/>
  <c r="O6" i="7"/>
  <c r="G67" i="7"/>
  <c r="G66" i="7"/>
  <c r="I48" i="7"/>
  <c r="I60" i="7"/>
  <c r="I62" i="7" s="1"/>
  <c r="I47" i="7"/>
  <c r="G115" i="21"/>
  <c r="G127" i="21"/>
  <c r="G111" i="21"/>
  <c r="S22" i="7"/>
  <c r="S35" i="7" s="1"/>
  <c r="U15" i="7"/>
  <c r="U8" i="7"/>
  <c r="S9" i="7"/>
  <c r="AA1066" i="3" l="1"/>
  <c r="G1067" i="3" s="1"/>
  <c r="AP572" i="20"/>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K47" i="7"/>
  <c r="K60" i="7"/>
  <c r="K62" i="7" s="1"/>
  <c r="K48" i="7"/>
  <c r="U22" i="7"/>
  <c r="U35" i="7" s="1"/>
  <c r="W15" i="7"/>
  <c r="U9" i="7"/>
  <c r="W8" i="7"/>
  <c r="BE81" i="3" l="1"/>
  <c r="Y41" i="15"/>
  <c r="AB56" i="15" s="1"/>
  <c r="M26" i="3" s="1"/>
  <c r="AC53" i="7"/>
  <c r="AA58" i="7"/>
  <c r="U4" i="7"/>
  <c r="S5" i="7"/>
  <c r="M48" i="7"/>
  <c r="M47" i="7"/>
  <c r="M60" i="7"/>
  <c r="M62" i="7" s="1"/>
  <c r="O45" i="7"/>
  <c r="O49" i="7"/>
  <c r="K66" i="7"/>
  <c r="K67" i="7"/>
  <c r="Q7" i="7"/>
  <c r="Q11" i="7" s="1"/>
  <c r="Q37" i="7" s="1"/>
  <c r="S6" i="7"/>
  <c r="I70" i="7"/>
  <c r="I72" i="7" s="1"/>
  <c r="W22" i="7"/>
  <c r="W35" i="7" s="1"/>
  <c r="Y15" i="7"/>
  <c r="W9" i="7"/>
  <c r="Y8" i="7"/>
  <c r="BE19" i="3" l="1"/>
  <c r="AE53" i="7"/>
  <c r="AC58" i="7"/>
  <c r="AB57" i="15"/>
  <c r="P204" i="3"/>
  <c r="U5" i="7"/>
  <c r="W4" i="7"/>
  <c r="Q49" i="7"/>
  <c r="Q45" i="7"/>
  <c r="M67" i="7"/>
  <c r="M66" i="7"/>
  <c r="O47" i="7"/>
  <c r="O48" i="7"/>
  <c r="O60" i="7"/>
  <c r="O62" i="7" s="1"/>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Q60" i="7"/>
  <c r="Q62" i="7" s="1"/>
  <c r="Q48" i="7"/>
  <c r="Q47" i="7"/>
  <c r="S49" i="7"/>
  <c r="S45" i="7"/>
  <c r="AC15" i="7"/>
  <c r="AA22" i="7"/>
  <c r="AA35" i="7" s="1"/>
  <c r="AC8" i="7"/>
  <c r="AA9" i="7"/>
  <c r="AB79" i="15" l="1"/>
  <c r="AA4" i="7"/>
  <c r="Y5" i="7"/>
  <c r="Y6" i="7"/>
  <c r="W7" i="7"/>
  <c r="W11" i="7" s="1"/>
  <c r="W37" i="7" s="1"/>
  <c r="U45" i="7"/>
  <c r="U49" i="7"/>
  <c r="Q66" i="7"/>
  <c r="Q67" i="7"/>
  <c r="S48" i="7"/>
  <c r="S47" i="7"/>
  <c r="S60" i="7"/>
  <c r="S62" i="7" s="1"/>
  <c r="O70" i="7"/>
  <c r="O72" i="7" s="1"/>
  <c r="AE15" i="7"/>
  <c r="AC22" i="7"/>
  <c r="AC35" i="7" s="1"/>
  <c r="AC9" i="7"/>
  <c r="AE8" i="7"/>
  <c r="AB81" i="15" l="1"/>
  <c r="J82" i="15" s="1"/>
  <c r="M27" i="3"/>
  <c r="I11" i="21"/>
  <c r="I18" i="21" s="1"/>
  <c r="AA5" i="7"/>
  <c r="AC4" i="7"/>
  <c r="S67" i="7"/>
  <c r="S66" i="7"/>
  <c r="U48" i="7"/>
  <c r="U60" i="7"/>
  <c r="U62" i="7" s="1"/>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Y49" i="7"/>
  <c r="Y45" i="7"/>
  <c r="W60" i="7"/>
  <c r="W62" i="7" s="1"/>
  <c r="W47" i="7"/>
  <c r="W48" i="7"/>
  <c r="AE5" i="7" l="1"/>
  <c r="AG4" i="7"/>
  <c r="AA45" i="7"/>
  <c r="AA49" i="7"/>
  <c r="U70" i="7"/>
  <c r="U72" i="7" s="1"/>
  <c r="W67" i="7"/>
  <c r="W66" i="7"/>
  <c r="Y47" i="7"/>
  <c r="Y48" i="7"/>
  <c r="Y60" i="7"/>
  <c r="Y62" i="7" s="1"/>
  <c r="AE6" i="7"/>
  <c r="AC7" i="7"/>
  <c r="AC11" i="7" s="1"/>
  <c r="AC37" i="7" s="1"/>
  <c r="AG5" i="7" l="1"/>
  <c r="W70" i="7"/>
  <c r="W72" i="7" s="1"/>
  <c r="AA60" i="7"/>
  <c r="AA62" i="7" s="1"/>
  <c r="AA47" i="7"/>
  <c r="AA48" i="7"/>
  <c r="AC45" i="7"/>
  <c r="AC49" i="7"/>
  <c r="AE7" i="7"/>
  <c r="AE11" i="7" s="1"/>
  <c r="AE37" i="7" s="1"/>
  <c r="AG6" i="7"/>
  <c r="Y67" i="7"/>
  <c r="Y66" i="7"/>
  <c r="Y70" i="7" l="1"/>
  <c r="Y72" i="7" s="1"/>
  <c r="AG7" i="7"/>
  <c r="AG11" i="7" s="1"/>
  <c r="AG37" i="7" s="1"/>
  <c r="AE49" i="7"/>
  <c r="AE45" i="7"/>
  <c r="AC60" i="7"/>
  <c r="AC62" i="7" s="1"/>
  <c r="AC48" i="7"/>
  <c r="AC47" i="7"/>
  <c r="AA66" i="7"/>
  <c r="AA67" i="7"/>
  <c r="AA70" i="7" l="1"/>
  <c r="AA72" i="7" s="1"/>
  <c r="AC66" i="7"/>
  <c r="AC67" i="7"/>
  <c r="AE47" i="7"/>
  <c r="AE60" i="7"/>
  <c r="AE62" i="7" s="1"/>
  <c r="AE48" i="7"/>
  <c r="AG49" i="7"/>
  <c r="AG45" i="7"/>
  <c r="AG48" i="7" l="1"/>
  <c r="AG60" i="7"/>
  <c r="AG62" i="7" s="1"/>
  <c r="AG47" i="7"/>
  <c r="AE66" i="7"/>
  <c r="AE67" i="7"/>
  <c r="AC70" i="7"/>
  <c r="AC72" i="7" s="1"/>
  <c r="AE70" i="7" l="1"/>
  <c r="AE72" i="7" s="1"/>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A7A1ECF5-E5D5-4C30-A598-439360CBB0CA}">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4F8C8DD6-2D29-4158-8634-B361AB37D2FC}">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<sst xmlns="http://schemas.openxmlformats.org/spreadsheetml/2006/main" count="5075" uniqueCount="2781">
  <si>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</si>
  <si>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</si>
  <si>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</si>
  <si>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</si>
  <si>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</si>
  <si>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</si>
  <si>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</si>
  <si>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</si>
  <si>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</si>
  <si>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</si>
  <si>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</si>
  <si>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</si>
  <si>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</si>
  <si>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</si>
  <si>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</si>
  <si>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</si>
  <si>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</si>
  <si>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</si>
  <si>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</si>
  <si>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</si>
  <si>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</si>
  <si>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</si>
  <si>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</si>
  <si>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</si>
  <si>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</si>
  <si>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</si>
  <si>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</si>
  <si>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</si>
  <si>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</si>
  <si>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</si>
  <si>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</si>
  <si>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</si>
  <si>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</si>
  <si>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</si>
  <si>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</si>
  <si>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</si>
  <si>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</si>
  <si>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</si>
  <si>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</si>
  <si>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</si>
  <si>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</si>
  <si>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</si>
  <si>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</si>
  <si>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</si>
  <si>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</si>
  <si>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</si>
  <si>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</si>
  <si>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</si>
  <si>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</si>
  <si>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</si>
  <si>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</si>
  <si>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</si>
  <si>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</si>
  <si>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</si>
  <si>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</si>
  <si>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</si>
  <si>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</si>
  <si>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</si>
  <si>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</si>
  <si>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</si>
  <si>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</si>
  <si>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</si>
  <si>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</si>
  <si>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</si>
  <si>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</si>
  <si>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</si>
  <si>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</si>
  <si>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</si>
  <si>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</si>
  <si>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</si>
  <si>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</si>
  <si>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</si>
  <si>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</si>
  <si>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</si>
  <si>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</si>
  <si>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</si>
  <si>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</si>
  <si>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</si>
  <si>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</si>
  <si>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</si>
  <si>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</si>
  <si>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</si>
  <si>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</si>
  <si>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</si>
  <si>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</si>
  <si>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</si>
  <si>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</si>
  <si>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</si>
  <si>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</si>
  <si>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</si>
  <si>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</si>
  <si>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</si>
  <si>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</si>
  <si>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</si>
  <si>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</si>
  <si>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</si>
  <si>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</si>
  <si>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</si>
  <si>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</si>
  <si>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</si>
  <si>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</si>
  <si>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</si>
  <si>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</si>
  <si>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</si>
  <si>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</si>
  <si>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</si>
  <si>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</si>
  <si>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</si>
  <si>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</si>
  <si>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</si>
  <si>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</si>
  <si>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</si>
  <si>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</si>
  <si>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</si>
  <si>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</si>
  <si>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</si>
  <si>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</si>
  <si>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</si>
  <si>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</si>
  <si>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</si>
  <si>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</si>
  <si>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</si>
  <si>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</si>
  <si>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</si>
  <si>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</si>
  <si>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</si>
  <si>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</si>
  <si>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</si>
  <si>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</si>
  <si>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</si>
  <si>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</si>
  <si>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</si>
  <si>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</si>
  <si>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</si>
  <si>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</si>
  <si>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</si>
  <si>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</si>
  <si>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</si>
  <si>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</si>
  <si>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</si>
  <si>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</si>
  <si>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</si>
  <si>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</si>
  <si>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</si>
  <si>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</si>
  <si>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</si>
  <si>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</si>
  <si>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</si>
  <si>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</si>
  <si>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</si>
  <si>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</si>
  <si>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</si>
  <si>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</si>
  <si>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</si>
  <si>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</si>
  <si>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</si>
  <si>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</si>
  <si>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</si>
  <si>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</si>
  <si>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</si>
  <si>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</si>
  <si>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</si>
  <si>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</si>
  <si>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</si>
  <si>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</si>
  <si>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</si>
  <si>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</si>
  <si>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</si>
  <si>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</si>
  <si>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</si>
  <si>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</si>
  <si>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</si>
  <si>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</si>
  <si>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</si>
  <si>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</si>
  <si>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</si>
  <si>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</si>
  <si>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</si>
  <si>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</si>
  <si>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</si>
  <si>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</si>
  <si>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</si>
  <si>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</si>
  <si>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</si>
  <si>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</si>
  <si>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</si>
  <si>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</si>
  <si>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</si>
  <si>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</si>
  <si>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</si>
  <si>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</si>
  <si>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</si>
  <si>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</si>
  <si>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</si>
  <si>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</si>
  <si>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</si>
  <si>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</si>
  <si>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</si>
  <si>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</si>
  <si>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</si>
  <si>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</si>
  <si>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</si>
  <si>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</si>
  <si>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</si>
  <si>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</si>
  <si>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</si>
  <si>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</si>
  <si>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</si>
  <si>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</si>
  <si>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</si>
  <si>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</si>
  <si>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</si>
  <si>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</si>
  <si>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</si>
  <si>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</si>
  <si>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</si>
  <si>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</si>
  <si>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</si>
  <si>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</si>
  <si>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</si>
  <si>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</si>
  <si>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</si>
  <si>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</si>
  <si>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</si>
  <si>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</si>
  <si>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</si>
  <si>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</si>
  <si>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</si>
  <si>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</si>
  <si>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</si>
  <si>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</si>
  <si>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</si>
  <si>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</si>
  <si>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</si>
  <si>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</si>
  <si>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</si>
  <si>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</si>
  <si>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</si>
  <si>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</si>
  <si>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</si>
  <si>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</si>
  <si>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</si>
  <si>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</si>
  <si>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</si>
  <si>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</si>
  <si>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</si>
  <si>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</si>
  <si>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</si>
  <si>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</si>
  <si>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</si>
  <si>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</si>
  <si>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</si>
  <si>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</si>
  <si>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</si>
  <si>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</si>
  <si>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</si>
  <si>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</si>
  <si>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</si>
  <si>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</si>
  <si>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</si>
  <si>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</si>
  <si>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</si>
  <si>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</si>
  <si>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</si>
  <si>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</si>
  <si>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</si>
  <si>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</si>
  <si>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</si>
  <si>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</si>
  <si>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</si>
  <si>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</si>
  <si>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</si>
  <si>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</si>
  <si>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</si>
  <si>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</si>
  <si>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</si>
  <si>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</si>
  <si>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</si>
  <si>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</si>
  <si>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</si>
  <si>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</si>
  <si>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</si>
  <si>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</si>
  <si>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</si>
  <si>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</si>
  <si>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</si>
  <si>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</si>
  <si>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</si>
  <si>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</si>
  <si>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</si>
  <si>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</si>
  <si>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</si>
  <si>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</si>
  <si>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</si>
  <si>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</si>
  <si>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</si>
  <si>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</si>
  <si>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</si>
  <si>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</si>
  <si>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</si>
  <si>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</si>
  <si>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</si>
  <si>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</si>
  <si>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</si>
  <si>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</si>
  <si>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</si>
  <si>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</si>
  <si>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</si>
  <si>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</si>
  <si>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</si>
  <si>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</si>
  <si>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</si>
  <si>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</si>
  <si>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</si>
  <si>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</si>
  <si>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</si>
  <si>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</si>
  <si>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</si>
  <si>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</si>
  <si>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</si>
  <si>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</si>
  <si>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</si>
  <si>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</si>
  <si>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</si>
  <si>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</si>
  <si>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</si>
  <si>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</si>
  <si>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</si>
  <si>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</si>
  <si>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</si>
  <si>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</si>
  <si>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</si>
  <si>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</si>
  <si>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</si>
  <si>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</si>
  <si>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</si>
  <si>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</si>
  <si>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</si>
  <si>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</si>
  <si>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</si>
  <si>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</si>
  <si>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</si>
  <si>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</si>
  <si>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</si>
  <si>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</si>
  <si>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</si>
  <si>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</si>
  <si>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</si>
  <si>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</si>
  <si>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</si>
  <si>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</si>
  <si>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</si>
  <si>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</si>
  <si>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</si>
  <si>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</si>
  <si>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</si>
  <si>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</si>
  <si>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</si>
  <si>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</si>
  <si>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</si>
  <si>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</si>
  <si>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</si>
  <si>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</si>
  <si>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</si>
  <si>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</si>
  <si>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</si>
  <si>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</si>
  <si>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</si>
  <si>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</si>
  <si>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</si>
  <si>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</si>
  <si>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</si>
  <si>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</si>
  <si>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</si>
  <si>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</si>
  <si>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</si>
  <si>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</si>
  <si>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</si>
  <si>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</si>
  <si>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</si>
  <si>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</si>
  <si>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</si>
  <si>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</si>
  <si>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</si>
  <si>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</si>
  <si>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</si>
  <si>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</si>
  <si>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</si>
  <si>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</si>
  <si>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</si>
  <si>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</si>
  <si>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</si>
  <si>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</si>
  <si>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</si>
  <si>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</si>
  <si>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</si>
  <si>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</si>
  <si>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</si>
  <si>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</si>
  <si>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</si>
  <si>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</si>
  <si>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</si>
  <si>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</si>
  <si>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</si>
  <si>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</si>
  <si>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</si>
  <si>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</si>
  <si>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</si>
  <si>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</si>
  <si>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</si>
  <si>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</si>
  <si>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</si>
  <si>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</si>
  <si>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</si>
  <si>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</si>
  <si>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</si>
  <si>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</si>
  <si>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</si>
  <si>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</si>
  <si>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</si>
  <si>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</si>
  <si>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</si>
  <si>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</si>
  <si>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</si>
  <si>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</si>
  <si>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</si>
  <si>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</si>
  <si>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</si>
  <si>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</si>
  <si>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</si>
  <si>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</si>
  <si>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</si>
  <si>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</si>
  <si>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</si>
  <si>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</si>
  <si>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</si>
  <si>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</si>
  <si>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</si>
  <si>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</si>
  <si>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</si>
  <si>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</si>
  <si>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</si>
  <si>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</si>
  <si>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</si>
  <si>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</si>
  <si>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</si>
  <si>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</si>
  <si>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</si>
  <si>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</si>
  <si>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</si>
  <si>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</si>
  <si>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</si>
  <si>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</si>
  <si>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</si>
  <si>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</si>
  <si>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</si>
  <si>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</si>
  <si>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</si>
  <si>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</si>
  <si>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</si>
  <si>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</si>
  <si>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</si>
  <si>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</si>
  <si>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</si>
  <si>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</si>
  <si>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</si>
  <si>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</si>
  <si>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</si>
  <si>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</si>
  <si>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</si>
  <si>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</si>
  <si>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</si>
  <si>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</si>
  <si>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</si>
  <si>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</si>
  <si>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</si>
  <si>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</si>
  <si>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</si>
  <si>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</si>
  <si>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</si>
  <si>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</si>
  <si>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</si>
  <si>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</si>
  <si>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</si>
  <si>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</si>
  <si>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</si>
  <si>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</si>
  <si>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</si>
  <si>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</si>
  <si>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</si>
  <si>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</si>
  <si>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</si>
  <si>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</si>
  <si>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</si>
  <si>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</si>
  <si>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</si>
  <si>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</si>
  <si>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</si>
  <si>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</si>
  <si>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</si>
  <si>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</si>
  <si>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</si>
  <si>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</si>
  <si>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</si>
  <si>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</si>
  <si>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</si>
  <si>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</si>
  <si>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</si>
  <si>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</si>
  <si>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</si>
  <si>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</si>
  <si>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</si>
  <si>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</si>
  <si>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</si>
  <si>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</si>
  <si>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</si>
  <si>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</si>
  <si>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</si>
  <si>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</si>
  <si>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</si>
  <si>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</si>
  <si>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</si>
  <si>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</si>
  <si>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</si>
  <si>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</si>
  <si>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</si>
  <si>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</si>
  <si>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</si>
  <si>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</si>
  <si>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</si>
  <si>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</si>
  <si>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</si>
  <si>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</si>
  <si>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</si>
  <si>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</si>
  <si>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</si>
  <si>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</si>
  <si>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</si>
  <si>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</si>
  <si>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</si>
  <si>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</si>
  <si>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</si>
  <si>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</si>
  <si>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</si>
  <si>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</si>
  <si>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</si>
  <si>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</si>
  <si>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</si>
  <si>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</si>
  <si>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</si>
  <si>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</si>
  <si>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</si>
  <si>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</si>
  <si>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</si>
  <si>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</si>
  <si>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</si>
  <si>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</si>
  <si>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</si>
  <si>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</si>
  <si>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</si>
  <si>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</si>
  <si>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</si>
  <si>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</si>
  <si>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</si>
  <si>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</si>
  <si>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</si>
  <si>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</si>
  <si>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</si>
  <si>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</si>
  <si>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</si>
  <si>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</si>
  <si>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</si>
  <si>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</si>
  <si>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</si>
  <si>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</si>
  <si>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</si>
  <si>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</si>
  <si>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</si>
  <si>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</si>
  <si>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</si>
  <si>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</si>
  <si>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</si>
  <si>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</si>
  <si>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</si>
  <si>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</si>
  <si>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</si>
  <si>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</si>
  <si>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</si>
  <si>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</si>
  <si>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</si>
  <si>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</si>
  <si>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</si>
  <si>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</si>
  <si>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</si>
  <si>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</si>
  <si>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</si>
  <si>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</si>
  <si>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</si>
  <si>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</si>
  <si>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</si>
  <si>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</si>
  <si>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</si>
  <si>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</si>
  <si>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</si>
  <si>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</si>
  <si>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</si>
  <si>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</si>
  <si>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</si>
  <si>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</si>
  <si>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</si>
  <si>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</si>
  <si>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</si>
  <si>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</si>
  <si>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</si>
  <si>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</si>
  <si>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</si>
  <si>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</si>
  <si>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</si>
  <si>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</si>
  <si>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</si>
  <si>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</si>
  <si>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</si>
  <si>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</si>
  <si>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</si>
  <si>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</si>
  <si>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</si>
  <si>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</si>
  <si>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</si>
  <si>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</si>
  <si>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</si>
  <si>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</si>
  <si>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</si>
  <si>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</si>
  <si>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</si>
  <si>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</si>
  <si>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</si>
  <si>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</si>
  <si>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</si>
  <si>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</si>
  <si>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</si>
  <si>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</si>
  <si>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</si>
  <si>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</si>
  <si>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</si>
  <si>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</si>
  <si>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</si>
  <si>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</si>
  <si>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</si>
  <si>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</si>
  <si>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</si>
  <si>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</si>
  <si>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</si>
  <si>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</si>
  <si>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</si>
  <si>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</si>
  <si>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</si>
  <si>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</si>
  <si>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</si>
  <si>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</si>
  <si>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</si>
  <si>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</si>
  <si>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</si>
  <si>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</si>
  <si>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</si>
  <si>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</si>
  <si>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</si>
  <si>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</si>
  <si>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</si>
  <si>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</si>
  <si>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</si>
  <si>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</si>
  <si>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Ocean Beach Apartments II, LP</t>
  </si>
  <si>
    <t>MIP Amount</t>
  </si>
  <si>
    <t>PROJECT NAME:</t>
  </si>
  <si>
    <t>Ocean Beach Apartments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</si>
  <si>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</si>
  <si>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</si>
  <si>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</si>
  <si>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</si>
  <si>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</si>
  <si>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</si>
  <si>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</si>
  <si>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</si>
  <si>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</si>
  <si>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</si>
  <si>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</si>
  <si>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</si>
  <si>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</si>
  <si>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</si>
  <si>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</si>
  <si>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</si>
  <si>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</si>
  <si>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</si>
  <si>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</si>
  <si>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</si>
  <si>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</si>
  <si>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</si>
  <si>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</si>
  <si>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</si>
  <si>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</si>
  <si>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</si>
  <si>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</si>
  <si>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</si>
  <si>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</si>
  <si>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</si>
  <si>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</si>
  <si>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</si>
  <si>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</si>
  <si>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</si>
  <si>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</si>
  <si>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</si>
  <si>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</si>
  <si>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</si>
  <si>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</si>
  <si>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</si>
  <si>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</si>
  <si>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</si>
  <si>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</si>
  <si>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</si>
  <si>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</si>
  <si>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</si>
  <si>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</si>
  <si>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</si>
  <si>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</si>
  <si>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</si>
  <si>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</si>
  <si>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</si>
  <si>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</si>
  <si>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</si>
  <si>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</si>
  <si>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</si>
  <si>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</si>
  <si>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</si>
  <si>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</si>
  <si>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</si>
  <si>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</si>
  <si>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</si>
  <si>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</si>
  <si>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</si>
  <si>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</si>
  <si>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</si>
  <si>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</si>
  <si>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</si>
  <si>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</si>
  <si>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</si>
  <si>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</si>
  <si>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</si>
  <si>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</si>
  <si>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</si>
  <si>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</si>
  <si>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</si>
  <si>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</si>
  <si>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</si>
  <si>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</si>
  <si>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</si>
  <si>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</si>
  <si>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</si>
  <si>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</si>
  <si>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</si>
  <si>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</si>
  <si>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</si>
  <si>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</si>
  <si>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</si>
  <si>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</si>
  <si>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</si>
  <si>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</si>
  <si>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</si>
  <si>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</si>
  <si>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</si>
  <si>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</si>
  <si>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</si>
  <si>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</si>
  <si>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</si>
  <si>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</si>
  <si>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</si>
  <si>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</si>
  <si>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</si>
  <si>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</si>
  <si>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</si>
  <si>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</si>
  <si>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</si>
  <si>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</si>
  <si>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</si>
  <si>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</si>
  <si>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</si>
  <si>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</si>
  <si>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</si>
  <si>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</si>
  <si>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</si>
  <si>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</si>
  <si>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</si>
  <si>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</si>
  <si>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</si>
  <si>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</si>
  <si>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</si>
  <si>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</si>
  <si>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</si>
  <si>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</si>
  <si>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</si>
  <si>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</si>
  <si>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</si>
  <si>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</si>
  <si>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</si>
  <si>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</si>
  <si>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</si>
  <si>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</si>
  <si>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</si>
  <si>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</si>
  <si>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</si>
  <si>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</si>
  <si>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</si>
  <si>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and County of San Francisco</t>
  </si>
  <si>
    <t>Inland (Fresno, Imperial, Kern, Kings, Madera, Merced, Riverside, San Bernardino, Stanislaus, and Tulare Counties)</t>
  </si>
  <si>
    <t>4% 2026 TBLs</t>
  </si>
  <si>
    <t>9% 2026 TBLs</t>
  </si>
  <si>
    <t>City Manager:</t>
  </si>
  <si>
    <t>Daniel Adams</t>
  </si>
  <si>
    <t>Northern (Butte, El Dorado, Placer, Sacramento, San Joaquin, Shasta, Solano, Sutter, Yuba, and Yolo Counties)</t>
  </si>
  <si>
    <t>Title:</t>
  </si>
  <si>
    <t>Director of Mayor's Office of Housing and Community Development</t>
  </si>
  <si>
    <t>N/A</t>
  </si>
  <si>
    <t xml:space="preserve">Mailing Address: </t>
  </si>
  <si>
    <t>One So. Van Ness Ave. 5th Floor</t>
  </si>
  <si>
    <t>2025 100% RENTS</t>
  </si>
  <si>
    <t>2025 FAIR MARKET RENTS</t>
  </si>
  <si>
    <t xml:space="preserve">City: </t>
  </si>
  <si>
    <t>San Francisco</t>
  </si>
  <si>
    <t>ALAMEDA</t>
  </si>
  <si>
    <t>Alameda</t>
  </si>
  <si>
    <t>California Tax Credit Allocation Committee</t>
  </si>
  <si>
    <t>Housing and Urban Development</t>
  </si>
  <si>
    <t xml:space="preserve">Zip Code: </t>
  </si>
  <si>
    <t>ALPINE</t>
  </si>
  <si>
    <t>Alpine</t>
  </si>
  <si>
    <t>Phone Number:</t>
  </si>
  <si>
    <t>415-701-5528</t>
  </si>
  <si>
    <t>Ext.</t>
  </si>
  <si>
    <t>AMADOR</t>
  </si>
  <si>
    <t>Amador</t>
  </si>
  <si>
    <t>County</t>
  </si>
  <si>
    <t>SRO/Studio</t>
  </si>
  <si>
    <t>1 Bedroom</t>
  </si>
  <si>
    <t>2 Bedrooms</t>
  </si>
  <si>
    <t>3 Bedrooms</t>
  </si>
  <si>
    <t>4 Bedrooms</t>
  </si>
  <si>
    <t>5 Bedrooms</t>
  </si>
  <si>
    <t>SRO/STUDIO</t>
  </si>
  <si>
    <t>4+ Bedrooms</t>
  </si>
  <si>
    <t xml:space="preserve">FAX Number: </t>
  </si>
  <si>
    <t>415-701-5501</t>
  </si>
  <si>
    <t>BUTTE</t>
  </si>
  <si>
    <t>Butte</t>
  </si>
  <si>
    <t xml:space="preserve">E-mail: </t>
  </si>
  <si>
    <t>daniel.adams@sfgov.org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</si>
  <si>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</si>
  <si>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</si>
  <si>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</si>
  <si>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</si>
  <si>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</si>
  <si>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</si>
  <si>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</si>
  <si>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</si>
  <si>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</si>
  <si>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</si>
  <si>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</si>
  <si>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</si>
  <si>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</si>
  <si>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</si>
  <si>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</si>
  <si>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</si>
  <si>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</si>
  <si>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</si>
  <si>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</si>
  <si>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</si>
  <si>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</si>
  <si>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</si>
  <si>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</si>
  <si>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</si>
  <si>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</si>
  <si>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</si>
  <si>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</si>
  <si>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</si>
  <si>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</si>
  <si>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</si>
  <si>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</si>
  <si>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</si>
  <si>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</si>
  <si>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</si>
  <si>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</si>
  <si>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</si>
  <si>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</si>
  <si>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</si>
  <si>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</si>
  <si>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</si>
  <si>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</si>
  <si>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</si>
  <si>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</si>
  <si>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</si>
  <si>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</si>
  <si>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</si>
  <si>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</si>
  <si>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</si>
  <si>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</si>
  <si>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</si>
  <si>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</si>
  <si>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</si>
  <si>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</si>
  <si>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</si>
  <si>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</si>
  <si>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</si>
  <si>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</si>
  <si>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</si>
  <si>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</si>
  <si>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</si>
  <si>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</si>
  <si>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</si>
  <si>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</si>
  <si>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</si>
  <si>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</si>
  <si>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</si>
  <si>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</si>
  <si>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</si>
  <si>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</si>
  <si>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</si>
  <si>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</si>
  <si>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</si>
  <si>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</si>
  <si>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</si>
  <si>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</si>
  <si>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</si>
  <si>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720-760 La Playa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</si>
  <si>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</si>
  <si>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</si>
  <si>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</si>
  <si>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</si>
  <si>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</si>
  <si>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</si>
  <si>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</si>
  <si>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</si>
  <si>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</si>
  <si>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</si>
  <si>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</si>
  <si>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</si>
  <si>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</si>
  <si>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</si>
  <si>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</si>
  <si>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</si>
  <si>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</si>
  <si>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</si>
  <si>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</si>
  <si>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</si>
  <si>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</si>
  <si>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</si>
  <si>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</si>
  <si>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</si>
  <si>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</si>
  <si>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</si>
  <si>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</si>
  <si>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</si>
  <si>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</si>
  <si>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</si>
  <si>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</si>
  <si>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</si>
  <si>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</si>
  <si>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</si>
  <si>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</si>
  <si>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</si>
  <si>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</si>
  <si>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</si>
  <si>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</si>
  <si>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</si>
  <si>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</si>
  <si>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</si>
  <si>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</si>
  <si>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</si>
  <si>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</si>
  <si>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</si>
  <si>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</si>
  <si>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</si>
  <si>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</si>
  <si>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</si>
  <si>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</si>
  <si>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</si>
  <si>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</si>
  <si>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</si>
  <si>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</si>
  <si>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</si>
  <si>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</si>
  <si>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</si>
  <si>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</si>
  <si>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</si>
  <si>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</si>
  <si>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</si>
  <si>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</si>
  <si>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</si>
  <si>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</si>
  <si>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</si>
  <si>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</si>
  <si>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</si>
  <si>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</si>
  <si>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</si>
  <si>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</si>
  <si>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</si>
  <si>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</si>
  <si>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</si>
  <si>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</si>
  <si>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</si>
  <si>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</si>
  <si>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</si>
  <si>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</si>
  <si>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</si>
  <si>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</si>
  <si>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</si>
  <si>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</si>
  <si>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</si>
  <si>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</si>
  <si>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</si>
  <si>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</si>
  <si>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</si>
  <si>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</si>
  <si>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</si>
  <si>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</si>
  <si>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</si>
  <si>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</si>
  <si>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</si>
  <si>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</si>
  <si>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</si>
  <si>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</si>
  <si>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</si>
  <si>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</si>
  <si>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</si>
  <si>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</si>
  <si>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</si>
  <si>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</si>
  <si>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</si>
  <si>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</si>
  <si>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</si>
  <si>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</si>
  <si>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</si>
  <si>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</si>
  <si>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</si>
  <si>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</si>
  <si>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</si>
  <si>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</si>
  <si>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</si>
  <si>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</si>
  <si>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</si>
  <si>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</si>
  <si>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</si>
  <si>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</si>
  <si>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</si>
  <si>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</si>
  <si>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</si>
  <si>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</si>
  <si>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</si>
  <si>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</si>
  <si>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</si>
  <si>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</si>
  <si>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</si>
  <si>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</si>
  <si>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</si>
  <si>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</si>
  <si>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</si>
  <si>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</si>
  <si>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</si>
  <si>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</si>
  <si>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</si>
  <si>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</si>
  <si>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</si>
  <si>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</si>
  <si>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</si>
  <si>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</si>
  <si>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</si>
  <si>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</si>
  <si>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</si>
  <si>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26050 Mureau Rd., Suite 101</t>
  </si>
  <si>
    <t>Calabasas</t>
  </si>
  <si>
    <t>State:</t>
  </si>
  <si>
    <t>CA</t>
  </si>
  <si>
    <t>Contact Person:</t>
  </si>
  <si>
    <t>Kathleen Balderrama</t>
  </si>
  <si>
    <t>Phone:</t>
  </si>
  <si>
    <t>310-529-3481</t>
  </si>
  <si>
    <t>Ext.:</t>
  </si>
  <si>
    <t>Fax:</t>
  </si>
  <si>
    <t>both nonprofits</t>
  </si>
  <si>
    <t xml:space="preserve">Email: </t>
  </si>
  <si>
    <t>Katie.Balderrama@acpco.com</t>
  </si>
  <si>
    <t>Legal Status of Applicant:</t>
  </si>
  <si>
    <t>Parent Company:</t>
  </si>
  <si>
    <t>Alliant Community Preservation Company, LLC</t>
  </si>
  <si>
    <t>If Other, Specify:</t>
  </si>
  <si>
    <t>both for-profit</t>
  </si>
  <si>
    <t>General Partner(s) Information (post-closing GPs):</t>
  </si>
  <si>
    <t>D(1)</t>
  </si>
  <si>
    <t>General Partner Name:</t>
  </si>
  <si>
    <t>Ocean Beach Manager, LLC</t>
  </si>
  <si>
    <t>Administrative GP</t>
  </si>
  <si>
    <t>OWNERSHIP</t>
  </si>
  <si>
    <t>Nonprofit</t>
  </si>
  <si>
    <t>INTEREST (%):</t>
  </si>
  <si>
    <t>currently exists</t>
  </si>
  <si>
    <t>to be formed</t>
  </si>
  <si>
    <t>For Profit</t>
  </si>
  <si>
    <t>Nonprofit/For Profit:</t>
  </si>
  <si>
    <t>D(2)</t>
  </si>
  <si>
    <t>General Partner Name:*</t>
  </si>
  <si>
    <t>San Francisco Housing Development Corporation</t>
  </si>
  <si>
    <t>Managing GP</t>
  </si>
  <si>
    <t>4439 Third Street</t>
  </si>
  <si>
    <t>David J. Sobel</t>
  </si>
  <si>
    <t>415-822-1022</t>
  </si>
  <si>
    <t>david@sfhdc.org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</si>
  <si>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</si>
  <si>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</si>
  <si>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</si>
  <si>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</si>
  <si>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</si>
  <si>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</si>
  <si>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</si>
  <si>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</si>
  <si>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</si>
  <si>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</si>
  <si>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t>
  </si>
  <si>
    <t>(e.g., General Partner, Consultant, etc.)</t>
  </si>
  <si>
    <t>II. APPLICATION - SECTION 4: DEVELOPMENT TEAM INFORMATION</t>
  </si>
  <si>
    <t>Indicate and List All Development Team Members</t>
  </si>
  <si>
    <t>Developer:</t>
  </si>
  <si>
    <t>Architect:</t>
  </si>
  <si>
    <t>Basis Architecture and Consulting</t>
  </si>
  <si>
    <t>Address:</t>
  </si>
  <si>
    <t>2175 Francisco Blvd East, Suite H</t>
  </si>
  <si>
    <t>City, State, Zip</t>
  </si>
  <si>
    <t>Calabasas, CA 91302</t>
  </si>
  <si>
    <t>City, State, Zip:</t>
  </si>
  <si>
    <t>San Rafael, CA, 94901</t>
  </si>
  <si>
    <t>Charlie Pick</t>
  </si>
  <si>
    <t>415-233-3778</t>
  </si>
  <si>
    <t>Email:</t>
  </si>
  <si>
    <t>cpick@basisarch.com</t>
  </si>
  <si>
    <t>Attorney:</t>
  </si>
  <si>
    <t>Nixon Peabody</t>
  </si>
  <si>
    <t>General Contractor:</t>
  </si>
  <si>
    <t>IBCA, LLC dba ICON Builders</t>
  </si>
  <si>
    <t>799 9th Street NW, Suite 500</t>
  </si>
  <si>
    <t>5042 Wilshire Blvd., Suite 203</t>
  </si>
  <si>
    <t>Washington DC 20001-5327</t>
  </si>
  <si>
    <t>Los Angeles, CA 90036</t>
  </si>
  <si>
    <t>Matthew Mullen</t>
  </si>
  <si>
    <t>Maxwell Sands</t>
  </si>
  <si>
    <t>202.585.8128</t>
  </si>
  <si>
    <t>480-760-3111</t>
  </si>
  <si>
    <t>mmullen@nixonpeabody.com</t>
  </si>
  <si>
    <t>msands@iconbuilders.com</t>
  </si>
  <si>
    <t>Tax Professional:</t>
  </si>
  <si>
    <t>CohnReznick Advisory LLC</t>
  </si>
  <si>
    <t>Energy Consultant:</t>
  </si>
  <si>
    <t>1 S Wacker Dr Suite 3550</t>
  </si>
  <si>
    <t>Chicago, IL 60606</t>
  </si>
  <si>
    <t>Nathaniel Adams</t>
  </si>
  <si>
    <t>312-508-5816</t>
  </si>
  <si>
    <t>Nathaniel.Adams@CohnReznick.com</t>
  </si>
  <si>
    <t>CPA:</t>
  </si>
  <si>
    <t>Investor:</t>
  </si>
  <si>
    <t>Key CDC</t>
  </si>
  <si>
    <t>702 W Idaho Street</t>
  </si>
  <si>
    <t>Boise, ID  83702</t>
  </si>
  <si>
    <t>Kortney Brown</t>
  </si>
  <si>
    <t>208-364-8317</t>
  </si>
  <si>
    <t>kortney_d_brown@keybank.com</t>
  </si>
  <si>
    <t>Consultant:</t>
  </si>
  <si>
    <t>Market Analyst:</t>
  </si>
  <si>
    <t>Vogt Strategic Insights</t>
  </si>
  <si>
    <t xml:space="preserve">350 E. 1st Ave. #100, </t>
  </si>
  <si>
    <t>Columbus, Ohio 43201</t>
  </si>
  <si>
    <t>Jimmy Beery</t>
  </si>
  <si>
    <t>614-224-4300</t>
  </si>
  <si>
    <t>JimmyB@vsinsights.com</t>
  </si>
  <si>
    <t>Appraiser:</t>
  </si>
  <si>
    <t xml:space="preserve">Colliers </t>
  </si>
  <si>
    <t>CNA Consultant:</t>
  </si>
  <si>
    <t>Partner Engineering and Science, Inc</t>
  </si>
  <si>
    <t>101 2nd Street, 11th Floor</t>
  </si>
  <si>
    <t xml:space="preserve">2154 Torrance Blvd, </t>
  </si>
  <si>
    <t>San Franciso, CA 94105</t>
  </si>
  <si>
    <t>Torrance, CA 90501</t>
  </si>
  <si>
    <t>Vathana Duong</t>
  </si>
  <si>
    <t>JR Lephew</t>
  </si>
  <si>
    <t>415-851-0807</t>
  </si>
  <si>
    <t>443-937-1111</t>
  </si>
  <si>
    <t>vathana.duong@colliers.com</t>
  </si>
  <si>
    <t>JLephew@partneresi.com</t>
  </si>
  <si>
    <t>Bond Issuer:</t>
  </si>
  <si>
    <t>Prop. Mgmt. Co.:</t>
  </si>
  <si>
    <t>One South Van Ness Avenue, 5th Floor</t>
  </si>
  <si>
    <t>San Francisco CA 94103</t>
  </si>
  <si>
    <t>William Wilcox</t>
  </si>
  <si>
    <t xml:space="preserve">william.wilcox@sfgov.org </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</si>
  <si>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</si>
  <si>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</si>
  <si>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</si>
  <si>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</si>
  <si>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</si>
  <si>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</si>
  <si>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</si>
  <si>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</si>
  <si>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</si>
  <si>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</si>
  <si>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</si>
  <si>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</si>
  <si>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</si>
  <si>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</si>
  <si>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</si>
  <si>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</si>
  <si>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</si>
  <si>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</si>
  <si>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</si>
  <si>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</si>
  <si>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</si>
  <si>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</si>
  <si>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</si>
  <si>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Apartment for 85 residential units and 12 commercial units</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</si>
  <si>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</si>
  <si>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</si>
  <si>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</si>
  <si>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</si>
  <si>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</si>
  <si>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</si>
  <si>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</si>
  <si>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</si>
  <si>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</si>
  <si>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</si>
  <si>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</si>
  <si>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Ocean Beach Apartments, LP</t>
  </si>
  <si>
    <t>Signatory of Seller:</t>
  </si>
  <si>
    <t>Basil Rallis</t>
  </si>
  <si>
    <t>Seller Principal:</t>
  </si>
  <si>
    <t xml:space="preserve">Basil Rallis </t>
  </si>
  <si>
    <t>President</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</si>
  <si>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</si>
  <si>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</si>
  <si>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</si>
  <si>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</si>
  <si>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</si>
  <si>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</si>
  <si>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</si>
  <si>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925-482-9406</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</si>
  <si>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</si>
  <si>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</si>
  <si>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</si>
  <si>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</si>
  <si>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</si>
  <si>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</si>
  <si>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</si>
  <si>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</si>
  <si>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</si>
  <si>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</si>
  <si>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</si>
  <si>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</si>
  <si>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</si>
  <si>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</si>
  <si>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</si>
  <si>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</si>
  <si>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</si>
  <si>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</si>
  <si>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</si>
  <si>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</si>
  <si>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</si>
  <si>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</si>
  <si>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</si>
  <si>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</si>
  <si>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One(1) four-story elevator serviced buildings totaling currently 85 residential units along with 11 commercial units, property management and resident service offices, and common area amenities.  Post rehab, the buildng will contain 91 residential units and 9 commercial units.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</si>
  <si>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</si>
  <si>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</si>
  <si>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</si>
  <si>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</si>
  <si>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</si>
  <si>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</si>
  <si>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</si>
  <si>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</si>
  <si>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</si>
  <si>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</si>
  <si>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</si>
  <si>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</si>
  <si>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</si>
  <si>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property includes 11 commercial units totaling 27,577 square feet. Nine of the units are currently occupied by various service providers, including a gym, grocery store,  café, dental office, adult day care center, and others.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</si>
  <si>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</si>
  <si>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</si>
  <si>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</si>
  <si>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</si>
  <si>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</si>
  <si>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</si>
  <si>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</si>
  <si>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</si>
  <si>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</si>
  <si>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</si>
  <si>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</si>
  <si>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</si>
  <si>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</si>
  <si>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</si>
  <si>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</si>
  <si>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</si>
  <si>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</si>
  <si>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</si>
  <si>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</si>
  <si>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</si>
  <si>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</si>
  <si>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</si>
  <si>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</si>
  <si>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</si>
  <si>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</si>
  <si>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</si>
  <si>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</si>
  <si>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</si>
  <si>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</si>
  <si>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</si>
  <si>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</si>
  <si>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</si>
  <si>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</si>
  <si>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</si>
  <si>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</si>
  <si>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</si>
  <si>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</si>
  <si>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</si>
  <si>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</si>
  <si>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</si>
  <si>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</si>
  <si>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Mix use with residential</t>
  </si>
  <si>
    <t>Current Zoning and Maximum Density</t>
  </si>
  <si>
    <t>NC-2 - Neighborhood Commercial, Small Scale / As-Built 85.5</t>
  </si>
  <si>
    <t>Proposed Zoning and Maximum Density</t>
  </si>
  <si>
    <t>NC-2 - Neighborhood Commercial, Small Scale  / As-Built 85.5</t>
  </si>
  <si>
    <t>Occupancy restrictions that run with the land due to CUP’s or density bonuses?</t>
  </si>
  <si>
    <t>(if yes, explain here)</t>
  </si>
  <si>
    <t>Subject to Inclusionary Zoning?</t>
  </si>
  <si>
    <t>Building Height Requirements</t>
  </si>
  <si>
    <t>As-Built 40 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</si>
  <si>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</si>
  <si>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</si>
  <si>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</si>
  <si>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</si>
  <si>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</si>
  <si>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</si>
  <si>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</si>
  <si>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</si>
  <si>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</si>
  <si>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</si>
  <si>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</si>
  <si>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</si>
  <si>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</si>
  <si>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</si>
  <si>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</si>
  <si>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</si>
  <si>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</si>
  <si>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</si>
  <si>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</si>
  <si>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</si>
  <si>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</si>
  <si>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</si>
  <si>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</si>
  <si>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</si>
  <si>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</si>
  <si>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</si>
  <si>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</si>
  <si>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</si>
  <si>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</si>
  <si>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</si>
  <si>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</si>
  <si>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</si>
  <si>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</si>
  <si>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</si>
  <si>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</si>
  <si>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</si>
  <si>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</si>
  <si>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</si>
  <si>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</si>
  <si>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</si>
  <si>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</si>
  <si>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</si>
  <si>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</si>
  <si>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</si>
  <si>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</si>
  <si>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</si>
  <si>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</si>
  <si>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</si>
  <si>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</si>
  <si>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</si>
  <si>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</si>
  <si>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</si>
  <si>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</si>
  <si>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</si>
  <si>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</si>
  <si>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</si>
  <si>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</si>
  <si>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</si>
  <si>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</si>
  <si>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</si>
  <si>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</si>
  <si>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</si>
  <si>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</si>
  <si>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</si>
  <si>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</si>
  <si>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</si>
  <si>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</si>
  <si>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</si>
  <si>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</si>
  <si>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</si>
  <si>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</si>
  <si>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</si>
  <si>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 - Tax Exempt Bond</t>
  </si>
  <si>
    <t>Fixed</t>
  </si>
  <si>
    <t>Keybank - Taxable Construction</t>
  </si>
  <si>
    <t>Operation</t>
  </si>
  <si>
    <t>6)</t>
  </si>
  <si>
    <t>Deferred Costs</t>
  </si>
  <si>
    <t>7)</t>
  </si>
  <si>
    <t>8)</t>
  </si>
  <si>
    <t>9)</t>
  </si>
  <si>
    <t>10)</t>
  </si>
  <si>
    <t>11)</t>
  </si>
  <si>
    <t>12)</t>
  </si>
  <si>
    <t>Total Funds For Construction:</t>
  </si>
  <si>
    <t>Lender/Source:</t>
  </si>
  <si>
    <t>1301 5th Avenue, 25th Floor</t>
  </si>
  <si>
    <t>Seattle, WA 98101</t>
  </si>
  <si>
    <t>Contact Name:</t>
  </si>
  <si>
    <t>Caleb Stephens</t>
  </si>
  <si>
    <t>213-425-1553</t>
  </si>
  <si>
    <t>Type of Financing:</t>
  </si>
  <si>
    <t>Tax Exempt Bond</t>
  </si>
  <si>
    <t xml:space="preserve">Recycle Bond </t>
  </si>
  <si>
    <t>Variable Rate Index (if applicable):</t>
  </si>
  <si>
    <t>SOFR</t>
  </si>
  <si>
    <t>Is the Lender/Source Committed?</t>
  </si>
  <si>
    <t>Construction Bridge</t>
  </si>
  <si>
    <t>702 W Idaho</t>
  </si>
  <si>
    <t>Boise, ID 83702</t>
  </si>
  <si>
    <t>208-869-2649</t>
  </si>
  <si>
    <t>Tax Credit Equity</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</si>
  <si>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</si>
  <si>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</si>
  <si>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</si>
  <si>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</si>
  <si>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</si>
  <si>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</si>
  <si>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</si>
  <si>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 - Tax Exempt Perm Loan</t>
  </si>
  <si>
    <t>Required</t>
  </si>
  <si>
    <t>DDF</t>
  </si>
  <si>
    <t>Deferred</t>
  </si>
  <si>
    <t>Residual</t>
  </si>
  <si>
    <t>Total Permanent Financing:</t>
  </si>
  <si>
    <t>Total Tax Credit Equity:</t>
  </si>
  <si>
    <t>Total Sources of Project Funds:</t>
  </si>
  <si>
    <t>Tax-Exempt Bond Mortgage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</si>
  <si>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</si>
  <si>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</si>
  <si>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</si>
  <si>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</si>
  <si>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</si>
  <si>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</si>
  <si>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</si>
  <si>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</si>
  <si>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</si>
  <si>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</si>
  <si>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</si>
  <si>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</si>
  <si>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</si>
  <si>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</si>
  <si>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</si>
  <si>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</si>
  <si>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</si>
  <si>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</si>
  <si>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</si>
  <si>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</si>
  <si>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</si>
  <si>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</si>
  <si>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</si>
  <si>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</si>
  <si>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</si>
  <si>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</si>
  <si>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</si>
  <si>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</si>
  <si>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</si>
  <si>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</si>
  <si>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</si>
  <si>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</si>
  <si>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</si>
  <si>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</si>
  <si>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</si>
  <si>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</si>
  <si>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</si>
  <si>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</si>
  <si>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</si>
  <si>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</si>
  <si>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</si>
  <si>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</si>
  <si>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</si>
  <si>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</si>
  <si>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</si>
  <si>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</si>
  <si>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</si>
  <si>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</si>
  <si>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</si>
  <si>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</si>
  <si>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</si>
  <si>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</si>
  <si>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</si>
  <si>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</si>
  <si>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</si>
  <si>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</si>
  <si>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</si>
  <si>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</si>
  <si>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</si>
  <si>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</si>
  <si>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</si>
  <si>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</si>
  <si>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</si>
  <si>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</si>
  <si>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</si>
  <si>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</si>
  <si>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</si>
  <si>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</si>
  <si>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</si>
  <si>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</si>
  <si>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</si>
  <si>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</si>
  <si>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</si>
  <si>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</si>
  <si>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</si>
  <si>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</si>
  <si>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</si>
  <si>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</si>
  <si>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</si>
  <si>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</si>
  <si>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</si>
  <si>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</si>
  <si>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</si>
  <si>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</si>
  <si>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</si>
  <si>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</si>
  <si>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</si>
  <si>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</si>
  <si>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</si>
  <si>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</si>
  <si>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</si>
  <si>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HUD</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</si>
  <si>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</si>
  <si>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</si>
  <si>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</si>
  <si>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</si>
  <si>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</si>
  <si>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</si>
  <si>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</si>
  <si>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</si>
  <si>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</si>
  <si>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</si>
  <si>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</si>
  <si>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</si>
  <si>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</si>
  <si>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</si>
  <si>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</si>
  <si>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</si>
  <si>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</si>
  <si>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</si>
  <si>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</si>
  <si>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</si>
  <si>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</si>
  <si>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</si>
  <si>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</si>
  <si>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</si>
  <si>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</si>
  <si>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</si>
  <si>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</si>
  <si>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</si>
  <si>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</si>
  <si>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</si>
  <si>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</si>
  <si>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</si>
  <si>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</si>
  <si>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</si>
  <si>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</si>
  <si>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</si>
  <si>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</si>
  <si>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</si>
  <si>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</si>
  <si>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</si>
  <si>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</si>
  <si>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</si>
  <si>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</si>
  <si>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</si>
  <si>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</si>
  <si>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</si>
  <si>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</si>
  <si>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</si>
  <si>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</si>
  <si>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</si>
  <si>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</si>
  <si>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</si>
  <si>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</si>
  <si>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</si>
  <si>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</si>
  <si>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</si>
  <si>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</si>
  <si>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</si>
  <si>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</si>
  <si>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</si>
  <si>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</si>
  <si>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</si>
  <si>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</si>
  <si>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</si>
  <si>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</si>
  <si>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</si>
  <si>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</si>
  <si>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</si>
  <si>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</si>
  <si>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</si>
  <si>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</si>
  <si>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</si>
  <si>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</si>
  <si>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</si>
  <si>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</si>
  <si>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</si>
  <si>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</si>
  <si>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</si>
  <si>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</si>
  <si>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</si>
  <si>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</si>
  <si>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</si>
  <si>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</si>
  <si>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</si>
  <si>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</si>
  <si>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</si>
  <si>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</si>
  <si>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</si>
  <si>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</si>
  <si>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</si>
  <si>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</si>
  <si>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</si>
  <si>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</si>
  <si>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</si>
  <si>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</si>
  <si>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</si>
  <si>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</si>
  <si>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</si>
  <si>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</si>
  <si>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</si>
  <si>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</si>
  <si>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</si>
  <si>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</si>
  <si>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</si>
  <si>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</si>
  <si>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</si>
  <si>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</si>
  <si>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</si>
  <si>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</si>
  <si>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</si>
  <si>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</si>
  <si>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</si>
  <si>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</si>
  <si>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</si>
  <si>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</si>
  <si>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</si>
  <si>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</si>
  <si>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</si>
  <si>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</si>
  <si>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</si>
  <si>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</si>
  <si>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</si>
  <si>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</si>
  <si>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</si>
  <si>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</si>
  <si>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</si>
  <si>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</si>
  <si>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</si>
  <si>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MOHCD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</si>
  <si>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</si>
  <si>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</si>
  <si>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</si>
  <si>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</si>
  <si>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</si>
  <si>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</si>
  <si>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</si>
  <si>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</si>
  <si>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</si>
  <si>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</si>
  <si>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</si>
  <si>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</si>
  <si>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</si>
  <si>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</si>
  <si>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</si>
  <si>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</si>
  <si>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</si>
  <si>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</si>
  <si>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</si>
  <si>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</si>
  <si>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</si>
  <si>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</si>
  <si>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</si>
  <si>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</si>
  <si>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</si>
  <si>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</si>
  <si>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</si>
  <si>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</si>
  <si>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</si>
  <si>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</si>
  <si>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</si>
  <si>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</si>
  <si>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</si>
  <si>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</si>
  <si>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</si>
  <si>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</si>
  <si>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</si>
  <si>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</si>
  <si>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</si>
  <si>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</si>
  <si>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</si>
  <si>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</si>
  <si>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</si>
  <si>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</si>
  <si>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</si>
  <si>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</si>
  <si>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</si>
  <si>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</si>
  <si>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</si>
  <si>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</si>
  <si>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</si>
  <si>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</si>
  <si>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</si>
  <si>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</si>
  <si>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</si>
  <si>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</si>
  <si>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</si>
  <si>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</si>
  <si>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</si>
  <si>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</si>
  <si>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</si>
  <si>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</si>
  <si>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</si>
  <si>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</si>
  <si>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</si>
  <si>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</si>
  <si>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</si>
  <si>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</si>
  <si>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</si>
  <si>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</si>
  <si>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</si>
  <si>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</si>
  <si>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</si>
  <si>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</si>
  <si>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</si>
  <si>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</si>
  <si>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</si>
  <si>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</si>
  <si>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</si>
  <si>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</si>
  <si>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</si>
  <si>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</si>
  <si>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</si>
  <si>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</si>
  <si>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</si>
  <si>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</si>
  <si>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</si>
  <si>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</si>
  <si>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</si>
  <si>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</si>
  <si>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</si>
  <si>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</si>
  <si>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</si>
  <si>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</si>
  <si>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</si>
  <si>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</si>
  <si>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</si>
  <si>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</si>
  <si>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</si>
  <si>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</si>
  <si>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</si>
  <si>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</si>
  <si>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</si>
  <si>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</si>
  <si>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</si>
  <si>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</si>
  <si>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</si>
  <si>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</si>
  <si>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</si>
  <si>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</si>
  <si>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</si>
  <si>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</si>
  <si>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</si>
  <si>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</si>
  <si>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</si>
  <si>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</si>
  <si>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</si>
  <si>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</si>
  <si>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</si>
  <si>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</si>
  <si>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</si>
  <si>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</si>
  <si>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</si>
  <si>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</si>
  <si>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</si>
  <si>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</si>
  <si>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</si>
  <si>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</si>
  <si>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(Specify) Closing Costs</t>
  </si>
  <si>
    <t>Total Construction Interest &amp; Fees</t>
  </si>
  <si>
    <t>Loan Origination Fee</t>
  </si>
  <si>
    <t>Other: (Specify) Other Financing Costs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</si>
  <si>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</si>
  <si>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</si>
  <si>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</si>
  <si>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</si>
  <si>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</si>
  <si>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</si>
  <si>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</si>
  <si>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</si>
  <si>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</si>
  <si>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</si>
  <si>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</si>
  <si>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</si>
  <si>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</si>
  <si>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</si>
  <si>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</si>
  <si>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</si>
  <si>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</si>
  <si>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</si>
  <si>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</si>
  <si>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</si>
  <si>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</si>
  <si>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</si>
  <si>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</si>
  <si>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</si>
  <si>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</si>
  <si>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</si>
  <si>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</si>
  <si>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</si>
  <si>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</si>
  <si>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Inspection</t>
  </si>
  <si>
    <t>Other: (Consulting)</t>
  </si>
  <si>
    <t>Other: (Guarantee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</si>
  <si>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</si>
  <si>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</si>
  <si>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</si>
  <si>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</si>
  <si>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</si>
  <si>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</si>
  <si>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</si>
  <si>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</si>
  <si>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</si>
  <si>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</si>
  <si>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</si>
  <si>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</si>
  <si>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</si>
  <si>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</si>
  <si>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</si>
  <si>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</si>
  <si>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</si>
  <si>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</si>
  <si>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</si>
  <si>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</si>
  <si>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</si>
  <si>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</si>
  <si>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</si>
  <si>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</si>
  <si>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</si>
  <si>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</si>
  <si>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</si>
  <si>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</si>
  <si>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</si>
  <si>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</si>
  <si>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</si>
  <si>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</si>
  <si>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</si>
  <si>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</si>
  <si>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</si>
  <si>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</si>
  <si>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</si>
  <si>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</si>
  <si>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</si>
  <si>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</si>
  <si>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</si>
  <si>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</si>
  <si>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</si>
  <si>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</si>
  <si>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</si>
  <si>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</si>
  <si>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</si>
  <si>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</si>
  <si>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</si>
  <si>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</si>
  <si>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</si>
  <si>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</si>
  <si>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</si>
  <si>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</si>
  <si>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</si>
  <si>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</si>
  <si>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</si>
  <si>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</si>
  <si>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</si>
  <si>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</si>
  <si>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</si>
  <si>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</si>
  <si>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</si>
  <si>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</si>
  <si>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</si>
  <si>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</si>
  <si>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</si>
  <si>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</si>
  <si>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</si>
  <si>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</si>
  <si>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</si>
  <si>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Acquisition/Rehab</t>
  </si>
  <si>
    <t>Construction Type</t>
  </si>
  <si>
    <t>Estimated  Completion Date</t>
  </si>
  <si>
    <t>Acquisition only</t>
  </si>
  <si>
    <t>CalHFA Permanent Loan Amount</t>
  </si>
  <si>
    <t>Estimated Lease Up Start Date</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</si>
  <si>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</si>
  <si>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</si>
  <si>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</si>
  <si>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</si>
  <si>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</si>
  <si>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</si>
  <si>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</si>
  <si>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</si>
  <si>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</si>
  <si>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</si>
  <si>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</si>
  <si>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</si>
  <si>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</si>
  <si>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</si>
  <si>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</si>
  <si>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</si>
  <si>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</si>
  <si>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</si>
  <si>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</si>
  <si>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</si>
  <si>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</si>
  <si>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</si>
  <si>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</si>
  <si>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</si>
  <si>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</si>
  <si>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</si>
  <si>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</si>
  <si>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</si>
  <si>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</si>
  <si>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</si>
  <si>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</si>
  <si>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</si>
  <si>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</si>
  <si>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</si>
  <si>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</si>
  <si>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</si>
  <si>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</si>
  <si>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</si>
  <si>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</si>
  <si>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</si>
  <si>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</si>
  <si>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</si>
  <si>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</si>
  <si>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</si>
  <si>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</si>
  <si>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</si>
  <si>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</si>
  <si>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</si>
  <si>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</si>
  <si>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</si>
  <si>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</si>
  <si>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</si>
  <si>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</si>
  <si>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</si>
  <si>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</si>
  <si>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</si>
  <si>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</si>
  <si>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</si>
  <si>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</si>
  <si>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</si>
  <si>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</si>
  <si>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</si>
  <si>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</si>
  <si>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</si>
  <si>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</si>
  <si>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</si>
  <si>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</si>
  <si>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</si>
  <si>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</si>
  <si>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</si>
  <si>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</si>
  <si>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</si>
  <si>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</si>
  <si>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</si>
  <si>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</si>
  <si>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</si>
  <si>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</si>
  <si>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</si>
  <si>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</si>
  <si>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</si>
  <si>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</si>
  <si>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</si>
  <si>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</si>
  <si>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</si>
  <si>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</si>
  <si>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</si>
  <si>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</si>
  <si>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</si>
  <si>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</si>
  <si>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</si>
  <si>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</si>
  <si>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</si>
  <si>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</si>
  <si>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</si>
  <si>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</si>
  <si>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</si>
  <si>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</si>
  <si>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</si>
  <si>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</si>
  <si>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</si>
  <si>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</si>
  <si>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</si>
  <si>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</si>
  <si>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</si>
  <si>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</si>
  <si>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</si>
  <si>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</si>
  <si>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</si>
  <si>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</si>
  <si>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</si>
  <si>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</si>
  <si>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</si>
  <si>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</si>
  <si>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</si>
  <si>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</si>
  <si>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</si>
  <si>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</si>
  <si>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</si>
  <si>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</si>
  <si>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</si>
  <si>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</si>
  <si>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</si>
  <si>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</si>
  <si>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</si>
  <si>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</si>
  <si>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</si>
  <si>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</si>
  <si>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</si>
  <si>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</si>
  <si>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</si>
  <si>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</si>
  <si>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</si>
  <si>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</si>
  <si>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</si>
  <si>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</si>
  <si>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</si>
  <si>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</si>
  <si>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</si>
  <si>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</si>
  <si>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</si>
  <si>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</si>
  <si>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</si>
  <si>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</si>
  <si>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</si>
  <si>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</si>
  <si>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</si>
  <si>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</si>
  <si>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</si>
  <si>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</si>
  <si>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</si>
  <si>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</si>
  <si>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</si>
  <si>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</si>
  <si>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</si>
  <si>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</si>
  <si>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</si>
  <si>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</si>
  <si>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</si>
  <si>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</si>
  <si>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</si>
  <si>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</si>
  <si>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</si>
  <si>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</si>
  <si>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</si>
  <si>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</si>
  <si>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</si>
  <si>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</si>
  <si>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</si>
  <si>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</si>
  <si>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</si>
  <si>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</si>
  <si>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</si>
  <si>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</si>
  <si>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</si>
  <si>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</si>
  <si>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</si>
  <si>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</si>
  <si>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</si>
  <si>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</si>
  <si>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</si>
  <si>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</si>
  <si>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</si>
  <si>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</si>
  <si>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</si>
  <si>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</si>
  <si>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</si>
  <si>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</si>
  <si>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</si>
  <si>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</si>
  <si>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</si>
  <si>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</si>
  <si>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</si>
  <si>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</si>
  <si>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</si>
  <si>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</si>
  <si>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</si>
  <si>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</si>
  <si>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</si>
  <si>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</si>
  <si>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</si>
  <si>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</si>
  <si>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</si>
  <si>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</si>
  <si>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</si>
  <si>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</si>
  <si>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</si>
  <si>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</si>
  <si>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</si>
  <si>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</si>
  <si>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</si>
  <si>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</si>
  <si>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</si>
  <si>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</si>
  <si>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</si>
  <si>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</si>
  <si>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</si>
  <si>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</si>
  <si>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</si>
  <si>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</si>
  <si>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</si>
  <si>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</si>
  <si>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</si>
  <si>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</si>
  <si>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</si>
  <si>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</si>
  <si>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</si>
  <si>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</si>
  <si>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</si>
  <si>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</si>
  <si>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</si>
  <si>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</si>
  <si>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</si>
  <si>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</si>
  <si>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</si>
  <si>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</si>
  <si>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</si>
  <si>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</si>
  <si>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</si>
  <si>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</si>
  <si>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</si>
  <si>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</si>
  <si>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</si>
  <si>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</si>
  <si>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</si>
  <si>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</si>
  <si>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</si>
  <si>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</si>
  <si>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</si>
  <si>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</si>
  <si>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</si>
  <si>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</si>
  <si>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</si>
  <si>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</si>
  <si>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</si>
  <si>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</si>
  <si>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</si>
  <si>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</si>
  <si>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</si>
  <si>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</si>
  <si>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</si>
  <si>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</si>
  <si>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</si>
  <si>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</si>
  <si>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</si>
  <si>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</si>
  <si>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</si>
  <si>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</si>
  <si>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</si>
  <si>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</si>
  <si>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</si>
  <si>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</si>
  <si>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</si>
  <si>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</si>
  <si>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</si>
  <si>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</si>
  <si>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</si>
  <si>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</si>
  <si>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</si>
  <si>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</si>
  <si>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</si>
  <si>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</si>
  <si>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</si>
  <si>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</si>
  <si>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</si>
  <si>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</si>
  <si>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</si>
  <si>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</si>
  <si>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</si>
  <si>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</si>
  <si>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</si>
  <si>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</si>
  <si>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</si>
  <si>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</si>
  <si>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</si>
  <si>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</si>
  <si>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</si>
  <si>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</si>
  <si>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</si>
  <si>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</si>
  <si>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</si>
  <si>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</si>
  <si>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</si>
  <si>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</si>
  <si>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</si>
  <si>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</si>
  <si>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</si>
  <si>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</si>
  <si>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</si>
  <si>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</si>
  <si>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</si>
  <si>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</si>
  <si>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</si>
  <si>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</si>
  <si>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</si>
  <si>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</si>
  <si>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</si>
  <si>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</si>
  <si>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</si>
  <si>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</si>
  <si>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</si>
  <si>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</si>
  <si>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</si>
  <si>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</si>
  <si>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</si>
  <si>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</si>
  <si>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</si>
  <si>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</si>
  <si>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</si>
  <si>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</si>
  <si>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</si>
  <si>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</si>
  <si>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</si>
  <si>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</si>
  <si>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</si>
  <si>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</si>
  <si>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</si>
  <si>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</si>
  <si>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</si>
  <si>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</si>
  <si>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</si>
  <si>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</si>
  <si>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</si>
  <si>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</si>
  <si>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</si>
  <si>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</si>
  <si>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</si>
  <si>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</si>
  <si>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</si>
  <si>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</si>
  <si>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</si>
  <si>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</si>
  <si>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</si>
  <si>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</si>
  <si>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</si>
  <si>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</si>
  <si>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</si>
  <si>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</si>
  <si>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</si>
  <si>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</si>
  <si>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</si>
  <si>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</si>
  <si>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</si>
  <si>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</si>
  <si>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</si>
  <si>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</si>
  <si>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</si>
  <si>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</si>
  <si>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</si>
  <si>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</si>
  <si>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</si>
  <si>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</si>
  <si>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</si>
  <si>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</si>
  <si>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</si>
  <si>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</si>
  <si>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</si>
  <si>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</si>
  <si>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</si>
  <si>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</si>
  <si>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</si>
  <si>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</si>
  <si>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</si>
  <si>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</si>
  <si>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</si>
  <si>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</si>
  <si>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</si>
  <si>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</si>
  <si>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</si>
  <si>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</si>
  <si>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</si>
  <si>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</si>
  <si>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</si>
  <si>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</si>
  <si>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</si>
  <si>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</si>
  <si>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</si>
  <si>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</si>
  <si>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</si>
  <si>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</si>
  <si>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</si>
  <si>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</si>
  <si>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</si>
  <si>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</si>
  <si>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</si>
  <si>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</si>
  <si>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</si>
  <si>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</si>
  <si>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</si>
  <si>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</si>
  <si>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</si>
  <si>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</si>
  <si>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</si>
  <si>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</si>
  <si>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</si>
  <si>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</si>
  <si>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</si>
  <si>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</si>
  <si>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</si>
  <si>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</si>
  <si>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</si>
  <si>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</si>
  <si>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</si>
  <si>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</si>
  <si>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</si>
  <si>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</si>
  <si>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</si>
  <si>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</si>
  <si>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</si>
  <si>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</si>
  <si>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</si>
  <si>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</si>
  <si>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</si>
  <si>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</si>
  <si>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</si>
  <si>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</si>
  <si>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</si>
  <si>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</si>
  <si>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</si>
  <si>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</si>
  <si>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</si>
  <si>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</si>
  <si>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</si>
  <si>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</si>
  <si>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</si>
  <si>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</si>
  <si>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</si>
  <si>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</si>
  <si>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</si>
  <si>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</si>
  <si>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</si>
  <si>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</si>
  <si>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</si>
  <si>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</si>
  <si>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</si>
  <si>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</si>
  <si>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</si>
  <si>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</si>
  <si>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</si>
  <si>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</si>
  <si>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</si>
  <si>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</si>
  <si>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</si>
  <si>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</si>
  <si>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</si>
  <si>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</si>
  <si>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</si>
  <si>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</si>
  <si>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</si>
  <si>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</si>
  <si>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</si>
  <si>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</si>
  <si>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</si>
  <si>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</si>
  <si>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</si>
  <si>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</si>
  <si>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</si>
  <si>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</si>
  <si>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</si>
  <si>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</si>
  <si>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</si>
  <si>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</si>
  <si>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</si>
  <si>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</si>
  <si>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</si>
  <si>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</si>
  <si>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</si>
  <si>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</si>
  <si>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</si>
  <si>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</si>
  <si>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</si>
  <si>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</si>
  <si>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</si>
  <si>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</si>
  <si>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</si>
  <si>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</si>
  <si>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</si>
  <si>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</si>
  <si>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</si>
  <si>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</si>
  <si>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</si>
  <si>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</si>
  <si>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</si>
  <si>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</si>
  <si>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</si>
  <si>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</si>
  <si>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</si>
  <si>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</si>
  <si>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</si>
  <si>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</si>
  <si>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</si>
  <si>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</si>
  <si>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</si>
  <si>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</si>
  <si>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</si>
  <si>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</si>
  <si>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</si>
  <si>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</si>
  <si>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</si>
  <si>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</si>
  <si>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</si>
  <si>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</si>
  <si>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</si>
  <si>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</si>
  <si>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</si>
  <si>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</si>
  <si>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</si>
  <si>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</si>
  <si>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</si>
  <si>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</si>
  <si>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</si>
  <si>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</si>
  <si>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</si>
  <si>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</si>
  <si>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</si>
  <si>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</si>
  <si>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</si>
  <si>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</si>
  <si>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</si>
  <si>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</si>
  <si>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</si>
  <si>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</si>
  <si>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</si>
  <si>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</si>
  <si>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</si>
  <si>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</si>
  <si>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</si>
  <si>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</si>
  <si>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</si>
  <si>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</si>
  <si>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</si>
  <si>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</si>
  <si>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</si>
  <si>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</si>
  <si>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</si>
  <si>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</si>
  <si>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</si>
  <si>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</si>
  <si>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</si>
  <si>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</si>
  <si>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</si>
  <si>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</si>
  <si>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</si>
  <si>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</si>
  <si>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</si>
  <si>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</si>
  <si>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</si>
  <si>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</si>
  <si>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</si>
  <si>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</si>
  <si>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</si>
  <si>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</si>
  <si>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</si>
  <si>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</si>
  <si>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</si>
  <si>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</si>
  <si>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</si>
  <si>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</si>
  <si>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</si>
  <si>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</si>
  <si>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</si>
  <si>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</si>
  <si>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</si>
  <si>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</si>
  <si>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</si>
  <si>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</si>
  <si>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</si>
  <si>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</si>
  <si>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</si>
  <si>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</si>
  <si>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</si>
  <si>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</si>
  <si>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</si>
  <si>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</si>
  <si>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</si>
  <si>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</si>
  <si>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</si>
  <si>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</si>
  <si>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</si>
  <si>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</si>
  <si>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</si>
  <si>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</si>
  <si>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</si>
  <si>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</si>
  <si>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</si>
  <si>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</si>
  <si>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</si>
  <si>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</si>
  <si>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</si>
  <si>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</si>
  <si>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</si>
  <si>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</si>
  <si>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</si>
  <si>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</si>
  <si>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</si>
  <si>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</si>
  <si>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</si>
  <si>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</si>
  <si>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</si>
  <si>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</si>
  <si>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</si>
  <si>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</si>
  <si>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</si>
  <si>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</si>
  <si>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</si>
  <si>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</si>
  <si>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</si>
  <si>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</si>
  <si>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</si>
  <si>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</si>
  <si>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</si>
  <si>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</si>
  <si>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</si>
  <si>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</si>
  <si>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</si>
  <si>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</si>
  <si>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</si>
  <si>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</si>
  <si>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</si>
  <si>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</si>
  <si>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</si>
  <si>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</si>
  <si>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</si>
  <si>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</si>
  <si>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</si>
  <si>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</si>
  <si>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</si>
  <si>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</si>
  <si>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</si>
  <si>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</si>
  <si>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</si>
  <si>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</si>
  <si>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</si>
  <si>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</si>
  <si>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</si>
  <si>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</si>
  <si>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</si>
  <si>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</si>
  <si>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</si>
  <si>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</si>
  <si>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</si>
  <si>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</si>
  <si>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</si>
  <si>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</si>
  <si>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</si>
  <si>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</si>
  <si>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</si>
  <si>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</si>
  <si>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</si>
  <si>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</si>
  <si>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</si>
  <si>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</si>
  <si>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</si>
  <si>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</si>
  <si>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</si>
  <si>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</si>
  <si>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</si>
  <si>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</si>
  <si>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</si>
  <si>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</si>
  <si>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</si>
  <si>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</si>
  <si>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</si>
  <si>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</si>
  <si>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</si>
  <si>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</si>
  <si>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</si>
  <si>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</si>
  <si>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</si>
  <si>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</si>
  <si>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</si>
  <si>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</si>
  <si>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</si>
  <si>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</si>
  <si>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</si>
  <si>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</si>
  <si>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</si>
  <si>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</si>
  <si>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</si>
  <si>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</si>
  <si>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</si>
  <si>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</si>
  <si>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</si>
  <si>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</si>
  <si>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</si>
  <si>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</si>
  <si>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</si>
  <si>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</si>
  <si>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</si>
  <si>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</si>
  <si>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</si>
  <si>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</si>
  <si>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</si>
  <si>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</si>
  <si>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</si>
  <si>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</si>
  <si>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</si>
  <si>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</si>
  <si>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</si>
  <si>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</si>
  <si>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</si>
  <si>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</si>
  <si>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</si>
  <si>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</si>
  <si>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</si>
  <si>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</si>
  <si>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</si>
  <si>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</si>
  <si>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</si>
  <si>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</si>
  <si>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</si>
  <si>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</si>
  <si>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</si>
  <si>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</si>
  <si>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</si>
  <si>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</si>
  <si>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</si>
  <si>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</si>
  <si>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</si>
  <si>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</si>
  <si>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</si>
  <si>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</si>
  <si>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</si>
  <si>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</si>
  <si>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</si>
  <si>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</si>
  <si>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</si>
  <si>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</si>
  <si>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</si>
  <si>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</si>
  <si>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</si>
  <si>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</si>
  <si>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</si>
  <si>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</si>
  <si>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</si>
  <si>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</si>
  <si>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</si>
  <si>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</si>
  <si>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</si>
  <si>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</si>
  <si>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</si>
  <si>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</si>
  <si>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</si>
  <si>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</si>
  <si>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</si>
  <si>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</si>
  <si>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</si>
  <si>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</si>
  <si>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</si>
  <si>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</si>
  <si>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</si>
  <si>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</si>
  <si>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</si>
  <si>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</si>
  <si>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</si>
  <si>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</si>
  <si>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</si>
  <si>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</si>
  <si>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</si>
  <si>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</si>
  <si>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</si>
  <si>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</si>
  <si>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</si>
  <si>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</si>
  <si>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</si>
  <si>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</si>
  <si>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</si>
  <si>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</si>
  <si>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</si>
  <si>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</si>
  <si>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</si>
  <si>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</si>
  <si>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</si>
  <si>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</si>
  <si>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</si>
  <si>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</si>
  <si>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</si>
  <si>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</si>
  <si>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</si>
  <si>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</si>
  <si>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</si>
  <si>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</si>
  <si>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</si>
  <si>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</si>
  <si>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</si>
  <si>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</si>
  <si>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</si>
  <si>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</si>
  <si>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</si>
  <si>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</si>
  <si>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</si>
  <si>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</si>
  <si>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</si>
  <si>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</si>
  <si>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</si>
  <si>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</si>
  <si>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</si>
  <si>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</si>
  <si>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</si>
  <si>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</si>
  <si>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</si>
  <si>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</si>
  <si>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</si>
  <si>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</si>
  <si>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</si>
  <si>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</si>
  <si>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</si>
  <si>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</si>
  <si>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</si>
  <si>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</si>
  <si>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</si>
  <si>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</si>
  <si>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</si>
  <si>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</si>
  <si>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</si>
  <si>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</si>
  <si>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</si>
  <si>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</si>
  <si>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</si>
  <si>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</si>
  <si>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</si>
  <si>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</si>
  <si>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</si>
  <si>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</si>
  <si>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</si>
  <si>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</si>
  <si>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</si>
  <si>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</si>
  <si>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</si>
  <si>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1596-042</t>
  </si>
  <si>
    <t>479.04</t>
  </si>
  <si>
    <t>Caritas Management Corporation</t>
  </si>
  <si>
    <t>San Francisco, CA 94110</t>
  </si>
  <si>
    <t>1358 Valencia Street</t>
  </si>
  <si>
    <t>Devesh Patel</t>
  </si>
  <si>
    <t>415-647-7191</t>
  </si>
  <si>
    <t>devesh.patel@caritasmanagement.com</t>
  </si>
  <si>
    <t>Keybank - Taxable Bond</t>
  </si>
  <si>
    <t>Keybank - Taxable Perm Loan</t>
  </si>
  <si>
    <t>Taxable Bond Mortgage</t>
  </si>
  <si>
    <t>January</t>
  </si>
  <si>
    <t>President and COO</t>
  </si>
  <si>
    <t>Provided</t>
  </si>
  <si>
    <t>Not Applicable</t>
  </si>
  <si>
    <t>MOHCD - Ground lease attachment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</si>
</sst>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0"/>
      <color rgb="FF000000"/>
      <name val="Calibri"/>
      <family val="2"/>
      <charset val="1"/>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060">
    <xf numFmtId="0" fontId="0" fillId="0" borderId="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80" fillId="36" borderId="18" applyNumberFormat="0" applyAlignment="0" applyProtection="0"/>
    <xf numFmtId="0" fontId="80" fillId="36" borderId="18" applyNumberFormat="0" applyAlignment="0" applyProtection="0"/>
    <xf numFmtId="0" fontId="81" fillId="37" borderId="19"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4" fillId="0" borderId="0" applyFont="0" applyFill="0" applyBorder="0" applyAlignment="0" applyProtection="0"/>
    <xf numFmtId="43" fontId="28" fillId="0" borderId="0" applyFont="0" applyFill="0" applyBorder="0" applyAlignment="0" applyProtection="0"/>
    <xf numFmtId="43" fontId="54" fillId="0" borderId="0" applyFont="0" applyFill="0" applyBorder="0" applyAlignment="0" applyProtection="0"/>
    <xf numFmtId="44" fontId="7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70" fillId="0" borderId="0" applyFont="0" applyFill="0" applyBorder="0" applyAlignment="0" applyProtection="0"/>
    <xf numFmtId="44" fontId="28"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28"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44" fontId="6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28" fillId="0" borderId="0" applyFont="0" applyFill="0" applyBorder="0" applyAlignment="0" applyProtection="0"/>
    <xf numFmtId="44" fontId="6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8" fillId="0" borderId="0" applyFont="0" applyFill="0" applyBorder="0" applyAlignment="0" applyProtection="0"/>
    <xf numFmtId="44" fontId="28" fillId="0" borderId="0" applyFont="0" applyFill="0" applyBorder="0" applyAlignment="0" applyProtection="0"/>
    <xf numFmtId="0" fontId="82" fillId="0" borderId="0" applyNumberFormat="0" applyFill="0" applyBorder="0" applyAlignment="0" applyProtection="0"/>
    <xf numFmtId="0" fontId="83" fillId="38" borderId="0" applyNumberFormat="0" applyBorder="0" applyAlignment="0" applyProtection="0"/>
    <xf numFmtId="0" fontId="84" fillId="0" borderId="20" applyNumberFormat="0" applyFill="0" applyAlignment="0" applyProtection="0"/>
    <xf numFmtId="0" fontId="84" fillId="0" borderId="20"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6" fillId="0" borderId="22" applyNumberFormat="0" applyFill="0" applyAlignment="0" applyProtection="0"/>
    <xf numFmtId="0" fontId="86" fillId="0" borderId="22"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alignment vertical="top"/>
      <protection locked="0"/>
    </xf>
    <xf numFmtId="0" fontId="8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88" fillId="0" borderId="23" applyNumberFormat="0" applyFill="0" applyAlignment="0" applyProtection="0"/>
    <xf numFmtId="0" fontId="89" fillId="40" borderId="0" applyNumberFormat="0" applyBorder="0" applyAlignment="0" applyProtection="0"/>
    <xf numFmtId="0" fontId="90" fillId="0" borderId="0"/>
    <xf numFmtId="0" fontId="54" fillId="0" borderId="0"/>
    <xf numFmtId="0" fontId="90" fillId="0" borderId="0"/>
    <xf numFmtId="0" fontId="54" fillId="0" borderId="0"/>
    <xf numFmtId="0" fontId="54"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4" fillId="0" borderId="0"/>
    <xf numFmtId="169" fontId="55" fillId="0" borderId="0"/>
    <xf numFmtId="0" fontId="77" fillId="0" borderId="0"/>
    <xf numFmtId="0" fontId="28" fillId="0" borderId="0"/>
    <xf numFmtId="0" fontId="28" fillId="0" borderId="0"/>
    <xf numFmtId="0" fontId="60" fillId="0" borderId="0"/>
    <xf numFmtId="0" fontId="54" fillId="0" borderId="0"/>
    <xf numFmtId="0" fontId="60" fillId="0" borderId="0"/>
    <xf numFmtId="0" fontId="54" fillId="0" borderId="0"/>
    <xf numFmtId="0" fontId="65" fillId="0" borderId="0"/>
    <xf numFmtId="0" fontId="54"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4" fillId="0" borderId="0"/>
    <xf numFmtId="0" fontId="77" fillId="0" borderId="0"/>
    <xf numFmtId="0" fontId="77" fillId="0" borderId="0"/>
    <xf numFmtId="0" fontId="77" fillId="0" borderId="0"/>
    <xf numFmtId="0" fontId="77" fillId="0" borderId="0"/>
    <xf numFmtId="0" fontId="65" fillId="0" borderId="0"/>
    <xf numFmtId="0" fontId="54" fillId="0" borderId="0">
      <alignment vertical="top"/>
    </xf>
    <xf numFmtId="0" fontId="77" fillId="0" borderId="0"/>
    <xf numFmtId="0" fontId="77" fillId="0" borderId="0"/>
    <xf numFmtId="0" fontId="77" fillId="0" borderId="0"/>
    <xf numFmtId="0" fontId="77" fillId="0" borderId="0"/>
    <xf numFmtId="0" fontId="65" fillId="0" borderId="0"/>
    <xf numFmtId="0" fontId="28" fillId="0" borderId="0"/>
    <xf numFmtId="0" fontId="77" fillId="0" borderId="0"/>
    <xf numFmtId="0" fontId="28" fillId="0" borderId="0"/>
    <xf numFmtId="0" fontId="77" fillId="0" borderId="0"/>
    <xf numFmtId="0" fontId="77" fillId="0" borderId="0"/>
    <xf numFmtId="0" fontId="77" fillId="0" borderId="0"/>
    <xf numFmtId="0" fontId="77"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77" fillId="0" borderId="0"/>
    <xf numFmtId="0" fontId="60"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54" fillId="0" borderId="0">
      <alignment vertical="top"/>
    </xf>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19" fillId="0" borderId="0" applyProtection="0">
      <protection locked="0"/>
    </xf>
    <xf numFmtId="0" fontId="28" fillId="0" borderId="0" applyProtection="0">
      <protection locked="0"/>
    </xf>
    <xf numFmtId="0" fontId="28" fillId="0" borderId="0" applyProtection="0">
      <protection locked="0"/>
    </xf>
    <xf numFmtId="0" fontId="55" fillId="0" borderId="0"/>
    <xf numFmtId="0" fontId="19" fillId="0" borderId="0"/>
    <xf numFmtId="0" fontId="69"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69"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92" fillId="36" borderId="25" applyNumberFormat="0" applyAlignment="0" applyProtection="0"/>
    <xf numFmtId="0" fontId="92" fillId="36" borderId="25" applyNumberFormat="0" applyAlignment="0" applyProtection="0"/>
    <xf numFmtId="0" fontId="24" fillId="0" borderId="0" applyNumberFormat="0" applyFill="0" applyBorder="0">
      <alignment horizontal="left"/>
    </xf>
    <xf numFmtId="0" fontId="93"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10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10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9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12" fillId="0" borderId="0" applyFont="0" applyFill="0" applyBorder="0" applyAlignment="0" applyProtection="0"/>
    <xf numFmtId="0" fontId="11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3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4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54" fillId="0" borderId="0">
      <alignment vertical="top"/>
    </xf>
    <xf numFmtId="0" fontId="54" fillId="0" borderId="0">
      <alignment vertical="top"/>
    </xf>
    <xf numFmtId="0" fontId="2" fillId="0" borderId="0"/>
    <xf numFmtId="0" fontId="2" fillId="0" borderId="0"/>
    <xf numFmtId="0" fontId="54" fillId="0" borderId="0">
      <alignment vertical="top"/>
    </xf>
    <xf numFmtId="0" fontId="180" fillId="0" borderId="0">
      <alignment vertical="top"/>
    </xf>
    <xf numFmtId="0" fontId="54" fillId="0" borderId="0">
      <alignment vertical="top"/>
    </xf>
    <xf numFmtId="0" fontId="54" fillId="0" borderId="0">
      <alignment vertical="top"/>
    </xf>
    <xf numFmtId="0" fontId="18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6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6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54" fillId="0" borderId="0">
      <alignment vertical="top"/>
    </xf>
    <xf numFmtId="0" fontId="54" fillId="0" borderId="0">
      <alignment vertical="top"/>
    </xf>
    <xf numFmtId="43"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91" fillId="0" borderId="0"/>
    <xf numFmtId="0" fontId="69" fillId="41" borderId="24" applyNumberFormat="0" applyFont="0" applyAlignment="0" applyProtection="0"/>
    <xf numFmtId="0" fontId="6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8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7">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49" fontId="19" fillId="0" borderId="0" xfId="543" applyNumberFormat="1"/>
    <xf numFmtId="0" fontId="19" fillId="0" borderId="8" xfId="543" applyBorder="1"/>
    <xf numFmtId="0" fontId="19" fillId="0" borderId="9" xfId="543" applyBorder="1"/>
    <xf numFmtId="0" fontId="19" fillId="0" borderId="10" xfId="543" applyBorder="1"/>
    <xf numFmtId="0" fontId="19" fillId="0" borderId="1" xfId="543" applyBorder="1"/>
    <xf numFmtId="0" fontId="19" fillId="0" borderId="12" xfId="543" applyBorder="1"/>
    <xf numFmtId="0" fontId="19" fillId="0" borderId="2" xfId="543" applyBorder="1"/>
    <xf numFmtId="0" fontId="19" fillId="0" borderId="7" xfId="543" applyBorder="1"/>
    <xf numFmtId="0" fontId="19" fillId="0" borderId="0" xfId="543" applyAlignment="1">
      <alignment horizontal="center"/>
    </xf>
    <xf numFmtId="0" fontId="27" fillId="0" borderId="6" xfId="543" applyFont="1" applyBorder="1" applyAlignment="1">
      <alignment vertical="top" wrapText="1"/>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3"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19" fillId="0" borderId="0" xfId="0" applyFont="1" applyAlignment="1">
      <alignment horizontal="left"/>
    </xf>
    <xf numFmtId="0" fontId="19" fillId="0" borderId="0" xfId="0" applyFont="1" applyAlignment="1">
      <alignment vertical="top"/>
    </xf>
    <xf numFmtId="0" fontId="42"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44" fillId="0" borderId="0" xfId="0" applyFont="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0" borderId="11" xfId="0" applyFont="1" applyBorder="1" applyAlignment="1">
      <alignment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0" fontId="49" fillId="2" borderId="11" xfId="0" applyFont="1" applyFill="1" applyBorder="1" applyAlignment="1">
      <alignment vertical="top" wrapText="1"/>
    </xf>
    <xf numFmtId="0" fontId="49" fillId="0" borderId="11" xfId="0" applyFont="1" applyBorder="1" applyAlignment="1">
      <alignment vertical="top" wrapText="1"/>
    </xf>
    <xf numFmtId="0" fontId="22" fillId="0" borderId="11" xfId="0" applyFont="1" applyBorder="1" applyAlignment="1">
      <alignment horizontal="right" vertical="top" wrapText="1"/>
    </xf>
    <xf numFmtId="0" fontId="49" fillId="0" borderId="0" xfId="0" applyFont="1" applyAlignment="1">
      <alignment horizontal="left" vertical="top"/>
    </xf>
    <xf numFmtId="0" fontId="51" fillId="0" borderId="0" xfId="0" applyFont="1" applyAlignment="1">
      <alignment vertical="top" wrapText="1"/>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0" fontId="19"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46" fillId="0" borderId="0" xfId="0" applyFont="1" applyAlignment="1">
      <alignment horizontal="center"/>
    </xf>
    <xf numFmtId="0" fontId="48" fillId="0" borderId="3" xfId="0" applyFont="1" applyBorder="1"/>
    <xf numFmtId="168" fontId="0" fillId="0" borderId="0" xfId="0" applyNumberFormat="1" applyAlignment="1">
      <alignment horizontal="center"/>
    </xf>
    <xf numFmtId="0" fontId="49" fillId="0" borderId="4" xfId="0" applyFont="1" applyBorder="1" applyAlignment="1">
      <alignment horizontal="right"/>
    </xf>
    <xf numFmtId="0" fontId="54" fillId="0" borderId="0" xfId="0" applyFont="1"/>
    <xf numFmtId="168" fontId="19" fillId="0" borderId="0" xfId="0" applyNumberFormat="1" applyFont="1" applyAlignment="1">
      <alignment horizontal="left" vertical="top"/>
    </xf>
    <xf numFmtId="0" fontId="51" fillId="0" borderId="0" xfId="0" applyFont="1" applyAlignment="1">
      <alignment horizontal="right" vertical="top" wrapText="1"/>
    </xf>
    <xf numFmtId="0" fontId="51" fillId="0" borderId="14" xfId="0" applyFont="1" applyBorder="1" applyAlignment="1">
      <alignment vertical="top" wrapText="1"/>
    </xf>
    <xf numFmtId="0" fontId="51" fillId="0" borderId="11" xfId="0" applyFont="1" applyBorder="1" applyAlignment="1" applyProtection="1">
      <alignment vertical="top"/>
      <protection locked="0"/>
    </xf>
    <xf numFmtId="0" fontId="26" fillId="0" borderId="0" xfId="542" applyFont="1" applyProtection="1">
      <protection locked="0"/>
    </xf>
    <xf numFmtId="0" fontId="19" fillId="0" borderId="0" xfId="539" applyProtection="1"/>
    <xf numFmtId="0" fontId="26" fillId="0" borderId="0" xfId="543" applyFont="1"/>
    <xf numFmtId="0" fontId="19" fillId="0" borderId="0" xfId="0" applyFont="1" applyProtection="1">
      <protection locked="0"/>
    </xf>
    <xf numFmtId="0" fontId="57"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24" fillId="0" borderId="0" xfId="0" applyFont="1"/>
    <xf numFmtId="0" fontId="59" fillId="0" borderId="0" xfId="0" applyFont="1"/>
    <xf numFmtId="0" fontId="57" fillId="0" borderId="0" xfId="0" applyFont="1"/>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58" fillId="0" borderId="0" xfId="0" applyFont="1"/>
    <xf numFmtId="168" fontId="24" fillId="0" borderId="0" xfId="0" applyNumberFormat="1" applyFont="1"/>
    <xf numFmtId="10" fontId="24" fillId="0" borderId="0" xfId="0" applyNumberFormat="1" applyFont="1" applyAlignment="1">
      <alignment horizontal="center"/>
    </xf>
    <xf numFmtId="3" fontId="61" fillId="0" borderId="0" xfId="0" applyNumberFormat="1" applyFont="1"/>
    <xf numFmtId="3" fontId="24" fillId="0" borderId="0" xfId="0" applyNumberFormat="1" applyFont="1"/>
    <xf numFmtId="168" fontId="58" fillId="0" borderId="0" xfId="0" applyNumberFormat="1" applyFont="1"/>
    <xf numFmtId="168" fontId="58"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3" fontId="28" fillId="0" borderId="0" xfId="0" applyNumberFormat="1" applyFont="1" applyAlignment="1">
      <alignment vertical="top"/>
    </xf>
    <xf numFmtId="10" fontId="26" fillId="0" borderId="0" xfId="0" applyNumberFormat="1" applyFont="1" applyAlignment="1">
      <alignment horizontal="center"/>
    </xf>
    <xf numFmtId="0" fontId="57" fillId="0" borderId="6" xfId="0" applyFont="1" applyBorder="1" applyAlignment="1">
      <alignment horizontal="center"/>
    </xf>
    <xf numFmtId="0" fontId="28" fillId="0" borderId="4" xfId="271" applyBorder="1"/>
    <xf numFmtId="0" fontId="28"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6" fillId="0" borderId="0" xfId="0" applyNumberFormat="1" applyFont="1" applyAlignment="1">
      <alignment horizontal="center"/>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44"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36"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6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indent="1"/>
    </xf>
    <xf numFmtId="0" fontId="67" fillId="0" borderId="0" xfId="0" applyFont="1" applyAlignment="1">
      <alignment horizontal="left" vertical="center"/>
    </xf>
    <xf numFmtId="49" fontId="43" fillId="0" borderId="0" xfId="0" applyNumberFormat="1" applyFont="1" applyAlignment="1">
      <alignment horizontal="center"/>
    </xf>
    <xf numFmtId="0" fontId="48" fillId="0" borderId="0" xfId="0" applyFont="1"/>
    <xf numFmtId="5" fontId="71" fillId="0" borderId="11" xfId="541" applyNumberFormat="1" applyFont="1" applyBorder="1" applyAlignment="1" applyProtection="1">
      <alignment horizontal="center"/>
    </xf>
    <xf numFmtId="5" fontId="71" fillId="42" borderId="11" xfId="541" applyNumberFormat="1" applyFont="1" applyFill="1" applyBorder="1" applyAlignment="1" applyProtection="1">
      <alignment horizontal="center"/>
    </xf>
    <xf numFmtId="5" fontId="71"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3" fillId="0" borderId="13" xfId="0" applyFont="1" applyBorder="1" applyAlignment="1">
      <alignment vertical="top" wrapText="1"/>
    </xf>
    <xf numFmtId="0" fontId="33" fillId="0" borderId="0" xfId="0" applyFont="1" applyAlignment="1">
      <alignment vertical="top" wrapText="1"/>
    </xf>
    <xf numFmtId="0" fontId="73" fillId="2" borderId="13" xfId="0" applyFont="1" applyFill="1" applyBorder="1" applyAlignment="1">
      <alignment vertical="top" wrapText="1"/>
    </xf>
    <xf numFmtId="0" fontId="73" fillId="0" borderId="0" xfId="0" applyFont="1" applyAlignment="1">
      <alignment vertical="top" wrapText="1"/>
    </xf>
    <xf numFmtId="0" fontId="73"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26" fillId="0" borderId="0" xfId="0" applyFont="1" applyAlignment="1">
      <alignment horizontal="left" vertical="top" wrapText="1"/>
    </xf>
    <xf numFmtId="0" fontId="57"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97" fillId="0" borderId="0" xfId="0" applyFont="1" applyAlignment="1">
      <alignment horizontal="left" vertical="top"/>
    </xf>
    <xf numFmtId="0" fontId="98" fillId="0" borderId="0" xfId="0" applyFont="1" applyAlignment="1">
      <alignment horizontal="left" vertical="top"/>
    </xf>
    <xf numFmtId="0" fontId="6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56" fillId="8" borderId="11" xfId="542" applyFont="1" applyFill="1" applyBorder="1" applyAlignment="1">
      <alignment horizontal="left"/>
    </xf>
    <xf numFmtId="0" fontId="56"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22"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98"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26" fillId="0" borderId="0" xfId="569" applyFont="1" applyAlignment="1">
      <alignment horizontal="left" vertical="top"/>
    </xf>
    <xf numFmtId="0" fontId="101" fillId="0" borderId="0" xfId="569" applyFont="1" applyAlignment="1">
      <alignment horizontal="left" vertical="top"/>
    </xf>
    <xf numFmtId="0" fontId="57"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48" fillId="0" borderId="0" xfId="569" applyFont="1" applyAlignment="1">
      <alignment horizontal="right" vertical="top" wrapText="1"/>
    </xf>
    <xf numFmtId="0" fontId="26" fillId="0" borderId="0" xfId="569" applyFont="1" applyAlignment="1">
      <alignment horizontal="left" vertical="top" wrapText="1"/>
    </xf>
    <xf numFmtId="168" fontId="48"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73" fillId="0" borderId="0" xfId="569" applyFont="1" applyAlignment="1">
      <alignment vertical="top" wrapText="1"/>
    </xf>
    <xf numFmtId="0" fontId="73" fillId="0" borderId="12" xfId="569" applyFont="1" applyBorder="1" applyAlignment="1">
      <alignment vertical="top" wrapText="1"/>
    </xf>
    <xf numFmtId="0" fontId="73" fillId="0" borderId="8" xfId="569" applyFont="1" applyBorder="1" applyAlignment="1">
      <alignment vertical="top" wrapText="1"/>
    </xf>
    <xf numFmtId="0" fontId="33" fillId="0" borderId="0" xfId="569" applyFont="1" applyAlignment="1">
      <alignment horizontal="right" vertical="top" wrapText="1"/>
    </xf>
    <xf numFmtId="0" fontId="73"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38"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9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58" fillId="0" borderId="0" xfId="271" applyFont="1" applyAlignment="1">
      <alignment horizontal="left"/>
    </xf>
    <xf numFmtId="0" fontId="58" fillId="0" borderId="0" xfId="271" applyFont="1" applyAlignment="1">
      <alignment horizontal="right"/>
    </xf>
    <xf numFmtId="168" fontId="24" fillId="0" borderId="11" xfId="271" applyNumberFormat="1" applyFont="1" applyBorder="1"/>
    <xf numFmtId="168" fontId="24" fillId="0" borderId="0" xfId="271" applyNumberFormat="1" applyFont="1"/>
    <xf numFmtId="0" fontId="48" fillId="0" borderId="0" xfId="569" applyFont="1" applyAlignment="1">
      <alignment horizontal="left"/>
    </xf>
    <xf numFmtId="0" fontId="19" fillId="0" borderId="3" xfId="569" applyBorder="1"/>
    <xf numFmtId="0" fontId="100" fillId="0" borderId="0" xfId="1834"/>
    <xf numFmtId="0" fontId="0" fillId="0" borderId="0" xfId="0" applyAlignment="1">
      <alignment horizontal="left" vertical="top"/>
    </xf>
    <xf numFmtId="0" fontId="99" fillId="0" borderId="0" xfId="0" applyFont="1" applyAlignment="1">
      <alignment vertical="top" wrapText="1"/>
    </xf>
    <xf numFmtId="0" fontId="48"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2" fillId="0" borderId="0" xfId="1192" applyFont="1"/>
    <xf numFmtId="0" fontId="48" fillId="0" borderId="11" xfId="0" applyFont="1" applyBorder="1" applyAlignment="1">
      <alignment horizontal="right" vertical="center"/>
    </xf>
    <xf numFmtId="0" fontId="19"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49" fillId="0" borderId="0" xfId="569" applyNumberFormat="1" applyFont="1" applyAlignment="1">
      <alignment horizontal="right" vertical="top"/>
    </xf>
    <xf numFmtId="0" fontId="19" fillId="0" borderId="0" xfId="0" applyFont="1" applyAlignment="1">
      <alignment vertical="top" wrapText="1"/>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46"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46"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44" fillId="0" borderId="0" xfId="569" applyFont="1" applyAlignment="1">
      <alignment horizontal="left"/>
    </xf>
    <xf numFmtId="4" fontId="46"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3" fillId="0" borderId="0" xfId="569" applyFont="1" applyAlignment="1">
      <alignment horizontal="left"/>
    </xf>
    <xf numFmtId="0" fontId="20"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0" fontId="19" fillId="0" borderId="11" xfId="271" applyFont="1" applyBorder="1" applyAlignment="1">
      <alignment horizontal="right" vertical="top" wrapText="1"/>
    </xf>
    <xf numFmtId="0" fontId="27" fillId="0" borderId="0" xfId="569" applyFont="1" applyAlignment="1">
      <alignment horizontal="left"/>
    </xf>
    <xf numFmtId="0" fontId="97" fillId="0" borderId="0" xfId="0" applyFont="1"/>
    <xf numFmtId="0" fontId="108" fillId="0" borderId="0" xfId="0" applyFont="1" applyAlignment="1">
      <alignment horizontal="left" vertical="top"/>
    </xf>
    <xf numFmtId="0" fontId="109" fillId="0" borderId="0" xfId="0" applyFont="1" applyAlignment="1">
      <alignment horizontal="left" vertical="top"/>
    </xf>
    <xf numFmtId="168" fontId="27"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9" fillId="0" borderId="0" xfId="271" applyFont="1" applyAlignment="1">
      <alignment horizontal="left" vertical="top"/>
    </xf>
    <xf numFmtId="0" fontId="48"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53" fillId="0" borderId="0" xfId="569" applyFont="1"/>
    <xf numFmtId="0" fontId="38" fillId="0" borderId="0" xfId="569" applyFont="1"/>
    <xf numFmtId="0" fontId="19" fillId="0" borderId="0" xfId="1192" applyAlignment="1">
      <alignment vertical="top" wrapText="1"/>
    </xf>
    <xf numFmtId="49" fontId="19" fillId="0" borderId="0" xfId="1192" applyNumberFormat="1" applyAlignment="1">
      <alignment vertical="top" wrapText="1"/>
    </xf>
    <xf numFmtId="0" fontId="50" fillId="0" borderId="9" xfId="543" applyFont="1" applyBorder="1" applyAlignment="1">
      <alignment vertical="top"/>
    </xf>
    <xf numFmtId="0" fontId="19" fillId="0" borderId="0" xfId="0" applyFont="1" applyAlignment="1">
      <alignment vertical="center"/>
    </xf>
    <xf numFmtId="0" fontId="110" fillId="0" borderId="0" xfId="0" applyFont="1"/>
    <xf numFmtId="3" fontId="97" fillId="0" borderId="0" xfId="0" applyNumberFormat="1" applyFont="1"/>
    <xf numFmtId="0" fontId="97" fillId="0" borderId="0" xfId="0" applyFont="1" applyAlignment="1">
      <alignment horizontal="left"/>
    </xf>
    <xf numFmtId="168" fontId="111" fillId="0" borderId="0" xfId="0" applyNumberFormat="1" applyFont="1" applyAlignment="1">
      <alignment horizontal="left" vertical="top"/>
    </xf>
    <xf numFmtId="0" fontId="97" fillId="0" borderId="0" xfId="0" applyFont="1" applyAlignment="1">
      <alignment horizontal="left" vertical="center"/>
    </xf>
    <xf numFmtId="0" fontId="11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3"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14" fillId="0" borderId="0" xfId="4496" applyFont="1" applyAlignment="1">
      <alignment horizontal="left" vertical="top" wrapText="1"/>
    </xf>
    <xf numFmtId="0" fontId="114" fillId="0" borderId="54" xfId="4496" applyFont="1" applyBorder="1" applyAlignment="1">
      <alignment horizontal="left" vertical="top" wrapText="1"/>
    </xf>
    <xf numFmtId="0" fontId="19" fillId="0" borderId="0" xfId="4495" applyFont="1" applyAlignment="1">
      <alignment horizontal="left" vertical="center"/>
    </xf>
    <xf numFmtId="0" fontId="115" fillId="0" borderId="0" xfId="4496" applyFont="1" applyAlignment="1">
      <alignment vertical="center"/>
    </xf>
    <xf numFmtId="0" fontId="114" fillId="0" borderId="0" xfId="4496" applyFont="1"/>
    <xf numFmtId="0" fontId="114" fillId="0" borderId="0" xfId="4496" applyFont="1" applyAlignment="1">
      <alignment vertical="center"/>
    </xf>
    <xf numFmtId="0" fontId="11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1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1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14" fillId="0" borderId="53" xfId="4496" applyFont="1" applyBorder="1" applyAlignment="1">
      <alignment vertical="top" wrapText="1"/>
    </xf>
    <xf numFmtId="0" fontId="114" fillId="0" borderId="0" xfId="4496" applyFont="1" applyAlignment="1">
      <alignment vertical="top" wrapText="1"/>
    </xf>
    <xf numFmtId="10" fontId="114" fillId="0" borderId="0" xfId="4496" applyNumberFormat="1" applyFont="1" applyAlignment="1">
      <alignment vertical="top" wrapText="1"/>
    </xf>
    <xf numFmtId="0" fontId="114" fillId="0" borderId="54" xfId="4496" applyFont="1" applyBorder="1" applyAlignment="1">
      <alignment vertical="top" wrapText="1"/>
    </xf>
    <xf numFmtId="0" fontId="114" fillId="0" borderId="0" xfId="4496" applyFont="1" applyAlignment="1">
      <alignment vertical="top"/>
    </xf>
    <xf numFmtId="165" fontId="11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14" fillId="0" borderId="53" xfId="4496" applyFont="1" applyBorder="1" applyAlignment="1">
      <alignment horizontal="left" vertical="top" wrapText="1"/>
    </xf>
    <xf numFmtId="0" fontId="11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48"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48"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1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1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54"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54"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1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1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3" fillId="0" borderId="0" xfId="4495" applyFont="1"/>
    <xf numFmtId="0" fontId="27" fillId="0" borderId="3" xfId="4495" applyFont="1" applyBorder="1" applyAlignment="1">
      <alignment horizontal="center"/>
    </xf>
    <xf numFmtId="0" fontId="112" fillId="0" borderId="8" xfId="4495" applyBorder="1"/>
    <xf numFmtId="0" fontId="26" fillId="0" borderId="8" xfId="4495" applyFont="1" applyBorder="1" applyAlignment="1">
      <alignment vertical="top"/>
    </xf>
    <xf numFmtId="0" fontId="112" fillId="0" borderId="0" xfId="4495" applyAlignment="1">
      <alignment vertical="top"/>
    </xf>
    <xf numFmtId="0" fontId="26" fillId="0" borderId="4" xfId="4495" applyFont="1" applyBorder="1" applyAlignment="1">
      <alignment horizontal="center" vertical="top"/>
    </xf>
    <xf numFmtId="0" fontId="117" fillId="0" borderId="0" xfId="4495" applyFont="1" applyAlignment="1">
      <alignment horizontal="left" vertical="top"/>
    </xf>
    <xf numFmtId="0" fontId="11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21" fillId="0" borderId="0" xfId="4495" applyFont="1" applyAlignment="1">
      <alignment vertical="top" wrapText="1"/>
    </xf>
    <xf numFmtId="0" fontId="12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12" fillId="0" borderId="12" xfId="4495" applyBorder="1"/>
    <xf numFmtId="0" fontId="27" fillId="0" borderId="9" xfId="4495" applyFont="1" applyBorder="1"/>
    <xf numFmtId="0" fontId="112" fillId="0" borderId="10" xfId="4495" applyBorder="1"/>
    <xf numFmtId="0" fontId="35" fillId="0" borderId="3" xfId="4495" applyFont="1" applyBorder="1"/>
    <xf numFmtId="0" fontId="26" fillId="0" borderId="4" xfId="4495" applyFont="1" applyBorder="1"/>
    <xf numFmtId="0" fontId="112" fillId="0" borderId="12" xfId="4495" applyBorder="1" applyAlignment="1">
      <alignment vertical="top"/>
    </xf>
    <xf numFmtId="0" fontId="35" fillId="0" borderId="1" xfId="4495" applyFont="1" applyBorder="1"/>
    <xf numFmtId="0" fontId="121" fillId="0" borderId="2" xfId="4495" applyFont="1" applyBorder="1" applyAlignment="1">
      <alignment horizontal="left" wrapText="1"/>
    </xf>
    <xf numFmtId="0" fontId="121" fillId="0" borderId="2" xfId="4495" applyFont="1" applyBorder="1" applyAlignment="1">
      <alignment horizontal="left"/>
    </xf>
    <xf numFmtId="0" fontId="121" fillId="0" borderId="7" xfId="4495" applyFont="1" applyBorder="1" applyAlignment="1">
      <alignment horizontal="left" wrapText="1"/>
    </xf>
    <xf numFmtId="0" fontId="121" fillId="0" borderId="0" xfId="4495" applyFont="1" applyAlignment="1">
      <alignment horizontal="left" wrapText="1"/>
    </xf>
    <xf numFmtId="0" fontId="35" fillId="0" borderId="9" xfId="4495" applyFont="1" applyBorder="1"/>
    <xf numFmtId="0" fontId="27" fillId="0" borderId="10" xfId="4495" applyFont="1" applyBorder="1"/>
    <xf numFmtId="0" fontId="12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1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12" fillId="0" borderId="61" xfId="4495" applyBorder="1"/>
    <xf numFmtId="0" fontId="11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1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1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20" fillId="0" borderId="0" xfId="4495" applyFont="1"/>
    <xf numFmtId="0" fontId="11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1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48" fillId="0" borderId="0" xfId="4495" applyFont="1" applyAlignment="1">
      <alignment horizontal="left" vertical="top"/>
    </xf>
    <xf numFmtId="0" fontId="27"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99" fillId="0" borderId="0" xfId="4495" applyFont="1"/>
    <xf numFmtId="0" fontId="48"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48" fillId="0" borderId="51" xfId="4495" applyFont="1" applyBorder="1" applyAlignment="1">
      <alignment horizontal="left" vertical="top"/>
    </xf>
    <xf numFmtId="0" fontId="112" fillId="0" borderId="53" xfId="4495" applyBorder="1"/>
    <xf numFmtId="0" fontId="9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1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57" fillId="0" borderId="0" xfId="4495" applyNumberFormat="1" applyFont="1" applyAlignment="1">
      <alignment horizontal="center" vertical="center"/>
    </xf>
    <xf numFmtId="0" fontId="19" fillId="0" borderId="12" xfId="4495" applyFont="1" applyBorder="1" applyAlignment="1">
      <alignment vertical="top"/>
    </xf>
    <xf numFmtId="0" fontId="43"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3"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3" fillId="0" borderId="0" xfId="1192" applyFont="1"/>
    <xf numFmtId="168" fontId="19" fillId="0" borderId="0" xfId="4495" applyNumberFormat="1" applyFont="1"/>
    <xf numFmtId="0" fontId="26" fillId="0" borderId="0" xfId="1192" applyFont="1" applyAlignment="1">
      <alignment vertical="center"/>
    </xf>
    <xf numFmtId="0" fontId="110" fillId="0" borderId="0" xfId="1192" applyFont="1" applyAlignment="1">
      <alignment horizontal="left"/>
    </xf>
    <xf numFmtId="0" fontId="107" fillId="0" borderId="0" xfId="1192" applyFont="1" applyAlignment="1">
      <alignment horizontal="left"/>
    </xf>
    <xf numFmtId="0" fontId="10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49" fillId="0" borderId="4" xfId="4495" applyFont="1" applyBorder="1"/>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14" fillId="0" borderId="0" xfId="4496" applyNumberFormat="1" applyFont="1" applyAlignment="1">
      <alignment horizontal="center" vertical="top" wrapText="1"/>
    </xf>
    <xf numFmtId="168" fontId="114" fillId="0" borderId="0" xfId="4496" applyNumberFormat="1" applyFont="1" applyAlignment="1">
      <alignment vertical="top" wrapText="1"/>
    </xf>
    <xf numFmtId="165" fontId="114" fillId="0" borderId="64" xfId="4496" applyNumberFormat="1" applyFont="1" applyBorder="1" applyAlignment="1">
      <alignment horizontal="center" vertical="top" wrapText="1"/>
    </xf>
    <xf numFmtId="165" fontId="114" fillId="0" borderId="53" xfId="4496" applyNumberFormat="1" applyFont="1" applyBorder="1" applyAlignment="1">
      <alignment horizontal="left" vertical="top"/>
    </xf>
    <xf numFmtId="165" fontId="114" fillId="0" borderId="53" xfId="4496" applyNumberFormat="1" applyFont="1" applyBorder="1" applyAlignment="1">
      <alignment horizontal="center" vertical="top" wrapText="1"/>
    </xf>
    <xf numFmtId="168" fontId="114" fillId="0" borderId="0" xfId="4496" applyNumberFormat="1" applyFont="1" applyAlignment="1">
      <alignment vertical="top"/>
    </xf>
    <xf numFmtId="1" fontId="11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2" fillId="0" borderId="50" xfId="1192" applyFont="1" applyBorder="1" applyAlignment="1">
      <alignment horizontal="left"/>
    </xf>
    <xf numFmtId="0" fontId="133" fillId="0" borderId="51" xfId="4495" applyFont="1" applyBorder="1" applyAlignment="1">
      <alignment vertical="top"/>
    </xf>
    <xf numFmtId="0" fontId="132" fillId="0" borderId="51" xfId="4495" applyFont="1" applyBorder="1" applyAlignment="1">
      <alignment vertical="top" wrapText="1"/>
    </xf>
    <xf numFmtId="0" fontId="133" fillId="0" borderId="51" xfId="4495" applyFont="1" applyBorder="1"/>
    <xf numFmtId="0" fontId="133" fillId="0" borderId="53" xfId="1192" applyFont="1" applyBorder="1" applyAlignment="1">
      <alignment horizontal="left"/>
    </xf>
    <xf numFmtId="0" fontId="133" fillId="0" borderId="0" xfId="4495" applyFont="1" applyAlignment="1">
      <alignment vertical="top"/>
    </xf>
    <xf numFmtId="0" fontId="132" fillId="0" borderId="0" xfId="4495" applyFont="1" applyAlignment="1">
      <alignment vertical="top" wrapText="1"/>
    </xf>
    <xf numFmtId="0" fontId="133" fillId="0" borderId="0" xfId="4495" applyFont="1"/>
    <xf numFmtId="0" fontId="132" fillId="0" borderId="53" xfId="1192" applyFont="1" applyBorder="1" applyAlignment="1">
      <alignment horizontal="left"/>
    </xf>
    <xf numFmtId="0" fontId="132" fillId="0" borderId="57" xfId="1192" applyFont="1" applyBorder="1" applyAlignment="1">
      <alignment horizontal="left"/>
    </xf>
    <xf numFmtId="0" fontId="133" fillId="0" borderId="58" xfId="4495" applyFont="1" applyBorder="1" applyAlignment="1">
      <alignment vertical="top"/>
    </xf>
    <xf numFmtId="0" fontId="132" fillId="0" borderId="58" xfId="4495" applyFont="1" applyBorder="1" applyAlignment="1">
      <alignment vertical="top" wrapText="1"/>
    </xf>
    <xf numFmtId="0" fontId="133" fillId="0" borderId="58" xfId="4495" applyFont="1" applyBorder="1"/>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45"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19" fillId="0" borderId="12" xfId="543" quotePrefix="1" applyBorder="1"/>
    <xf numFmtId="0" fontId="48"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3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3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1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44" fillId="0" borderId="0" xfId="4496" applyFont="1"/>
    <xf numFmtId="168" fontId="48"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46"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3"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3" fillId="0" borderId="0" xfId="1192" applyFont="1" applyAlignment="1">
      <alignment horizontal="left"/>
    </xf>
    <xf numFmtId="0" fontId="46"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14" fillId="0" borderId="0" xfId="4496" applyNumberFormat="1" applyFont="1" applyAlignment="1">
      <alignment horizontal="center" vertical="top" wrapText="1"/>
    </xf>
    <xf numFmtId="10" fontId="114" fillId="0" borderId="64" xfId="4496" applyNumberFormat="1" applyFont="1" applyBorder="1" applyAlignment="1">
      <alignment horizontal="center" vertical="top" wrapText="1"/>
    </xf>
    <xf numFmtId="10" fontId="11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14" fillId="0" borderId="0" xfId="4495" applyFont="1"/>
    <xf numFmtId="10" fontId="114" fillId="0" borderId="0" xfId="4495" applyNumberFormat="1" applyFont="1"/>
    <xf numFmtId="172" fontId="19" fillId="0" borderId="0" xfId="4495" applyNumberFormat="1" applyFont="1"/>
    <xf numFmtId="0" fontId="0" fillId="0" borderId="10" xfId="0" applyBorder="1" applyAlignment="1">
      <alignment horizontal="left"/>
    </xf>
    <xf numFmtId="1" fontId="19" fillId="0" borderId="0" xfId="1192" applyNumberFormat="1" applyAlignment="1">
      <alignment horizontal="center"/>
    </xf>
    <xf numFmtId="0" fontId="112" fillId="0" borderId="63" xfId="4495" applyBorder="1"/>
    <xf numFmtId="0" fontId="48"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4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175" fontId="19" fillId="0" borderId="0" xfId="543" applyNumberFormat="1" applyAlignment="1">
      <alignment vertical="center"/>
    </xf>
    <xf numFmtId="0" fontId="90" fillId="43" borderId="6" xfId="4496" applyFont="1" applyFill="1" applyBorder="1" applyAlignment="1" applyProtection="1">
      <alignment horizontal="center"/>
      <protection locked="0"/>
    </xf>
    <xf numFmtId="0" fontId="90" fillId="0" borderId="0" xfId="4496" applyFont="1"/>
    <xf numFmtId="0" fontId="90" fillId="0" borderId="0" xfId="4496" applyFont="1" applyAlignment="1">
      <alignment wrapText="1"/>
    </xf>
    <xf numFmtId="0" fontId="128" fillId="0" borderId="0" xfId="4496" applyFont="1"/>
    <xf numFmtId="181" fontId="129" fillId="0" borderId="0" xfId="4498" applyNumberFormat="1" applyFont="1" applyBorder="1" applyProtection="1"/>
    <xf numFmtId="0" fontId="130" fillId="0" borderId="0" xfId="4496" applyFont="1" applyAlignment="1">
      <alignment vertical="center" wrapText="1"/>
    </xf>
    <xf numFmtId="49" fontId="90" fillId="0" borderId="0" xfId="4496" applyNumberFormat="1" applyFont="1" applyAlignment="1">
      <alignment horizontal="center"/>
    </xf>
    <xf numFmtId="182" fontId="90" fillId="0" borderId="6" xfId="4496" applyNumberFormat="1" applyFont="1" applyBorder="1"/>
    <xf numFmtId="0" fontId="90" fillId="0" borderId="0" xfId="4496" applyFont="1" applyAlignment="1">
      <alignment vertical="center"/>
    </xf>
    <xf numFmtId="182" fontId="90" fillId="0" borderId="0" xfId="4496" applyNumberFormat="1" applyFont="1" applyAlignment="1">
      <alignment vertical="center"/>
    </xf>
    <xf numFmtId="175" fontId="90" fillId="0" borderId="0" xfId="4499" applyNumberFormat="1" applyFont="1" applyFill="1" applyBorder="1" applyAlignment="1" applyProtection="1">
      <alignment horizontal="left" vertical="center"/>
    </xf>
    <xf numFmtId="9" fontId="90" fillId="0" borderId="0" xfId="4499" applyFont="1" applyFill="1" applyBorder="1" applyAlignment="1" applyProtection="1">
      <alignment vertical="center"/>
    </xf>
    <xf numFmtId="183" fontId="90" fillId="0" borderId="0" xfId="4496" applyNumberFormat="1" applyFont="1" applyAlignment="1">
      <alignment vertical="center" wrapText="1"/>
    </xf>
    <xf numFmtId="9" fontId="90" fillId="0" borderId="0" xfId="4499" applyFont="1" applyBorder="1" applyAlignment="1" applyProtection="1">
      <alignment vertical="center"/>
    </xf>
    <xf numFmtId="164" fontId="90" fillId="0" borderId="0" xfId="4496" applyNumberFormat="1" applyFont="1" applyAlignment="1">
      <alignment vertical="center" wrapText="1"/>
    </xf>
    <xf numFmtId="0" fontId="90" fillId="0" borderId="0" xfId="4496" applyFont="1" applyAlignment="1">
      <alignment horizontal="center" vertical="center"/>
    </xf>
    <xf numFmtId="182" fontId="90" fillId="0" borderId="11" xfId="8721" applyNumberFormat="1" applyFont="1" applyBorder="1" applyProtection="1"/>
    <xf numFmtId="182" fontId="90" fillId="0" borderId="11" xfId="4496" applyNumberFormat="1" applyFont="1" applyBorder="1"/>
    <xf numFmtId="164" fontId="90" fillId="0" borderId="0" xfId="4496" applyNumberFormat="1" applyFont="1" applyAlignment="1">
      <alignment wrapText="1"/>
    </xf>
    <xf numFmtId="49" fontId="90" fillId="0" borderId="0" xfId="4496" applyNumberFormat="1" applyFont="1" applyAlignment="1">
      <alignment horizontal="left"/>
    </xf>
    <xf numFmtId="0" fontId="131" fillId="0" borderId="0" xfId="4496" applyFont="1"/>
    <xf numFmtId="9" fontId="90" fillId="0" borderId="11" xfId="4494" applyFont="1" applyFill="1" applyBorder="1" applyAlignment="1" applyProtection="1">
      <alignment horizontal="right"/>
    </xf>
    <xf numFmtId="1" fontId="90" fillId="0" borderId="0" xfId="4496" applyNumberFormat="1" applyFont="1"/>
    <xf numFmtId="0" fontId="128" fillId="45" borderId="3" xfId="4496" applyFont="1" applyFill="1" applyBorder="1" applyAlignment="1">
      <alignment horizontal="left" indent="1"/>
    </xf>
    <xf numFmtId="0" fontId="90" fillId="45" borderId="4" xfId="4496" applyFont="1" applyFill="1" applyBorder="1"/>
    <xf numFmtId="2" fontId="90" fillId="45" borderId="5" xfId="4496" applyNumberFormat="1" applyFont="1" applyFill="1" applyBorder="1"/>
    <xf numFmtId="181" fontId="90" fillId="0" borderId="0" xfId="4496" applyNumberFormat="1" applyFont="1"/>
    <xf numFmtId="165" fontId="129" fillId="0" borderId="0" xfId="4499" applyNumberFormat="1" applyFont="1" applyFill="1" applyBorder="1" applyProtection="1"/>
    <xf numFmtId="9" fontId="90" fillId="0" borderId="0" xfId="4494" applyFont="1" applyFill="1" applyProtection="1"/>
    <xf numFmtId="0" fontId="90" fillId="0" borderId="11" xfId="4496" applyFont="1" applyBorder="1" applyAlignment="1">
      <alignment horizontal="center"/>
    </xf>
    <xf numFmtId="2" fontId="90" fillId="0" borderId="11" xfId="4496" applyNumberFormat="1" applyFont="1" applyBorder="1" applyAlignment="1">
      <alignment horizontal="center"/>
    </xf>
    <xf numFmtId="0" fontId="90" fillId="0" borderId="0" xfId="4496" applyFont="1" applyAlignment="1">
      <alignment vertical="top" wrapText="1"/>
    </xf>
    <xf numFmtId="0" fontId="90" fillId="0" borderId="11" xfId="4496" applyFont="1" applyBorder="1" applyAlignment="1">
      <alignment horizontal="center" vertical="top" wrapText="1"/>
    </xf>
    <xf numFmtId="182" fontId="90" fillId="0" borderId="0" xfId="8721" applyNumberFormat="1" applyFont="1" applyBorder="1" applyProtection="1"/>
    <xf numFmtId="0" fontId="90" fillId="0" borderId="0" xfId="4496" applyFont="1" applyAlignment="1">
      <alignment horizontal="left" indent="1"/>
    </xf>
    <xf numFmtId="182" fontId="90" fillId="0" borderId="0" xfId="4496" applyNumberFormat="1" applyFont="1"/>
    <xf numFmtId="184" fontId="90" fillId="0" borderId="0" xfId="4496" applyNumberFormat="1" applyFont="1"/>
    <xf numFmtId="0" fontId="90" fillId="0" borderId="0" xfId="4496" applyFont="1" applyAlignment="1">
      <alignment horizontal="left"/>
    </xf>
    <xf numFmtId="0" fontId="9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90" fillId="0" borderId="0" xfId="4496" applyFont="1" applyAlignment="1">
      <alignment horizontal="right"/>
    </xf>
    <xf numFmtId="0" fontId="90" fillId="0" borderId="15" xfId="4496" applyFont="1" applyBorder="1" applyAlignment="1">
      <alignment horizontal="center" vertical="top" wrapText="1"/>
    </xf>
    <xf numFmtId="2" fontId="90" fillId="0" borderId="15" xfId="4496" applyNumberFormat="1" applyFont="1" applyBorder="1" applyAlignment="1">
      <alignment horizontal="center"/>
    </xf>
    <xf numFmtId="0" fontId="90" fillId="0" borderId="15" xfId="4496" applyFont="1" applyBorder="1" applyAlignment="1">
      <alignment horizontal="center"/>
    </xf>
    <xf numFmtId="0" fontId="128" fillId="0" borderId="68" xfId="4496" applyFont="1" applyBorder="1" applyAlignment="1">
      <alignment horizontal="center" vertical="top" wrapText="1"/>
    </xf>
    <xf numFmtId="0" fontId="128" fillId="0" borderId="68" xfId="4496" applyFont="1" applyBorder="1" applyAlignment="1">
      <alignment horizontal="center"/>
    </xf>
    <xf numFmtId="0" fontId="142" fillId="0" borderId="0" xfId="4496" applyFont="1" applyAlignment="1">
      <alignment horizontal="right" vertical="center"/>
    </xf>
    <xf numFmtId="175" fontId="90" fillId="0" borderId="0" xfId="4499" applyNumberFormat="1" applyFont="1" applyFill="1" applyBorder="1" applyAlignment="1" applyProtection="1">
      <alignment horizontal="right" vertical="center"/>
    </xf>
    <xf numFmtId="0" fontId="90" fillId="0" borderId="66" xfId="4496" applyFont="1" applyBorder="1" applyAlignment="1">
      <alignment vertical="center"/>
    </xf>
    <xf numFmtId="0" fontId="90" fillId="0" borderId="41" xfId="4496" applyFont="1" applyBorder="1" applyAlignment="1">
      <alignment vertical="center"/>
    </xf>
    <xf numFmtId="182" fontId="90" fillId="0" borderId="73" xfId="4496" applyNumberFormat="1" applyFont="1" applyBorder="1" applyAlignment="1">
      <alignment vertical="center"/>
    </xf>
    <xf numFmtId="175" fontId="90" fillId="0" borderId="42" xfId="4499" applyNumberFormat="1" applyFont="1" applyFill="1" applyBorder="1" applyAlignment="1" applyProtection="1">
      <alignment horizontal="left" vertical="center"/>
    </xf>
    <xf numFmtId="0" fontId="90" fillId="0" borderId="42" xfId="4496" applyFont="1" applyBorder="1" applyAlignment="1">
      <alignment vertical="center"/>
    </xf>
    <xf numFmtId="0" fontId="90" fillId="0" borderId="44" xfId="4496" applyFont="1" applyBorder="1" applyAlignment="1">
      <alignment vertical="center"/>
    </xf>
    <xf numFmtId="49" fontId="90" fillId="0" borderId="0" xfId="4496" applyNumberFormat="1" applyFont="1" applyAlignment="1">
      <alignment horizontal="center" vertical="center"/>
    </xf>
    <xf numFmtId="0" fontId="90" fillId="0" borderId="65" xfId="4496" applyFont="1" applyBorder="1" applyAlignment="1">
      <alignment vertical="center"/>
    </xf>
    <xf numFmtId="0" fontId="90" fillId="0" borderId="29" xfId="4496" applyFont="1" applyBorder="1" applyAlignment="1">
      <alignment vertical="center"/>
    </xf>
    <xf numFmtId="0" fontId="90" fillId="0" borderId="29" xfId="4496" applyFont="1" applyBorder="1" applyAlignment="1">
      <alignment horizontal="right" vertical="center"/>
    </xf>
    <xf numFmtId="5" fontId="90" fillId="0" borderId="29" xfId="4496" applyNumberFormat="1" applyFont="1" applyBorder="1" applyAlignment="1">
      <alignment vertical="center"/>
    </xf>
    <xf numFmtId="0" fontId="90" fillId="0" borderId="31" xfId="4496" applyFont="1" applyBorder="1" applyAlignment="1">
      <alignment vertical="center"/>
    </xf>
    <xf numFmtId="175" fontId="128" fillId="0" borderId="42" xfId="4494" applyNumberFormat="1" applyFont="1" applyFill="1" applyBorder="1" applyAlignment="1" applyProtection="1">
      <alignment horizontal="center" vertical="center"/>
    </xf>
    <xf numFmtId="0" fontId="128" fillId="0" borderId="29" xfId="4496" applyFont="1" applyBorder="1" applyAlignment="1">
      <alignment vertical="center"/>
    </xf>
    <xf numFmtId="0" fontId="128" fillId="0" borderId="0" xfId="4496" applyFont="1" applyAlignment="1">
      <alignment vertical="center"/>
    </xf>
    <xf numFmtId="0" fontId="128" fillId="0" borderId="42" xfId="4496" applyFont="1" applyBorder="1" applyAlignment="1">
      <alignment vertical="center"/>
    </xf>
    <xf numFmtId="9" fontId="128" fillId="0" borderId="42" xfId="4499" applyFont="1" applyFill="1" applyBorder="1" applyAlignment="1" applyProtection="1">
      <alignment vertical="center"/>
    </xf>
    <xf numFmtId="182" fontId="128" fillId="0" borderId="68" xfId="8721" applyNumberFormat="1" applyFont="1" applyBorder="1" applyProtection="1"/>
    <xf numFmtId="182" fontId="128" fillId="0" borderId="68" xfId="4496" applyNumberFormat="1" applyFont="1" applyBorder="1"/>
    <xf numFmtId="0" fontId="142" fillId="0" borderId="0" xfId="4496" applyFont="1" applyAlignment="1">
      <alignment horizontal="right"/>
    </xf>
    <xf numFmtId="0" fontId="90" fillId="0" borderId="0" xfId="4496" applyFont="1" applyAlignment="1">
      <alignment horizontal="right" vertical="top" wrapText="1" indent="1"/>
    </xf>
    <xf numFmtId="182" fontId="90" fillId="0" borderId="6" xfId="8721" applyNumberFormat="1" applyFont="1" applyBorder="1" applyAlignment="1" applyProtection="1">
      <alignment horizontal="center"/>
    </xf>
    <xf numFmtId="0" fontId="90" fillId="0" borderId="0" xfId="4496" applyFont="1" applyAlignment="1">
      <alignment horizontal="right" indent="1"/>
    </xf>
    <xf numFmtId="0" fontId="90" fillId="0" borderId="0" xfId="4496" applyFont="1" applyAlignment="1">
      <alignment horizontal="right" vertical="top"/>
    </xf>
    <xf numFmtId="0" fontId="128" fillId="0" borderId="0" xfId="4496" applyFont="1" applyAlignment="1">
      <alignment horizontal="right"/>
    </xf>
    <xf numFmtId="182" fontId="128" fillId="0" borderId="0" xfId="8721" applyNumberFormat="1" applyFont="1" applyBorder="1" applyAlignment="1" applyProtection="1">
      <alignment horizontal="center"/>
    </xf>
    <xf numFmtId="10" fontId="90" fillId="0" borderId="0" xfId="4494" applyNumberFormat="1" applyFont="1" applyBorder="1" applyAlignment="1" applyProtection="1">
      <alignment horizontal="center"/>
    </xf>
    <xf numFmtId="184" fontId="90" fillId="0" borderId="6" xfId="4496" applyNumberFormat="1" applyFont="1" applyBorder="1"/>
    <xf numFmtId="0" fontId="128" fillId="0" borderId="0" xfId="4496" applyFont="1" applyAlignment="1">
      <alignment horizontal="right" vertical="top"/>
    </xf>
    <xf numFmtId="182" fontId="128" fillId="0" borderId="0" xfId="4496" applyNumberFormat="1" applyFont="1"/>
    <xf numFmtId="182" fontId="90" fillId="0" borderId="6" xfId="8721" applyNumberFormat="1" applyFont="1" applyBorder="1" applyProtection="1"/>
    <xf numFmtId="184" fontId="90" fillId="0" borderId="0" xfId="4496" applyNumberFormat="1" applyFont="1" applyAlignment="1">
      <alignment horizontal="center"/>
    </xf>
    <xf numFmtId="0" fontId="90" fillId="0" borderId="6" xfId="4496" applyFont="1" applyBorder="1" applyAlignment="1">
      <alignment horizontal="right" vertical="top" wrapText="1" indent="1"/>
    </xf>
    <xf numFmtId="0" fontId="90" fillId="0" borderId="67" xfId="4496" applyFont="1" applyBorder="1" applyAlignment="1">
      <alignment horizontal="right" indent="1"/>
    </xf>
    <xf numFmtId="0" fontId="90" fillId="0" borderId="72" xfId="4496" applyFont="1" applyBorder="1" applyAlignment="1">
      <alignment horizontal="right" indent="1"/>
    </xf>
    <xf numFmtId="0" fontId="90" fillId="0" borderId="72" xfId="4496" quotePrefix="1" applyFont="1" applyBorder="1" applyAlignment="1">
      <alignment horizontal="right" indent="1"/>
    </xf>
    <xf numFmtId="0" fontId="90" fillId="0" borderId="69" xfId="4496" applyFont="1" applyBorder="1" applyAlignment="1">
      <alignment horizontal="right" indent="1"/>
    </xf>
    <xf numFmtId="182" fontId="90" fillId="0" borderId="71" xfId="4496" applyNumberFormat="1" applyFont="1" applyBorder="1"/>
    <xf numFmtId="182" fontId="90" fillId="0" borderId="76" xfId="4496" applyNumberFormat="1" applyFont="1" applyBorder="1"/>
    <xf numFmtId="182" fontId="90" fillId="0" borderId="77" xfId="4496" applyNumberFormat="1" applyFont="1" applyBorder="1"/>
    <xf numFmtId="175" fontId="26" fillId="0" borderId="0" xfId="543" applyNumberFormat="1" applyFont="1" applyAlignment="1">
      <alignment vertical="center"/>
    </xf>
    <xf numFmtId="10" fontId="128" fillId="0" borderId="0" xfId="4494" applyNumberFormat="1" applyFont="1" applyProtection="1"/>
    <xf numFmtId="0" fontId="26" fillId="0" borderId="0" xfId="1192" applyFont="1" applyAlignment="1">
      <alignment horizontal="left" indent="1"/>
    </xf>
    <xf numFmtId="168" fontId="90" fillId="0" borderId="11" xfId="4499" applyNumberFormat="1" applyFont="1" applyFill="1" applyBorder="1" applyAlignment="1" applyProtection="1">
      <alignment horizontal="left" vertical="center" indent="1"/>
    </xf>
    <xf numFmtId="168" fontId="128" fillId="0" borderId="68" xfId="4499" applyNumberFormat="1" applyFont="1" applyFill="1" applyBorder="1" applyAlignment="1" applyProtection="1">
      <alignment horizontal="left" vertical="center" indent="1"/>
    </xf>
    <xf numFmtId="182" fontId="90" fillId="0" borderId="13" xfId="4496" applyNumberFormat="1" applyFont="1" applyBorder="1"/>
    <xf numFmtId="182" fontId="90" fillId="0" borderId="70" xfId="4496" applyNumberFormat="1" applyFont="1" applyBorder="1"/>
    <xf numFmtId="0" fontId="37" fillId="0" borderId="0" xfId="4495" applyFont="1" applyAlignment="1">
      <alignment vertical="center"/>
    </xf>
    <xf numFmtId="0" fontId="114" fillId="0" borderId="0" xfId="4496" applyFont="1" applyAlignment="1">
      <alignment vertical="center" wrapText="1"/>
    </xf>
    <xf numFmtId="0" fontId="24" fillId="43" borderId="0" xfId="1192" applyFont="1" applyFill="1"/>
    <xf numFmtId="0" fontId="144" fillId="0" borderId="0" xfId="0" applyFont="1"/>
    <xf numFmtId="0" fontId="24" fillId="0" borderId="11" xfId="253" applyFont="1" applyBorder="1" applyAlignment="1" applyProtection="1">
      <alignment horizontal="center" wrapText="1"/>
      <protection locked="0"/>
    </xf>
    <xf numFmtId="0" fontId="145" fillId="0" borderId="0" xfId="0" applyFont="1"/>
    <xf numFmtId="0" fontId="146" fillId="0" borderId="0" xfId="0" applyFont="1" applyAlignment="1">
      <alignment horizontal="center"/>
    </xf>
    <xf numFmtId="0" fontId="48" fillId="5" borderId="11" xfId="0" applyFont="1" applyFill="1" applyBorder="1" applyAlignment="1" applyProtection="1">
      <alignment horizontal="right" vertical="top" wrapText="1"/>
      <protection locked="0"/>
    </xf>
    <xf numFmtId="0" fontId="19" fillId="43" borderId="3" xfId="569" applyFill="1" applyBorder="1"/>
    <xf numFmtId="0" fontId="14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90" fillId="43" borderId="6" xfId="4496" applyFont="1" applyFill="1" applyBorder="1" applyProtection="1">
      <protection locked="0"/>
    </xf>
    <xf numFmtId="1" fontId="90" fillId="0" borderId="0" xfId="4496" applyNumberFormat="1" applyFont="1" applyProtection="1">
      <protection locked="0"/>
    </xf>
    <xf numFmtId="182" fontId="154" fillId="0" borderId="11" xfId="4496" applyNumberFormat="1" applyFont="1" applyBorder="1"/>
    <xf numFmtId="44" fontId="90" fillId="0" borderId="0" xfId="4496" applyNumberFormat="1" applyFont="1"/>
    <xf numFmtId="182" fontId="24" fillId="0" borderId="11" xfId="4496" applyNumberFormat="1" applyFont="1" applyBorder="1"/>
    <xf numFmtId="9" fontId="90" fillId="0" borderId="0" xfId="4494" applyFont="1"/>
    <xf numFmtId="182" fontId="90" fillId="43" borderId="6" xfId="8721" applyNumberFormat="1" applyFont="1" applyFill="1" applyBorder="1" applyProtection="1">
      <protection locked="0"/>
    </xf>
    <xf numFmtId="0" fontId="19" fillId="0" borderId="0" xfId="4495" applyFont="1" applyAlignment="1">
      <alignment wrapText="1"/>
    </xf>
    <xf numFmtId="168" fontId="166" fillId="48" borderId="79" xfId="700" applyNumberFormat="1" applyFont="1" applyFill="1" applyBorder="1" applyAlignment="1" applyProtection="1">
      <protection locked="0"/>
    </xf>
    <xf numFmtId="3" fontId="41" fillId="10" borderId="0" xfId="543" applyNumberFormat="1" applyFont="1" applyFill="1" applyAlignment="1">
      <alignment vertical="center" wrapText="1"/>
    </xf>
    <xf numFmtId="0" fontId="173" fillId="0" borderId="0" xfId="543" applyFont="1" applyAlignment="1">
      <alignment horizontal="left" vertical="center"/>
    </xf>
    <xf numFmtId="0" fontId="174" fillId="0" borderId="0" xfId="543" applyFont="1" applyAlignment="1">
      <alignment horizontal="right" vertical="top" wrapText="1"/>
    </xf>
    <xf numFmtId="168" fontId="174" fillId="0" borderId="0" xfId="543" applyNumberFormat="1" applyFont="1" applyAlignment="1">
      <alignment horizontal="center" vertical="center"/>
    </xf>
    <xf numFmtId="0" fontId="175" fillId="0" borderId="0" xfId="543" applyFont="1" applyAlignment="1">
      <alignment horizontal="left" vertical="center"/>
    </xf>
    <xf numFmtId="0" fontId="175" fillId="0" borderId="0" xfId="543" applyFont="1" applyAlignment="1">
      <alignment horizontal="right" vertical="top" wrapText="1"/>
    </xf>
    <xf numFmtId="168" fontId="174" fillId="0" borderId="104" xfId="543" applyNumberFormat="1" applyFont="1" applyBorder="1" applyAlignment="1">
      <alignment horizontal="center" vertical="center"/>
    </xf>
    <xf numFmtId="0" fontId="17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4" fillId="52" borderId="113" xfId="0" applyFont="1" applyFill="1" applyBorder="1"/>
    <xf numFmtId="0" fontId="11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60" fillId="0" borderId="0" xfId="698" applyNumberFormat="1" applyFont="1"/>
    <xf numFmtId="0" fontId="177" fillId="0" borderId="0" xfId="0" applyFont="1" applyAlignment="1">
      <alignment horizontal="center"/>
    </xf>
    <xf numFmtId="0" fontId="19" fillId="0" borderId="0" xfId="569" quotePrefix="1"/>
    <xf numFmtId="168" fontId="147" fillId="0" borderId="0" xfId="0" applyNumberFormat="1" applyFont="1" applyAlignment="1">
      <alignment vertical="center" wrapText="1"/>
    </xf>
    <xf numFmtId="168" fontId="17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14" fillId="0" borderId="58" xfId="4496" applyFont="1" applyBorder="1" applyAlignment="1">
      <alignment vertical="center"/>
    </xf>
    <xf numFmtId="0" fontId="26" fillId="0" borderId="5" xfId="4495" applyFont="1" applyBorder="1"/>
    <xf numFmtId="182" fontId="90" fillId="0" borderId="6" xfId="4496" applyNumberFormat="1" applyFont="1" applyBorder="1" applyAlignment="1">
      <alignment vertical="center"/>
    </xf>
    <xf numFmtId="1" fontId="90" fillId="0" borderId="0" xfId="4496" applyNumberFormat="1" applyFont="1" applyAlignment="1">
      <alignment horizontal="right" vertical="top" wrapText="1" indent="1"/>
    </xf>
    <xf numFmtId="3" fontId="90" fillId="43" borderId="6" xfId="4496" applyNumberFormat="1" applyFont="1" applyFill="1" applyBorder="1" applyAlignment="1" applyProtection="1">
      <alignment horizontal="center"/>
      <protection locked="0"/>
    </xf>
    <xf numFmtId="0" fontId="3" fillId="0" borderId="0" xfId="8736"/>
    <xf numFmtId="0" fontId="160" fillId="0" borderId="0" xfId="8736" applyFont="1"/>
    <xf numFmtId="0" fontId="95" fillId="0" borderId="0" xfId="8736" applyFont="1"/>
    <xf numFmtId="0" fontId="3" fillId="47" borderId="66" xfId="8736" applyFill="1" applyBorder="1"/>
    <xf numFmtId="0" fontId="3" fillId="47" borderId="0" xfId="8736" applyFill="1"/>
    <xf numFmtId="0" fontId="94" fillId="47" borderId="0" xfId="8736" applyFont="1" applyFill="1"/>
    <xf numFmtId="0" fontId="94" fillId="47" borderId="41" xfId="8736" applyFont="1" applyFill="1" applyBorder="1" applyAlignment="1">
      <alignment horizontal="center"/>
    </xf>
    <xf numFmtId="182" fontId="165" fillId="47" borderId="0" xfId="8737" applyNumberFormat="1" applyFont="1" applyFill="1" applyBorder="1" applyAlignment="1"/>
    <xf numFmtId="0" fontId="3" fillId="47" borderId="41" xfId="8736" applyFill="1" applyBorder="1"/>
    <xf numFmtId="0" fontId="95" fillId="47" borderId="0" xfId="8736" applyFont="1" applyFill="1"/>
    <xf numFmtId="0" fontId="169" fillId="47" borderId="0" xfId="8736" applyFont="1" applyFill="1"/>
    <xf numFmtId="0" fontId="94" fillId="47" borderId="41" xfId="8736" applyFont="1" applyFill="1" applyBorder="1"/>
    <xf numFmtId="0" fontId="94" fillId="0" borderId="0" xfId="8736" applyFont="1"/>
    <xf numFmtId="0" fontId="157" fillId="0" borderId="0" xfId="8736" applyFont="1"/>
    <xf numFmtId="0" fontId="94" fillId="54" borderId="100" xfId="8736" applyFont="1" applyFill="1" applyBorder="1"/>
    <xf numFmtId="0" fontId="3" fillId="53" borderId="99" xfId="8736" applyFill="1" applyBorder="1"/>
    <xf numFmtId="0" fontId="3" fillId="52" borderId="99" xfId="8736" applyFill="1" applyBorder="1"/>
    <xf numFmtId="0" fontId="9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94" fillId="45" borderId="0" xfId="8736" applyFont="1" applyFill="1"/>
    <xf numFmtId="0" fontId="94" fillId="45" borderId="12" xfId="8736" applyFont="1" applyFill="1" applyBorder="1"/>
    <xf numFmtId="0" fontId="94" fillId="45" borderId="29" xfId="8736" applyFont="1" applyFill="1" applyBorder="1"/>
    <xf numFmtId="0" fontId="94" fillId="45" borderId="80" xfId="8736" applyFont="1" applyFill="1" applyBorder="1"/>
    <xf numFmtId="0" fontId="94" fillId="45" borderId="79" xfId="8736" applyFont="1" applyFill="1" applyBorder="1"/>
    <xf numFmtId="0" fontId="94" fillId="45" borderId="78" xfId="8736" applyFont="1" applyFill="1" applyBorder="1"/>
    <xf numFmtId="0" fontId="94" fillId="45" borderId="93" xfId="8736" applyFont="1" applyFill="1" applyBorder="1"/>
    <xf numFmtId="0" fontId="94" fillId="45" borderId="6" xfId="8736" applyFont="1" applyFill="1" applyBorder="1"/>
    <xf numFmtId="0" fontId="94" fillId="45" borderId="10" xfId="8736" applyFont="1" applyFill="1" applyBorder="1"/>
    <xf numFmtId="0" fontId="160" fillId="44" borderId="0" xfId="8736" applyFont="1" applyFill="1"/>
    <xf numFmtId="10" fontId="160" fillId="44" borderId="0" xfId="1022" applyNumberFormat="1" applyFont="1" applyFill="1"/>
    <xf numFmtId="0" fontId="3" fillId="45" borderId="29" xfId="8736" applyFill="1" applyBorder="1"/>
    <xf numFmtId="0" fontId="3" fillId="45" borderId="31" xfId="8736" applyFill="1" applyBorder="1"/>
    <xf numFmtId="0" fontId="94" fillId="45" borderId="92" xfId="8736" applyFont="1" applyFill="1" applyBorder="1"/>
    <xf numFmtId="0" fontId="94" fillId="45" borderId="74" xfId="8736" applyFont="1" applyFill="1" applyBorder="1"/>
    <xf numFmtId="0" fontId="171" fillId="47" borderId="0" xfId="8736" applyFont="1" applyFill="1"/>
    <xf numFmtId="0" fontId="94" fillId="45" borderId="31" xfId="8736" applyFont="1" applyFill="1" applyBorder="1"/>
    <xf numFmtId="0" fontId="3" fillId="47" borderId="0" xfId="8736" applyFill="1" applyAlignment="1">
      <alignment horizontal="left"/>
    </xf>
    <xf numFmtId="0" fontId="163" fillId="51" borderId="11" xfId="8736" applyFont="1" applyFill="1" applyBorder="1"/>
    <xf numFmtId="0" fontId="163" fillId="51" borderId="76" xfId="8736" applyFont="1" applyFill="1" applyBorder="1"/>
    <xf numFmtId="0" fontId="164" fillId="51" borderId="11" xfId="8736" applyFont="1" applyFill="1" applyBorder="1" applyAlignment="1">
      <alignment horizontal="center"/>
    </xf>
    <xf numFmtId="0" fontId="16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94" fillId="47" borderId="66" xfId="8736" applyFont="1" applyFill="1" applyBorder="1"/>
    <xf numFmtId="49" fontId="9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55" fillId="0" borderId="0" xfId="8736" applyFont="1"/>
    <xf numFmtId="3" fontId="90" fillId="43" borderId="6" xfId="1192" applyNumberFormat="1" applyFont="1" applyFill="1" applyBorder="1"/>
    <xf numFmtId="3" fontId="90" fillId="0" borderId="0" xfId="0" applyNumberFormat="1" applyFont="1"/>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9" fillId="0" borderId="4" xfId="0" applyFont="1" applyBorder="1"/>
    <xf numFmtId="0" fontId="41" fillId="0" borderId="0" xfId="0" applyFont="1"/>
    <xf numFmtId="0" fontId="19" fillId="8" borderId="0" xfId="542" quotePrefix="1" applyFont="1" applyFill="1" applyAlignment="1">
      <alignment horizontal="left"/>
    </xf>
    <xf numFmtId="0" fontId="26" fillId="8" borderId="0" xfId="539" applyFont="1" applyFill="1" applyAlignment="1" applyProtection="1">
      <alignment horizontal="centerContinuous"/>
    </xf>
    <xf numFmtId="0" fontId="19" fillId="8" borderId="0" xfId="542" applyFont="1" applyFill="1"/>
    <xf numFmtId="168" fontId="26" fillId="0" borderId="6" xfId="543" applyNumberFormat="1" applyFont="1" applyBorder="1" applyAlignment="1">
      <alignment horizontal="left"/>
    </xf>
    <xf numFmtId="168" fontId="26" fillId="0" borderId="6" xfId="543" applyNumberFormat="1" applyFont="1" applyBorder="1" applyAlignment="1">
      <alignment horizontal="center"/>
    </xf>
    <xf numFmtId="0" fontId="43" fillId="0" borderId="0" xfId="244" applyFont="1" applyFill="1" applyBorder="1" applyAlignment="1" applyProtection="1">
      <alignment horizontal="left"/>
    </xf>
    <xf numFmtId="0" fontId="19" fillId="0" borderId="0" xfId="0" applyFont="1" applyAlignment="1">
      <alignment horizontal="left" indent="4"/>
    </xf>
    <xf numFmtId="0" fontId="19" fillId="9" borderId="6" xfId="0" applyFont="1" applyFill="1" applyBorder="1"/>
    <xf numFmtId="166" fontId="19" fillId="0" borderId="0" xfId="0" applyNumberFormat="1" applyFont="1" applyAlignment="1">
      <alignment horizontal="left"/>
    </xf>
    <xf numFmtId="166" fontId="19" fillId="0" borderId="0" xfId="0" applyNumberFormat="1" applyFont="1"/>
    <xf numFmtId="168" fontId="19" fillId="0" borderId="0" xfId="0" applyNumberFormat="1" applyFont="1" applyAlignment="1">
      <alignment horizontal="right"/>
    </xf>
    <xf numFmtId="168" fontId="19" fillId="0" borderId="3" xfId="0" applyNumberFormat="1" applyFont="1" applyBorder="1" applyAlignment="1">
      <alignment vertical="top"/>
    </xf>
    <xf numFmtId="168" fontId="19" fillId="0" borderId="4" xfId="0" applyNumberFormat="1" applyFont="1" applyBorder="1" applyAlignment="1">
      <alignment vertical="top"/>
    </xf>
    <xf numFmtId="168" fontId="19" fillId="0" borderId="5" xfId="0" applyNumberFormat="1" applyFont="1" applyBorder="1" applyAlignment="1">
      <alignment vertical="top"/>
    </xf>
    <xf numFmtId="168" fontId="19" fillId="0" borderId="8" xfId="0" applyNumberFormat="1" applyFont="1" applyBorder="1" applyAlignment="1">
      <alignment vertical="top"/>
    </xf>
    <xf numFmtId="168" fontId="19" fillId="0" borderId="0" xfId="0" applyNumberFormat="1" applyFont="1" applyAlignment="1">
      <alignment vertical="top"/>
    </xf>
    <xf numFmtId="0" fontId="19" fillId="0" borderId="0" xfId="0" applyFont="1" applyAlignment="1">
      <alignment horizontal="right" vertical="top"/>
    </xf>
    <xf numFmtId="0" fontId="19" fillId="0" borderId="12" xfId="0" applyFont="1" applyBorder="1" applyAlignment="1">
      <alignment horizontal="right" vertical="top"/>
    </xf>
    <xf numFmtId="0" fontId="19" fillId="5" borderId="4" xfId="0" applyFont="1" applyFill="1" applyBorder="1" applyAlignment="1" applyProtection="1">
      <alignment horizontal="left" vertical="top"/>
      <protection locked="0"/>
    </xf>
    <xf numFmtId="0" fontId="19" fillId="5" borderId="5" xfId="0" applyFont="1" applyFill="1" applyBorder="1" applyAlignment="1" applyProtection="1">
      <alignment horizontal="left" vertical="top"/>
      <protection locked="0"/>
    </xf>
    <xf numFmtId="5" fontId="19" fillId="0" borderId="0" xfId="542" applyNumberFormat="1" applyFont="1"/>
    <xf numFmtId="0" fontId="19" fillId="0" borderId="11" xfId="0" applyFont="1" applyBorder="1" applyAlignment="1">
      <alignment horizontal="left"/>
    </xf>
    <xf numFmtId="0" fontId="19" fillId="0" borderId="7" xfId="0" applyFont="1" applyBorder="1"/>
    <xf numFmtId="0" fontId="19" fillId="0" borderId="12" xfId="0" applyFont="1" applyBorder="1"/>
    <xf numFmtId="0" fontId="19" fillId="0" borderId="10" xfId="0" applyFont="1" applyBorder="1"/>
    <xf numFmtId="0" fontId="29" fillId="0" borderId="0" xfId="543" applyFont="1"/>
    <xf numFmtId="0" fontId="19" fillId="0" borderId="1" xfId="0" applyFont="1" applyBorder="1"/>
    <xf numFmtId="0" fontId="37" fillId="0" borderId="7" xfId="543" applyFont="1" applyBorder="1"/>
    <xf numFmtId="0" fontId="26" fillId="0" borderId="12" xfId="543" applyFont="1" applyBorder="1" applyAlignment="1">
      <alignment horizontal="center" vertical="top"/>
    </xf>
    <xf numFmtId="0" fontId="27" fillId="0" borderId="8" xfId="543" applyFont="1" applyBorder="1" applyAlignment="1">
      <alignment horizontal="left" vertical="top" wrapText="1"/>
    </xf>
    <xf numFmtId="0" fontId="27" fillId="0" borderId="12" xfId="543" applyFont="1" applyBorder="1" applyAlignment="1">
      <alignment horizontal="center" vertical="top" wrapText="1"/>
    </xf>
    <xf numFmtId="0" fontId="27" fillId="0" borderId="1" xfId="543" applyFont="1" applyBorder="1" applyAlignment="1">
      <alignment horizontal="left" vertical="top" wrapText="1"/>
    </xf>
    <xf numFmtId="0" fontId="27" fillId="0" borderId="2" xfId="543" applyFont="1" applyBorder="1" applyAlignment="1">
      <alignment horizontal="center" vertical="top" wrapText="1"/>
    </xf>
    <xf numFmtId="0" fontId="27" fillId="0" borderId="0" xfId="543" applyFont="1" applyAlignment="1">
      <alignment horizontal="center" vertical="top" wrapText="1"/>
    </xf>
    <xf numFmtId="0" fontId="27" fillId="0" borderId="9" xfId="543" applyFont="1" applyBorder="1" applyAlignment="1">
      <alignment horizontal="left" vertical="top" wrapText="1"/>
    </xf>
    <xf numFmtId="0" fontId="27" fillId="0" borderId="6" xfId="543" applyFont="1" applyBorder="1" applyAlignment="1">
      <alignment horizontal="center" vertical="top" wrapText="1"/>
    </xf>
    <xf numFmtId="0" fontId="26" fillId="0" borderId="0" xfId="543" applyFont="1" applyAlignment="1">
      <alignment horizontal="center"/>
    </xf>
    <xf numFmtId="0" fontId="35" fillId="0" borderId="9" xfId="543" applyFont="1" applyBorder="1" applyAlignment="1">
      <alignment horizontal="left" vertical="top" wrapText="1"/>
    </xf>
    <xf numFmtId="0" fontId="19" fillId="0" borderId="15" xfId="0" applyFont="1" applyBorder="1"/>
    <xf numFmtId="0" fontId="35" fillId="0" borderId="8" xfId="543" applyFont="1" applyBorder="1" applyAlignment="1">
      <alignment horizontal="left" vertical="top" wrapText="1"/>
    </xf>
    <xf numFmtId="0" fontId="35" fillId="0" borderId="0" xfId="543" applyFont="1" applyAlignment="1">
      <alignment horizontal="center" vertical="top" wrapText="1"/>
    </xf>
    <xf numFmtId="2" fontId="19" fillId="0" borderId="11" xfId="0" applyNumberFormat="1" applyFont="1" applyBorder="1"/>
    <xf numFmtId="0" fontId="27" fillId="0" borderId="0" xfId="543" applyFont="1" applyAlignment="1">
      <alignment horizontal="center"/>
    </xf>
    <xf numFmtId="0" fontId="35" fillId="0" borderId="4" xfId="543" applyFont="1" applyBorder="1" applyAlignment="1">
      <alignment horizontal="right" vertical="top" wrapText="1"/>
    </xf>
    <xf numFmtId="0" fontId="35" fillId="0" borderId="0" xfId="543" applyFont="1" applyAlignment="1">
      <alignment horizontal="right" vertical="top" wrapText="1"/>
    </xf>
    <xf numFmtId="0" fontId="26" fillId="0" borderId="0" xfId="543" applyFont="1" applyAlignment="1">
      <alignment horizontal="right" vertical="top" wrapText="1"/>
    </xf>
    <xf numFmtId="0" fontId="26" fillId="0" borderId="2" xfId="543" applyFont="1" applyBorder="1" applyAlignment="1">
      <alignment horizontal="right" vertical="top" wrapText="1"/>
    </xf>
    <xf numFmtId="0" fontId="26" fillId="0" borderId="0" xfId="543" applyFont="1" applyAlignment="1">
      <alignment vertical="center" wrapText="1"/>
    </xf>
    <xf numFmtId="0" fontId="27" fillId="0" borderId="0" xfId="543" applyFont="1"/>
    <xf numFmtId="0" fontId="19" fillId="0" borderId="0" xfId="543" applyAlignment="1">
      <alignment horizontal="left"/>
    </xf>
    <xf numFmtId="0" fontId="48" fillId="4" borderId="11" xfId="0" applyFont="1" applyFill="1" applyBorder="1" applyAlignment="1">
      <alignment vertical="top" wrapText="1"/>
    </xf>
    <xf numFmtId="0" fontId="48" fillId="2" borderId="11" xfId="0" applyFont="1" applyFill="1" applyBorder="1" applyAlignment="1">
      <alignment vertical="top" wrapText="1"/>
    </xf>
    <xf numFmtId="168" fontId="48" fillId="6" borderId="11" xfId="0" applyNumberFormat="1" applyFont="1" applyFill="1" applyBorder="1" applyAlignment="1">
      <alignment horizontal="center" vertical="top" wrapText="1"/>
    </xf>
    <xf numFmtId="0" fontId="48" fillId="0" borderId="11" xfId="0" applyFont="1" applyBorder="1" applyAlignment="1">
      <alignment horizontal="right" vertical="top"/>
    </xf>
    <xf numFmtId="168" fontId="48" fillId="0" borderId="11" xfId="0" applyNumberFormat="1" applyFont="1" applyBorder="1" applyAlignment="1">
      <alignment vertical="top"/>
    </xf>
    <xf numFmtId="168" fontId="48" fillId="5" borderId="11" xfId="0" applyNumberFormat="1" applyFont="1" applyFill="1" applyBorder="1" applyAlignment="1" applyProtection="1">
      <alignment vertical="top"/>
      <protection locked="0"/>
    </xf>
    <xf numFmtId="168" fontId="48" fillId="6" borderId="11" xfId="0" applyNumberFormat="1" applyFont="1" applyFill="1" applyBorder="1" applyAlignment="1">
      <alignment horizontal="center" vertical="top"/>
    </xf>
    <xf numFmtId="0" fontId="48" fillId="2" borderId="11" xfId="0" applyFont="1" applyFill="1" applyBorder="1" applyAlignment="1" applyProtection="1">
      <alignment vertical="top"/>
      <protection locked="0"/>
    </xf>
    <xf numFmtId="168" fontId="48" fillId="44" borderId="11" xfId="0" applyNumberFormat="1" applyFont="1" applyFill="1" applyBorder="1" applyAlignment="1">
      <alignment vertical="top" wrapText="1"/>
    </xf>
    <xf numFmtId="0" fontId="48" fillId="0" borderId="0" xfId="0" applyFont="1" applyAlignment="1">
      <alignment horizontal="left" vertical="top"/>
    </xf>
    <xf numFmtId="3" fontId="48" fillId="0" borderId="11" xfId="0" applyNumberFormat="1" applyFont="1" applyBorder="1" applyAlignment="1">
      <alignment vertical="top" wrapText="1"/>
    </xf>
    <xf numFmtId="0" fontId="48" fillId="2" borderId="12" xfId="0" applyFont="1" applyFill="1" applyBorder="1" applyAlignment="1">
      <alignment vertical="top" wrapText="1"/>
    </xf>
    <xf numFmtId="0" fontId="19" fillId="0" borderId="0" xfId="0" applyFont="1" applyAlignment="1">
      <alignment horizontal="right" vertical="top" wrapText="1"/>
    </xf>
    <xf numFmtId="10" fontId="19"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9" fillId="0" borderId="0" xfId="0" applyNumberFormat="1" applyFont="1" applyAlignment="1">
      <alignment horizontal="center"/>
    </xf>
    <xf numFmtId="10" fontId="41" fillId="0" borderId="0" xfId="0" applyNumberFormat="1" applyFont="1" applyAlignment="1">
      <alignment horizontal="center"/>
    </xf>
    <xf numFmtId="3" fontId="19" fillId="0" borderId="0" xfId="0" applyNumberFormat="1" applyFont="1" applyAlignment="1">
      <alignment vertical="top"/>
    </xf>
    <xf numFmtId="0" fontId="19" fillId="0" borderId="0" xfId="0" applyFont="1" applyAlignment="1">
      <alignment horizontal="left" vertical="top" wrapText="1"/>
    </xf>
    <xf numFmtId="0" fontId="20" fillId="0" borderId="0" xfId="244" applyAlignment="1"/>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2" fillId="0" borderId="0" xfId="0" applyFont="1" applyAlignment="1">
      <alignment horizontal="left" vertical="top" wrapText="1"/>
    </xf>
    <xf numFmtId="0" fontId="19" fillId="0" borderId="0" xfId="0" applyFont="1" applyAlignment="1">
      <alignment horizontal="left" wrapText="1"/>
    </xf>
    <xf numFmtId="0" fontId="20" fillId="0" borderId="0" xfId="244" applyAlignment="1" applyProtection="1">
      <alignment horizontal="left"/>
    </xf>
    <xf numFmtId="0" fontId="105" fillId="0" borderId="0" xfId="0" applyFont="1" applyAlignment="1">
      <alignment horizontal="left" wrapText="1"/>
    </xf>
    <xf numFmtId="0" fontId="28" fillId="0" borderId="0" xfId="0" applyFont="1" applyAlignment="1">
      <alignment horizontal="left" wrapText="1"/>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97" fillId="0" borderId="0" xfId="0" applyFont="1" applyAlignment="1">
      <alignment horizontal="left" vertical="top" wrapText="1"/>
    </xf>
    <xf numFmtId="0" fontId="20" fillId="0" borderId="0" xfId="244" applyAlignment="1">
      <alignment horizontal="left" vertical="top"/>
    </xf>
    <xf numFmtId="0" fontId="106" fillId="0" borderId="0" xfId="569" applyFont="1" applyAlignment="1">
      <alignment horizontal="center"/>
    </xf>
    <xf numFmtId="0" fontId="10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19" fillId="45" borderId="3" xfId="0" applyFont="1" applyFill="1" applyBorder="1" applyAlignment="1">
      <alignment horizontal="center"/>
    </xf>
    <xf numFmtId="0" fontId="19" fillId="45" borderId="4" xfId="0" applyFont="1" applyFill="1" applyBorder="1" applyAlignment="1">
      <alignment horizontal="center"/>
    </xf>
    <xf numFmtId="0" fontId="19" fillId="45" borderId="5" xfId="0" applyFont="1" applyFill="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5" fillId="0" borderId="105" xfId="543" applyNumberFormat="1" applyFont="1" applyBorder="1" applyAlignment="1">
      <alignment horizontal="right" vertical="center" wrapText="1"/>
    </xf>
    <xf numFmtId="175" fontId="175" fillId="0" borderId="107" xfId="543" applyNumberFormat="1" applyFont="1" applyBorder="1" applyAlignment="1">
      <alignment horizontal="center" vertical="center" wrapText="1"/>
    </xf>
    <xf numFmtId="175" fontId="175" fillId="0" borderId="108" xfId="543" applyNumberFormat="1" applyFont="1" applyBorder="1" applyAlignment="1">
      <alignment horizontal="center" vertical="center" wrapText="1"/>
    </xf>
    <xf numFmtId="175" fontId="175" fillId="0" borderId="109" xfId="543" applyNumberFormat="1" applyFont="1" applyBorder="1" applyAlignment="1">
      <alignment horizontal="center" vertical="center" wrapText="1"/>
    </xf>
    <xf numFmtId="0" fontId="17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9" fillId="45" borderId="11" xfId="0" applyFont="1" applyFill="1" applyBorder="1" applyAlignment="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0" borderId="3" xfId="0" applyNumberFormat="1" applyFont="1" applyBorder="1" applyAlignment="1">
      <alignment horizontal="center"/>
    </xf>
    <xf numFmtId="168" fontId="19" fillId="0" borderId="4" xfId="0" applyNumberFormat="1" applyFont="1" applyBorder="1" applyAlignment="1">
      <alignment horizontal="center"/>
    </xf>
    <xf numFmtId="168" fontId="19" fillId="0" borderId="5" xfId="0" applyNumberFormat="1" applyFont="1" applyBorder="1" applyAlignment="1">
      <alignment horizontal="center"/>
    </xf>
    <xf numFmtId="165" fontId="19" fillId="0" borderId="1" xfId="0" applyNumberFormat="1" applyFont="1" applyBorder="1" applyAlignment="1">
      <alignment horizontal="right"/>
    </xf>
    <xf numFmtId="165" fontId="19" fillId="0" borderId="2" xfId="0" applyNumberFormat="1" applyFont="1" applyBorder="1" applyAlignment="1">
      <alignment horizontal="right"/>
    </xf>
    <xf numFmtId="165" fontId="19" fillId="0" borderId="7" xfId="0" applyNumberFormat="1" applyFont="1" applyBorder="1" applyAlignment="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0" borderId="11" xfId="0" applyFont="1" applyBorder="1" applyAlignment="1">
      <alignment horizontal="center"/>
    </xf>
    <xf numFmtId="0" fontId="19"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9" fillId="0" borderId="11" xfId="0" applyNumberFormat="1" applyFont="1"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5" borderId="9" xfId="0" applyFont="1" applyFill="1" applyBorder="1" applyAlignment="1" applyProtection="1">
      <alignment horizontal="center"/>
      <protection locked="0"/>
    </xf>
    <xf numFmtId="1" fontId="19" fillId="5" borderId="3" xfId="0" applyNumberFormat="1" applyFont="1" applyFill="1" applyBorder="1" applyAlignment="1" applyProtection="1">
      <alignment horizontal="right" vertical="top"/>
      <protection locked="0"/>
    </xf>
    <xf numFmtId="1" fontId="19" fillId="5" borderId="4" xfId="0" applyNumberFormat="1" applyFont="1" applyFill="1" applyBorder="1" applyAlignment="1" applyProtection="1">
      <alignment horizontal="right" vertical="top"/>
      <protection locked="0"/>
    </xf>
    <xf numFmtId="1" fontId="19" fillId="5" borderId="5" xfId="0" applyNumberFormat="1" applyFont="1" applyFill="1" applyBorder="1" applyAlignment="1" applyProtection="1">
      <alignment horizontal="right" vertical="top"/>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6" fillId="0" borderId="6" xfId="0" applyFont="1" applyBorder="1" applyAlignment="1">
      <alignment horizontal="center"/>
    </xf>
    <xf numFmtId="0" fontId="26" fillId="0" borderId="10" xfId="0" applyFont="1" applyBorder="1" applyAlignment="1">
      <alignment horizontal="center"/>
    </xf>
    <xf numFmtId="3" fontId="19" fillId="5" borderId="11" xfId="0" applyNumberFormat="1" applyFont="1" applyFill="1" applyBorder="1" applyAlignment="1" applyProtection="1">
      <alignment horizontal="center"/>
      <protection locked="0"/>
    </xf>
    <xf numFmtId="10" fontId="19" fillId="0" borderId="11" xfId="0" applyNumberFormat="1" applyFont="1" applyBorder="1" applyAlignment="1">
      <alignment horizontal="center"/>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9"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9"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9" fillId="5" borderId="4" xfId="0" applyFont="1" applyFill="1" applyBorder="1" applyAlignment="1" applyProtection="1">
      <alignment wrapText="1"/>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0" borderId="11" xfId="543" applyBorder="1" applyAlignment="1">
      <alignment horizontal="center"/>
    </xf>
    <xf numFmtId="0" fontId="19" fillId="0" borderId="1" xfId="0" applyFont="1" applyBorder="1" applyAlignment="1">
      <alignment horizontal="center" vertical="top" wrapText="1"/>
    </xf>
    <xf numFmtId="0" fontId="19" fillId="0" borderId="2" xfId="0" applyFont="1" applyBorder="1" applyAlignment="1">
      <alignment horizontal="center" vertical="top" wrapText="1"/>
    </xf>
    <xf numFmtId="0" fontId="19" fillId="0" borderId="7" xfId="0" applyFont="1" applyBorder="1" applyAlignment="1">
      <alignment horizontal="center" vertical="top" wrapText="1"/>
    </xf>
    <xf numFmtId="0" fontId="19" fillId="0" borderId="8" xfId="0" applyFont="1" applyBorder="1" applyAlignment="1">
      <alignment horizontal="center" vertical="top" wrapText="1"/>
    </xf>
    <xf numFmtId="0" fontId="19" fillId="0" borderId="0" xfId="0" applyFont="1" applyAlignment="1">
      <alignment horizontal="center" vertical="top" wrapText="1"/>
    </xf>
    <xf numFmtId="0" fontId="19" fillId="0" borderId="12" xfId="0" applyFont="1" applyBorder="1" applyAlignment="1">
      <alignment horizontal="center" vertical="top" wrapText="1"/>
    </xf>
    <xf numFmtId="0" fontId="19" fillId="0" borderId="9" xfId="0" applyFont="1" applyBorder="1" applyAlignment="1">
      <alignment horizontal="center" vertical="top" wrapText="1"/>
    </xf>
    <xf numFmtId="0" fontId="19" fillId="0" borderId="6" xfId="0" applyFont="1" applyBorder="1" applyAlignment="1">
      <alignment horizontal="center" vertical="top" wrapText="1"/>
    </xf>
    <xf numFmtId="0" fontId="19" fillId="0" borderId="10"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6" xfId="0"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9" fillId="5" borderId="0" xfId="0" applyFont="1" applyFill="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9"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19"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0" fontId="0" fillId="0" borderId="0" xfId="0" applyAlignment="1">
      <alignment wrapText="1"/>
    </xf>
    <xf numFmtId="0" fontId="14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8" fillId="5" borderId="4" xfId="271" applyNumberFormat="1" applyFill="1" applyBorder="1" applyAlignment="1" applyProtection="1">
      <alignment horizontal="left"/>
      <protection locked="0"/>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5" borderId="4" xfId="0" applyFill="1" applyBorder="1" applyAlignment="1" applyProtection="1">
      <alignment horizontal="left" wrapText="1"/>
      <protection locked="0"/>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9" fillId="5" borderId="4" xfId="0" applyNumberFormat="1" applyFont="1" applyFill="1" applyBorder="1" applyAlignment="1" applyProtection="1">
      <alignment horizontal="right"/>
      <protection locked="0"/>
    </xf>
    <xf numFmtId="0" fontId="19" fillId="5" borderId="11" xfId="0" applyFont="1" applyFill="1" applyBorder="1" applyAlignment="1" applyProtection="1">
      <alignment horizontal="left" wrapText="1"/>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68" fontId="147" fillId="0" borderId="0" xfId="0" applyNumberFormat="1" applyFont="1" applyAlignment="1">
      <alignment horizontal="center" vertical="center" wrapText="1"/>
    </xf>
    <xf numFmtId="168" fontId="0" fillId="0" borderId="11" xfId="0" applyNumberFormat="1" applyBorder="1" applyAlignment="1">
      <alignment horizontal="right"/>
    </xf>
    <xf numFmtId="0" fontId="19"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left"/>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68" fontId="0" fillId="5" borderId="11" xfId="0" applyNumberFormat="1" applyFill="1" applyBorder="1" applyProtection="1">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9" fillId="0" borderId="3" xfId="0" applyFont="1" applyBorder="1"/>
    <xf numFmtId="0" fontId="19" fillId="0" borderId="4" xfId="0" applyFont="1" applyBorder="1"/>
    <xf numFmtId="0" fontId="19"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19" fillId="0" borderId="0" xfId="543" applyNumberFormat="1" applyAlignment="1">
      <alignment horizontal="center" vertical="center"/>
    </xf>
    <xf numFmtId="168" fontId="0" fillId="0" borderId="11" xfId="0" applyNumberFormat="1" applyBorder="1"/>
    <xf numFmtId="0" fontId="19" fillId="5" borderId="3" xfId="0" applyFont="1" applyFill="1" applyBorder="1" applyProtection="1">
      <protection locked="0"/>
    </xf>
    <xf numFmtId="0" fontId="19" fillId="0" borderId="4" xfId="0" applyFont="1" applyBorder="1" applyProtection="1">
      <protection locked="0"/>
    </xf>
    <xf numFmtId="0" fontId="19" fillId="0" borderId="5" xfId="0" applyFont="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9" fillId="0" borderId="0" xfId="543" applyNumberFormat="1" applyAlignment="1">
      <alignment horizontal="center"/>
    </xf>
    <xf numFmtId="171" fontId="19" fillId="0" borderId="0" xfId="543" applyNumberFormat="1" applyAlignment="1">
      <alignment horizontal="right"/>
    </xf>
    <xf numFmtId="2" fontId="19" fillId="0" borderId="0" xfId="543" applyNumberFormat="1" applyAlignment="1">
      <alignment horizontal="center"/>
    </xf>
    <xf numFmtId="0" fontId="19" fillId="0" borderId="0" xfId="543" applyAlignment="1">
      <alignment horizontal="center"/>
    </xf>
    <xf numFmtId="0" fontId="0" fillId="0" borderId="3" xfId="0" applyBorder="1"/>
    <xf numFmtId="0" fontId="0" fillId="0" borderId="4" xfId="0" applyBorder="1"/>
    <xf numFmtId="0" fontId="0" fillId="0" borderId="5" xfId="0" applyBorder="1"/>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26" fillId="0" borderId="11" xfId="0" applyFont="1" applyBorder="1" applyAlignment="1">
      <alignment horizontal="center" vertical="center"/>
    </xf>
    <xf numFmtId="172" fontId="26" fillId="0" borderId="11" xfId="0"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0" xfId="0" applyFont="1" applyAlignment="1">
      <alignment horizontal="center" vertical="center" wrapText="1"/>
    </xf>
    <xf numFmtId="0" fontId="49" fillId="0" borderId="12"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26" fillId="0" borderId="9" xfId="0" applyFont="1" applyBorder="1" applyAlignment="1">
      <alignment horizontal="right"/>
    </xf>
    <xf numFmtId="0" fontId="26" fillId="0" borderId="10" xfId="0" applyFont="1" applyBorder="1" applyAlignment="1">
      <alignment horizontal="right"/>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27" fillId="5" borderId="3" xfId="543" applyFont="1" applyFill="1" applyBorder="1" applyAlignment="1">
      <alignment horizontal="center"/>
    </xf>
    <xf numFmtId="0" fontId="27" fillId="5" borderId="4" xfId="543" applyFont="1" applyFill="1" applyBorder="1" applyAlignment="1">
      <alignment horizontal="center"/>
    </xf>
    <xf numFmtId="0" fontId="27"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0" fontId="26" fillId="0" borderId="11" xfId="0" applyFont="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19" fillId="5" borderId="3"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right"/>
    </xf>
    <xf numFmtId="0" fontId="26" fillId="0" borderId="7" xfId="0" applyFont="1" applyBorder="1" applyAlignment="1">
      <alignment horizontal="right"/>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19" fillId="0" borderId="4" xfId="0" applyNumberFormat="1" applyFont="1" applyBorder="1" applyAlignment="1">
      <alignment horizontal="center"/>
    </xf>
    <xf numFmtId="1" fontId="19" fillId="0" borderId="5" xfId="0" applyNumberFormat="1" applyFont="1" applyBorder="1" applyAlignment="1">
      <alignment horizontal="center"/>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0" fontId="28" fillId="5" borderId="6" xfId="271" applyFill="1" applyBorder="1" applyProtection="1">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1" xfId="543" applyFont="1" applyBorder="1" applyAlignment="1">
      <alignment horizontal="right"/>
    </xf>
    <xf numFmtId="0" fontId="26" fillId="0" borderId="2" xfId="543" applyFont="1" applyBorder="1" applyAlignment="1">
      <alignment horizontal="right"/>
    </xf>
    <xf numFmtId="0" fontId="26"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68" fontId="19" fillId="0" borderId="11" xfId="543" applyNumberFormat="1" applyBorder="1" applyAlignment="1">
      <alignment horizontal="center"/>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11" xfId="0" applyFont="1" applyBorder="1" applyAlignment="1">
      <alignment horizontal="center" vertical="center" wrapText="1"/>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27" fillId="5" borderId="3" xfId="543" applyFont="1" applyFill="1" applyBorder="1" applyAlignment="1" applyProtection="1">
      <alignment horizontal="center"/>
      <protection locked="0"/>
    </xf>
    <xf numFmtId="0" fontId="27"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10" xfId="0" applyFont="1" applyBorder="1" applyAlignment="1">
      <alignment horizontal="left" wrapText="1"/>
    </xf>
    <xf numFmtId="0" fontId="27" fillId="0" borderId="3" xfId="543" applyFont="1" applyBorder="1" applyAlignment="1">
      <alignment horizontal="center"/>
    </xf>
    <xf numFmtId="0" fontId="27" fillId="0" borderId="5" xfId="543" applyFont="1" applyBorder="1" applyAlignment="1">
      <alignment horizontal="center"/>
    </xf>
    <xf numFmtId="0" fontId="27" fillId="5" borderId="9" xfId="543" applyFont="1" applyFill="1" applyBorder="1" applyAlignment="1" applyProtection="1">
      <alignment horizontal="center"/>
      <protection locked="0"/>
    </xf>
    <xf numFmtId="0" fontId="27"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27" fillId="5" borderId="3" xfId="543" applyFont="1" applyFill="1" applyBorder="1" applyAlignment="1" applyProtection="1">
      <alignment horizontal="center" vertical="top"/>
      <protection locked="0"/>
    </xf>
    <xf numFmtId="0" fontId="27"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43" fillId="0" borderId="8" xfId="543" applyFont="1" applyBorder="1" applyAlignment="1">
      <alignment horizontal="center" vertical="center" wrapText="1"/>
    </xf>
    <xf numFmtId="0" fontId="143" fillId="0" borderId="0" xfId="543" applyFont="1" applyAlignment="1">
      <alignment horizontal="center" vertical="center" wrapText="1"/>
    </xf>
    <xf numFmtId="0" fontId="143" fillId="0" borderId="12" xfId="543" applyFont="1" applyBorder="1" applyAlignment="1">
      <alignment horizontal="center" vertical="center" wrapText="1"/>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26" fillId="0" borderId="4" xfId="543" applyFont="1" applyBorder="1" applyAlignment="1">
      <alignment horizontal="right" vertical="top" wrapText="1"/>
    </xf>
    <xf numFmtId="0" fontId="26" fillId="0" borderId="5" xfId="543" applyFont="1" applyBorder="1" applyAlignment="1">
      <alignment horizontal="right" vertical="top" wrapText="1"/>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19" fillId="5" borderId="3" xfId="543" applyFill="1" applyBorder="1" applyAlignment="1" applyProtection="1">
      <alignment horizontal="left" vertical="top" wrapText="1"/>
      <protection locked="0"/>
    </xf>
    <xf numFmtId="0" fontId="19" fillId="5" borderId="4" xfId="543" applyFill="1" applyBorder="1" applyAlignment="1" applyProtection="1">
      <alignment horizontal="left" vertical="top" wrapText="1"/>
      <protection locked="0"/>
    </xf>
    <xf numFmtId="0" fontId="19" fillId="5" borderId="5" xfId="543" applyFill="1" applyBorder="1" applyAlignment="1" applyProtection="1">
      <alignment horizontal="left" vertical="top" wrapText="1"/>
      <protection locked="0"/>
    </xf>
    <xf numFmtId="0" fontId="26" fillId="0" borderId="0" xfId="0" applyFont="1" applyAlignment="1">
      <alignment horizontal="center" vertical="center"/>
    </xf>
    <xf numFmtId="0" fontId="19" fillId="43" borderId="11" xfId="0" applyFont="1" applyFill="1" applyBorder="1" applyAlignment="1" applyProtection="1">
      <alignment horizontal="center"/>
      <protection locked="0"/>
    </xf>
    <xf numFmtId="180" fontId="0" fillId="0" borderId="6" xfId="0" applyNumberFormat="1" applyBorder="1" applyAlignment="1">
      <alignment horizontal="center"/>
    </xf>
    <xf numFmtId="166" fontId="182" fillId="5" borderId="6" xfId="0" applyNumberFormat="1" applyFont="1" applyFill="1" applyBorder="1" applyAlignment="1" applyProtection="1">
      <alignment horizontal="left"/>
      <protection locked="0"/>
    </xf>
    <xf numFmtId="0" fontId="26" fillId="0" borderId="9" xfId="0" applyFont="1" applyBorder="1" applyAlignment="1">
      <alignment horizontal="center"/>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45"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50" fillId="0" borderId="8" xfId="543" applyFont="1" applyBorder="1" applyAlignment="1">
      <alignment horizontal="center" wrapText="1"/>
    </xf>
    <xf numFmtId="0" fontId="150" fillId="0" borderId="0" xfId="543" applyFont="1" applyAlignment="1">
      <alignment horizontal="center" wrapText="1"/>
    </xf>
    <xf numFmtId="0" fontId="150" fillId="0" borderId="12" xfId="543" applyFont="1" applyBorder="1" applyAlignment="1">
      <alignment horizontal="center" wrapText="1"/>
    </xf>
    <xf numFmtId="0" fontId="150" fillId="0" borderId="9" xfId="543" applyFont="1" applyBorder="1" applyAlignment="1">
      <alignment horizontal="center" wrapText="1"/>
    </xf>
    <xf numFmtId="0" fontId="150" fillId="0" borderId="6" xfId="543" applyFont="1" applyBorder="1" applyAlignment="1">
      <alignment horizontal="center" wrapText="1"/>
    </xf>
    <xf numFmtId="0" fontId="150" fillId="0" borderId="10" xfId="543" applyFont="1" applyBorder="1" applyAlignment="1">
      <alignment horizontal="center" wrapText="1"/>
    </xf>
    <xf numFmtId="0" fontId="150" fillId="0" borderId="8" xfId="543" applyFont="1" applyBorder="1" applyAlignment="1">
      <alignment horizontal="center" vertical="top" wrapText="1"/>
    </xf>
    <xf numFmtId="0" fontId="150" fillId="0" borderId="0" xfId="543" applyFont="1" applyAlignment="1">
      <alignment horizontal="center" vertical="top" wrapText="1"/>
    </xf>
    <xf numFmtId="0" fontId="150" fillId="0" borderId="12" xfId="543" applyFont="1" applyBorder="1" applyAlignment="1">
      <alignment horizontal="center" vertical="top" wrapText="1"/>
    </xf>
    <xf numFmtId="0" fontId="150" fillId="0" borderId="9" xfId="543" applyFont="1" applyBorder="1" applyAlignment="1">
      <alignment horizontal="center" vertical="top" wrapText="1"/>
    </xf>
    <xf numFmtId="0" fontId="150" fillId="0" borderId="6" xfId="543" applyFont="1" applyBorder="1" applyAlignment="1">
      <alignment horizontal="center" vertical="top" wrapText="1"/>
    </xf>
    <xf numFmtId="0" fontId="150" fillId="0" borderId="10" xfId="543" applyFont="1" applyBorder="1" applyAlignment="1">
      <alignment horizontal="center" vertical="top" wrapText="1"/>
    </xf>
    <xf numFmtId="0" fontId="147" fillId="0" borderId="0" xfId="0" applyFont="1" applyAlignment="1">
      <alignment horizontal="center" vertical="center" wrapText="1"/>
    </xf>
    <xf numFmtId="0" fontId="19" fillId="0" borderId="0" xfId="543" applyAlignment="1">
      <alignment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9" fillId="0" borderId="0" xfId="0" applyFont="1" applyAlignment="1">
      <alignment vertical="top" wrapText="1"/>
    </xf>
    <xf numFmtId="0" fontId="19" fillId="0" borderId="6" xfId="0" applyFont="1" applyBorder="1" applyAlignment="1">
      <alignment horizontal="right" vertical="top" wrapText="1"/>
    </xf>
    <xf numFmtId="0" fontId="19" fillId="0" borderId="6"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5" xfId="0" applyFont="1" applyFill="1" applyBorder="1" applyAlignment="1">
      <alignment horizontal="center" vertical="top"/>
    </xf>
    <xf numFmtId="0" fontId="19" fillId="0" borderId="2" xfId="0" applyFont="1" applyBorder="1" applyAlignment="1">
      <alignment vertical="top" wrapText="1"/>
    </xf>
    <xf numFmtId="0" fontId="48" fillId="0" borderId="0" xfId="0" applyFont="1" applyAlignment="1">
      <alignment vertical="top" wrapText="1"/>
    </xf>
    <xf numFmtId="0" fontId="49"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9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56" fillId="44" borderId="0" xfId="8736" applyFont="1" applyFill="1" applyAlignment="1">
      <alignment horizontal="left" vertical="top"/>
    </xf>
    <xf numFmtId="0" fontId="9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57" fillId="47" borderId="0" xfId="8736" applyFont="1" applyFill="1" applyAlignment="1">
      <alignment horizontal="left" vertical="top" wrapText="1"/>
    </xf>
    <xf numFmtId="0" fontId="9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58" fillId="47" borderId="65" xfId="8736" applyFont="1" applyFill="1" applyBorder="1" applyAlignment="1">
      <alignment horizontal="center"/>
    </xf>
    <xf numFmtId="0" fontId="158" fillId="47" borderId="29" xfId="8736" applyFont="1" applyFill="1" applyBorder="1" applyAlignment="1">
      <alignment horizontal="center"/>
    </xf>
    <xf numFmtId="0" fontId="15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57" fillId="47" borderId="66" xfId="8736" applyFont="1" applyFill="1" applyBorder="1" applyAlignment="1">
      <alignment horizontal="center"/>
    </xf>
    <xf numFmtId="0" fontId="157" fillId="47" borderId="0" xfId="8736" applyFont="1" applyFill="1" applyAlignment="1">
      <alignment horizontal="center"/>
    </xf>
    <xf numFmtId="0" fontId="157" fillId="47" borderId="41" xfId="8736" applyFont="1" applyFill="1" applyBorder="1" applyAlignment="1">
      <alignment horizontal="center"/>
    </xf>
    <xf numFmtId="0" fontId="94" fillId="47" borderId="66" xfId="8736" applyFont="1" applyFill="1" applyBorder="1" applyAlignment="1">
      <alignment horizontal="center"/>
    </xf>
    <xf numFmtId="0" fontId="94" fillId="47" borderId="0" xfId="8736" applyFont="1" applyFill="1" applyAlignment="1">
      <alignment horizontal="center"/>
    </xf>
    <xf numFmtId="0" fontId="94" fillId="47" borderId="41" xfId="8736" applyFont="1" applyFill="1" applyBorder="1" applyAlignment="1">
      <alignment horizontal="center"/>
    </xf>
    <xf numFmtId="0" fontId="94" fillId="47" borderId="0" xfId="8736" applyFont="1" applyFill="1" applyAlignment="1">
      <alignment horizontal="left"/>
    </xf>
    <xf numFmtId="0" fontId="159" fillId="50" borderId="3" xfId="698" applyNumberFormat="1" applyFont="1" applyFill="1" applyBorder="1" applyAlignment="1" applyProtection="1">
      <alignment horizontal="center"/>
      <protection locked="0"/>
    </xf>
    <xf numFmtId="0" fontId="159" fillId="50" borderId="4" xfId="698" applyNumberFormat="1" applyFont="1" applyFill="1" applyBorder="1" applyAlignment="1" applyProtection="1">
      <alignment horizontal="center"/>
      <protection locked="0"/>
    </xf>
    <xf numFmtId="0" fontId="159" fillId="50" borderId="81" xfId="698" applyNumberFormat="1" applyFont="1" applyFill="1" applyBorder="1" applyAlignment="1" applyProtection="1">
      <alignment horizontal="center"/>
      <protection locked="0"/>
    </xf>
    <xf numFmtId="43" fontId="157" fillId="49" borderId="72" xfId="698" applyFont="1" applyFill="1" applyBorder="1" applyAlignment="1" applyProtection="1">
      <alignment horizontal="right"/>
      <protection hidden="1"/>
    </xf>
    <xf numFmtId="43" fontId="157" fillId="49" borderId="11" xfId="698" applyFont="1" applyFill="1" applyBorder="1" applyAlignment="1" applyProtection="1">
      <alignment horizontal="right"/>
      <protection hidden="1"/>
    </xf>
    <xf numFmtId="44" fontId="157" fillId="0" borderId="11" xfId="700" applyFont="1" applyBorder="1" applyAlignment="1" applyProtection="1">
      <alignment horizontal="center"/>
      <protection hidden="1"/>
    </xf>
    <xf numFmtId="168" fontId="157" fillId="0" borderId="11" xfId="700" applyNumberFormat="1" applyFont="1" applyBorder="1" applyAlignment="1" applyProtection="1">
      <alignment horizontal="center"/>
      <protection hidden="1"/>
    </xf>
    <xf numFmtId="9" fontId="157" fillId="0" borderId="11" xfId="1022" applyFont="1" applyBorder="1" applyAlignment="1" applyProtection="1">
      <alignment horizontal="center"/>
      <protection hidden="1"/>
    </xf>
    <xf numFmtId="43" fontId="157" fillId="49" borderId="3" xfId="698" applyFont="1" applyFill="1" applyBorder="1" applyAlignment="1" applyProtection="1">
      <alignment horizontal="center"/>
      <protection hidden="1"/>
    </xf>
    <xf numFmtId="43" fontId="157" fillId="49" borderId="4" xfId="698" applyFont="1" applyFill="1" applyBorder="1" applyAlignment="1" applyProtection="1">
      <alignment horizontal="center"/>
      <protection hidden="1"/>
    </xf>
    <xf numFmtId="43" fontId="157" fillId="49" borderId="81" xfId="698" applyFont="1" applyFill="1" applyBorder="1" applyAlignment="1" applyProtection="1">
      <alignment horizontal="center"/>
      <protection hidden="1"/>
    </xf>
    <xf numFmtId="0" fontId="160" fillId="49" borderId="72" xfId="698" applyNumberFormat="1" applyFont="1" applyFill="1" applyBorder="1" applyAlignment="1" applyProtection="1">
      <alignment horizontal="center"/>
      <protection hidden="1"/>
    </xf>
    <xf numFmtId="0" fontId="160" fillId="49" borderId="11" xfId="698" applyNumberFormat="1" applyFont="1" applyFill="1" applyBorder="1" applyAlignment="1" applyProtection="1">
      <alignment horizontal="center"/>
      <protection hidden="1"/>
    </xf>
    <xf numFmtId="0" fontId="160" fillId="48" borderId="11" xfId="569" applyFont="1" applyFill="1" applyBorder="1" applyAlignment="1" applyProtection="1">
      <alignment horizontal="center"/>
      <protection locked="0"/>
    </xf>
    <xf numFmtId="14" fontId="159" fillId="48" borderId="11" xfId="700" applyNumberFormat="1" applyFont="1" applyFill="1" applyBorder="1" applyAlignment="1" applyProtection="1">
      <alignment horizontal="center"/>
      <protection locked="0"/>
    </xf>
    <xf numFmtId="168" fontId="160" fillId="48" borderId="11" xfId="700" applyNumberFormat="1" applyFont="1" applyFill="1" applyBorder="1" applyAlignment="1" applyProtection="1">
      <alignment horizontal="center"/>
      <protection locked="0"/>
    </xf>
    <xf numFmtId="9" fontId="160" fillId="48" borderId="11" xfId="1022" applyFont="1" applyFill="1" applyBorder="1" applyAlignment="1" applyProtection="1">
      <alignment horizontal="center"/>
      <protection locked="0"/>
    </xf>
    <xf numFmtId="44" fontId="159" fillId="48" borderId="11" xfId="700" applyFont="1" applyFill="1" applyBorder="1" applyAlignment="1" applyProtection="1">
      <alignment horizontal="center"/>
      <protection locked="0"/>
    </xf>
    <xf numFmtId="0" fontId="162" fillId="45" borderId="11" xfId="8736" applyFont="1" applyFill="1" applyBorder="1" applyAlignment="1">
      <alignment horizontal="left" wrapText="1"/>
    </xf>
    <xf numFmtId="43" fontId="157" fillId="45" borderId="80" xfId="698" applyFont="1" applyFill="1" applyBorder="1" applyAlignment="1" applyProtection="1">
      <alignment horizontal="center"/>
      <protection hidden="1"/>
    </xf>
    <xf numFmtId="43" fontId="157" fillId="45" borderId="79" xfId="698" applyFont="1" applyFill="1" applyBorder="1" applyAlignment="1" applyProtection="1">
      <alignment horizontal="center"/>
      <protection hidden="1"/>
    </xf>
    <xf numFmtId="43" fontId="157" fillId="45" borderId="78" xfId="698" applyFont="1" applyFill="1" applyBorder="1" applyAlignment="1" applyProtection="1">
      <alignment horizontal="center"/>
      <protection hidden="1"/>
    </xf>
    <xf numFmtId="43" fontId="161" fillId="49" borderId="66" xfId="698" applyFont="1" applyFill="1" applyBorder="1" applyAlignment="1" applyProtection="1">
      <alignment horizontal="center" wrapText="1"/>
      <protection hidden="1"/>
    </xf>
    <xf numFmtId="43" fontId="161" fillId="49" borderId="0" xfId="698" applyFont="1" applyFill="1" applyBorder="1" applyAlignment="1" applyProtection="1">
      <alignment horizontal="center" wrapText="1"/>
      <protection hidden="1"/>
    </xf>
    <xf numFmtId="43" fontId="161" fillId="49" borderId="12" xfId="698" applyFont="1" applyFill="1" applyBorder="1" applyAlignment="1" applyProtection="1">
      <alignment horizontal="center" wrapText="1"/>
      <protection hidden="1"/>
    </xf>
    <xf numFmtId="43" fontId="161" fillId="49" borderId="83" xfId="698" applyFont="1" applyFill="1" applyBorder="1" applyAlignment="1" applyProtection="1">
      <alignment horizontal="center" wrapText="1"/>
      <protection hidden="1"/>
    </xf>
    <xf numFmtId="43" fontId="161" fillId="49" borderId="6" xfId="698" applyFont="1" applyFill="1" applyBorder="1" applyAlignment="1" applyProtection="1">
      <alignment horizontal="center" wrapText="1"/>
      <protection hidden="1"/>
    </xf>
    <xf numFmtId="43" fontId="161" fillId="49" borderId="10" xfId="698" applyFont="1" applyFill="1" applyBorder="1" applyAlignment="1" applyProtection="1">
      <alignment horizontal="center" wrapText="1"/>
      <protection hidden="1"/>
    </xf>
    <xf numFmtId="43" fontId="161" fillId="49" borderId="8" xfId="698" applyFont="1" applyFill="1" applyBorder="1" applyAlignment="1" applyProtection="1">
      <alignment horizontal="center" wrapText="1"/>
      <protection hidden="1"/>
    </xf>
    <xf numFmtId="43" fontId="161" fillId="49" borderId="9" xfId="698" applyFont="1" applyFill="1" applyBorder="1" applyAlignment="1" applyProtection="1">
      <alignment horizontal="center" wrapText="1"/>
      <protection hidden="1"/>
    </xf>
    <xf numFmtId="14" fontId="161" fillId="0" borderId="8" xfId="700" applyNumberFormat="1" applyFont="1" applyFill="1" applyBorder="1" applyAlignment="1" applyProtection="1">
      <alignment horizontal="center" wrapText="1"/>
      <protection hidden="1"/>
    </xf>
    <xf numFmtId="14" fontId="161" fillId="0" borderId="0" xfId="700" applyNumberFormat="1" applyFont="1" applyFill="1" applyBorder="1" applyAlignment="1" applyProtection="1">
      <alignment horizontal="center" wrapText="1"/>
      <protection hidden="1"/>
    </xf>
    <xf numFmtId="14" fontId="161" fillId="0" borderId="12" xfId="700" applyNumberFormat="1" applyFont="1" applyFill="1" applyBorder="1" applyAlignment="1" applyProtection="1">
      <alignment horizontal="center" wrapText="1"/>
      <protection hidden="1"/>
    </xf>
    <xf numFmtId="14" fontId="161" fillId="0" borderId="9" xfId="700" applyNumberFormat="1" applyFont="1" applyFill="1" applyBorder="1" applyAlignment="1" applyProtection="1">
      <alignment horizontal="center" wrapText="1"/>
      <protection hidden="1"/>
    </xf>
    <xf numFmtId="14" fontId="161" fillId="0" borderId="6" xfId="700" applyNumberFormat="1" applyFont="1" applyFill="1" applyBorder="1" applyAlignment="1" applyProtection="1">
      <alignment horizontal="center" wrapText="1"/>
      <protection hidden="1"/>
    </xf>
    <xf numFmtId="14" fontId="161" fillId="0" borderId="10" xfId="700" applyNumberFormat="1" applyFont="1" applyFill="1" applyBorder="1" applyAlignment="1" applyProtection="1">
      <alignment horizontal="center" wrapText="1"/>
      <protection hidden="1"/>
    </xf>
    <xf numFmtId="44" fontId="161" fillId="0" borderId="8" xfId="700" applyFont="1" applyBorder="1" applyAlignment="1" applyProtection="1">
      <alignment horizontal="center" wrapText="1"/>
      <protection hidden="1"/>
    </xf>
    <xf numFmtId="44" fontId="161" fillId="0" borderId="0" xfId="700" applyFont="1" applyBorder="1" applyAlignment="1" applyProtection="1">
      <alignment horizontal="center" wrapText="1"/>
      <protection hidden="1"/>
    </xf>
    <xf numFmtId="44" fontId="161" fillId="0" borderId="12" xfId="700" applyFont="1" applyBorder="1" applyAlignment="1" applyProtection="1">
      <alignment horizontal="center" wrapText="1"/>
      <protection hidden="1"/>
    </xf>
    <xf numFmtId="44" fontId="161" fillId="0" borderId="9" xfId="700" applyFont="1" applyBorder="1" applyAlignment="1" applyProtection="1">
      <alignment horizontal="center" wrapText="1"/>
      <protection hidden="1"/>
    </xf>
    <xf numFmtId="44" fontId="161" fillId="0" borderId="6" xfId="700" applyFont="1" applyBorder="1" applyAlignment="1" applyProtection="1">
      <alignment horizontal="center" wrapText="1"/>
      <protection hidden="1"/>
    </xf>
    <xf numFmtId="44" fontId="161" fillId="0" borderId="10" xfId="700" applyFont="1" applyBorder="1" applyAlignment="1" applyProtection="1">
      <alignment horizontal="center" wrapText="1"/>
      <protection hidden="1"/>
    </xf>
    <xf numFmtId="43" fontId="161" fillId="49" borderId="41" xfId="698" applyFont="1" applyFill="1" applyBorder="1" applyAlignment="1" applyProtection="1">
      <alignment horizontal="center" wrapText="1"/>
      <protection hidden="1"/>
    </xf>
    <xf numFmtId="43" fontId="161" fillId="49" borderId="82" xfId="698" applyFont="1" applyFill="1" applyBorder="1" applyAlignment="1" applyProtection="1">
      <alignment horizontal="center" wrapText="1"/>
      <protection hidden="1"/>
    </xf>
    <xf numFmtId="0" fontId="163"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56" fillId="45" borderId="80" xfId="569" applyFont="1" applyFill="1" applyBorder="1" applyAlignment="1" applyProtection="1">
      <alignment horizontal="center" wrapText="1"/>
      <protection hidden="1"/>
    </xf>
    <xf numFmtId="0" fontId="156" fillId="45" borderId="79" xfId="569" applyFont="1" applyFill="1" applyBorder="1" applyAlignment="1" applyProtection="1">
      <alignment horizontal="center" wrapText="1"/>
      <protection hidden="1"/>
    </xf>
    <xf numFmtId="0" fontId="156" fillId="45" borderId="78" xfId="569" applyFont="1" applyFill="1" applyBorder="1" applyAlignment="1" applyProtection="1">
      <alignment horizontal="center" wrapText="1"/>
      <protection hidden="1"/>
    </xf>
    <xf numFmtId="0" fontId="156" fillId="45" borderId="13" xfId="569" applyFont="1" applyFill="1" applyBorder="1" applyAlignment="1" applyProtection="1">
      <alignment horizontal="left" wrapText="1"/>
      <protection hidden="1"/>
    </xf>
    <xf numFmtId="0" fontId="156" fillId="45" borderId="13" xfId="569" applyFont="1" applyFill="1" applyBorder="1" applyAlignment="1" applyProtection="1">
      <alignment horizontal="center" wrapText="1"/>
      <protection hidden="1"/>
    </xf>
    <xf numFmtId="0" fontId="165" fillId="45" borderId="67" xfId="8736" applyFont="1" applyFill="1" applyBorder="1" applyAlignment="1">
      <alignment horizontal="right"/>
    </xf>
    <xf numFmtId="0" fontId="165" fillId="45" borderId="68" xfId="8736" applyFont="1" applyFill="1" applyBorder="1" applyAlignment="1">
      <alignment horizontal="right"/>
    </xf>
    <xf numFmtId="168" fontId="160" fillId="44" borderId="68" xfId="700" applyNumberFormat="1" applyFont="1" applyFill="1" applyBorder="1" applyAlignment="1">
      <alignment horizontal="left"/>
    </xf>
    <xf numFmtId="168" fontId="160" fillId="44" borderId="71" xfId="700" applyNumberFormat="1" applyFont="1" applyFill="1" applyBorder="1" applyAlignment="1">
      <alignment horizontal="left"/>
    </xf>
    <xf numFmtId="0" fontId="162" fillId="48" borderId="66" xfId="8736" applyFont="1" applyFill="1" applyBorder="1" applyAlignment="1">
      <alignment horizontal="left" wrapText="1"/>
    </xf>
    <xf numFmtId="0" fontId="162" fillId="48" borderId="0" xfId="8736" applyFont="1" applyFill="1" applyAlignment="1">
      <alignment horizontal="left" wrapText="1"/>
    </xf>
    <xf numFmtId="0" fontId="162" fillId="48" borderId="41" xfId="8736" applyFont="1" applyFill="1" applyBorder="1" applyAlignment="1">
      <alignment horizontal="left" wrapText="1"/>
    </xf>
    <xf numFmtId="0" fontId="162" fillId="48" borderId="73" xfId="8736" applyFont="1" applyFill="1" applyBorder="1" applyAlignment="1">
      <alignment horizontal="left" wrapText="1"/>
    </xf>
    <xf numFmtId="0" fontId="162" fillId="48" borderId="42" xfId="8736" applyFont="1" applyFill="1" applyBorder="1" applyAlignment="1">
      <alignment horizontal="left" wrapText="1"/>
    </xf>
    <xf numFmtId="0" fontId="162" fillId="48" borderId="44" xfId="8736" applyFont="1" applyFill="1" applyBorder="1" applyAlignment="1">
      <alignment horizontal="left" wrapText="1"/>
    </xf>
    <xf numFmtId="0" fontId="164" fillId="45" borderId="69" xfId="8736" applyFont="1" applyFill="1" applyBorder="1" applyAlignment="1">
      <alignment horizontal="right"/>
    </xf>
    <xf numFmtId="0" fontId="164" fillId="45" borderId="70" xfId="8736" applyFont="1" applyFill="1" applyBorder="1" applyAlignment="1">
      <alignment horizontal="right"/>
    </xf>
    <xf numFmtId="0" fontId="156" fillId="44" borderId="70" xfId="700" applyNumberFormat="1" applyFont="1" applyFill="1" applyBorder="1" applyAlignment="1">
      <alignment horizontal="left"/>
    </xf>
    <xf numFmtId="168" fontId="156" fillId="44" borderId="70" xfId="700" applyNumberFormat="1" applyFont="1" applyFill="1" applyBorder="1" applyAlignment="1">
      <alignment horizontal="left"/>
    </xf>
    <xf numFmtId="168" fontId="156" fillId="44" borderId="77" xfId="700" applyNumberFormat="1" applyFont="1" applyFill="1" applyBorder="1" applyAlignment="1">
      <alignment horizontal="left"/>
    </xf>
    <xf numFmtId="0" fontId="157" fillId="47" borderId="0" xfId="8736" applyFont="1" applyFill="1" applyAlignment="1">
      <alignment horizontal="right"/>
    </xf>
    <xf numFmtId="168" fontId="161" fillId="47" borderId="0" xfId="700" applyNumberFormat="1" applyFont="1" applyFill="1" applyBorder="1" applyAlignment="1" applyProtection="1">
      <alignment horizontal="left"/>
      <protection locked="0"/>
    </xf>
    <xf numFmtId="0" fontId="163" fillId="48" borderId="87" xfId="8736" applyFont="1" applyFill="1" applyBorder="1" applyAlignment="1" applyProtection="1">
      <alignment horizontal="center"/>
      <protection locked="0"/>
    </xf>
    <xf numFmtId="0" fontId="163" fillId="48" borderId="86" xfId="8736" applyFont="1" applyFill="1" applyBorder="1" applyAlignment="1" applyProtection="1">
      <alignment horizontal="center"/>
      <protection locked="0"/>
    </xf>
    <xf numFmtId="0" fontId="165" fillId="48" borderId="70" xfId="8736" applyFont="1" applyFill="1" applyBorder="1" applyAlignment="1" applyProtection="1">
      <alignment horizontal="left"/>
      <protection locked="0"/>
    </xf>
    <xf numFmtId="0" fontId="165" fillId="48" borderId="77" xfId="8736" applyFont="1" applyFill="1" applyBorder="1" applyAlignment="1" applyProtection="1">
      <alignment horizontal="left"/>
      <protection locked="0"/>
    </xf>
    <xf numFmtId="168" fontId="163" fillId="48" borderId="86" xfId="700" applyNumberFormat="1" applyFont="1" applyFill="1" applyBorder="1" applyAlignment="1" applyProtection="1">
      <alignment horizontal="left"/>
      <protection locked="0"/>
    </xf>
    <xf numFmtId="168" fontId="163" fillId="48" borderId="85" xfId="700" applyNumberFormat="1" applyFont="1" applyFill="1" applyBorder="1" applyAlignment="1" applyProtection="1">
      <alignment horizontal="left"/>
      <protection locked="0"/>
    </xf>
    <xf numFmtId="0" fontId="163" fillId="48" borderId="87" xfId="8736" applyFont="1" applyFill="1" applyBorder="1" applyAlignment="1" applyProtection="1">
      <alignment horizontal="left"/>
      <protection locked="0"/>
    </xf>
    <xf numFmtId="0" fontId="163" fillId="48" borderId="86" xfId="8736" applyFont="1" applyFill="1" applyBorder="1" applyAlignment="1" applyProtection="1">
      <alignment horizontal="left"/>
      <protection locked="0"/>
    </xf>
    <xf numFmtId="0" fontId="163" fillId="48" borderId="85" xfId="8736" applyFont="1" applyFill="1" applyBorder="1" applyAlignment="1" applyProtection="1">
      <alignment horizontal="left"/>
      <protection locked="0"/>
    </xf>
    <xf numFmtId="0" fontId="94" fillId="48" borderId="80" xfId="8736" applyFont="1" applyFill="1" applyBorder="1" applyAlignment="1">
      <alignment horizontal="left"/>
    </xf>
    <xf numFmtId="0" fontId="94"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3" fillId="48" borderId="72" xfId="8736" applyFont="1" applyFill="1" applyBorder="1" applyAlignment="1" applyProtection="1">
      <alignment horizontal="center"/>
      <protection locked="0"/>
    </xf>
    <xf numFmtId="0" fontId="163" fillId="48" borderId="11" xfId="8736"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0" fontId="163" fillId="48" borderId="11" xfId="8736" applyFont="1" applyFill="1" applyBorder="1" applyAlignment="1" applyProtection="1">
      <alignment horizontal="left"/>
      <protection locked="0"/>
    </xf>
    <xf numFmtId="0" fontId="16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65" fillId="48" borderId="72" xfId="8736" applyFont="1" applyFill="1" applyBorder="1" applyAlignment="1" applyProtection="1">
      <alignment horizontal="center"/>
      <protection locked="0"/>
    </xf>
    <xf numFmtId="0" fontId="165" fillId="48" borderId="11" xfId="8736" applyFont="1" applyFill="1" applyBorder="1" applyAlignment="1" applyProtection="1">
      <alignment horizontal="center"/>
      <protection locked="0"/>
    </xf>
    <xf numFmtId="43" fontId="160" fillId="50" borderId="72" xfId="698" applyFont="1" applyFill="1" applyBorder="1" applyAlignment="1" applyProtection="1">
      <alignment horizontal="left" wrapText="1"/>
      <protection hidden="1"/>
    </xf>
    <xf numFmtId="43" fontId="160"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7" fillId="50" borderId="111" xfId="698" applyFont="1" applyFill="1" applyBorder="1" applyAlignment="1" applyProtection="1">
      <alignment horizontal="center"/>
      <protection hidden="1"/>
    </xf>
    <xf numFmtId="43" fontId="157" fillId="50" borderId="84" xfId="698" applyFont="1" applyFill="1" applyBorder="1" applyAlignment="1" applyProtection="1">
      <alignment horizontal="center"/>
      <protection hidden="1"/>
    </xf>
    <xf numFmtId="43" fontId="157" fillId="50" borderId="102" xfId="698" applyFont="1" applyFill="1" applyBorder="1" applyAlignment="1" applyProtection="1">
      <alignment horizontal="center"/>
      <protection hidden="1"/>
    </xf>
    <xf numFmtId="0" fontId="163" fillId="45" borderId="72" xfId="8736" applyFont="1" applyFill="1" applyBorder="1" applyAlignment="1">
      <alignment horizontal="right"/>
    </xf>
    <xf numFmtId="0" fontId="163" fillId="45" borderId="11" xfId="8736" applyFont="1" applyFill="1" applyBorder="1" applyAlignment="1">
      <alignment horizontal="right"/>
    </xf>
    <xf numFmtId="43" fontId="160" fillId="50" borderId="98" xfId="698" applyFont="1" applyFill="1" applyBorder="1" applyAlignment="1" applyProtection="1">
      <alignment horizontal="left"/>
      <protection hidden="1"/>
    </xf>
    <xf numFmtId="43" fontId="160"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3" fillId="48" borderId="9" xfId="8736" applyFont="1" applyFill="1" applyBorder="1" applyAlignment="1">
      <alignment horizontal="center"/>
    </xf>
    <xf numFmtId="0" fontId="163" fillId="48" borderId="6" xfId="8736" applyFont="1" applyFill="1" applyBorder="1" applyAlignment="1">
      <alignment horizontal="center"/>
    </xf>
    <xf numFmtId="0" fontId="16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65" fillId="44" borderId="11" xfId="700" applyNumberFormat="1" applyFont="1" applyFill="1" applyBorder="1" applyAlignment="1">
      <alignment horizontal="left"/>
    </xf>
    <xf numFmtId="0" fontId="94" fillId="45" borderId="65" xfId="8736" applyFont="1" applyFill="1" applyBorder="1" applyAlignment="1">
      <alignment horizontal="left" wrapText="1"/>
    </xf>
    <xf numFmtId="0" fontId="94" fillId="45" borderId="29" xfId="8736" applyFont="1" applyFill="1" applyBorder="1" applyAlignment="1">
      <alignment horizontal="left" wrapText="1"/>
    </xf>
    <xf numFmtId="0" fontId="94" fillId="45" borderId="31" xfId="8736" applyFont="1" applyFill="1" applyBorder="1" applyAlignment="1">
      <alignment horizontal="left" wrapText="1"/>
    </xf>
    <xf numFmtId="0" fontId="94" fillId="45" borderId="73" xfId="8736" applyFont="1" applyFill="1" applyBorder="1" applyAlignment="1">
      <alignment horizontal="left" wrapText="1"/>
    </xf>
    <xf numFmtId="0" fontId="94" fillId="45" borderId="42" xfId="8736" applyFont="1" applyFill="1" applyBorder="1" applyAlignment="1">
      <alignment horizontal="left" wrapText="1"/>
    </xf>
    <xf numFmtId="0" fontId="94" fillId="45" borderId="44" xfId="8736" applyFont="1" applyFill="1" applyBorder="1" applyAlignment="1">
      <alignment horizontal="left" wrapText="1"/>
    </xf>
    <xf numFmtId="43" fontId="160" fillId="50" borderId="72" xfId="698" applyFont="1" applyFill="1" applyBorder="1" applyAlignment="1" applyProtection="1">
      <alignment horizontal="left"/>
      <protection hidden="1"/>
    </xf>
    <xf numFmtId="43" fontId="160"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4" fillId="45" borderId="67" xfId="8736" applyFont="1" applyFill="1" applyBorder="1" applyAlignment="1">
      <alignment horizontal="center"/>
    </xf>
    <xf numFmtId="0" fontId="94" fillId="45" borderId="68" xfId="8736" applyFont="1" applyFill="1" applyBorder="1" applyAlignment="1">
      <alignment horizontal="center"/>
    </xf>
    <xf numFmtId="0" fontId="157" fillId="45" borderId="68" xfId="8736" applyFont="1" applyFill="1" applyBorder="1" applyAlignment="1">
      <alignment horizontal="center"/>
    </xf>
    <xf numFmtId="0" fontId="157" fillId="45" borderId="71" xfId="8736" applyFont="1" applyFill="1" applyBorder="1" applyAlignment="1">
      <alignment horizontal="center"/>
    </xf>
    <xf numFmtId="0" fontId="164" fillId="51" borderId="11" xfId="8736" applyFont="1" applyFill="1" applyBorder="1" applyAlignment="1">
      <alignment horizontal="center"/>
    </xf>
    <xf numFmtId="0" fontId="164" fillId="51" borderId="76" xfId="8736" applyFont="1" applyFill="1" applyBorder="1" applyAlignment="1">
      <alignment horizontal="center"/>
    </xf>
    <xf numFmtId="0" fontId="165" fillId="45" borderId="72" xfId="8736" applyFont="1" applyFill="1" applyBorder="1" applyAlignment="1">
      <alignment horizontal="right"/>
    </xf>
    <xf numFmtId="0" fontId="165" fillId="45" borderId="11" xfId="8736" applyFont="1" applyFill="1" applyBorder="1" applyAlignment="1">
      <alignment horizontal="right"/>
    </xf>
    <xf numFmtId="168" fontId="165" fillId="48" borderId="11" xfId="700" applyNumberFormat="1" applyFont="1" applyFill="1" applyBorder="1" applyAlignment="1" applyProtection="1">
      <alignment horizontal="left"/>
      <protection locked="0"/>
    </xf>
    <xf numFmtId="168" fontId="163" fillId="44" borderId="11" xfId="700" applyNumberFormat="1" applyFont="1" applyFill="1" applyBorder="1" applyAlignment="1" applyProtection="1">
      <alignment horizontal="left"/>
      <protection locked="0"/>
    </xf>
    <xf numFmtId="0" fontId="94" fillId="45" borderId="71" xfId="8736" applyFont="1" applyFill="1" applyBorder="1" applyAlignment="1">
      <alignment horizontal="center"/>
    </xf>
    <xf numFmtId="0" fontId="157" fillId="45" borderId="67" xfId="8736" applyFont="1" applyFill="1" applyBorder="1" applyAlignment="1">
      <alignment horizontal="left"/>
    </xf>
    <xf numFmtId="0" fontId="157" fillId="45" borderId="68" xfId="8736" applyFont="1" applyFill="1" applyBorder="1" applyAlignment="1">
      <alignment horizontal="left"/>
    </xf>
    <xf numFmtId="0" fontId="157" fillId="45" borderId="71" xfId="8736" applyFont="1" applyFill="1" applyBorder="1" applyAlignment="1">
      <alignment horizontal="left"/>
    </xf>
    <xf numFmtId="0" fontId="94" fillId="45" borderId="72" xfId="8736" applyFont="1" applyFill="1" applyBorder="1" applyAlignment="1">
      <alignment horizontal="center"/>
    </xf>
    <xf numFmtId="0" fontId="94" fillId="45" borderId="11" xfId="8736" applyFont="1" applyFill="1" applyBorder="1" applyAlignment="1">
      <alignment horizontal="center"/>
    </xf>
    <xf numFmtId="0" fontId="94" fillId="45" borderId="76" xfId="8736" applyFont="1" applyFill="1" applyBorder="1" applyAlignment="1">
      <alignment horizontal="center"/>
    </xf>
    <xf numFmtId="0" fontId="163" fillId="48" borderId="72" xfId="8736" applyFont="1" applyFill="1" applyBorder="1" applyAlignment="1" applyProtection="1">
      <alignment horizontal="left" vertical="top"/>
      <protection locked="0"/>
    </xf>
    <xf numFmtId="0" fontId="163" fillId="48" borderId="11" xfId="8736" applyFont="1" applyFill="1" applyBorder="1" applyAlignment="1" applyProtection="1">
      <alignment horizontal="left" vertical="top"/>
      <protection locked="0"/>
    </xf>
    <xf numFmtId="0" fontId="163" fillId="48" borderId="76" xfId="8736" applyFont="1" applyFill="1" applyBorder="1" applyAlignment="1" applyProtection="1">
      <alignment horizontal="left" vertical="top"/>
      <protection locked="0"/>
    </xf>
    <xf numFmtId="0" fontId="163" fillId="48" borderId="69" xfId="8736" applyFont="1" applyFill="1" applyBorder="1" applyAlignment="1" applyProtection="1">
      <alignment horizontal="left" vertical="top"/>
      <protection locked="0"/>
    </xf>
    <xf numFmtId="0" fontId="163" fillId="48" borderId="70" xfId="8736" applyFont="1" applyFill="1" applyBorder="1" applyAlignment="1" applyProtection="1">
      <alignment horizontal="left" vertical="top"/>
      <protection locked="0"/>
    </xf>
    <xf numFmtId="0" fontId="163" fillId="48" borderId="77" xfId="8736" applyFont="1" applyFill="1" applyBorder="1" applyAlignment="1" applyProtection="1">
      <alignment horizontal="left" vertical="top"/>
      <protection locked="0"/>
    </xf>
    <xf numFmtId="14" fontId="163" fillId="48" borderId="11" xfId="8736" applyNumberFormat="1" applyFont="1" applyFill="1" applyBorder="1" applyAlignment="1" applyProtection="1">
      <alignment horizontal="center"/>
      <protection locked="0"/>
    </xf>
    <xf numFmtId="14" fontId="163" fillId="48" borderId="76" xfId="8736" applyNumberFormat="1" applyFont="1" applyFill="1" applyBorder="1" applyAlignment="1" applyProtection="1">
      <alignment horizontal="center"/>
      <protection locked="0"/>
    </xf>
    <xf numFmtId="0" fontId="163" fillId="48" borderId="69" xfId="8736" applyFont="1" applyFill="1" applyBorder="1" applyAlignment="1" applyProtection="1">
      <alignment horizontal="center"/>
      <protection locked="0"/>
    </xf>
    <xf numFmtId="0" fontId="163" fillId="48" borderId="70" xfId="8736" applyFont="1" applyFill="1" applyBorder="1" applyAlignment="1" applyProtection="1">
      <alignment horizontal="center"/>
      <protection locked="0"/>
    </xf>
    <xf numFmtId="14" fontId="163" fillId="48" borderId="70" xfId="8736" applyNumberFormat="1" applyFont="1" applyFill="1" applyBorder="1" applyAlignment="1" applyProtection="1">
      <alignment horizontal="center"/>
      <protection locked="0"/>
    </xf>
    <xf numFmtId="14" fontId="163"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center"/>
    </xf>
    <xf numFmtId="0" fontId="162" fillId="45" borderId="11" xfId="8736" applyFont="1" applyFill="1" applyBorder="1" applyAlignment="1">
      <alignment horizontal="center"/>
    </xf>
    <xf numFmtId="0" fontId="166" fillId="48" borderId="11" xfId="8736" applyFont="1" applyFill="1" applyBorder="1" applyAlignment="1" applyProtection="1">
      <alignment horizontal="left"/>
      <protection locked="0"/>
    </xf>
    <xf numFmtId="14" fontId="165" fillId="48" borderId="11" xfId="8736" applyNumberFormat="1" applyFont="1" applyFill="1" applyBorder="1" applyAlignment="1" applyProtection="1">
      <alignment horizontal="center"/>
      <protection locked="0"/>
    </xf>
    <xf numFmtId="168" fontId="165" fillId="48" borderId="11" xfId="8737" applyNumberFormat="1" applyFont="1" applyFill="1" applyBorder="1" applyAlignment="1" applyProtection="1">
      <alignment horizontal="center"/>
      <protection locked="0"/>
    </xf>
    <xf numFmtId="168" fontId="165" fillId="48" borderId="76" xfId="8737" applyNumberFormat="1" applyFont="1" applyFill="1" applyBorder="1" applyAlignment="1" applyProtection="1">
      <alignment horizontal="center"/>
      <protection locked="0"/>
    </xf>
    <xf numFmtId="0" fontId="162" fillId="45" borderId="69" xfId="8736" applyFont="1" applyFill="1" applyBorder="1" applyAlignment="1">
      <alignment horizontal="center"/>
    </xf>
    <xf numFmtId="0" fontId="162" fillId="45" borderId="70" xfId="8736" applyFont="1" applyFill="1" applyBorder="1" applyAlignment="1">
      <alignment horizontal="center"/>
    </xf>
    <xf numFmtId="0" fontId="166" fillId="48" borderId="70" xfId="8736" applyFont="1" applyFill="1" applyBorder="1" applyAlignment="1" applyProtection="1">
      <alignment horizontal="left"/>
      <protection locked="0"/>
    </xf>
    <xf numFmtId="0" fontId="165" fillId="48" borderId="70" xfId="8736" applyFont="1" applyFill="1" applyBorder="1" applyAlignment="1" applyProtection="1">
      <alignment horizontal="center"/>
      <protection locked="0"/>
    </xf>
    <xf numFmtId="14" fontId="165" fillId="48" borderId="70" xfId="8736" applyNumberFormat="1" applyFont="1" applyFill="1" applyBorder="1" applyAlignment="1" applyProtection="1">
      <alignment horizontal="center"/>
      <protection locked="0"/>
    </xf>
    <xf numFmtId="168" fontId="165" fillId="48" borderId="70" xfId="8737" applyNumberFormat="1" applyFont="1" applyFill="1" applyBorder="1" applyAlignment="1" applyProtection="1">
      <alignment horizontal="center"/>
      <protection locked="0"/>
    </xf>
    <xf numFmtId="168" fontId="165" fillId="48" borderId="77" xfId="8737" applyNumberFormat="1" applyFont="1" applyFill="1" applyBorder="1" applyAlignment="1" applyProtection="1">
      <alignment horizontal="center"/>
      <protection locked="0"/>
    </xf>
    <xf numFmtId="0" fontId="167" fillId="45" borderId="69" xfId="8736" applyFont="1" applyFill="1" applyBorder="1" applyAlignment="1">
      <alignment horizontal="left"/>
    </xf>
    <xf numFmtId="0" fontId="16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57" fillId="45" borderId="67" xfId="8736" applyFont="1" applyFill="1" applyBorder="1" applyAlignment="1">
      <alignment horizontal="center"/>
    </xf>
    <xf numFmtId="0" fontId="156" fillId="45" borderId="11" xfId="8736" applyFont="1" applyFill="1" applyBorder="1" applyAlignment="1">
      <alignment horizontal="center"/>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56" fillId="45" borderId="11" xfId="8736" applyFont="1" applyFill="1" applyBorder="1" applyAlignment="1">
      <alignment horizontal="center" wrapText="1"/>
    </xf>
    <xf numFmtId="0" fontId="156" fillId="45" borderId="76" xfId="8736" applyFont="1" applyFill="1" applyBorder="1" applyAlignment="1">
      <alignment horizontal="center" wrapText="1"/>
    </xf>
    <xf numFmtId="0" fontId="156" fillId="48" borderId="90" xfId="8736" applyFont="1" applyFill="1" applyBorder="1" applyAlignment="1">
      <alignment horizontal="left"/>
    </xf>
    <xf numFmtId="0" fontId="156" fillId="48" borderId="4" xfId="8736" applyFont="1" applyFill="1" applyBorder="1" applyAlignment="1">
      <alignment horizontal="left"/>
    </xf>
    <xf numFmtId="0" fontId="156" fillId="48" borderId="5" xfId="8736" applyFont="1" applyFill="1" applyBorder="1" applyAlignment="1">
      <alignment horizontal="left"/>
    </xf>
    <xf numFmtId="0" fontId="160" fillId="48" borderId="68" xfId="8736" applyFont="1" applyFill="1" applyBorder="1" applyAlignment="1" applyProtection="1">
      <alignment horizontal="left"/>
      <protection locked="0"/>
    </xf>
    <xf numFmtId="0" fontId="160" fillId="48" borderId="71" xfId="8736" applyFont="1" applyFill="1" applyBorder="1" applyAlignment="1" applyProtection="1">
      <alignment horizontal="left"/>
      <protection locked="0"/>
    </xf>
    <xf numFmtId="0" fontId="156" fillId="45" borderId="72" xfId="8736" applyFont="1" applyFill="1" applyBorder="1" applyAlignment="1">
      <alignment horizontal="left"/>
    </xf>
    <xf numFmtId="0" fontId="156" fillId="45" borderId="11" xfId="8736" applyFont="1" applyFill="1" applyBorder="1" applyAlignment="1">
      <alignment horizontal="left"/>
    </xf>
    <xf numFmtId="0" fontId="168" fillId="48" borderId="11" xfId="8736" applyFont="1" applyFill="1" applyBorder="1" applyAlignment="1" applyProtection="1">
      <alignment horizontal="left"/>
      <protection locked="0"/>
    </xf>
    <xf numFmtId="0" fontId="168" fillId="48" borderId="76" xfId="8736" applyFont="1" applyFill="1" applyBorder="1" applyAlignment="1" applyProtection="1">
      <alignment horizontal="left"/>
      <protection locked="0"/>
    </xf>
    <xf numFmtId="0" fontId="165" fillId="48" borderId="72" xfId="8736" applyFont="1" applyFill="1" applyBorder="1" applyAlignment="1" applyProtection="1">
      <alignment horizontal="left" vertical="top"/>
      <protection locked="0"/>
    </xf>
    <xf numFmtId="0" fontId="165" fillId="48" borderId="11" xfId="8736" applyFont="1" applyFill="1" applyBorder="1" applyAlignment="1" applyProtection="1">
      <alignment horizontal="left" vertical="top"/>
      <protection locked="0"/>
    </xf>
    <xf numFmtId="0" fontId="165" fillId="48" borderId="76" xfId="8736" applyFont="1" applyFill="1" applyBorder="1" applyAlignment="1" applyProtection="1">
      <alignment horizontal="left" vertical="top"/>
      <protection locked="0"/>
    </xf>
    <xf numFmtId="0" fontId="165" fillId="48" borderId="69" xfId="8736" applyFont="1" applyFill="1" applyBorder="1" applyAlignment="1" applyProtection="1">
      <alignment horizontal="left" vertical="top"/>
      <protection locked="0"/>
    </xf>
    <xf numFmtId="0" fontId="165" fillId="48" borderId="70" xfId="8736" applyFont="1" applyFill="1" applyBorder="1" applyAlignment="1" applyProtection="1">
      <alignment horizontal="left" vertical="top"/>
      <protection locked="0"/>
    </xf>
    <xf numFmtId="0" fontId="165" fillId="48" borderId="77" xfId="8736" applyFont="1" applyFill="1" applyBorder="1" applyAlignment="1" applyProtection="1">
      <alignment horizontal="left" vertical="top"/>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60" fillId="48" borderId="3" xfId="8736" applyFont="1" applyFill="1" applyBorder="1" applyAlignment="1" applyProtection="1">
      <alignment horizontal="center"/>
      <protection locked="0"/>
    </xf>
    <xf numFmtId="0" fontId="160" fillId="48" borderId="4" xfId="8736" applyFont="1" applyFill="1" applyBorder="1" applyAlignment="1" applyProtection="1">
      <alignment horizontal="center"/>
      <protection locked="0"/>
    </xf>
    <xf numFmtId="0" fontId="160" fillId="48" borderId="81" xfId="8736" applyFont="1" applyFill="1" applyBorder="1" applyAlignment="1" applyProtection="1">
      <alignment horizontal="center"/>
      <protection locked="0"/>
    </xf>
    <xf numFmtId="0" fontId="164" fillId="45" borderId="11" xfId="8736" applyFont="1" applyFill="1" applyBorder="1" applyAlignment="1">
      <alignment horizontal="center"/>
    </xf>
    <xf numFmtId="0" fontId="170" fillId="45" borderId="11" xfId="8736" applyFont="1" applyFill="1" applyBorder="1" applyAlignment="1">
      <alignment horizontal="left"/>
    </xf>
    <xf numFmtId="0" fontId="170" fillId="45" borderId="76" xfId="8736" applyFont="1" applyFill="1" applyBorder="1" applyAlignment="1">
      <alignment horizontal="left"/>
    </xf>
    <xf numFmtId="0" fontId="157" fillId="45" borderId="93" xfId="8736" applyFont="1" applyFill="1" applyBorder="1" applyAlignment="1">
      <alignment horizontal="center"/>
    </xf>
    <xf numFmtId="0" fontId="157" fillId="45" borderId="92" xfId="8736" applyFont="1" applyFill="1" applyBorder="1" applyAlignment="1">
      <alignment horizontal="center"/>
    </xf>
    <xf numFmtId="0" fontId="157" fillId="45" borderId="91" xfId="8736" applyFont="1" applyFill="1" applyBorder="1" applyAlignment="1">
      <alignment horizontal="center"/>
    </xf>
    <xf numFmtId="0" fontId="164" fillId="45" borderId="72" xfId="8736" applyFont="1" applyFill="1" applyBorder="1" applyAlignment="1">
      <alignment horizontal="center"/>
    </xf>
    <xf numFmtId="0" fontId="94" fillId="45" borderId="67" xfId="8736" applyFont="1" applyFill="1" applyBorder="1" applyAlignment="1" applyProtection="1">
      <alignment horizontal="left" vertical="center" wrapText="1"/>
      <protection locked="0"/>
    </xf>
    <xf numFmtId="0" fontId="94" fillId="45" borderId="68" xfId="8736" applyFont="1" applyFill="1" applyBorder="1" applyAlignment="1" applyProtection="1">
      <alignment horizontal="left" vertical="center" wrapText="1"/>
      <protection locked="0"/>
    </xf>
    <xf numFmtId="0" fontId="94" fillId="45" borderId="72" xfId="8736" applyFont="1" applyFill="1" applyBorder="1" applyAlignment="1" applyProtection="1">
      <alignment horizontal="left" vertical="center" wrapText="1"/>
      <protection locked="0"/>
    </xf>
    <xf numFmtId="0" fontId="94" fillId="45" borderId="11" xfId="8736" applyFont="1" applyFill="1" applyBorder="1" applyAlignment="1" applyProtection="1">
      <alignment horizontal="left" vertical="center" wrapText="1"/>
      <protection locked="0"/>
    </xf>
    <xf numFmtId="0" fontId="160" fillId="48" borderId="68" xfId="8736" applyFont="1" applyFill="1" applyBorder="1" applyAlignment="1" applyProtection="1">
      <alignment horizontal="left" vertical="center" wrapText="1"/>
      <protection locked="0"/>
    </xf>
    <xf numFmtId="0" fontId="160" fillId="48" borderId="71" xfId="8736" applyFont="1" applyFill="1" applyBorder="1" applyAlignment="1" applyProtection="1">
      <alignment horizontal="left" vertical="center" wrapText="1"/>
      <protection locked="0"/>
    </xf>
    <xf numFmtId="0" fontId="160" fillId="48" borderId="11" xfId="8736" applyFont="1" applyFill="1" applyBorder="1" applyAlignment="1" applyProtection="1">
      <alignment horizontal="left" vertical="center" wrapText="1"/>
      <protection locked="0"/>
    </xf>
    <xf numFmtId="0" fontId="160" fillId="48" borderId="76" xfId="8736" applyFont="1" applyFill="1" applyBorder="1" applyAlignment="1" applyProtection="1">
      <alignment horizontal="left" vertical="center" wrapText="1"/>
      <protection locked="0"/>
    </xf>
    <xf numFmtId="0" fontId="163" fillId="48" borderId="72" xfId="8736" applyFont="1" applyFill="1" applyBorder="1" applyAlignment="1" applyProtection="1">
      <alignment horizontal="left" vertical="top" wrapText="1"/>
      <protection locked="0"/>
    </xf>
    <xf numFmtId="0" fontId="163" fillId="48" borderId="11" xfId="8736" applyFont="1" applyFill="1" applyBorder="1" applyAlignment="1" applyProtection="1">
      <alignment horizontal="left" vertical="top" wrapText="1"/>
      <protection locked="0"/>
    </xf>
    <xf numFmtId="0" fontId="163" fillId="48" borderId="69" xfId="8736" applyFont="1" applyFill="1" applyBorder="1" applyAlignment="1" applyProtection="1">
      <alignment horizontal="left" vertical="top" wrapText="1"/>
      <protection locked="0"/>
    </xf>
    <xf numFmtId="0" fontId="163" fillId="48" borderId="70" xfId="8736" applyFont="1" applyFill="1" applyBorder="1" applyAlignment="1" applyProtection="1">
      <alignment horizontal="left" vertical="top" wrapText="1"/>
      <protection locked="0"/>
    </xf>
    <xf numFmtId="0" fontId="160" fillId="48" borderId="11" xfId="8736" applyFont="1" applyFill="1" applyBorder="1" applyAlignment="1" applyProtection="1">
      <alignment horizontal="center" vertical="center" wrapText="1"/>
      <protection locked="0"/>
    </xf>
    <xf numFmtId="0" fontId="160" fillId="48" borderId="76" xfId="8736" applyFont="1" applyFill="1" applyBorder="1" applyAlignment="1" applyProtection="1">
      <alignment horizontal="center" vertical="center" wrapText="1"/>
      <protection locked="0"/>
    </xf>
    <xf numFmtId="0" fontId="160" fillId="48" borderId="70" xfId="8736" applyFont="1" applyFill="1" applyBorder="1" applyAlignment="1" applyProtection="1">
      <alignment horizontal="center" vertical="center" wrapText="1"/>
      <protection locked="0"/>
    </xf>
    <xf numFmtId="0" fontId="16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94" fillId="45" borderId="67" xfId="8736" applyFont="1" applyFill="1" applyBorder="1" applyAlignment="1">
      <alignment horizontal="left" wrapText="1"/>
    </xf>
    <xf numFmtId="0" fontId="94" fillId="45" borderId="68" xfId="8736" applyFont="1" applyFill="1" applyBorder="1" applyAlignment="1">
      <alignment horizontal="left" wrapText="1"/>
    </xf>
    <xf numFmtId="0" fontId="94" fillId="45" borderId="71" xfId="8736" applyFont="1" applyFill="1" applyBorder="1" applyAlignment="1">
      <alignment horizontal="left" wrapText="1"/>
    </xf>
    <xf numFmtId="0" fontId="94" fillId="45" borderId="72" xfId="8736" applyFont="1" applyFill="1" applyBorder="1" applyAlignment="1">
      <alignment horizontal="left" wrapText="1"/>
    </xf>
    <xf numFmtId="0" fontId="94" fillId="45" borderId="11" xfId="8736" applyFont="1" applyFill="1" applyBorder="1" applyAlignment="1">
      <alignment horizontal="left" wrapText="1"/>
    </xf>
    <xf numFmtId="0" fontId="94" fillId="45" borderId="76" xfId="8736" applyFont="1" applyFill="1" applyBorder="1" applyAlignment="1">
      <alignment horizontal="left" wrapText="1"/>
    </xf>
    <xf numFmtId="0" fontId="94" fillId="45" borderId="65" xfId="8736" applyFont="1" applyFill="1" applyBorder="1" applyAlignment="1">
      <alignment horizontal="center"/>
    </xf>
    <xf numFmtId="0" fontId="94" fillId="45" borderId="29" xfId="8736" applyFont="1" applyFill="1" applyBorder="1" applyAlignment="1">
      <alignment horizontal="center"/>
    </xf>
    <xf numFmtId="0" fontId="94" fillId="45" borderId="31" xfId="8736" applyFont="1" applyFill="1" applyBorder="1" applyAlignment="1">
      <alignment horizontal="center"/>
    </xf>
    <xf numFmtId="0" fontId="164" fillId="45" borderId="69" xfId="8736" applyFont="1" applyFill="1" applyBorder="1" applyAlignment="1">
      <alignment horizontal="center"/>
    </xf>
    <xf numFmtId="0" fontId="164" fillId="45" borderId="70" xfId="8736" applyFont="1" applyFill="1" applyBorder="1" applyAlignment="1">
      <alignment horizontal="center"/>
    </xf>
    <xf numFmtId="0" fontId="164" fillId="45" borderId="11" xfId="8736" applyFont="1" applyFill="1" applyBorder="1" applyAlignment="1">
      <alignment horizontal="center" wrapText="1"/>
    </xf>
    <xf numFmtId="0" fontId="15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94" fillId="45" borderId="67" xfId="8736" applyFont="1" applyFill="1" applyBorder="1" applyAlignment="1">
      <alignment horizontal="center" wrapText="1"/>
    </xf>
    <xf numFmtId="0" fontId="94" fillId="45" borderId="68" xfId="8736" applyFont="1" applyFill="1" applyBorder="1" applyAlignment="1">
      <alignment horizontal="center" wrapText="1"/>
    </xf>
    <xf numFmtId="0" fontId="94" fillId="45" borderId="71" xfId="8736" applyFont="1" applyFill="1" applyBorder="1" applyAlignment="1">
      <alignment horizontal="center" wrapText="1"/>
    </xf>
    <xf numFmtId="0" fontId="160" fillId="48" borderId="68" xfId="8736" applyFont="1" applyFill="1" applyBorder="1" applyAlignment="1" applyProtection="1">
      <alignment horizontal="left" wrapText="1"/>
      <protection locked="0"/>
    </xf>
    <xf numFmtId="0" fontId="160" fillId="48" borderId="71" xfId="8736" applyFont="1" applyFill="1" applyBorder="1" applyAlignment="1" applyProtection="1">
      <alignment horizontal="left" wrapText="1"/>
      <protection locked="0"/>
    </xf>
    <xf numFmtId="0" fontId="160" fillId="48" borderId="11" xfId="8736" applyFont="1" applyFill="1" applyBorder="1" applyAlignment="1" applyProtection="1">
      <alignment horizontal="left" wrapText="1"/>
      <protection locked="0"/>
    </xf>
    <xf numFmtId="0" fontId="160" fillId="48" borderId="76" xfId="8736" applyFont="1" applyFill="1" applyBorder="1" applyAlignment="1" applyProtection="1">
      <alignment horizontal="left" wrapText="1"/>
      <protection locked="0"/>
    </xf>
    <xf numFmtId="0" fontId="165" fillId="48" borderId="72" xfId="8736" applyFont="1" applyFill="1" applyBorder="1" applyAlignment="1" applyProtection="1">
      <alignment horizontal="right"/>
      <protection locked="0"/>
    </xf>
    <xf numFmtId="0" fontId="165" fillId="48" borderId="11" xfId="8736" applyFont="1" applyFill="1" applyBorder="1" applyAlignment="1" applyProtection="1">
      <alignment horizontal="right"/>
      <protection locked="0"/>
    </xf>
    <xf numFmtId="168" fontId="165" fillId="48" borderId="76" xfId="700" applyNumberFormat="1" applyFont="1" applyFill="1" applyBorder="1" applyAlignment="1" applyProtection="1">
      <alignment horizontal="left"/>
      <protection locked="0"/>
    </xf>
    <xf numFmtId="0" fontId="157" fillId="45" borderId="98" xfId="8736" applyFont="1" applyFill="1" applyBorder="1" applyAlignment="1">
      <alignment horizontal="center"/>
    </xf>
    <xf numFmtId="0" fontId="157" fillId="45" borderId="13" xfId="8736" applyFont="1" applyFill="1" applyBorder="1" applyAlignment="1">
      <alignment horizontal="center"/>
    </xf>
    <xf numFmtId="0" fontId="163" fillId="48" borderId="72" xfId="8736" applyFont="1" applyFill="1" applyBorder="1" applyAlignment="1" applyProtection="1">
      <alignment horizontal="right"/>
      <protection locked="0"/>
    </xf>
    <xf numFmtId="0" fontId="163" fillId="48" borderId="11" xfId="8736" applyFont="1" applyFill="1" applyBorder="1" applyAlignment="1" applyProtection="1">
      <alignment horizontal="right"/>
      <protection locked="0"/>
    </xf>
    <xf numFmtId="0" fontId="157" fillId="45" borderId="89" xfId="8736" applyFont="1" applyFill="1" applyBorder="1" applyAlignment="1">
      <alignment horizontal="right"/>
    </xf>
    <xf numFmtId="0" fontId="157" fillId="45" borderId="43" xfId="8736" applyFont="1" applyFill="1" applyBorder="1" applyAlignment="1">
      <alignment horizontal="right"/>
    </xf>
    <xf numFmtId="168" fontId="157" fillId="45" borderId="43" xfId="8736" applyNumberFormat="1" applyFont="1" applyFill="1" applyBorder="1" applyAlignment="1">
      <alignment horizontal="left"/>
    </xf>
    <xf numFmtId="168" fontId="157" fillId="45" borderId="88" xfId="8736" applyNumberFormat="1" applyFont="1" applyFill="1" applyBorder="1" applyAlignment="1">
      <alignment horizontal="left"/>
    </xf>
    <xf numFmtId="0" fontId="163" fillId="48" borderId="68" xfId="8736" applyFont="1" applyFill="1" applyBorder="1" applyAlignment="1" applyProtection="1">
      <alignment horizontal="left"/>
      <protection locked="0"/>
    </xf>
    <xf numFmtId="0" fontId="163" fillId="48" borderId="71" xfId="8736" applyFont="1" applyFill="1" applyBorder="1" applyAlignment="1" applyProtection="1">
      <alignment horizontal="left"/>
      <protection locked="0"/>
    </xf>
    <xf numFmtId="0" fontId="157" fillId="45" borderId="69" xfId="8736" applyFont="1" applyFill="1" applyBorder="1" applyAlignment="1">
      <alignment horizontal="center"/>
    </xf>
    <xf numFmtId="0" fontId="157" fillId="45" borderId="70" xfId="8736" applyFont="1" applyFill="1" applyBorder="1" applyAlignment="1">
      <alignment horizontal="center"/>
    </xf>
    <xf numFmtId="0" fontId="163" fillId="48" borderId="70" xfId="8736" applyFont="1" applyFill="1" applyBorder="1" applyAlignment="1" applyProtection="1">
      <alignment horizontal="left"/>
      <protection locked="0"/>
    </xf>
    <xf numFmtId="0" fontId="163" fillId="48" borderId="77" xfId="8736" applyFont="1" applyFill="1" applyBorder="1" applyAlignment="1" applyProtection="1">
      <alignment horizontal="left"/>
      <protection locked="0"/>
    </xf>
    <xf numFmtId="0" fontId="160" fillId="48" borderId="74" xfId="8736" applyFont="1" applyFill="1" applyBorder="1" applyAlignment="1" applyProtection="1">
      <alignment horizontal="left"/>
      <protection locked="0"/>
    </xf>
    <xf numFmtId="0" fontId="157" fillId="45" borderId="72" xfId="8736" applyFont="1" applyFill="1" applyBorder="1" applyAlignment="1">
      <alignment horizontal="center"/>
    </xf>
    <xf numFmtId="0" fontId="157" fillId="45" borderId="11" xfId="8736" applyFont="1" applyFill="1" applyBorder="1" applyAlignment="1">
      <alignment horizontal="center"/>
    </xf>
    <xf numFmtId="0" fontId="157" fillId="45" borderId="3" xfId="8736" applyFont="1" applyFill="1" applyBorder="1" applyAlignment="1">
      <alignment horizontal="center"/>
    </xf>
    <xf numFmtId="0" fontId="157" fillId="45" borderId="4" xfId="8736" applyFont="1" applyFill="1" applyBorder="1" applyAlignment="1">
      <alignment horizontal="center"/>
    </xf>
    <xf numFmtId="0" fontId="157" fillId="45" borderId="81" xfId="8736" applyFont="1" applyFill="1" applyBorder="1" applyAlignment="1">
      <alignment horizontal="center"/>
    </xf>
    <xf numFmtId="0" fontId="94" fillId="45" borderId="69" xfId="8736" applyFont="1" applyFill="1" applyBorder="1" applyAlignment="1">
      <alignment horizontal="center"/>
    </xf>
    <xf numFmtId="0" fontId="94" fillId="45" borderId="70" xfId="8736" applyFont="1" applyFill="1" applyBorder="1" applyAlignment="1">
      <alignment horizontal="center"/>
    </xf>
    <xf numFmtId="0" fontId="163" fillId="44" borderId="72" xfId="8736" applyFont="1" applyFill="1" applyBorder="1" applyAlignment="1" applyProtection="1">
      <alignment horizontal="right"/>
      <protection locked="0"/>
    </xf>
    <xf numFmtId="0" fontId="163" fillId="44" borderId="11" xfId="8736" applyFont="1" applyFill="1" applyBorder="1" applyAlignment="1" applyProtection="1">
      <alignment horizontal="right"/>
      <protection locked="0"/>
    </xf>
    <xf numFmtId="0" fontId="163" fillId="44" borderId="76" xfId="8736" applyFont="1" applyFill="1" applyBorder="1" applyAlignment="1" applyProtection="1">
      <alignment horizontal="right"/>
      <protection locked="0"/>
    </xf>
    <xf numFmtId="0" fontId="163" fillId="48" borderId="5" xfId="8736" applyFont="1" applyFill="1" applyBorder="1" applyAlignment="1" applyProtection="1">
      <alignment horizontal="left"/>
      <protection locked="0"/>
    </xf>
    <xf numFmtId="0" fontId="163" fillId="44" borderId="69" xfId="8736" applyFont="1" applyFill="1" applyBorder="1" applyAlignment="1" applyProtection="1">
      <alignment horizontal="right"/>
      <protection locked="0"/>
    </xf>
    <xf numFmtId="0" fontId="163" fillId="44" borderId="70" xfId="8736" applyFont="1" applyFill="1" applyBorder="1" applyAlignment="1" applyProtection="1">
      <alignment horizontal="right"/>
      <protection locked="0"/>
    </xf>
    <xf numFmtId="0" fontId="163" fillId="44" borderId="77" xfId="8736" applyFont="1" applyFill="1" applyBorder="1" applyAlignment="1" applyProtection="1">
      <alignment horizontal="right"/>
      <protection locked="0"/>
    </xf>
    <xf numFmtId="0" fontId="163" fillId="48" borderId="95" xfId="8736" applyFont="1" applyFill="1" applyBorder="1" applyAlignment="1" applyProtection="1">
      <alignment horizontal="left"/>
      <protection locked="0"/>
    </xf>
    <xf numFmtId="0" fontId="157" fillId="45" borderId="65" xfId="8736" applyFont="1" applyFill="1" applyBorder="1" applyAlignment="1">
      <alignment horizontal="center"/>
    </xf>
    <xf numFmtId="0" fontId="157" fillId="45" borderId="29" xfId="8736" applyFont="1" applyFill="1" applyBorder="1" applyAlignment="1">
      <alignment horizontal="center"/>
    </xf>
    <xf numFmtId="0" fontId="157" fillId="45" borderId="31" xfId="8736" applyFont="1" applyFill="1" applyBorder="1" applyAlignment="1">
      <alignment horizontal="center"/>
    </xf>
    <xf numFmtId="168" fontId="163" fillId="48" borderId="11" xfId="8737" applyNumberFormat="1" applyFont="1" applyFill="1" applyBorder="1" applyAlignment="1" applyProtection="1">
      <alignment horizontal="center"/>
      <protection locked="0"/>
    </xf>
    <xf numFmtId="1" fontId="163" fillId="48" borderId="11" xfId="8736" applyNumberFormat="1" applyFont="1" applyFill="1" applyBorder="1" applyAlignment="1" applyProtection="1">
      <alignment horizontal="center"/>
      <protection locked="0"/>
    </xf>
    <xf numFmtId="0" fontId="163" fillId="48" borderId="11" xfId="700" applyNumberFormat="1" applyFont="1" applyFill="1" applyBorder="1" applyAlignment="1" applyProtection="1">
      <alignment horizontal="left"/>
      <protection locked="0"/>
    </xf>
    <xf numFmtId="0" fontId="163" fillId="48" borderId="76" xfId="700" applyNumberFormat="1" applyFont="1" applyFill="1" applyBorder="1" applyAlignment="1" applyProtection="1">
      <alignment horizontal="left"/>
      <protection locked="0"/>
    </xf>
    <xf numFmtId="168" fontId="164" fillId="45" borderId="70" xfId="8737" applyNumberFormat="1" applyFont="1" applyFill="1" applyBorder="1" applyAlignment="1">
      <alignment horizontal="center"/>
    </xf>
    <xf numFmtId="1" fontId="164" fillId="45" borderId="70" xfId="8737" applyNumberFormat="1" applyFont="1" applyFill="1" applyBorder="1" applyAlignment="1">
      <alignment horizontal="center"/>
    </xf>
    <xf numFmtId="0" fontId="164" fillId="45" borderId="70" xfId="8737" applyNumberFormat="1" applyFont="1" applyFill="1" applyBorder="1" applyAlignment="1">
      <alignment horizontal="center"/>
    </xf>
    <xf numFmtId="0" fontId="164" fillId="45" borderId="77" xfId="8737" applyNumberFormat="1" applyFont="1" applyFill="1" applyBorder="1" applyAlignment="1">
      <alignment horizontal="center"/>
    </xf>
    <xf numFmtId="0" fontId="156" fillId="45" borderId="11" xfId="8736" applyFont="1" applyFill="1" applyBorder="1" applyAlignment="1">
      <alignment horizontal="center" vertical="center" wrapText="1"/>
    </xf>
    <xf numFmtId="0" fontId="156" fillId="45" borderId="76" xfId="8736" applyFont="1" applyFill="1" applyBorder="1" applyAlignment="1">
      <alignment horizontal="center" vertical="center" wrapText="1"/>
    </xf>
    <xf numFmtId="1" fontId="168" fillId="48" borderId="70" xfId="8736" applyNumberFormat="1" applyFont="1" applyFill="1" applyBorder="1" applyAlignment="1" applyProtection="1">
      <alignment horizontal="center"/>
      <protection locked="0"/>
    </xf>
    <xf numFmtId="1" fontId="168" fillId="48" borderId="94" xfId="8736" applyNumberFormat="1" applyFont="1" applyFill="1" applyBorder="1" applyAlignment="1" applyProtection="1">
      <alignment horizontal="center"/>
      <protection locked="0"/>
    </xf>
    <xf numFmtId="1" fontId="168" fillId="48" borderId="86" xfId="8736" applyNumberFormat="1" applyFont="1" applyFill="1" applyBorder="1" applyAlignment="1" applyProtection="1">
      <alignment horizontal="center"/>
      <protection locked="0"/>
    </xf>
    <xf numFmtId="1" fontId="168" fillId="48" borderId="95" xfId="8736" applyNumberFormat="1" applyFont="1" applyFill="1" applyBorder="1" applyAlignment="1" applyProtection="1">
      <alignment horizontal="center"/>
      <protection locked="0"/>
    </xf>
    <xf numFmtId="1" fontId="168" fillId="48" borderId="3" xfId="8736" applyNumberFormat="1" applyFont="1" applyFill="1" applyBorder="1" applyAlignment="1" applyProtection="1">
      <alignment horizontal="center"/>
      <protection locked="0"/>
    </xf>
    <xf numFmtId="1" fontId="168" fillId="48" borderId="4" xfId="8736" applyNumberFormat="1" applyFont="1" applyFill="1" applyBorder="1" applyAlignment="1" applyProtection="1">
      <alignment horizontal="center"/>
      <protection locked="0"/>
    </xf>
    <xf numFmtId="1" fontId="168" fillId="48" borderId="5" xfId="8736" applyNumberFormat="1" applyFont="1" applyFill="1" applyBorder="1" applyAlignment="1" applyProtection="1">
      <alignment horizontal="center"/>
      <protection locked="0"/>
    </xf>
    <xf numFmtId="1" fontId="156" fillId="44" borderId="3" xfId="8736" applyNumberFormat="1" applyFont="1" applyFill="1" applyBorder="1" applyAlignment="1">
      <alignment horizontal="center"/>
    </xf>
    <xf numFmtId="1" fontId="156" fillId="44" borderId="4" xfId="8736" applyNumberFormat="1" applyFont="1" applyFill="1" applyBorder="1" applyAlignment="1">
      <alignment horizontal="center"/>
    </xf>
    <xf numFmtId="1" fontId="156" fillId="44" borderId="5" xfId="8736" applyNumberFormat="1" applyFont="1" applyFill="1" applyBorder="1" applyAlignment="1">
      <alignment horizontal="center"/>
    </xf>
    <xf numFmtId="9" fontId="156" fillId="44" borderId="3" xfId="8738" applyFont="1" applyFill="1" applyBorder="1" applyAlignment="1">
      <alignment horizontal="center"/>
    </xf>
    <xf numFmtId="9" fontId="156" fillId="44" borderId="4" xfId="8738" applyFont="1" applyFill="1" applyBorder="1" applyAlignment="1">
      <alignment horizontal="center"/>
    </xf>
    <xf numFmtId="9" fontId="156" fillId="44" borderId="81" xfId="8738" applyFont="1" applyFill="1" applyBorder="1" applyAlignment="1">
      <alignment horizontal="center"/>
    </xf>
    <xf numFmtId="0" fontId="163" fillId="48" borderId="69" xfId="8736" applyFont="1" applyFill="1" applyBorder="1" applyAlignment="1" applyProtection="1">
      <alignment horizontal="right"/>
      <protection locked="0"/>
    </xf>
    <xf numFmtId="0" fontId="163" fillId="48" borderId="70" xfId="8736" applyFont="1" applyFill="1" applyBorder="1" applyAlignment="1" applyProtection="1">
      <alignment horizontal="right"/>
      <protection locked="0"/>
    </xf>
    <xf numFmtId="0" fontId="168" fillId="48" borderId="70" xfId="8736" applyFont="1" applyFill="1" applyBorder="1" applyAlignment="1" applyProtection="1">
      <alignment horizontal="center"/>
      <protection locked="0"/>
    </xf>
    <xf numFmtId="9" fontId="156" fillId="44" borderId="94" xfId="8738" applyFont="1" applyFill="1" applyBorder="1" applyAlignment="1">
      <alignment horizontal="center"/>
    </xf>
    <xf numFmtId="9" fontId="156" fillId="44" borderId="86" xfId="8738" applyFont="1" applyFill="1" applyBorder="1" applyAlignment="1">
      <alignment horizontal="center"/>
    </xf>
    <xf numFmtId="9" fontId="156" fillId="44" borderId="85" xfId="8738" applyFont="1" applyFill="1" applyBorder="1" applyAlignment="1">
      <alignment horizontal="center"/>
    </xf>
    <xf numFmtId="0" fontId="168" fillId="48" borderId="11" xfId="8736" applyFont="1" applyFill="1" applyBorder="1" applyAlignment="1" applyProtection="1">
      <alignment horizontal="center"/>
      <protection locked="0"/>
    </xf>
    <xf numFmtId="1" fontId="168" fillId="48" borderId="11" xfId="8736" applyNumberFormat="1" applyFont="1" applyFill="1" applyBorder="1" applyAlignment="1" applyProtection="1">
      <alignment horizontal="center"/>
      <protection locked="0"/>
    </xf>
    <xf numFmtId="0" fontId="164" fillId="44" borderId="101" xfId="8736" applyFont="1" applyFill="1" applyBorder="1" applyAlignment="1">
      <alignment horizontal="center"/>
    </xf>
    <xf numFmtId="0" fontId="164" fillId="44" borderId="42" xfId="8736" applyFont="1" applyFill="1" applyBorder="1" applyAlignment="1">
      <alignment horizontal="center"/>
    </xf>
    <xf numFmtId="0" fontId="164" fillId="44" borderId="96" xfId="8736" applyFont="1" applyFill="1" applyBorder="1" applyAlignment="1">
      <alignment horizontal="center"/>
    </xf>
    <xf numFmtId="9" fontId="164" fillId="44" borderId="101" xfId="1022" applyFont="1" applyFill="1" applyBorder="1" applyAlignment="1">
      <alignment horizontal="center"/>
    </xf>
    <xf numFmtId="9" fontId="164" fillId="44" borderId="42" xfId="1022" applyFont="1" applyFill="1" applyBorder="1" applyAlignment="1">
      <alignment horizontal="center"/>
    </xf>
    <xf numFmtId="9" fontId="164" fillId="44" borderId="44" xfId="1022" applyFont="1" applyFill="1" applyBorder="1" applyAlignment="1">
      <alignment horizontal="center"/>
    </xf>
    <xf numFmtId="0" fontId="157" fillId="45" borderId="80" xfId="8736" applyFont="1" applyFill="1" applyBorder="1" applyAlignment="1">
      <alignment horizontal="center"/>
    </xf>
    <xf numFmtId="0" fontId="157" fillId="45" borderId="79" xfId="8736" applyFont="1" applyFill="1" applyBorder="1" applyAlignment="1">
      <alignment horizontal="center"/>
    </xf>
    <xf numFmtId="0" fontId="157" fillId="45" borderId="78" xfId="8736" applyFont="1" applyFill="1" applyBorder="1" applyAlignment="1">
      <alignment horizontal="center"/>
    </xf>
    <xf numFmtId="0" fontId="156" fillId="45" borderId="98" xfId="8736" applyFont="1" applyFill="1" applyBorder="1" applyAlignment="1">
      <alignment horizontal="center" vertical="center" wrapText="1"/>
    </xf>
    <xf numFmtId="0" fontId="156" fillId="45" borderId="13" xfId="8736" applyFont="1" applyFill="1" applyBorder="1" applyAlignment="1">
      <alignment horizontal="center" vertical="center"/>
    </xf>
    <xf numFmtId="0" fontId="156" fillId="45" borderId="72" xfId="8736" applyFont="1" applyFill="1" applyBorder="1" applyAlignment="1">
      <alignment horizontal="center" vertical="center"/>
    </xf>
    <xf numFmtId="0" fontId="156" fillId="45" borderId="11" xfId="8736" applyFont="1" applyFill="1" applyBorder="1" applyAlignment="1">
      <alignment horizontal="center" vertical="center"/>
    </xf>
    <xf numFmtId="0" fontId="164" fillId="45" borderId="13" xfId="8736" applyFont="1" applyFill="1" applyBorder="1" applyAlignment="1">
      <alignment horizontal="center" vertical="center" wrapText="1"/>
    </xf>
    <xf numFmtId="0" fontId="164" fillId="45" borderId="13" xfId="8736" applyFont="1" applyFill="1" applyBorder="1" applyAlignment="1">
      <alignment horizontal="center" vertical="center"/>
    </xf>
    <xf numFmtId="0" fontId="164" fillId="45" borderId="11" xfId="8736" applyFont="1" applyFill="1" applyBorder="1" applyAlignment="1">
      <alignment horizontal="center" vertical="center"/>
    </xf>
    <xf numFmtId="0" fontId="164" fillId="45" borderId="9" xfId="8736" applyFont="1" applyFill="1" applyBorder="1" applyAlignment="1">
      <alignment horizontal="center" vertical="center"/>
    </xf>
    <xf numFmtId="0" fontId="164" fillId="45" borderId="3" xfId="8736" applyFont="1" applyFill="1" applyBorder="1" applyAlignment="1">
      <alignment horizontal="center" vertic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6" fillId="45" borderId="65" xfId="8736" applyFont="1" applyFill="1" applyBorder="1" applyAlignment="1">
      <alignment horizontal="center" vertical="center" wrapText="1"/>
    </xf>
    <xf numFmtId="0" fontId="156" fillId="45" borderId="29" xfId="8736" applyFont="1" applyFill="1" applyBorder="1" applyAlignment="1">
      <alignment horizontal="center" vertical="center" wrapText="1"/>
    </xf>
    <xf numFmtId="0" fontId="156" fillId="45" borderId="31" xfId="8736" applyFont="1" applyFill="1" applyBorder="1" applyAlignment="1">
      <alignment horizontal="center" vertical="center" wrapText="1"/>
    </xf>
    <xf numFmtId="0" fontId="156" fillId="45" borderId="73" xfId="8736" applyFont="1" applyFill="1" applyBorder="1" applyAlignment="1">
      <alignment horizontal="center" vertical="center" wrapText="1"/>
    </xf>
    <xf numFmtId="0" fontId="156" fillId="45" borderId="42" xfId="8736" applyFont="1" applyFill="1" applyBorder="1" applyAlignment="1">
      <alignment horizontal="center" vertical="center" wrapText="1"/>
    </xf>
    <xf numFmtId="0" fontId="156" fillId="45" borderId="44" xfId="8736" applyFont="1" applyFill="1" applyBorder="1" applyAlignment="1">
      <alignment horizontal="center" vertical="center" wrapText="1"/>
    </xf>
    <xf numFmtId="9" fontId="164" fillId="48" borderId="13" xfId="8736" applyNumberFormat="1" applyFont="1" applyFill="1" applyBorder="1" applyAlignment="1" applyProtection="1">
      <alignment horizontal="center"/>
      <protection locked="0"/>
    </xf>
    <xf numFmtId="0" fontId="164" fillId="44" borderId="73" xfId="8736" applyFont="1" applyFill="1" applyBorder="1" applyAlignment="1">
      <alignment horizontal="center"/>
    </xf>
    <xf numFmtId="0" fontId="156" fillId="44" borderId="9" xfId="8736" applyFont="1" applyFill="1" applyBorder="1" applyAlignment="1">
      <alignment horizontal="center"/>
    </xf>
    <xf numFmtId="0" fontId="156" fillId="44" borderId="6" xfId="8736" applyFont="1" applyFill="1" applyBorder="1" applyAlignment="1">
      <alignment horizontal="center"/>
    </xf>
    <xf numFmtId="0" fontId="156" fillId="44" borderId="82" xfId="8736" applyFont="1" applyFill="1" applyBorder="1" applyAlignment="1">
      <alignment horizontal="center"/>
    </xf>
    <xf numFmtId="9" fontId="164" fillId="48" borderId="9" xfId="8736" applyNumberFormat="1" applyFont="1" applyFill="1" applyBorder="1" applyAlignment="1" applyProtection="1">
      <alignment horizontal="center"/>
      <protection locked="0"/>
    </xf>
    <xf numFmtId="9" fontId="164" fillId="48" borderId="6" xfId="8736" applyNumberFormat="1" applyFont="1" applyFill="1" applyBorder="1" applyAlignment="1" applyProtection="1">
      <alignment horizontal="center"/>
      <protection locked="0"/>
    </xf>
    <xf numFmtId="9" fontId="164" fillId="48" borderId="10" xfId="8736" applyNumberFormat="1" applyFont="1" applyFill="1" applyBorder="1" applyAlignment="1" applyProtection="1">
      <alignment horizontal="center"/>
      <protection locked="0"/>
    </xf>
    <xf numFmtId="9" fontId="156" fillId="48" borderId="9" xfId="8736" applyNumberFormat="1" applyFont="1" applyFill="1" applyBorder="1" applyAlignment="1" applyProtection="1">
      <alignment horizontal="center"/>
      <protection locked="0"/>
    </xf>
    <xf numFmtId="9" fontId="156" fillId="48" borderId="6" xfId="8736" applyNumberFormat="1" applyFont="1" applyFill="1" applyBorder="1" applyAlignment="1" applyProtection="1">
      <alignment horizontal="center"/>
      <protection locked="0"/>
    </xf>
    <xf numFmtId="9" fontId="156" fillId="48" borderId="10" xfId="8736" applyNumberFormat="1" applyFont="1" applyFill="1" applyBorder="1" applyAlignment="1" applyProtection="1">
      <alignment horizontal="center"/>
      <protection locked="0"/>
    </xf>
    <xf numFmtId="0" fontId="156" fillId="44" borderId="10" xfId="8736" applyFont="1" applyFill="1" applyBorder="1" applyAlignment="1">
      <alignment horizontal="center"/>
    </xf>
    <xf numFmtId="0" fontId="163" fillId="48" borderId="3" xfId="8736" applyFont="1" applyFill="1" applyBorder="1" applyAlignment="1" applyProtection="1">
      <alignment horizontal="center"/>
      <protection locked="0"/>
    </xf>
    <xf numFmtId="0" fontId="163" fillId="48" borderId="4" xfId="8736" applyFont="1" applyFill="1" applyBorder="1" applyAlignment="1" applyProtection="1">
      <alignment horizontal="center"/>
      <protection locked="0"/>
    </xf>
    <xf numFmtId="0" fontId="163" fillId="48" borderId="5" xfId="8736" applyFont="1" applyFill="1" applyBorder="1" applyAlignment="1" applyProtection="1">
      <alignment horizontal="center"/>
      <protection locked="0"/>
    </xf>
    <xf numFmtId="10" fontId="164" fillId="44" borderId="3" xfId="8736" applyNumberFormat="1" applyFont="1" applyFill="1" applyBorder="1" applyAlignment="1">
      <alignment horizontal="center"/>
    </xf>
    <xf numFmtId="10" fontId="164" fillId="44" borderId="4" xfId="8736" applyNumberFormat="1" applyFont="1" applyFill="1" applyBorder="1" applyAlignment="1">
      <alignment horizontal="center"/>
    </xf>
    <xf numFmtId="10" fontId="164" fillId="44" borderId="81" xfId="8736" applyNumberFormat="1" applyFont="1" applyFill="1" applyBorder="1" applyAlignment="1">
      <alignment horizontal="center"/>
    </xf>
    <xf numFmtId="0" fontId="164" fillId="44" borderId="87" xfId="8736" applyFont="1" applyFill="1" applyBorder="1" applyAlignment="1">
      <alignment horizontal="center"/>
    </xf>
    <xf numFmtId="0" fontId="164" fillId="44" borderId="86" xfId="8736" applyFont="1" applyFill="1" applyBorder="1" applyAlignment="1">
      <alignment horizontal="center"/>
    </xf>
    <xf numFmtId="0" fontId="164" fillId="44" borderId="95" xfId="8736" applyFont="1" applyFill="1" applyBorder="1" applyAlignment="1">
      <alignment horizontal="center"/>
    </xf>
    <xf numFmtId="0" fontId="163" fillId="44" borderId="94"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10" fontId="164" fillId="44" borderId="94" xfId="8736" applyNumberFormat="1" applyFont="1" applyFill="1" applyBorder="1" applyAlignment="1">
      <alignment horizontal="center"/>
    </xf>
    <xf numFmtId="10" fontId="164" fillId="44" borderId="86" xfId="8736" applyNumberFormat="1" applyFont="1" applyFill="1" applyBorder="1" applyAlignment="1">
      <alignment horizontal="center"/>
    </xf>
    <xf numFmtId="10" fontId="164" fillId="44" borderId="85" xfId="8736" applyNumberFormat="1" applyFont="1" applyFill="1" applyBorder="1" applyAlignment="1">
      <alignment horizontal="center"/>
    </xf>
    <xf numFmtId="9" fontId="163" fillId="48" borderId="90" xfId="8736" applyNumberFormat="1" applyFont="1" applyFill="1" applyBorder="1" applyAlignment="1" applyProtection="1">
      <alignment horizontal="center"/>
      <protection locked="0"/>
    </xf>
    <xf numFmtId="9" fontId="163" fillId="48" borderId="4" xfId="8736" applyNumberFormat="1" applyFont="1" applyFill="1" applyBorder="1" applyAlignment="1" applyProtection="1">
      <alignment horizontal="center"/>
      <protection locked="0"/>
    </xf>
    <xf numFmtId="9" fontId="163" fillId="48" borderId="5" xfId="8736" applyNumberFormat="1" applyFont="1" applyFill="1" applyBorder="1" applyAlignment="1" applyProtection="1">
      <alignment horizontal="center"/>
      <protection locked="0"/>
    </xf>
    <xf numFmtId="0" fontId="163" fillId="44" borderId="3" xfId="8736" applyFont="1" applyFill="1" applyBorder="1" applyAlignment="1">
      <alignment horizontal="center"/>
    </xf>
    <xf numFmtId="0" fontId="163" fillId="44" borderId="4" xfId="8736" applyFont="1" applyFill="1" applyBorder="1" applyAlignment="1">
      <alignment horizontal="center"/>
    </xf>
    <xf numFmtId="0" fontId="163" fillId="44" borderId="5" xfId="8736" applyFont="1" applyFill="1" applyBorder="1" applyAlignment="1">
      <alignment horizontal="center"/>
    </xf>
    <xf numFmtId="0" fontId="94" fillId="45" borderId="80" xfId="8736" applyFont="1" applyFill="1" applyBorder="1" applyAlignment="1">
      <alignment horizontal="right"/>
    </xf>
    <xf numFmtId="0" fontId="94" fillId="45" borderId="79" xfId="8736" applyFont="1" applyFill="1" applyBorder="1" applyAlignment="1">
      <alignment horizontal="right"/>
    </xf>
    <xf numFmtId="0" fontId="9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4" fillId="45" borderId="11" xfId="8736" applyFont="1" applyFill="1" applyBorder="1" applyAlignment="1">
      <alignment horizontal="right"/>
    </xf>
    <xf numFmtId="14" fontId="160" fillId="48" borderId="11" xfId="8736" applyNumberFormat="1" applyFont="1" applyFill="1" applyBorder="1" applyAlignment="1" applyProtection="1">
      <alignment horizontal="center" vertical="center"/>
      <protection locked="0"/>
    </xf>
    <xf numFmtId="0" fontId="160" fillId="48" borderId="11" xfId="8736" applyFont="1" applyFill="1" applyBorder="1" applyAlignment="1" applyProtection="1">
      <alignment horizontal="center" vertical="center"/>
      <protection locked="0"/>
    </xf>
    <xf numFmtId="0" fontId="164" fillId="45" borderId="97" xfId="8736" applyFont="1" applyFill="1" applyBorder="1" applyAlignment="1">
      <alignment horizontal="center"/>
    </xf>
    <xf numFmtId="0" fontId="164" fillId="45" borderId="2" xfId="8736" applyFont="1" applyFill="1" applyBorder="1" applyAlignment="1">
      <alignment horizontal="center"/>
    </xf>
    <xf numFmtId="0" fontId="164" fillId="45" borderId="7" xfId="8736" applyFont="1" applyFill="1" applyBorder="1" applyAlignment="1">
      <alignment horizontal="center"/>
    </xf>
    <xf numFmtId="0" fontId="164" fillId="45" borderId="3" xfId="8736" applyFont="1" applyFill="1" applyBorder="1" applyAlignment="1">
      <alignment horizontal="center"/>
    </xf>
    <xf numFmtId="0" fontId="164" fillId="45" borderId="4" xfId="8736" applyFont="1" applyFill="1" applyBorder="1" applyAlignment="1">
      <alignment horizontal="center"/>
    </xf>
    <xf numFmtId="0" fontId="164" fillId="45" borderId="5" xfId="8736" applyFont="1" applyFill="1" applyBorder="1" applyAlignment="1">
      <alignment horizontal="center"/>
    </xf>
    <xf numFmtId="0" fontId="164" fillId="45" borderId="81" xfId="8736" applyFont="1" applyFill="1" applyBorder="1" applyAlignment="1">
      <alignment horizontal="center"/>
    </xf>
    <xf numFmtId="0" fontId="94" fillId="45" borderId="80" xfId="8736" applyFont="1" applyFill="1" applyBorder="1" applyAlignment="1">
      <alignment horizontal="center"/>
    </xf>
    <xf numFmtId="0" fontId="94" fillId="45" borderId="79" xfId="8736" applyFont="1" applyFill="1" applyBorder="1" applyAlignment="1">
      <alignment horizontal="center"/>
    </xf>
    <xf numFmtId="0" fontId="94" fillId="45" borderId="78" xfId="8736" applyFont="1" applyFill="1" applyBorder="1" applyAlignment="1">
      <alignment horizontal="center"/>
    </xf>
    <xf numFmtId="0" fontId="160" fillId="48" borderId="80" xfId="8736" applyFont="1" applyFill="1" applyBorder="1" applyAlignment="1" applyProtection="1">
      <alignment horizontal="center"/>
      <protection locked="0"/>
    </xf>
    <xf numFmtId="0" fontId="160" fillId="48" borderId="79" xfId="8736" applyFont="1" applyFill="1" applyBorder="1" applyAlignment="1" applyProtection="1">
      <alignment horizontal="center"/>
      <protection locked="0"/>
    </xf>
    <xf numFmtId="0" fontId="16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61" fillId="45" borderId="11" xfId="8736" applyFont="1" applyFill="1" applyBorder="1" applyAlignment="1">
      <alignment horizontal="right" wrapText="1"/>
    </xf>
    <xf numFmtId="168" fontId="165" fillId="44" borderId="11" xfId="8737" applyNumberFormat="1" applyFont="1" applyFill="1" applyBorder="1" applyAlignment="1" applyProtection="1">
      <alignment horizontal="left"/>
    </xf>
    <xf numFmtId="0" fontId="167" fillId="45" borderId="11" xfId="8736" applyFont="1" applyFill="1" applyBorder="1" applyAlignment="1">
      <alignment horizontal="right"/>
    </xf>
    <xf numFmtId="14" fontId="160" fillId="48" borderId="11" xfId="8736" applyNumberFormat="1" applyFont="1" applyFill="1" applyBorder="1" applyAlignment="1" applyProtection="1">
      <alignment horizontal="center"/>
      <protection locked="0"/>
    </xf>
    <xf numFmtId="0" fontId="160" fillId="48" borderId="11" xfId="8736" applyFont="1" applyFill="1" applyBorder="1" applyAlignment="1" applyProtection="1">
      <alignment horizontal="center"/>
      <protection locked="0"/>
    </xf>
    <xf numFmtId="0" fontId="161" fillId="45" borderId="11" xfId="8736" applyFont="1" applyFill="1" applyBorder="1" applyAlignment="1">
      <alignment horizontal="right"/>
    </xf>
    <xf numFmtId="1" fontId="16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60" fillId="44" borderId="80" xfId="8736" applyFont="1" applyFill="1" applyBorder="1" applyAlignment="1">
      <alignment horizontal="left"/>
    </xf>
    <xf numFmtId="0" fontId="160" fillId="44" borderId="79" xfId="8736" applyFont="1" applyFill="1" applyBorder="1" applyAlignment="1">
      <alignment horizontal="left"/>
    </xf>
    <xf numFmtId="0" fontId="160" fillId="44" borderId="78" xfId="8736" applyFont="1" applyFill="1" applyBorder="1" applyAlignment="1">
      <alignment horizontal="left"/>
    </xf>
    <xf numFmtId="0" fontId="172" fillId="51" borderId="65" xfId="8736" applyFont="1" applyFill="1" applyBorder="1" applyAlignment="1">
      <alignment horizontal="center"/>
    </xf>
    <xf numFmtId="0" fontId="172" fillId="51" borderId="29" xfId="8736" applyFont="1" applyFill="1" applyBorder="1" applyAlignment="1">
      <alignment horizontal="center"/>
    </xf>
    <xf numFmtId="0" fontId="172" fillId="51" borderId="31" xfId="8736" applyFont="1" applyFill="1" applyBorder="1" applyAlignment="1">
      <alignment horizontal="center"/>
    </xf>
    <xf numFmtId="0" fontId="157" fillId="48" borderId="66" xfId="8736" applyFont="1" applyFill="1" applyBorder="1" applyAlignment="1">
      <alignment horizontal="center"/>
    </xf>
    <xf numFmtId="0" fontId="157" fillId="48" borderId="0" xfId="8736" applyFont="1" applyFill="1" applyAlignment="1">
      <alignment horizontal="center"/>
    </xf>
    <xf numFmtId="0" fontId="157" fillId="48" borderId="41" xfId="8736" applyFont="1" applyFill="1" applyBorder="1" applyAlignment="1">
      <alignment horizontal="center"/>
    </xf>
    <xf numFmtId="0" fontId="15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48"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9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9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12" fillId="5" borderId="6" xfId="4495" applyFill="1" applyBorder="1" applyAlignment="1" applyProtection="1">
      <alignment horizontal="center"/>
      <protection locked="0"/>
    </xf>
    <xf numFmtId="0" fontId="110" fillId="0" borderId="4" xfId="1192" applyFont="1" applyBorder="1" applyAlignment="1">
      <alignment horizontal="left"/>
    </xf>
    <xf numFmtId="0" fontId="133" fillId="0" borderId="6" xfId="1192" applyFont="1" applyBorder="1" applyAlignment="1">
      <alignment horizontal="center"/>
    </xf>
    <xf numFmtId="0" fontId="112" fillId="5" borderId="50" xfId="4495" applyFill="1" applyBorder="1" applyAlignment="1">
      <alignment horizontal="center"/>
    </xf>
    <xf numFmtId="0" fontId="112" fillId="5" borderId="51" xfId="4495" applyFill="1" applyBorder="1" applyAlignment="1">
      <alignment horizontal="center"/>
    </xf>
    <xf numFmtId="0" fontId="112" fillId="0" borderId="0" xfId="4495" applyAlignment="1">
      <alignment horizontal="center"/>
    </xf>
    <xf numFmtId="0" fontId="112" fillId="5" borderId="62" xfId="4495" applyFill="1" applyBorder="1" applyAlignment="1">
      <alignment horizontal="center"/>
    </xf>
    <xf numFmtId="0" fontId="11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14" fillId="0" borderId="3" xfId="4496" applyNumberFormat="1" applyFont="1" applyBorder="1" applyAlignment="1">
      <alignment horizontal="center" vertical="top" wrapText="1"/>
    </xf>
    <xf numFmtId="165" fontId="114" fillId="0" borderId="4" xfId="4496" applyNumberFormat="1" applyFont="1" applyBorder="1" applyAlignment="1">
      <alignment horizontal="center" vertical="top" wrapText="1"/>
    </xf>
    <xf numFmtId="165" fontId="11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3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48" fillId="0" borderId="51" xfId="4495" applyFont="1" applyBorder="1" applyAlignment="1">
      <alignment horizontal="left" wrapText="1"/>
    </xf>
    <xf numFmtId="0" fontId="48"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2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1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12" fillId="0" borderId="53" xfId="4495" applyBorder="1" applyAlignment="1">
      <alignment horizontal="center"/>
    </xf>
    <xf numFmtId="0" fontId="27" fillId="5" borderId="0" xfId="4495" applyFont="1" applyFill="1" applyAlignment="1">
      <alignment horizontal="left" vertical="top"/>
    </xf>
    <xf numFmtId="0" fontId="112" fillId="5" borderId="53" xfId="4495" applyFill="1" applyBorder="1" applyAlignment="1">
      <alignment horizontal="center"/>
    </xf>
    <xf numFmtId="0" fontId="112" fillId="5" borderId="0" xfId="4495" applyFill="1" applyAlignment="1">
      <alignment horizontal="center"/>
    </xf>
    <xf numFmtId="0" fontId="112" fillId="5" borderId="55" xfId="4495" applyFill="1" applyBorder="1" applyAlignment="1">
      <alignment horizontal="center"/>
    </xf>
    <xf numFmtId="0" fontId="11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57" fillId="0" borderId="1" xfId="4495" applyNumberFormat="1" applyFont="1" applyBorder="1" applyAlignment="1">
      <alignment horizontal="right" vertical="center"/>
    </xf>
    <xf numFmtId="164" fontId="57" fillId="0" borderId="2" xfId="4495" applyNumberFormat="1" applyFont="1" applyBorder="1" applyAlignment="1">
      <alignment horizontal="right" vertical="center"/>
    </xf>
    <xf numFmtId="164" fontId="57" fillId="0" borderId="7" xfId="4495" applyNumberFormat="1" applyFont="1" applyBorder="1" applyAlignment="1">
      <alignment horizontal="right" vertical="center"/>
    </xf>
    <xf numFmtId="164" fontId="57" fillId="0" borderId="9" xfId="4495" applyNumberFormat="1" applyFont="1" applyBorder="1" applyAlignment="1">
      <alignment horizontal="right" vertical="center"/>
    </xf>
    <xf numFmtId="164" fontId="57" fillId="0" borderId="6" xfId="4495" applyNumberFormat="1" applyFont="1" applyBorder="1" applyAlignment="1">
      <alignment horizontal="right" vertical="center"/>
    </xf>
    <xf numFmtId="164" fontId="57" fillId="0" borderId="10" xfId="4495" applyNumberFormat="1" applyFont="1" applyBorder="1" applyAlignment="1">
      <alignment horizontal="right" vertical="center"/>
    </xf>
    <xf numFmtId="180" fontId="57" fillId="0" borderId="1" xfId="4495" applyNumberFormat="1" applyFont="1" applyBorder="1" applyAlignment="1">
      <alignment horizontal="center" vertical="center"/>
    </xf>
    <xf numFmtId="180" fontId="57" fillId="0" borderId="2" xfId="4495" applyNumberFormat="1" applyFont="1" applyBorder="1" applyAlignment="1">
      <alignment horizontal="center" vertical="center"/>
    </xf>
    <xf numFmtId="180" fontId="57" fillId="0" borderId="7" xfId="4495" applyNumberFormat="1" applyFont="1" applyBorder="1" applyAlignment="1">
      <alignment horizontal="center" vertical="center"/>
    </xf>
    <xf numFmtId="180" fontId="57" fillId="0" borderId="9" xfId="4495" applyNumberFormat="1" applyFont="1" applyBorder="1" applyAlignment="1">
      <alignment horizontal="center" vertical="center"/>
    </xf>
    <xf numFmtId="180" fontId="57" fillId="0" borderId="6" xfId="4495" applyNumberFormat="1" applyFont="1" applyBorder="1" applyAlignment="1">
      <alignment horizontal="center" vertical="center"/>
    </xf>
    <xf numFmtId="180" fontId="57"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2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48" fillId="0" borderId="0" xfId="0" applyFont="1" applyAlignment="1" applyProtection="1">
      <alignment horizontal="left"/>
      <protection locked="0"/>
    </xf>
    <xf numFmtId="168" fontId="147" fillId="0" borderId="0" xfId="0" applyNumberFormat="1" applyFont="1" applyAlignment="1">
      <alignment horizontal="center" vertical="top" wrapText="1"/>
    </xf>
    <xf numFmtId="168" fontId="14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12" fillId="5" borderId="62" xfId="4495" applyFill="1" applyBorder="1" applyAlignment="1" applyProtection="1">
      <alignment horizontal="center"/>
      <protection locked="0"/>
    </xf>
    <xf numFmtId="0" fontId="112" fillId="5" borderId="63" xfId="4495" applyFill="1" applyBorder="1" applyAlignment="1" applyProtection="1">
      <alignment horizontal="center"/>
      <protection locked="0"/>
    </xf>
    <xf numFmtId="0" fontId="114" fillId="0" borderId="50" xfId="4496" applyFont="1" applyBorder="1" applyAlignment="1">
      <alignment horizontal="left" wrapText="1"/>
    </xf>
    <xf numFmtId="0" fontId="114" fillId="0" borderId="51" xfId="4496" applyFont="1" applyBorder="1" applyAlignment="1">
      <alignment horizontal="left" wrapText="1"/>
    </xf>
    <xf numFmtId="0" fontId="114" fillId="0" borderId="52" xfId="4496" applyFont="1" applyBorder="1" applyAlignment="1">
      <alignment horizontal="left" wrapText="1"/>
    </xf>
    <xf numFmtId="0" fontId="114" fillId="0" borderId="57" xfId="4496" applyFont="1" applyBorder="1" applyAlignment="1">
      <alignment horizontal="left" wrapText="1"/>
    </xf>
    <xf numFmtId="0" fontId="114" fillId="0" borderId="58" xfId="4496" applyFont="1" applyBorder="1" applyAlignment="1">
      <alignment horizontal="left" wrapText="1"/>
    </xf>
    <xf numFmtId="0" fontId="11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1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1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14" fillId="5" borderId="6" xfId="4496" applyFont="1" applyFill="1" applyBorder="1" applyAlignment="1" applyProtection="1">
      <alignment horizontal="center"/>
      <protection locked="0"/>
    </xf>
    <xf numFmtId="0" fontId="114" fillId="0" borderId="50" xfId="4496" applyFont="1" applyBorder="1" applyAlignment="1">
      <alignment horizontal="left" vertical="top" wrapText="1"/>
    </xf>
    <xf numFmtId="0" fontId="114" fillId="0" borderId="51" xfId="4496" applyFont="1" applyBorder="1" applyAlignment="1">
      <alignment horizontal="left" vertical="top" wrapText="1"/>
    </xf>
    <xf numFmtId="0" fontId="114" fillId="0" borderId="52" xfId="4496" applyFont="1" applyBorder="1" applyAlignment="1">
      <alignment horizontal="left" vertical="top" wrapText="1"/>
    </xf>
    <xf numFmtId="0" fontId="114" fillId="0" borderId="53" xfId="4496" applyFont="1" applyBorder="1" applyAlignment="1">
      <alignment horizontal="left" vertical="top" wrapText="1"/>
    </xf>
    <xf numFmtId="0" fontId="114" fillId="0" borderId="0" xfId="4496" applyFont="1" applyAlignment="1">
      <alignment horizontal="left" vertical="top" wrapText="1"/>
    </xf>
    <xf numFmtId="0" fontId="11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14" fillId="0" borderId="55" xfId="4496" applyNumberFormat="1" applyFont="1" applyBorder="1" applyAlignment="1">
      <alignment horizontal="center" vertical="top" wrapText="1"/>
    </xf>
    <xf numFmtId="1" fontId="114" fillId="0" borderId="6" xfId="4496" applyNumberFormat="1" applyFont="1" applyBorder="1" applyAlignment="1">
      <alignment horizontal="center" vertical="top" wrapText="1"/>
    </xf>
    <xf numFmtId="165" fontId="114" fillId="0" borderId="55" xfId="4496" applyNumberFormat="1" applyFont="1" applyBorder="1" applyAlignment="1">
      <alignment horizontal="center" vertical="top" wrapText="1"/>
    </xf>
    <xf numFmtId="165" fontId="114" fillId="0" borderId="6" xfId="4496" applyNumberFormat="1" applyFont="1" applyBorder="1" applyAlignment="1">
      <alignment horizontal="center" vertical="top" wrapText="1"/>
    </xf>
    <xf numFmtId="168" fontId="114" fillId="43" borderId="55" xfId="4496" applyNumberFormat="1" applyFont="1" applyFill="1" applyBorder="1" applyAlignment="1" applyProtection="1">
      <alignment horizontal="center" vertical="top" wrapText="1"/>
      <protection locked="0"/>
    </xf>
    <xf numFmtId="168" fontId="11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14" fillId="0" borderId="3" xfId="4496" applyNumberFormat="1" applyFont="1" applyBorder="1" applyAlignment="1">
      <alignment horizontal="center" vertical="top" wrapText="1"/>
    </xf>
    <xf numFmtId="10" fontId="114" fillId="0" borderId="4" xfId="4496" applyNumberFormat="1" applyFont="1" applyBorder="1" applyAlignment="1">
      <alignment horizontal="center" vertical="top" wrapText="1"/>
    </xf>
    <xf numFmtId="10" fontId="114" fillId="0" borderId="5" xfId="4496" applyNumberFormat="1" applyFont="1" applyBorder="1" applyAlignment="1">
      <alignment horizontal="center" vertical="top" wrapText="1"/>
    </xf>
    <xf numFmtId="168" fontId="114" fillId="0" borderId="6" xfId="4496" applyNumberFormat="1" applyFont="1" applyBorder="1" applyAlignment="1">
      <alignment horizontal="center" vertical="top"/>
    </xf>
    <xf numFmtId="0" fontId="114" fillId="0" borderId="55" xfId="4496" applyFont="1" applyBorder="1" applyAlignment="1">
      <alignment horizontal="center" vertical="top" wrapText="1"/>
    </xf>
    <xf numFmtId="0" fontId="11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14" fillId="0" borderId="57" xfId="4496" applyFont="1" applyBorder="1" applyAlignment="1">
      <alignment horizontal="left" vertical="top" wrapText="1"/>
    </xf>
    <xf numFmtId="0" fontId="114" fillId="0" borderId="58" xfId="4496" applyFont="1" applyBorder="1" applyAlignment="1">
      <alignment horizontal="left" vertical="top" wrapText="1"/>
    </xf>
    <xf numFmtId="0" fontId="114" fillId="0" borderId="59" xfId="4496" applyFont="1" applyBorder="1" applyAlignment="1">
      <alignment horizontal="left" vertical="top" wrapText="1"/>
    </xf>
    <xf numFmtId="165" fontId="114" fillId="0" borderId="60" xfId="4496" applyNumberFormat="1" applyFont="1" applyBorder="1" applyAlignment="1">
      <alignment horizontal="center" vertical="top" wrapText="1"/>
    </xf>
    <xf numFmtId="0" fontId="114" fillId="5" borderId="60" xfId="4496" applyFont="1" applyFill="1" applyBorder="1" applyAlignment="1" applyProtection="1">
      <alignment horizontal="center"/>
      <protection locked="0"/>
    </xf>
    <xf numFmtId="0" fontId="114" fillId="5" borderId="4" xfId="4496" applyFont="1" applyFill="1" applyBorder="1" applyAlignment="1" applyProtection="1">
      <alignment horizontal="center"/>
      <protection locked="0"/>
    </xf>
    <xf numFmtId="0" fontId="114" fillId="5" borderId="55" xfId="4496" applyFont="1" applyFill="1" applyBorder="1" applyAlignment="1" applyProtection="1">
      <alignment horizontal="center"/>
      <protection locked="0"/>
    </xf>
    <xf numFmtId="168" fontId="114" fillId="0" borderId="55" xfId="4496" applyNumberFormat="1" applyFont="1" applyBorder="1" applyAlignment="1">
      <alignment horizontal="center" vertical="top"/>
    </xf>
    <xf numFmtId="0" fontId="90" fillId="0" borderId="3" xfId="4496" applyFont="1" applyBorder="1" applyAlignment="1">
      <alignment horizontal="left" indent="2"/>
    </xf>
    <xf numFmtId="0" fontId="90" fillId="0" borderId="4" xfId="4496" applyFont="1" applyBorder="1" applyAlignment="1">
      <alignment horizontal="left" indent="2"/>
    </xf>
    <xf numFmtId="0" fontId="90" fillId="0" borderId="5" xfId="4496" applyFont="1" applyBorder="1" applyAlignment="1">
      <alignment horizontal="left" indent="2"/>
    </xf>
    <xf numFmtId="9" fontId="128" fillId="45" borderId="3" xfId="4499" applyFont="1" applyFill="1" applyBorder="1" applyAlignment="1" applyProtection="1">
      <alignment horizontal="center" vertical="center"/>
    </xf>
    <xf numFmtId="9" fontId="128" fillId="45" borderId="4" xfId="4499" applyFont="1" applyFill="1" applyBorder="1" applyAlignment="1" applyProtection="1">
      <alignment horizontal="center" vertical="center"/>
    </xf>
    <xf numFmtId="9" fontId="128" fillId="45" borderId="5" xfId="4499" applyFont="1" applyFill="1" applyBorder="1" applyAlignment="1" applyProtection="1">
      <alignment horizontal="center" vertical="center"/>
    </xf>
    <xf numFmtId="0" fontId="90" fillId="0" borderId="0" xfId="4496" applyFont="1" applyAlignment="1">
      <alignment wrapText="1"/>
    </xf>
    <xf numFmtId="49" fontId="90" fillId="45" borderId="15" xfId="4496" applyNumberFormat="1" applyFont="1" applyFill="1" applyBorder="1" applyAlignment="1">
      <alignment horizontal="center" vertical="center" wrapText="1"/>
    </xf>
    <xf numFmtId="49" fontId="90" fillId="45" borderId="13" xfId="4496" applyNumberFormat="1" applyFont="1" applyFill="1" applyBorder="1" applyAlignment="1">
      <alignment horizontal="center" vertical="center" wrapText="1"/>
    </xf>
    <xf numFmtId="0" fontId="128" fillId="0" borderId="75" xfId="4496" applyFont="1" applyBorder="1" applyAlignment="1">
      <alignment horizontal="center" vertical="top" wrapText="1"/>
    </xf>
    <xf numFmtId="0" fontId="128" fillId="0" borderId="74" xfId="4496" applyFont="1" applyBorder="1" applyAlignment="1">
      <alignment horizontal="center" vertical="top" wrapText="1"/>
    </xf>
    <xf numFmtId="0" fontId="90" fillId="0" borderId="0" xfId="4496" applyFont="1" applyAlignment="1">
      <alignment horizontal="left" wrapText="1"/>
    </xf>
    <xf numFmtId="0" fontId="90" fillId="0" borderId="0" xfId="4496" applyFont="1" applyAlignment="1">
      <alignment horizontal="center" vertical="center" wrapText="1"/>
    </xf>
    <xf numFmtId="0" fontId="90" fillId="43" borderId="0" xfId="4496" applyFont="1" applyFill="1" applyAlignment="1" applyProtection="1">
      <alignment horizontal="left" vertical="top" wrapText="1"/>
      <protection locked="0"/>
    </xf>
    <xf numFmtId="0" fontId="90" fillId="43" borderId="6" xfId="4496" applyFont="1" applyFill="1" applyBorder="1" applyAlignment="1" applyProtection="1">
      <alignment horizontal="left" vertical="top" wrapText="1"/>
      <protection locked="0"/>
    </xf>
    <xf numFmtId="0" fontId="90" fillId="0" borderId="0" xfId="4496" applyFont="1" applyAlignment="1">
      <alignment horizontal="left" wrapText="1" indent="1"/>
    </xf>
    <xf numFmtId="168" fontId="90" fillId="0" borderId="11" xfId="4499" applyNumberFormat="1" applyFont="1" applyFill="1" applyBorder="1" applyAlignment="1" applyProtection="1">
      <alignment horizontal="left" vertical="center" indent="1"/>
    </xf>
    <xf numFmtId="0" fontId="128" fillId="0" borderId="68" xfId="4496" applyFont="1" applyBorder="1" applyAlignment="1">
      <alignment horizontal="left" indent="1"/>
    </xf>
    <xf numFmtId="168" fontId="90" fillId="0" borderId="70" xfId="4499" applyNumberFormat="1" applyFont="1" applyFill="1" applyBorder="1" applyAlignment="1" applyProtection="1">
      <alignment horizontal="left" vertical="center" indent="1"/>
    </xf>
    <xf numFmtId="49" fontId="127" fillId="3" borderId="0" xfId="1192" applyNumberFormat="1" applyFont="1" applyFill="1" applyAlignment="1">
      <alignment horizontal="center" vertical="center"/>
    </xf>
    <xf numFmtId="0" fontId="90" fillId="0" borderId="11" xfId="4496" applyFont="1" applyBorder="1" applyAlignment="1">
      <alignment horizontal="left" indent="1"/>
    </xf>
    <xf numFmtId="0" fontId="90" fillId="0" borderId="11" xfId="4496" applyFont="1" applyBorder="1" applyAlignment="1">
      <alignment horizontal="left" indent="2"/>
    </xf>
    <xf numFmtId="0" fontId="128" fillId="45" borderId="3" xfId="4496" applyFont="1" applyFill="1" applyBorder="1" applyAlignment="1">
      <alignment horizontal="center" vertical="center"/>
    </xf>
    <xf numFmtId="0" fontId="128" fillId="45" borderId="4" xfId="4496" applyFont="1" applyFill="1" applyBorder="1" applyAlignment="1">
      <alignment horizontal="center" vertical="center"/>
    </xf>
    <xf numFmtId="0" fontId="128" fillId="45" borderId="5" xfId="4496" applyFont="1" applyFill="1" applyBorder="1" applyAlignment="1">
      <alignment horizontal="center" vertical="center"/>
    </xf>
    <xf numFmtId="168" fontId="90" fillId="0" borderId="13" xfId="4499" applyNumberFormat="1" applyFont="1" applyFill="1" applyBorder="1" applyAlignment="1" applyProtection="1">
      <alignment horizontal="left" vertical="center" indent="1"/>
    </xf>
    <xf numFmtId="0" fontId="90" fillId="0" borderId="3" xfId="4496" applyFont="1" applyBorder="1" applyAlignment="1">
      <alignment horizontal="left" indent="1"/>
    </xf>
    <xf numFmtId="0" fontId="90" fillId="0" borderId="4" xfId="4496" applyFont="1" applyBorder="1" applyAlignment="1">
      <alignment horizontal="left" indent="1"/>
    </xf>
    <xf numFmtId="0" fontId="90" fillId="0" borderId="5" xfId="4496" applyFont="1" applyBorder="1" applyAlignment="1">
      <alignment horizontal="left" indent="1"/>
    </xf>
    <xf numFmtId="0" fontId="90" fillId="0" borderId="3" xfId="4496" applyFont="1" applyBorder="1"/>
    <xf numFmtId="0" fontId="90" fillId="0" borderId="81" xfId="4496" applyFont="1" applyBorder="1"/>
    <xf numFmtId="0" fontId="90" fillId="0" borderId="94" xfId="4496" applyFont="1" applyBorder="1"/>
    <xf numFmtId="0" fontId="90" fillId="0" borderId="85" xfId="4496" applyFont="1" applyBorder="1"/>
    <xf numFmtId="0" fontId="90" fillId="0" borderId="93" xfId="4496" applyFont="1" applyBorder="1" applyAlignment="1">
      <alignment horizontal="right"/>
    </xf>
    <xf numFmtId="0" fontId="90" fillId="0" borderId="74" xfId="4496" applyFont="1" applyBorder="1" applyAlignment="1">
      <alignment horizontal="right"/>
    </xf>
    <xf numFmtId="0" fontId="90" fillId="0" borderId="75" xfId="4496" applyFont="1" applyBorder="1"/>
    <xf numFmtId="0" fontId="90" fillId="0" borderId="91" xfId="4496" applyFont="1" applyBorder="1"/>
    <xf numFmtId="0" fontId="90" fillId="0" borderId="90" xfId="4496" applyFont="1" applyBorder="1" applyAlignment="1">
      <alignment horizontal="right"/>
    </xf>
    <xf numFmtId="0" fontId="90" fillId="0" borderId="5" xfId="4496" applyFont="1" applyBorder="1" applyAlignment="1">
      <alignment horizontal="right"/>
    </xf>
    <xf numFmtId="0" fontId="90" fillId="0" borderId="69" xfId="4496" applyFont="1" applyBorder="1" applyAlignment="1">
      <alignment horizontal="right"/>
    </xf>
    <xf numFmtId="0" fontId="9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0" fontId="19" fillId="43" borderId="0" xfId="0" applyFont="1" applyFill="1" applyAlignment="1">
      <alignment horizontal="left"/>
    </xf>
  </cellXfs>
  <cellStyles count="18060">
    <cellStyle name="20% - Accent1" xfId="1" builtinId="30" customBuiltin="1"/>
    <cellStyle name="20% - Accent1 10" xfId="4504" xr:uid="{00000000-0005-0000-0000-000001000000}"/>
    <cellStyle name="20% - Accent1 10 2" xfId="13830" xr:uid="{9ECD728E-3BDE-4AC9-BFA2-C61E9195C72D}"/>
    <cellStyle name="20% - Accent1 11" xfId="8758" xr:uid="{2F735C8D-70CB-4E84-A95A-4445894745BC}"/>
    <cellStyle name="20% - Accent1 12" xfId="9613" xr:uid="{77F15B5F-35EB-4392-B732-6FCAB7B318CD}"/>
    <cellStyle name="20% - Accent1 2" xfId="2" xr:uid="{00000000-0005-0000-0000-000002000000}"/>
    <cellStyle name="20% - Accent1 2 10" xfId="8797" xr:uid="{7F4BEAE6-CC35-4B07-89BD-8FC5D6B3D35B}"/>
    <cellStyle name="20% - Accent1 2 11" xfId="9614" xr:uid="{89F8D741-6B74-4315-A6A4-14B7D164C214}"/>
    <cellStyle name="20% - Accent1 2 2" xfId="3" xr:uid="{00000000-0005-0000-0000-000003000000}"/>
    <cellStyle name="20% - Accent1 2 2 10" xfId="9615" xr:uid="{EEA60A51-512B-4C2B-9EAB-0CB5D9841525}"/>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D36B025E-DD5F-40FC-8594-BAD98A26C58E}"/>
    <cellStyle name="20% - Accent1 2 2 2 2 2 3" xfId="12175" xr:uid="{E29535FD-29A5-48AC-A0C2-C6170887F566}"/>
    <cellStyle name="20% - Accent1 2 2 2 2 3" xfId="4921" xr:uid="{00000000-0005-0000-0000-000008000000}"/>
    <cellStyle name="20% - Accent1 2 2 2 2 3 2" xfId="14247" xr:uid="{12E88CB7-FC7D-4F13-85EA-81A320CA2C90}"/>
    <cellStyle name="20% - Accent1 2 2 2 2 4" xfId="9532" xr:uid="{D5FAB462-C5A9-4306-AA37-C118C84F9393}"/>
    <cellStyle name="20% - Accent1 2 2 2 2 5" xfId="10030" xr:uid="{7D6BDAC6-B145-44F9-A029-B1FF96FF66E6}"/>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BB3CF639-3442-4D8E-BF07-DACEF206AE75}"/>
    <cellStyle name="20% - Accent1 2 2 2 3 2 3" xfId="12588" xr:uid="{CB5E5B85-1A32-436D-9AB7-DA155E481BD6}"/>
    <cellStyle name="20% - Accent1 2 2 2 3 3" xfId="5334" xr:uid="{00000000-0005-0000-0000-00000C000000}"/>
    <cellStyle name="20% - Accent1 2 2 2 3 3 2" xfId="14660" xr:uid="{310AE0FE-E5BC-4CDA-8DC1-4DA325DFE24C}"/>
    <cellStyle name="20% - Accent1 2 2 2 3 4" xfId="10443" xr:uid="{C02BECA2-3DC0-4C2A-8CAF-5EB0F382C843}"/>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BAFAF58A-4DF3-4284-A40F-DF7940A016A7}"/>
    <cellStyle name="20% - Accent1 2 2 2 4 2 3" xfId="13001" xr:uid="{766F271F-A775-4FB8-A58E-B8AB09DB499D}"/>
    <cellStyle name="20% - Accent1 2 2 2 4 3" xfId="5747" xr:uid="{00000000-0005-0000-0000-000010000000}"/>
    <cellStyle name="20% - Accent1 2 2 2 4 3 2" xfId="15073" xr:uid="{0C4EA1B4-9EDF-43A8-B770-0A49FB68938E}"/>
    <cellStyle name="20% - Accent1 2 2 2 4 4" xfId="10856" xr:uid="{06F98B27-68DB-4C3F-B3B1-AAC6CE70F47C}"/>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7638DE63-115C-4394-94C4-EE2451C9CB48}"/>
    <cellStyle name="20% - Accent1 2 2 2 5 2 3" xfId="13414" xr:uid="{BD7FA594-152B-4C2B-9BE4-CBB213EABD45}"/>
    <cellStyle name="20% - Accent1 2 2 2 5 3" xfId="6160" xr:uid="{00000000-0005-0000-0000-000014000000}"/>
    <cellStyle name="20% - Accent1 2 2 2 5 3 2" xfId="15486" xr:uid="{FC10D663-886C-4E85-9A6C-EB673BC59DA2}"/>
    <cellStyle name="20% - Accent1 2 2 2 5 4" xfId="11269" xr:uid="{43C0C672-9FD5-4814-A17C-E4425588D2E9}"/>
    <cellStyle name="20% - Accent1 2 2 2 6" xfId="2267" xr:uid="{00000000-0005-0000-0000-000015000000}"/>
    <cellStyle name="20% - Accent1 2 2 2 6 2" xfId="6573" xr:uid="{00000000-0005-0000-0000-000016000000}"/>
    <cellStyle name="20% - Accent1 2 2 2 6 2 2" xfId="15899" xr:uid="{D311E469-15A5-4113-954E-8A95776E39C2}"/>
    <cellStyle name="20% - Accent1 2 2 2 6 3" xfId="11682" xr:uid="{813E9C52-547F-46C0-8B06-2D9969A3E1DD}"/>
    <cellStyle name="20% - Accent1 2 2 2 7" xfId="4507" xr:uid="{00000000-0005-0000-0000-000017000000}"/>
    <cellStyle name="20% - Accent1 2 2 2 7 2" xfId="13833" xr:uid="{27E7C8B7-24B1-46E4-B69C-4FF97B55D85E}"/>
    <cellStyle name="20% - Accent1 2 2 2 8" xfId="9107" xr:uid="{4168D01E-823F-4E8F-9A1D-70697AC1F241}"/>
    <cellStyle name="20% - Accent1 2 2 2 9" xfId="9616" xr:uid="{D2D6B035-7116-4F2B-BBCD-6FC1291E069B}"/>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2F2FF08A-ABC1-4248-A2C2-1374E2EA7FC8}"/>
    <cellStyle name="20% - Accent1 2 2 3 2 3" xfId="12174" xr:uid="{DE2FF42D-E24C-4E46-A92F-E4F0105A8EDD}"/>
    <cellStyle name="20% - Accent1 2 2 3 3" xfId="4920" xr:uid="{00000000-0005-0000-0000-00001B000000}"/>
    <cellStyle name="20% - Accent1 2 2 3 3 2" xfId="14246" xr:uid="{9C9B8D72-7D9F-40C5-B11E-50D50FDF4FAF}"/>
    <cellStyle name="20% - Accent1 2 2 3 4" xfId="9325" xr:uid="{DE19910B-698B-4F31-B25F-3533B35DDA95}"/>
    <cellStyle name="20% - Accent1 2 2 3 5" xfId="10029" xr:uid="{9298515A-1E26-4C29-B0A0-8A9B9366602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963467AF-7F7B-4CED-AC4B-6A8F92C13623}"/>
    <cellStyle name="20% - Accent1 2 2 4 2 3" xfId="12587" xr:uid="{C2431CE6-3FC1-4E7C-90BC-4EAD3EDFEF6D}"/>
    <cellStyle name="20% - Accent1 2 2 4 3" xfId="5333" xr:uid="{00000000-0005-0000-0000-00001F000000}"/>
    <cellStyle name="20% - Accent1 2 2 4 3 2" xfId="14659" xr:uid="{EB009096-5CB6-4AEA-91FF-667A90DFC415}"/>
    <cellStyle name="20% - Accent1 2 2 4 4" xfId="10442" xr:uid="{52FD2068-C857-424A-95C6-47AC15A0B55D}"/>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9313A5FA-7D84-4456-946A-9D76A090B731}"/>
    <cellStyle name="20% - Accent1 2 2 5 2 3" xfId="13000" xr:uid="{B7E1EE29-9938-48EA-9B8C-9D0CC508B99B}"/>
    <cellStyle name="20% - Accent1 2 2 5 3" xfId="5746" xr:uid="{00000000-0005-0000-0000-000023000000}"/>
    <cellStyle name="20% - Accent1 2 2 5 3 2" xfId="15072" xr:uid="{57584EB0-7689-42EE-BD09-D5F7C53FD820}"/>
    <cellStyle name="20% - Accent1 2 2 5 4" xfId="10855" xr:uid="{763703EF-4637-4AA9-B334-286BA7243E87}"/>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4B42CAB0-8527-4EE7-9C5C-B1FB11D745B4}"/>
    <cellStyle name="20% - Accent1 2 2 6 2 3" xfId="13413" xr:uid="{BE590677-58F9-496F-9DC9-FC7CABCE8A65}"/>
    <cellStyle name="20% - Accent1 2 2 6 3" xfId="6159" xr:uid="{00000000-0005-0000-0000-000027000000}"/>
    <cellStyle name="20% - Accent1 2 2 6 3 2" xfId="15485" xr:uid="{E18CB76F-2B8E-4CB8-8AE1-01839465834D}"/>
    <cellStyle name="20% - Accent1 2 2 6 4" xfId="11268" xr:uid="{A987C84E-79D5-46EE-9AB5-3320663DF1ED}"/>
    <cellStyle name="20% - Accent1 2 2 7" xfId="2266" xr:uid="{00000000-0005-0000-0000-000028000000}"/>
    <cellStyle name="20% - Accent1 2 2 7 2" xfId="6572" xr:uid="{00000000-0005-0000-0000-000029000000}"/>
    <cellStyle name="20% - Accent1 2 2 7 2 2" xfId="15898" xr:uid="{A0FAA130-A280-48C3-BAF4-4F5F7734D34F}"/>
    <cellStyle name="20% - Accent1 2 2 7 3" xfId="11681" xr:uid="{62B00B20-75CA-45A7-8AB0-16BE4F66F4F9}"/>
    <cellStyle name="20% - Accent1 2 2 8" xfId="4506" xr:uid="{00000000-0005-0000-0000-00002A000000}"/>
    <cellStyle name="20% - Accent1 2 2 8 2" xfId="13832" xr:uid="{32FAFE75-2403-4FD6-B3A0-535AADF46F7D}"/>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EADB3AC7-A9EC-47A7-BBFC-DBA2B256CCA3}"/>
    <cellStyle name="20% - Accent1 2 3 2 2 3" xfId="12176" xr:uid="{8687F858-E9A1-4F8D-B140-E1669E897439}"/>
    <cellStyle name="20% - Accent1 2 3 2 3" xfId="4922" xr:uid="{00000000-0005-0000-0000-00002F000000}"/>
    <cellStyle name="20% - Accent1 2 3 2 3 2" xfId="14248" xr:uid="{DBC0A3A5-9F66-4684-BD11-54DBB8C2EAF2}"/>
    <cellStyle name="20% - Accent1 2 3 2 4" xfId="9429" xr:uid="{CCD4BD61-3143-497B-A316-8024A8762A6C}"/>
    <cellStyle name="20% - Accent1 2 3 2 5" xfId="10031" xr:uid="{5CF54AAB-85D5-40E5-BE2E-566EEF6D8912}"/>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827E4376-CEE6-4AB4-875C-AC332338494D}"/>
    <cellStyle name="20% - Accent1 2 3 3 2 3" xfId="12589" xr:uid="{604A34B5-DBDB-4EB1-AAE1-5A361DBA9D2C}"/>
    <cellStyle name="20% - Accent1 2 3 3 3" xfId="5335" xr:uid="{00000000-0005-0000-0000-000033000000}"/>
    <cellStyle name="20% - Accent1 2 3 3 3 2" xfId="14661" xr:uid="{342AB6BE-F7C8-47D3-9FD3-7E837F748839}"/>
    <cellStyle name="20% - Accent1 2 3 3 4" xfId="10444" xr:uid="{B1C1CB08-5D15-4CFB-944E-AE17AA10BC84}"/>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A234D980-AB5A-44BD-BA39-1141D2E6E81E}"/>
    <cellStyle name="20% - Accent1 2 3 4 2 3" xfId="13002" xr:uid="{E3BE767C-EDE7-4B0C-AC81-85798414C378}"/>
    <cellStyle name="20% - Accent1 2 3 4 3" xfId="5748" xr:uid="{00000000-0005-0000-0000-000037000000}"/>
    <cellStyle name="20% - Accent1 2 3 4 3 2" xfId="15074" xr:uid="{027F2DC4-39E9-4069-AA5C-F8A6CF5E320D}"/>
    <cellStyle name="20% - Accent1 2 3 4 4" xfId="10857" xr:uid="{999C8A65-C414-4AFE-B705-FB0A55CB3125}"/>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E2A4492E-69F7-4014-89B0-1680B7305A84}"/>
    <cellStyle name="20% - Accent1 2 3 5 2 3" xfId="13415" xr:uid="{0EE5F960-6820-4B89-9F03-34030D99EECA}"/>
    <cellStyle name="20% - Accent1 2 3 5 3" xfId="6161" xr:uid="{00000000-0005-0000-0000-00003B000000}"/>
    <cellStyle name="20% - Accent1 2 3 5 3 2" xfId="15487" xr:uid="{143DD4E2-E874-4B74-A102-A6031C7CA1F4}"/>
    <cellStyle name="20% - Accent1 2 3 5 4" xfId="11270" xr:uid="{FE5657D8-05EC-40C9-9E33-915122A9BDF7}"/>
    <cellStyle name="20% - Accent1 2 3 6" xfId="2268" xr:uid="{00000000-0005-0000-0000-00003C000000}"/>
    <cellStyle name="20% - Accent1 2 3 6 2" xfId="6574" xr:uid="{00000000-0005-0000-0000-00003D000000}"/>
    <cellStyle name="20% - Accent1 2 3 6 2 2" xfId="15900" xr:uid="{8FE37ACD-9E41-4BC2-8643-0E08D3CA1C61}"/>
    <cellStyle name="20% - Accent1 2 3 6 3" xfId="11683" xr:uid="{D5EFD19F-4134-4ABC-8A8A-C032C5B1DED3}"/>
    <cellStyle name="20% - Accent1 2 3 7" xfId="4508" xr:uid="{00000000-0005-0000-0000-00003E000000}"/>
    <cellStyle name="20% - Accent1 2 3 7 2" xfId="13834" xr:uid="{1363B7BC-07CC-4076-B0E9-AD8E8FBCF30D}"/>
    <cellStyle name="20% - Accent1 2 3 8" xfId="9004" xr:uid="{14A9C135-BB7B-44DD-97E1-B6B10773DEE2}"/>
    <cellStyle name="20% - Accent1 2 3 9" xfId="9617" xr:uid="{65784C5D-3B5E-4CB7-98D6-9AFAD5A01A68}"/>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DFC3C58F-31D7-469E-BF15-7213633740F5}"/>
    <cellStyle name="20% - Accent1 2 4 2 3" xfId="12173" xr:uid="{9C293497-0738-4E10-A15A-25FE880FE3AD}"/>
    <cellStyle name="20% - Accent1 2 4 3" xfId="4919" xr:uid="{00000000-0005-0000-0000-000042000000}"/>
    <cellStyle name="20% - Accent1 2 4 3 2" xfId="14245" xr:uid="{B1E650CD-1FC9-4376-96CF-B2FDA416F3FC}"/>
    <cellStyle name="20% - Accent1 2 4 4" xfId="9221" xr:uid="{11532E3F-E59C-4FF7-9F45-291A17A69435}"/>
    <cellStyle name="20% - Accent1 2 4 5" xfId="10028" xr:uid="{CA31DB97-9215-4554-88C8-27C38ECCC4FB}"/>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658657E8-1322-44F7-B905-5411B6D6AFEE}"/>
    <cellStyle name="20% - Accent1 2 5 2 3" xfId="12586" xr:uid="{FCB423BE-B2F6-4681-8A05-F4E1857CD65F}"/>
    <cellStyle name="20% - Accent1 2 5 3" xfId="5332" xr:uid="{00000000-0005-0000-0000-000046000000}"/>
    <cellStyle name="20% - Accent1 2 5 3 2" xfId="14658" xr:uid="{B4AFF681-907E-4457-8DD0-11771C3D2D8A}"/>
    <cellStyle name="20% - Accent1 2 5 4" xfId="10441" xr:uid="{ED8339C9-BB4D-4F86-9389-EA50D40A4094}"/>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32C5A720-1D4E-4046-9DA6-ED971713625F}"/>
    <cellStyle name="20% - Accent1 2 6 2 3" xfId="12999" xr:uid="{49982D1F-8243-4317-A707-36F80219EF36}"/>
    <cellStyle name="20% - Accent1 2 6 3" xfId="5745" xr:uid="{00000000-0005-0000-0000-00004A000000}"/>
    <cellStyle name="20% - Accent1 2 6 3 2" xfId="15071" xr:uid="{9B70D07F-7CA8-4AE8-AFA0-A5566B1009A3}"/>
    <cellStyle name="20% - Accent1 2 6 4" xfId="10854" xr:uid="{8C79AAC1-41E7-47F7-94F2-1C0B9F74DB66}"/>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18233DC7-A516-4B35-93F9-96483C5856A5}"/>
    <cellStyle name="20% - Accent1 2 7 2 3" xfId="13412" xr:uid="{B29ED450-EC6B-4A9B-AA7B-B0BFBE60BED0}"/>
    <cellStyle name="20% - Accent1 2 7 3" xfId="6158" xr:uid="{00000000-0005-0000-0000-00004E000000}"/>
    <cellStyle name="20% - Accent1 2 7 3 2" xfId="15484" xr:uid="{8FE69DC2-67FD-45E4-85DB-333CA5ED85F5}"/>
    <cellStyle name="20% - Accent1 2 7 4" xfId="11267" xr:uid="{D1252F1B-472F-4524-96D5-D8A915D32A4C}"/>
    <cellStyle name="20% - Accent1 2 8" xfId="2265" xr:uid="{00000000-0005-0000-0000-00004F000000}"/>
    <cellStyle name="20% - Accent1 2 8 2" xfId="6571" xr:uid="{00000000-0005-0000-0000-000050000000}"/>
    <cellStyle name="20% - Accent1 2 8 2 2" xfId="15897" xr:uid="{812AA853-F83B-48E2-9816-DFE189FD4132}"/>
    <cellStyle name="20% - Accent1 2 8 3" xfId="11680" xr:uid="{E89BA8B3-0628-46DF-856E-13EA48B7607B}"/>
    <cellStyle name="20% - Accent1 2 9" xfId="4505" xr:uid="{00000000-0005-0000-0000-000051000000}"/>
    <cellStyle name="20% - Accent1 2 9 2" xfId="13831" xr:uid="{6F70C139-3526-46DA-95A1-6EF93186ED41}"/>
    <cellStyle name="20% - Accent1 3" xfId="6" xr:uid="{00000000-0005-0000-0000-000052000000}"/>
    <cellStyle name="20% - Accent1 3 10" xfId="9618" xr:uid="{C2CA4533-CD04-446B-80AB-8A90690B2262}"/>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51956FEF-03D6-49BB-8F22-F1BEB1F5241B}"/>
    <cellStyle name="20% - Accent1 3 2 2 2 3" xfId="12178" xr:uid="{6A9CEF32-A212-42D0-B700-603EACD14D98}"/>
    <cellStyle name="20% - Accent1 3 2 2 3" xfId="4924" xr:uid="{00000000-0005-0000-0000-000057000000}"/>
    <cellStyle name="20% - Accent1 3 2 2 3 2" xfId="14250" xr:uid="{9B4AA77B-EB67-4E7A-8E2F-E2547D9159C9}"/>
    <cellStyle name="20% - Accent1 3 2 2 4" xfId="9493" xr:uid="{FCEFE71D-2A04-4899-B62A-B225DBF7F0BF}"/>
    <cellStyle name="20% - Accent1 3 2 2 5" xfId="10033" xr:uid="{E64886B6-D953-41AC-875F-49A976202E0D}"/>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50DC1254-D06D-4E5B-812D-7B0E40F96AFE}"/>
    <cellStyle name="20% - Accent1 3 2 3 2 3" xfId="12591" xr:uid="{7B6782A7-F7CC-4629-B298-CB399211919E}"/>
    <cellStyle name="20% - Accent1 3 2 3 3" xfId="5337" xr:uid="{00000000-0005-0000-0000-00005B000000}"/>
    <cellStyle name="20% - Accent1 3 2 3 3 2" xfId="14663" xr:uid="{2FF34471-71ED-4050-BB8C-21CF72C46388}"/>
    <cellStyle name="20% - Accent1 3 2 3 4" xfId="10446" xr:uid="{EE6CB064-9FFB-4ACC-B4B3-26D6BBEE8041}"/>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D395B92F-1A0A-4F4A-915D-2D1542F6CD85}"/>
    <cellStyle name="20% - Accent1 3 2 4 2 3" xfId="13004" xr:uid="{617BF788-7352-4928-8BEC-1732E521B932}"/>
    <cellStyle name="20% - Accent1 3 2 4 3" xfId="5750" xr:uid="{00000000-0005-0000-0000-00005F000000}"/>
    <cellStyle name="20% - Accent1 3 2 4 3 2" xfId="15076" xr:uid="{6F1F7BD2-7570-4640-BF96-C1E79B807DD2}"/>
    <cellStyle name="20% - Accent1 3 2 4 4" xfId="10859" xr:uid="{79638F9A-3DA5-401E-AC55-DF73382FDCAC}"/>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32A676C1-E6CA-44FF-9465-09CE37BB22E1}"/>
    <cellStyle name="20% - Accent1 3 2 5 2 3" xfId="13417" xr:uid="{D837F53A-C241-4F9E-B399-7D4A63E20CC1}"/>
    <cellStyle name="20% - Accent1 3 2 5 3" xfId="6163" xr:uid="{00000000-0005-0000-0000-000063000000}"/>
    <cellStyle name="20% - Accent1 3 2 5 3 2" xfId="15489" xr:uid="{64C103FF-2AD8-4AAD-9893-0E045B747C5E}"/>
    <cellStyle name="20% - Accent1 3 2 5 4" xfId="11272" xr:uid="{B0C01C98-2503-4F55-B8BB-E8117E474B02}"/>
    <cellStyle name="20% - Accent1 3 2 6" xfId="2270" xr:uid="{00000000-0005-0000-0000-000064000000}"/>
    <cellStyle name="20% - Accent1 3 2 6 2" xfId="6576" xr:uid="{00000000-0005-0000-0000-000065000000}"/>
    <cellStyle name="20% - Accent1 3 2 6 2 2" xfId="15902" xr:uid="{3A4957E2-65EE-4F21-9069-5CB4CCA0C732}"/>
    <cellStyle name="20% - Accent1 3 2 6 3" xfId="11685" xr:uid="{64F7874D-9030-478A-A3D5-179688D90340}"/>
    <cellStyle name="20% - Accent1 3 2 7" xfId="4510" xr:uid="{00000000-0005-0000-0000-000066000000}"/>
    <cellStyle name="20% - Accent1 3 2 7 2" xfId="13836" xr:uid="{27115E4E-D0DB-441F-A7BC-DD2937C79739}"/>
    <cellStyle name="20% - Accent1 3 2 8" xfId="9068" xr:uid="{354460C9-AD38-4FCD-882B-4DFB81DE5890}"/>
    <cellStyle name="20% - Accent1 3 2 9" xfId="9619" xr:uid="{8F047A78-140D-4DF0-A569-680C1E5C9CA1}"/>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548AC232-2D0A-4A6E-B070-4C9227DCFACC}"/>
    <cellStyle name="20% - Accent1 3 3 2 3" xfId="12177" xr:uid="{C40F159C-CA6F-45DE-9766-47297566FCDF}"/>
    <cellStyle name="20% - Accent1 3 3 3" xfId="4923" xr:uid="{00000000-0005-0000-0000-00006A000000}"/>
    <cellStyle name="20% - Accent1 3 3 3 2" xfId="14249" xr:uid="{61569D62-D5A0-4815-8B39-3ED21E3B3194}"/>
    <cellStyle name="20% - Accent1 3 3 4" xfId="9286" xr:uid="{B5220C4B-EBE7-4AD0-9A24-7F16FA378184}"/>
    <cellStyle name="20% - Accent1 3 3 5" xfId="10032" xr:uid="{CFBE8FF0-0004-4F36-AA2F-5EF22EB2B42A}"/>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EF9C4B1D-993F-4645-A67B-F45D3B1AF7DB}"/>
    <cellStyle name="20% - Accent1 3 4 2 3" xfId="12590" xr:uid="{E53FCCA7-EB57-4D70-843C-C7958986F534}"/>
    <cellStyle name="20% - Accent1 3 4 3" xfId="5336" xr:uid="{00000000-0005-0000-0000-00006E000000}"/>
    <cellStyle name="20% - Accent1 3 4 3 2" xfId="14662" xr:uid="{858AA8EA-2864-45B0-A925-7591CE6CED49}"/>
    <cellStyle name="20% - Accent1 3 4 4" xfId="10445" xr:uid="{00470D0E-33FD-4BA8-8C3F-99A1F8E92DFE}"/>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9AEF16D3-CCB8-403A-81BB-D0411F37D216}"/>
    <cellStyle name="20% - Accent1 3 5 2 3" xfId="13003" xr:uid="{C6316B38-0B4D-4F50-98AC-8811A6CBACC0}"/>
    <cellStyle name="20% - Accent1 3 5 3" xfId="5749" xr:uid="{00000000-0005-0000-0000-000072000000}"/>
    <cellStyle name="20% - Accent1 3 5 3 2" xfId="15075" xr:uid="{748F33CA-CF32-4BB4-BA2E-D0AE36943B35}"/>
    <cellStyle name="20% - Accent1 3 5 4" xfId="10858" xr:uid="{66041B84-4E9B-44A2-A286-FCF66250021A}"/>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39AF7BCB-89C4-4F81-955E-CFD37E31915D}"/>
    <cellStyle name="20% - Accent1 3 6 2 3" xfId="13416" xr:uid="{709DF744-C6E2-4B8D-BF9E-56F286F23A5F}"/>
    <cellStyle name="20% - Accent1 3 6 3" xfId="6162" xr:uid="{00000000-0005-0000-0000-000076000000}"/>
    <cellStyle name="20% - Accent1 3 6 3 2" xfId="15488" xr:uid="{35632AC6-3289-4519-8597-C1904987D824}"/>
    <cellStyle name="20% - Accent1 3 6 4" xfId="11271" xr:uid="{0BC53AA0-ABDA-407C-87A3-66F7B0969A27}"/>
    <cellStyle name="20% - Accent1 3 7" xfId="2269" xr:uid="{00000000-0005-0000-0000-000077000000}"/>
    <cellStyle name="20% - Accent1 3 7 2" xfId="6575" xr:uid="{00000000-0005-0000-0000-000078000000}"/>
    <cellStyle name="20% - Accent1 3 7 2 2" xfId="15901" xr:uid="{138D4794-1D0A-4452-9F26-5BA19B5915D2}"/>
    <cellStyle name="20% - Accent1 3 7 3" xfId="11684" xr:uid="{0625DBE8-BCAA-4E8F-8B5F-BE888503628D}"/>
    <cellStyle name="20% - Accent1 3 8" xfId="4509" xr:uid="{00000000-0005-0000-0000-000079000000}"/>
    <cellStyle name="20% - Accent1 3 8 2" xfId="13835" xr:uid="{CD0F4AF3-5FE0-49EC-9B5D-5A476042271C}"/>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40D3E2E7-65D0-4576-9117-E812B1ED0067}"/>
    <cellStyle name="20% - Accent1 4 2 2 3" xfId="12179" xr:uid="{7ACCF8D0-3AB9-429D-A276-FFADBB02697C}"/>
    <cellStyle name="20% - Accent1 4 2 3" xfId="4925" xr:uid="{00000000-0005-0000-0000-00007E000000}"/>
    <cellStyle name="20% - Accent1 4 2 3 2" xfId="14251" xr:uid="{5CA8C09E-59C4-4837-A03C-729773BFAF50}"/>
    <cellStyle name="20% - Accent1 4 2 4" xfId="9372" xr:uid="{E6B08341-6F7D-4580-9BCF-4BFC252FAE31}"/>
    <cellStyle name="20% - Accent1 4 2 5" xfId="10034" xr:uid="{EE8EF273-B72F-468A-B19F-4FDB17903D22}"/>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CD3BA237-EE88-4D70-8DBB-6A92EB3D220F}"/>
    <cellStyle name="20% - Accent1 4 3 2 3" xfId="12592" xr:uid="{D871FF9B-5B37-4EC5-994F-554DF7EC77B8}"/>
    <cellStyle name="20% - Accent1 4 3 3" xfId="5338" xr:uid="{00000000-0005-0000-0000-000082000000}"/>
    <cellStyle name="20% - Accent1 4 3 3 2" xfId="14664" xr:uid="{7F824BC3-B016-4FF0-9D1A-F871EF4C7378}"/>
    <cellStyle name="20% - Accent1 4 3 4" xfId="10447" xr:uid="{0CC3455D-6F86-474C-9971-F8C849220DEA}"/>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7C2FC923-B963-4783-863A-AC21AE1FF6B6}"/>
    <cellStyle name="20% - Accent1 4 4 2 3" xfId="13005" xr:uid="{E0B093EB-F68F-4A3B-9553-C51CEBD647AA}"/>
    <cellStyle name="20% - Accent1 4 4 3" xfId="5751" xr:uid="{00000000-0005-0000-0000-000086000000}"/>
    <cellStyle name="20% - Accent1 4 4 3 2" xfId="15077" xr:uid="{B7A3603B-EF41-4367-BF75-3F05BECC3AFF}"/>
    <cellStyle name="20% - Accent1 4 4 4" xfId="10860" xr:uid="{2090970E-B7D4-4F04-83A6-3800F96F8107}"/>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605C02CD-01C1-44EC-9C10-41B99CF3D2CB}"/>
    <cellStyle name="20% - Accent1 4 5 2 3" xfId="13418" xr:uid="{E2CCCBDE-8254-40CC-9AA7-0B2DB01884E6}"/>
    <cellStyle name="20% - Accent1 4 5 3" xfId="6164" xr:uid="{00000000-0005-0000-0000-00008A000000}"/>
    <cellStyle name="20% - Accent1 4 5 3 2" xfId="15490" xr:uid="{D8D62B94-5DA8-4377-AC00-20D8A708E398}"/>
    <cellStyle name="20% - Accent1 4 5 4" xfId="11273" xr:uid="{AFCB2646-FF67-4D9F-A2D9-8A3855C06AD1}"/>
    <cellStyle name="20% - Accent1 4 6" xfId="2271" xr:uid="{00000000-0005-0000-0000-00008B000000}"/>
    <cellStyle name="20% - Accent1 4 6 2" xfId="6577" xr:uid="{00000000-0005-0000-0000-00008C000000}"/>
    <cellStyle name="20% - Accent1 4 6 2 2" xfId="15903" xr:uid="{47F16FA8-9032-4957-AA47-16591FCA3A6B}"/>
    <cellStyle name="20% - Accent1 4 6 3" xfId="11686" xr:uid="{CF69E0CF-6131-4EDB-A59E-664ED20D21E0}"/>
    <cellStyle name="20% - Accent1 4 7" xfId="4511" xr:uid="{00000000-0005-0000-0000-00008D000000}"/>
    <cellStyle name="20% - Accent1 4 7 2" xfId="13837" xr:uid="{A57841A3-7F4C-41A6-B7FD-217A4913A877}"/>
    <cellStyle name="20% - Accent1 4 8" xfId="8947" xr:uid="{1FCDBFE2-CC86-42DD-AD9B-D3EAF476002E}"/>
    <cellStyle name="20% - Accent1 4 9" xfId="9620" xr:uid="{9DEE4BDB-DD2D-44AE-B4BD-7BA1DFCF4827}"/>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DAA293A8-FB36-4589-8741-D3978EFAB8DE}"/>
    <cellStyle name="20% - Accent1 5 2 3" xfId="12172" xr:uid="{AF79A31C-135C-4167-BCB1-F2E766D42C28}"/>
    <cellStyle name="20% - Accent1 5 3" xfId="4918" xr:uid="{00000000-0005-0000-0000-000091000000}"/>
    <cellStyle name="20% - Accent1 5 3 2" xfId="14244" xr:uid="{61602FE1-4E98-49E3-9DD3-83122B0B2DA0}"/>
    <cellStyle name="20% - Accent1 5 4" xfId="9180" xr:uid="{D0AEF57E-25E3-47C5-B910-DC1A0019F498}"/>
    <cellStyle name="20% - Accent1 5 5" xfId="10027" xr:uid="{4021583B-C547-4F2F-90F6-BFA94FC8D00D}"/>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B9DF93FE-9EAE-4FE7-9701-B59D5646E786}"/>
    <cellStyle name="20% - Accent1 6 2 3" xfId="12585" xr:uid="{3B2DF8AC-486F-40B5-9DDE-0FEE516F1CB7}"/>
    <cellStyle name="20% - Accent1 6 3" xfId="5331" xr:uid="{00000000-0005-0000-0000-000095000000}"/>
    <cellStyle name="20% - Accent1 6 3 2" xfId="14657" xr:uid="{FD2654E0-65F5-47F6-B01C-F6E37ED91FB6}"/>
    <cellStyle name="20% - Accent1 6 4" xfId="10440" xr:uid="{F07BB9E5-127C-42B3-8473-FF664357416C}"/>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AD9A25D4-D3A2-45E1-B1A1-E5979A1E17B1}"/>
    <cellStyle name="20% - Accent1 7 2 3" xfId="12998" xr:uid="{3AC6EA81-9E99-41B3-BAC5-28A416A84BCE}"/>
    <cellStyle name="20% - Accent1 7 3" xfId="5744" xr:uid="{00000000-0005-0000-0000-000099000000}"/>
    <cellStyle name="20% - Accent1 7 3 2" xfId="15070" xr:uid="{03797270-BEA6-4A1C-8616-7F0C4F6688F4}"/>
    <cellStyle name="20% - Accent1 7 4" xfId="10853" xr:uid="{2E3E4911-AAEF-4F57-84E3-62D3A20F5D8F}"/>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81469D64-D825-4FEE-8BFE-C13AE8CA60EF}"/>
    <cellStyle name="20% - Accent1 8 2 3" xfId="13411" xr:uid="{9DCCE5E8-74E7-4C46-BDE0-1C2FFADE2846}"/>
    <cellStyle name="20% - Accent1 8 3" xfId="6157" xr:uid="{00000000-0005-0000-0000-00009D000000}"/>
    <cellStyle name="20% - Accent1 8 3 2" xfId="15483" xr:uid="{81BCD781-C8AF-4E93-8210-7ADDF399C699}"/>
    <cellStyle name="20% - Accent1 8 4" xfId="11266" xr:uid="{4CFBBF1A-CF10-4E3E-A2C8-5C82D3AA4ABA}"/>
    <cellStyle name="20% - Accent1 9" xfId="2264" xr:uid="{00000000-0005-0000-0000-00009E000000}"/>
    <cellStyle name="20% - Accent1 9 2" xfId="6570" xr:uid="{00000000-0005-0000-0000-00009F000000}"/>
    <cellStyle name="20% - Accent1 9 2 2" xfId="15896" xr:uid="{D3FC12B6-2D88-49BB-B545-D6348136BADD}"/>
    <cellStyle name="20% - Accent1 9 3" xfId="11679" xr:uid="{AAED8331-E978-4108-AD37-A1C77BA5A3FC}"/>
    <cellStyle name="20% - Accent2" xfId="9" builtinId="34" customBuiltin="1"/>
    <cellStyle name="20% - Accent2 10" xfId="4512" xr:uid="{00000000-0005-0000-0000-0000A1000000}"/>
    <cellStyle name="20% - Accent2 10 2" xfId="13838" xr:uid="{1AF97F0B-A052-4B8F-8DFF-6BD85F357DC2}"/>
    <cellStyle name="20% - Accent2 11" xfId="8760" xr:uid="{2F9D8AF1-C115-467C-ADFB-3BF13039D076}"/>
    <cellStyle name="20% - Accent2 12" xfId="9621" xr:uid="{124CA339-6093-4E83-85DA-3FFC6D70B096}"/>
    <cellStyle name="20% - Accent2 2" xfId="10" xr:uid="{00000000-0005-0000-0000-0000A2000000}"/>
    <cellStyle name="20% - Accent2 2 10" xfId="8793" xr:uid="{AA7C3473-3A75-4F75-9E25-D7658C57F3A0}"/>
    <cellStyle name="20% - Accent2 2 11" xfId="9622" xr:uid="{FF757A04-46E0-421D-A1B6-69E666DFC3E1}"/>
    <cellStyle name="20% - Accent2 2 2" xfId="11" xr:uid="{00000000-0005-0000-0000-0000A3000000}"/>
    <cellStyle name="20% - Accent2 2 2 10" xfId="9623" xr:uid="{0DDBBC01-171D-4372-B67D-21B8C8CFF7F3}"/>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2B6C1823-0FF5-42BD-B02E-7D7A112AD54F}"/>
    <cellStyle name="20% - Accent2 2 2 2 2 2 3" xfId="12183" xr:uid="{C8BDB4C3-5992-41A7-9439-EE356968594A}"/>
    <cellStyle name="20% - Accent2 2 2 2 2 3" xfId="4929" xr:uid="{00000000-0005-0000-0000-0000A8000000}"/>
    <cellStyle name="20% - Accent2 2 2 2 2 3 2" xfId="14255" xr:uid="{4423F448-679A-402A-8CB9-762AE2124837}"/>
    <cellStyle name="20% - Accent2 2 2 2 2 4" xfId="9528" xr:uid="{C8BEA541-FD8B-4449-95AA-43E1904F35BB}"/>
    <cellStyle name="20% - Accent2 2 2 2 2 5" xfId="10038" xr:uid="{973313C2-F330-4088-BB9D-DA744A0C867E}"/>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9F6161E8-5091-4D64-8A14-D3F57F0D5439}"/>
    <cellStyle name="20% - Accent2 2 2 2 3 2 3" xfId="12596" xr:uid="{E219E837-F4BE-44B3-B72A-5945EE7551DB}"/>
    <cellStyle name="20% - Accent2 2 2 2 3 3" xfId="5342" xr:uid="{00000000-0005-0000-0000-0000AC000000}"/>
    <cellStyle name="20% - Accent2 2 2 2 3 3 2" xfId="14668" xr:uid="{98756509-F533-4D44-A4A3-71FF9EFC27E6}"/>
    <cellStyle name="20% - Accent2 2 2 2 3 4" xfId="10451" xr:uid="{CED9AD8D-572D-493B-A278-4854E39DF85B}"/>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921D9CC1-ADFA-489A-B1A8-DFA1841587E2}"/>
    <cellStyle name="20% - Accent2 2 2 2 4 2 3" xfId="13009" xr:uid="{5DC1F807-44A9-433D-9D3D-BEF9A21EF719}"/>
    <cellStyle name="20% - Accent2 2 2 2 4 3" xfId="5755" xr:uid="{00000000-0005-0000-0000-0000B0000000}"/>
    <cellStyle name="20% - Accent2 2 2 2 4 3 2" xfId="15081" xr:uid="{AB5AF170-172C-47CA-A1E6-7689F12CEE1D}"/>
    <cellStyle name="20% - Accent2 2 2 2 4 4" xfId="10864" xr:uid="{207D384E-29AA-41E0-842D-9B9C2391F54E}"/>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5401810E-2FC7-4778-801F-B3C21A34CF0F}"/>
    <cellStyle name="20% - Accent2 2 2 2 5 2 3" xfId="13422" xr:uid="{C1E3B7E8-AA88-442C-846B-69F6A9828B8D}"/>
    <cellStyle name="20% - Accent2 2 2 2 5 3" xfId="6168" xr:uid="{00000000-0005-0000-0000-0000B4000000}"/>
    <cellStyle name="20% - Accent2 2 2 2 5 3 2" xfId="15494" xr:uid="{4B8C753D-AA51-4E3F-BBA1-D4C6DB2BC02A}"/>
    <cellStyle name="20% - Accent2 2 2 2 5 4" xfId="11277" xr:uid="{B937DF56-8B54-429E-9818-CDA612140B4F}"/>
    <cellStyle name="20% - Accent2 2 2 2 6" xfId="2275" xr:uid="{00000000-0005-0000-0000-0000B5000000}"/>
    <cellStyle name="20% - Accent2 2 2 2 6 2" xfId="6581" xr:uid="{00000000-0005-0000-0000-0000B6000000}"/>
    <cellStyle name="20% - Accent2 2 2 2 6 2 2" xfId="15907" xr:uid="{512E8182-546C-4B95-8B5C-CC1D03ED8C7D}"/>
    <cellStyle name="20% - Accent2 2 2 2 6 3" xfId="11690" xr:uid="{424110D1-2B0F-4B12-8B82-10BE247CE881}"/>
    <cellStyle name="20% - Accent2 2 2 2 7" xfId="4515" xr:uid="{00000000-0005-0000-0000-0000B7000000}"/>
    <cellStyle name="20% - Accent2 2 2 2 7 2" xfId="13841" xr:uid="{7DE0EDAC-E383-4873-8938-9B8CE42D062C}"/>
    <cellStyle name="20% - Accent2 2 2 2 8" xfId="9103" xr:uid="{91DB80A1-3464-4086-B948-71B6A26537C4}"/>
    <cellStyle name="20% - Accent2 2 2 2 9" xfId="9624" xr:uid="{898CF94A-1184-4E29-AD4B-F48955D0ACE0}"/>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6769E6D2-73B2-42EC-853E-6570B823035F}"/>
    <cellStyle name="20% - Accent2 2 2 3 2 3" xfId="12182" xr:uid="{790FAA71-21F6-46C6-9436-20FAF406CBB3}"/>
    <cellStyle name="20% - Accent2 2 2 3 3" xfId="4928" xr:uid="{00000000-0005-0000-0000-0000BB000000}"/>
    <cellStyle name="20% - Accent2 2 2 3 3 2" xfId="14254" xr:uid="{9B1859F2-A29B-4923-8C3B-3E32C45E2141}"/>
    <cellStyle name="20% - Accent2 2 2 3 4" xfId="9321" xr:uid="{32B21C3A-E360-4F19-B469-1116F045A0F3}"/>
    <cellStyle name="20% - Accent2 2 2 3 5" xfId="10037" xr:uid="{1AE04599-7F22-4ACC-B882-9517226E4625}"/>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C877F9D0-2A1F-4B6C-BB7D-653A20B56060}"/>
    <cellStyle name="20% - Accent2 2 2 4 2 3" xfId="12595" xr:uid="{31B1AE2F-0C92-4A0B-97EB-A54A20F044CE}"/>
    <cellStyle name="20% - Accent2 2 2 4 3" xfId="5341" xr:uid="{00000000-0005-0000-0000-0000BF000000}"/>
    <cellStyle name="20% - Accent2 2 2 4 3 2" xfId="14667" xr:uid="{B915F07A-3475-48B3-8B56-91316959763F}"/>
    <cellStyle name="20% - Accent2 2 2 4 4" xfId="10450" xr:uid="{12D9A9C9-2391-4D93-B4FD-61EB7484121F}"/>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D0EADFA1-EB33-463B-9227-158499970D36}"/>
    <cellStyle name="20% - Accent2 2 2 5 2 3" xfId="13008" xr:uid="{FDB8A717-7F93-4A8D-AD0A-0F62A6E38DF3}"/>
    <cellStyle name="20% - Accent2 2 2 5 3" xfId="5754" xr:uid="{00000000-0005-0000-0000-0000C3000000}"/>
    <cellStyle name="20% - Accent2 2 2 5 3 2" xfId="15080" xr:uid="{CAC9153E-19C6-4E1A-85BF-0F1EC5702B46}"/>
    <cellStyle name="20% - Accent2 2 2 5 4" xfId="10863" xr:uid="{EEAB3A1D-6E31-46EA-84FA-29808AC4FD52}"/>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307D3251-01E3-4051-B737-A2D321CFFB9B}"/>
    <cellStyle name="20% - Accent2 2 2 6 2 3" xfId="13421" xr:uid="{C5FBC7A5-21CB-49F2-BF86-C2503564C726}"/>
    <cellStyle name="20% - Accent2 2 2 6 3" xfId="6167" xr:uid="{00000000-0005-0000-0000-0000C7000000}"/>
    <cellStyle name="20% - Accent2 2 2 6 3 2" xfId="15493" xr:uid="{F7205107-9D4C-418F-82F9-0CBAA42CC5D4}"/>
    <cellStyle name="20% - Accent2 2 2 6 4" xfId="11276" xr:uid="{EE386561-E59A-438F-8DF7-34F5D03BCCCC}"/>
    <cellStyle name="20% - Accent2 2 2 7" xfId="2274" xr:uid="{00000000-0005-0000-0000-0000C8000000}"/>
    <cellStyle name="20% - Accent2 2 2 7 2" xfId="6580" xr:uid="{00000000-0005-0000-0000-0000C9000000}"/>
    <cellStyle name="20% - Accent2 2 2 7 2 2" xfId="15906" xr:uid="{09ABE1AF-FB1B-479E-953A-02A7F1C07877}"/>
    <cellStyle name="20% - Accent2 2 2 7 3" xfId="11689" xr:uid="{04645242-690F-4B1A-9079-D106A0AC5BB9}"/>
    <cellStyle name="20% - Accent2 2 2 8" xfId="4514" xr:uid="{00000000-0005-0000-0000-0000CA000000}"/>
    <cellStyle name="20% - Accent2 2 2 8 2" xfId="13840" xr:uid="{C7D1B6E4-0893-4BBB-9795-9BDED0068372}"/>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211D1BFF-A3EF-4DC2-B611-0500A4B3FD23}"/>
    <cellStyle name="20% - Accent2 2 3 2 2 3" xfId="12184" xr:uid="{35C657C5-AED5-457C-BF5E-DA6B4A7C4ED7}"/>
    <cellStyle name="20% - Accent2 2 3 2 3" xfId="4930" xr:uid="{00000000-0005-0000-0000-0000CF000000}"/>
    <cellStyle name="20% - Accent2 2 3 2 3 2" xfId="14256" xr:uid="{4775B3EF-59E2-40FD-93F2-50790F0B0326}"/>
    <cellStyle name="20% - Accent2 2 3 2 4" xfId="9425" xr:uid="{35BECFF4-0F5A-4F6E-AE6E-354891135B4F}"/>
    <cellStyle name="20% - Accent2 2 3 2 5" xfId="10039" xr:uid="{17046BDF-228C-4900-9536-ECFA18E66AD2}"/>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F237205C-BC5F-4383-9448-1DB58383293F}"/>
    <cellStyle name="20% - Accent2 2 3 3 2 3" xfId="12597" xr:uid="{539AE79B-ED23-45ED-A6E5-712B34278A68}"/>
    <cellStyle name="20% - Accent2 2 3 3 3" xfId="5343" xr:uid="{00000000-0005-0000-0000-0000D3000000}"/>
    <cellStyle name="20% - Accent2 2 3 3 3 2" xfId="14669" xr:uid="{090CDEA8-10DA-4343-9C17-74EA71198369}"/>
    <cellStyle name="20% - Accent2 2 3 3 4" xfId="10452" xr:uid="{2804CFB7-1FA6-439A-9CC1-E9799E30E7E1}"/>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C29819A7-2C27-47DD-B523-4772B0721EF3}"/>
    <cellStyle name="20% - Accent2 2 3 4 2 3" xfId="13010" xr:uid="{3E2E260C-AAA1-4B08-9691-B763404FAA93}"/>
    <cellStyle name="20% - Accent2 2 3 4 3" xfId="5756" xr:uid="{00000000-0005-0000-0000-0000D7000000}"/>
    <cellStyle name="20% - Accent2 2 3 4 3 2" xfId="15082" xr:uid="{FD0EA35A-B23A-4D2A-88B1-1186237FED6B}"/>
    <cellStyle name="20% - Accent2 2 3 4 4" xfId="10865" xr:uid="{7D341554-4937-4C71-A8C3-DF654223AD4A}"/>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74A4B147-8A12-4234-BA4F-02654C5A5E3B}"/>
    <cellStyle name="20% - Accent2 2 3 5 2 3" xfId="13423" xr:uid="{A6E1C289-0CF1-4637-9208-D33AA1F31346}"/>
    <cellStyle name="20% - Accent2 2 3 5 3" xfId="6169" xr:uid="{00000000-0005-0000-0000-0000DB000000}"/>
    <cellStyle name="20% - Accent2 2 3 5 3 2" xfId="15495" xr:uid="{F3DB3058-239A-47DA-92AD-2CA706BB4F3A}"/>
    <cellStyle name="20% - Accent2 2 3 5 4" xfId="11278" xr:uid="{599909C9-FA03-4F78-AF00-552A33467EF5}"/>
    <cellStyle name="20% - Accent2 2 3 6" xfId="2276" xr:uid="{00000000-0005-0000-0000-0000DC000000}"/>
    <cellStyle name="20% - Accent2 2 3 6 2" xfId="6582" xr:uid="{00000000-0005-0000-0000-0000DD000000}"/>
    <cellStyle name="20% - Accent2 2 3 6 2 2" xfId="15908" xr:uid="{810F583C-064D-4612-875D-052407CC55C9}"/>
    <cellStyle name="20% - Accent2 2 3 6 3" xfId="11691" xr:uid="{CA98ADB3-B510-482B-B3D7-8B5CD653F175}"/>
    <cellStyle name="20% - Accent2 2 3 7" xfId="4516" xr:uid="{00000000-0005-0000-0000-0000DE000000}"/>
    <cellStyle name="20% - Accent2 2 3 7 2" xfId="13842" xr:uid="{1C18DCAA-66A7-4C49-B861-752AD1083250}"/>
    <cellStyle name="20% - Accent2 2 3 8" xfId="9000" xr:uid="{133DFC5C-F2FF-49E9-82EE-ABAA9C815393}"/>
    <cellStyle name="20% - Accent2 2 3 9" xfId="9625" xr:uid="{6B94E05C-597F-45B5-B6F6-BFBA99C4D1D5}"/>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DC23BF00-8BD8-47E9-9FFA-DC2A54F78A50}"/>
    <cellStyle name="20% - Accent2 2 4 2 3" xfId="12181" xr:uid="{818ABCA3-D390-4B5C-81BF-C3030EA2E75C}"/>
    <cellStyle name="20% - Accent2 2 4 3" xfId="4927" xr:uid="{00000000-0005-0000-0000-0000E2000000}"/>
    <cellStyle name="20% - Accent2 2 4 3 2" xfId="14253" xr:uid="{4EF4F3B9-D365-41FB-8745-8525FB0E1AC3}"/>
    <cellStyle name="20% - Accent2 2 4 4" xfId="9217" xr:uid="{28DDC3F5-BA57-40F8-8D06-6CFF141CF9A1}"/>
    <cellStyle name="20% - Accent2 2 4 5" xfId="10036" xr:uid="{192FF8F8-4E5D-4B37-8961-01DF488AC146}"/>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AD45341B-13A2-44BE-9A24-FCDB65763407}"/>
    <cellStyle name="20% - Accent2 2 5 2 3" xfId="12594" xr:uid="{4466D63D-6D6C-48E4-A72B-0F52EB45A4E6}"/>
    <cellStyle name="20% - Accent2 2 5 3" xfId="5340" xr:uid="{00000000-0005-0000-0000-0000E6000000}"/>
    <cellStyle name="20% - Accent2 2 5 3 2" xfId="14666" xr:uid="{2C8259BA-FA3B-4F6B-8819-95EECA8F5284}"/>
    <cellStyle name="20% - Accent2 2 5 4" xfId="10449" xr:uid="{48D3C23E-6FF2-43C8-82AA-71E71612DC8D}"/>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94E5FEC6-25C8-475A-8F1D-8267C568B42F}"/>
    <cellStyle name="20% - Accent2 2 6 2 3" xfId="13007" xr:uid="{B0BD4E3F-7AB5-46E2-B96C-7FBE38C8E679}"/>
    <cellStyle name="20% - Accent2 2 6 3" xfId="5753" xr:uid="{00000000-0005-0000-0000-0000EA000000}"/>
    <cellStyle name="20% - Accent2 2 6 3 2" xfId="15079" xr:uid="{E2FAFC52-5B12-436C-98F8-169C4D12412E}"/>
    <cellStyle name="20% - Accent2 2 6 4" xfId="10862" xr:uid="{6A330C16-1AE1-4FFB-B24F-DC3F04322D67}"/>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EAAD633C-BD26-4E44-A945-018205C4FE75}"/>
    <cellStyle name="20% - Accent2 2 7 2 3" xfId="13420" xr:uid="{5B73E797-5889-4810-9B1F-7246DD560A08}"/>
    <cellStyle name="20% - Accent2 2 7 3" xfId="6166" xr:uid="{00000000-0005-0000-0000-0000EE000000}"/>
    <cellStyle name="20% - Accent2 2 7 3 2" xfId="15492" xr:uid="{AAF7A6D4-0E90-4695-AE02-0B2895F32AB6}"/>
    <cellStyle name="20% - Accent2 2 7 4" xfId="11275" xr:uid="{4F8EF73A-B3E9-4F28-8CB3-F4537946B672}"/>
    <cellStyle name="20% - Accent2 2 8" xfId="2273" xr:uid="{00000000-0005-0000-0000-0000EF000000}"/>
    <cellStyle name="20% - Accent2 2 8 2" xfId="6579" xr:uid="{00000000-0005-0000-0000-0000F0000000}"/>
    <cellStyle name="20% - Accent2 2 8 2 2" xfId="15905" xr:uid="{FEF6B9D2-8D91-4450-89AA-1E9A96D1AEA3}"/>
    <cellStyle name="20% - Accent2 2 8 3" xfId="11688" xr:uid="{E5CB9BF7-C602-4E18-B01C-84356715CE47}"/>
    <cellStyle name="20% - Accent2 2 9" xfId="4513" xr:uid="{00000000-0005-0000-0000-0000F1000000}"/>
    <cellStyle name="20% - Accent2 2 9 2" xfId="13839" xr:uid="{7AC92233-8066-460D-B0D9-F70A79651703}"/>
    <cellStyle name="20% - Accent2 3" xfId="14" xr:uid="{00000000-0005-0000-0000-0000F2000000}"/>
    <cellStyle name="20% - Accent2 3 10" xfId="9626" xr:uid="{F8E90ED8-1F6B-46F9-A845-01B4E5CE7507}"/>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74E8558D-3FB6-41B7-BBD6-B8B71F31F820}"/>
    <cellStyle name="20% - Accent2 3 2 2 2 3" xfId="12186" xr:uid="{21FD9FBB-E80E-4B7A-A014-7AF2EDF9D65D}"/>
    <cellStyle name="20% - Accent2 3 2 2 3" xfId="4932" xr:uid="{00000000-0005-0000-0000-0000F7000000}"/>
    <cellStyle name="20% - Accent2 3 2 2 3 2" xfId="14258" xr:uid="{F9ADA06B-9134-40C2-85B5-BA781EF6DEFA}"/>
    <cellStyle name="20% - Accent2 3 2 2 4" xfId="9495" xr:uid="{9F5A6FE7-BBC9-4787-8EC4-2112F4D5A0EA}"/>
    <cellStyle name="20% - Accent2 3 2 2 5" xfId="10041" xr:uid="{101D1B0F-203A-467F-9B51-D09EE5986EAF}"/>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11387FD6-9F29-4AE0-B8A5-6A31E5AB945B}"/>
    <cellStyle name="20% - Accent2 3 2 3 2 3" xfId="12599" xr:uid="{BFA0A11F-0D08-4566-B870-38051764363A}"/>
    <cellStyle name="20% - Accent2 3 2 3 3" xfId="5345" xr:uid="{00000000-0005-0000-0000-0000FB000000}"/>
    <cellStyle name="20% - Accent2 3 2 3 3 2" xfId="14671" xr:uid="{C687D5AC-E78D-49DF-8BC4-03D8686A783B}"/>
    <cellStyle name="20% - Accent2 3 2 3 4" xfId="10454" xr:uid="{D69DB587-7E66-4B27-87C5-16039A00BCE8}"/>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C82481E7-9F29-4E06-8797-CF6A866EF0BD}"/>
    <cellStyle name="20% - Accent2 3 2 4 2 3" xfId="13012" xr:uid="{154917FA-44C1-47D2-8559-46E10652371B}"/>
    <cellStyle name="20% - Accent2 3 2 4 3" xfId="5758" xr:uid="{00000000-0005-0000-0000-0000FF000000}"/>
    <cellStyle name="20% - Accent2 3 2 4 3 2" xfId="15084" xr:uid="{048EB8DB-AF89-4C61-8509-74866D580D90}"/>
    <cellStyle name="20% - Accent2 3 2 4 4" xfId="10867" xr:uid="{2194251C-C225-4081-B565-97C84A062DF2}"/>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9DF97641-0CD7-4DE6-BC38-03E3EB8F9466}"/>
    <cellStyle name="20% - Accent2 3 2 5 2 3" xfId="13425" xr:uid="{5F1D308C-D849-488E-8915-388B94C3958E}"/>
    <cellStyle name="20% - Accent2 3 2 5 3" xfId="6171" xr:uid="{00000000-0005-0000-0000-000003010000}"/>
    <cellStyle name="20% - Accent2 3 2 5 3 2" xfId="15497" xr:uid="{BC69A2F4-36E1-4C08-AA39-E57EA9964D9C}"/>
    <cellStyle name="20% - Accent2 3 2 5 4" xfId="11280" xr:uid="{27C175C7-1E52-408A-997A-67283F8C2D93}"/>
    <cellStyle name="20% - Accent2 3 2 6" xfId="2278" xr:uid="{00000000-0005-0000-0000-000004010000}"/>
    <cellStyle name="20% - Accent2 3 2 6 2" xfId="6584" xr:uid="{00000000-0005-0000-0000-000005010000}"/>
    <cellStyle name="20% - Accent2 3 2 6 2 2" xfId="15910" xr:uid="{7DFD256D-ECB0-4A55-B662-FE3370B17479}"/>
    <cellStyle name="20% - Accent2 3 2 6 3" xfId="11693" xr:uid="{B26BC1BF-A789-404B-A7E6-892CA3CC6AD0}"/>
    <cellStyle name="20% - Accent2 3 2 7" xfId="4518" xr:uid="{00000000-0005-0000-0000-000006010000}"/>
    <cellStyle name="20% - Accent2 3 2 7 2" xfId="13844" xr:uid="{1AE49A7C-A949-485A-AFC2-7B0C8D9A679A}"/>
    <cellStyle name="20% - Accent2 3 2 8" xfId="9070" xr:uid="{8A9168BA-490F-4E57-83EA-22187D24153F}"/>
    <cellStyle name="20% - Accent2 3 2 9" xfId="9627" xr:uid="{8FD32E75-B8D7-4A03-A9C7-0EED2D326955}"/>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26C319A8-9EEE-45D5-8767-A476185D61FA}"/>
    <cellStyle name="20% - Accent2 3 3 2 3" xfId="12185" xr:uid="{C6894904-9B0B-48B3-9A41-16E7DA229220}"/>
    <cellStyle name="20% - Accent2 3 3 3" xfId="4931" xr:uid="{00000000-0005-0000-0000-00000A010000}"/>
    <cellStyle name="20% - Accent2 3 3 3 2" xfId="14257" xr:uid="{92C8023A-A437-4DFD-B0D9-13B3F8C73530}"/>
    <cellStyle name="20% - Accent2 3 3 4" xfId="9288" xr:uid="{FCD70616-ECAD-4A0B-889F-4698E1AD889E}"/>
    <cellStyle name="20% - Accent2 3 3 5" xfId="10040" xr:uid="{49373059-648E-4A9D-B0CF-9E8A801CF6C9}"/>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32FF63B7-42F7-4A95-A64A-24260E246AE2}"/>
    <cellStyle name="20% - Accent2 3 4 2 3" xfId="12598" xr:uid="{F1AC900A-0521-4023-97BE-8E3E4CF27075}"/>
    <cellStyle name="20% - Accent2 3 4 3" xfId="5344" xr:uid="{00000000-0005-0000-0000-00000E010000}"/>
    <cellStyle name="20% - Accent2 3 4 3 2" xfId="14670" xr:uid="{38B62783-930F-4708-BFF4-51380AB6989F}"/>
    <cellStyle name="20% - Accent2 3 4 4" xfId="10453" xr:uid="{1BC02D9A-4543-4010-ACF0-1D246D1B45EA}"/>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D241A4FD-FBFC-4EDA-A8CA-91BF604D448E}"/>
    <cellStyle name="20% - Accent2 3 5 2 3" xfId="13011" xr:uid="{87C9CEA5-0132-48BD-9841-26C6793A274C}"/>
    <cellStyle name="20% - Accent2 3 5 3" xfId="5757" xr:uid="{00000000-0005-0000-0000-000012010000}"/>
    <cellStyle name="20% - Accent2 3 5 3 2" xfId="15083" xr:uid="{B5AFABB2-03CE-4C44-A513-355A08508B54}"/>
    <cellStyle name="20% - Accent2 3 5 4" xfId="10866" xr:uid="{5253CFDB-81A4-471D-8B92-2123F6D4182B}"/>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CDDDD917-4A95-4027-8EC0-AC859BAE75AA}"/>
    <cellStyle name="20% - Accent2 3 6 2 3" xfId="13424" xr:uid="{11E6CF66-57F9-4675-8B3D-E0366FA16F83}"/>
    <cellStyle name="20% - Accent2 3 6 3" xfId="6170" xr:uid="{00000000-0005-0000-0000-000016010000}"/>
    <cellStyle name="20% - Accent2 3 6 3 2" xfId="15496" xr:uid="{37C9A766-0CA0-45F4-A53D-6AE4694AC771}"/>
    <cellStyle name="20% - Accent2 3 6 4" xfId="11279" xr:uid="{1D5E2888-C900-45EC-B671-736D0264F6B9}"/>
    <cellStyle name="20% - Accent2 3 7" xfId="2277" xr:uid="{00000000-0005-0000-0000-000017010000}"/>
    <cellStyle name="20% - Accent2 3 7 2" xfId="6583" xr:uid="{00000000-0005-0000-0000-000018010000}"/>
    <cellStyle name="20% - Accent2 3 7 2 2" xfId="15909" xr:uid="{567012A6-B66E-4D51-8551-171128A7C889}"/>
    <cellStyle name="20% - Accent2 3 7 3" xfId="11692" xr:uid="{284F2E66-D24E-4978-A4FB-F2F4CDB0F4D4}"/>
    <cellStyle name="20% - Accent2 3 8" xfId="4517" xr:uid="{00000000-0005-0000-0000-000019010000}"/>
    <cellStyle name="20% - Accent2 3 8 2" xfId="13843" xr:uid="{4999E639-A360-44AC-A1DF-5C19251BA80D}"/>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7A30B8CD-E0D3-4C13-8802-7EA7C9E82D26}"/>
    <cellStyle name="20% - Accent2 4 2 2 3" xfId="12187" xr:uid="{850CF4C4-A326-42A2-857A-2D4C609B4772}"/>
    <cellStyle name="20% - Accent2 4 2 3" xfId="4933" xr:uid="{00000000-0005-0000-0000-00001E010000}"/>
    <cellStyle name="20% - Accent2 4 2 3 2" xfId="14259" xr:uid="{B5CC56CB-3626-41A4-BA48-9CCE89146F7C}"/>
    <cellStyle name="20% - Accent2 4 2 4" xfId="9374" xr:uid="{26FD7A0E-8D04-4AF7-B092-2B22A78F0A97}"/>
    <cellStyle name="20% - Accent2 4 2 5" xfId="10042" xr:uid="{00A434E8-2FE2-4713-9675-803AF86D4F44}"/>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D77AF98C-3628-4E3B-A6FB-F33E0BD92CBC}"/>
    <cellStyle name="20% - Accent2 4 3 2 3" xfId="12600" xr:uid="{FF8C071C-CCB3-4758-8FEE-1474BB23C86B}"/>
    <cellStyle name="20% - Accent2 4 3 3" xfId="5346" xr:uid="{00000000-0005-0000-0000-000022010000}"/>
    <cellStyle name="20% - Accent2 4 3 3 2" xfId="14672" xr:uid="{E25CD722-4BE8-4E8D-83EE-CE482690A7F8}"/>
    <cellStyle name="20% - Accent2 4 3 4" xfId="10455" xr:uid="{1955604F-EA60-43A8-9898-87798815BA1A}"/>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1742ABA6-55CD-4EC7-8C27-5AE5DE2F0A18}"/>
    <cellStyle name="20% - Accent2 4 4 2 3" xfId="13013" xr:uid="{91B22BF7-39B1-4863-B746-EADFF2005D22}"/>
    <cellStyle name="20% - Accent2 4 4 3" xfId="5759" xr:uid="{00000000-0005-0000-0000-000026010000}"/>
    <cellStyle name="20% - Accent2 4 4 3 2" xfId="15085" xr:uid="{3E15BDAD-0C83-42BB-A3E1-57071CE76E54}"/>
    <cellStyle name="20% - Accent2 4 4 4" xfId="10868" xr:uid="{E1E76CD4-E1FE-4928-8AEE-DB7EF66FB6A7}"/>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A6BAD499-726E-48F1-B1CD-0CAD92F04B0C}"/>
    <cellStyle name="20% - Accent2 4 5 2 3" xfId="13426" xr:uid="{257C1C55-1A1A-4F62-B70B-303011071159}"/>
    <cellStyle name="20% - Accent2 4 5 3" xfId="6172" xr:uid="{00000000-0005-0000-0000-00002A010000}"/>
    <cellStyle name="20% - Accent2 4 5 3 2" xfId="15498" xr:uid="{4C0DE609-0091-4653-BCCF-63DB5417980F}"/>
    <cellStyle name="20% - Accent2 4 5 4" xfId="11281" xr:uid="{81E629B1-ED4C-4484-A2F8-39D423245D72}"/>
    <cellStyle name="20% - Accent2 4 6" xfId="2279" xr:uid="{00000000-0005-0000-0000-00002B010000}"/>
    <cellStyle name="20% - Accent2 4 6 2" xfId="6585" xr:uid="{00000000-0005-0000-0000-00002C010000}"/>
    <cellStyle name="20% - Accent2 4 6 2 2" xfId="15911" xr:uid="{920C7123-36C1-45EA-AF49-BBB28C10669F}"/>
    <cellStyle name="20% - Accent2 4 6 3" xfId="11694" xr:uid="{F5810BF8-0EAC-4FA8-AE51-685B044702D7}"/>
    <cellStyle name="20% - Accent2 4 7" xfId="4519" xr:uid="{00000000-0005-0000-0000-00002D010000}"/>
    <cellStyle name="20% - Accent2 4 7 2" xfId="13845" xr:uid="{D7023FAC-DDD9-4D4C-8CEA-20315CF4C576}"/>
    <cellStyle name="20% - Accent2 4 8" xfId="8949" xr:uid="{084C22A9-B904-4AFE-A752-AC1DC2CA76B8}"/>
    <cellStyle name="20% - Accent2 4 9" xfId="9628" xr:uid="{7A6895CF-CDEE-405A-B599-6FA716B857F9}"/>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28BBC457-DC33-4393-9495-C89E6A323AC6}"/>
    <cellStyle name="20% - Accent2 5 2 3" xfId="12180" xr:uid="{F0B4CF7C-FD91-41C2-82A0-921C4277D74D}"/>
    <cellStyle name="20% - Accent2 5 3" xfId="4926" xr:uid="{00000000-0005-0000-0000-000031010000}"/>
    <cellStyle name="20% - Accent2 5 3 2" xfId="14252" xr:uid="{9B23247C-7D17-413D-A7EF-40F78014B30C}"/>
    <cellStyle name="20% - Accent2 5 4" xfId="9182" xr:uid="{F822E263-B2A4-41B5-BBF9-FCE1A7A30601}"/>
    <cellStyle name="20% - Accent2 5 5" xfId="10035" xr:uid="{06B5AD32-AB36-4D80-A073-BF9F83BC06A5}"/>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C29CC656-550A-44B6-BF21-41456D82DB33}"/>
    <cellStyle name="20% - Accent2 6 2 3" xfId="12593" xr:uid="{3446ED39-8AB1-47EC-BFF1-8E75B4C0DB77}"/>
    <cellStyle name="20% - Accent2 6 3" xfId="5339" xr:uid="{00000000-0005-0000-0000-000035010000}"/>
    <cellStyle name="20% - Accent2 6 3 2" xfId="14665" xr:uid="{6D5C1F76-A879-4D9B-B9A3-A4CA5DCC922F}"/>
    <cellStyle name="20% - Accent2 6 4" xfId="10448" xr:uid="{06100B65-FA4A-4603-BE41-3C7B8659F405}"/>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733CA6BF-A545-4033-9136-1D291B8D107C}"/>
    <cellStyle name="20% - Accent2 7 2 3" xfId="13006" xr:uid="{BE0212E2-5932-4411-A42B-CCB50E98EAFB}"/>
    <cellStyle name="20% - Accent2 7 3" xfId="5752" xr:uid="{00000000-0005-0000-0000-000039010000}"/>
    <cellStyle name="20% - Accent2 7 3 2" xfId="15078" xr:uid="{26B5C887-5949-47B1-97A3-B5E51473783B}"/>
    <cellStyle name="20% - Accent2 7 4" xfId="10861" xr:uid="{46344426-FD31-4BE9-88F7-A9694E75B878}"/>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860B5E68-31A9-4E46-96B2-E0FD936BA805}"/>
    <cellStyle name="20% - Accent2 8 2 3" xfId="13419" xr:uid="{E4833DE6-3FAE-4D95-9265-99CB85ED79BA}"/>
    <cellStyle name="20% - Accent2 8 3" xfId="6165" xr:uid="{00000000-0005-0000-0000-00003D010000}"/>
    <cellStyle name="20% - Accent2 8 3 2" xfId="15491" xr:uid="{7AA773BC-0BC9-40FC-B317-766BD350F4BA}"/>
    <cellStyle name="20% - Accent2 8 4" xfId="11274" xr:uid="{31CE2E19-D90F-45B9-8F7B-1135B9C50B6A}"/>
    <cellStyle name="20% - Accent2 9" xfId="2272" xr:uid="{00000000-0005-0000-0000-00003E010000}"/>
    <cellStyle name="20% - Accent2 9 2" xfId="6578" xr:uid="{00000000-0005-0000-0000-00003F010000}"/>
    <cellStyle name="20% - Accent2 9 2 2" xfId="15904" xr:uid="{D9CE8135-D657-44AF-B59C-67E260E5D4F8}"/>
    <cellStyle name="20% - Accent2 9 3" xfId="11687" xr:uid="{0B32D194-1A01-47B5-B906-C09BA58A3C46}"/>
    <cellStyle name="20% - Accent3" xfId="17" builtinId="38" customBuiltin="1"/>
    <cellStyle name="20% - Accent3 10" xfId="4520" xr:uid="{00000000-0005-0000-0000-000041010000}"/>
    <cellStyle name="20% - Accent3 10 2" xfId="13846" xr:uid="{5723D5D9-29D1-4C90-B98D-ADC8895571A5}"/>
    <cellStyle name="20% - Accent3 11" xfId="8762" xr:uid="{49ACF776-43E7-4BB5-82F5-A8A4FEBC45F8}"/>
    <cellStyle name="20% - Accent3 12" xfId="9629" xr:uid="{C59E5051-3F50-4C31-826E-319618426BA7}"/>
    <cellStyle name="20% - Accent3 2" xfId="18" xr:uid="{00000000-0005-0000-0000-000042010000}"/>
    <cellStyle name="20% - Accent3 2 10" xfId="8792" xr:uid="{65E5762F-047C-4860-B47E-71363924E2A5}"/>
    <cellStyle name="20% - Accent3 2 11" xfId="9630" xr:uid="{9628DD4A-9E39-4EA0-97D9-1E603CCC4FFB}"/>
    <cellStyle name="20% - Accent3 2 2" xfId="19" xr:uid="{00000000-0005-0000-0000-000043010000}"/>
    <cellStyle name="20% - Accent3 2 2 10" xfId="9631" xr:uid="{DE2485C7-79EC-4957-93C8-2436EE9056B1}"/>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FBDF5A4D-A648-45E3-B4FB-DAEB586CB9D7}"/>
    <cellStyle name="20% - Accent3 2 2 2 2 2 3" xfId="12191" xr:uid="{06F6710F-A59A-419B-BF7C-A5F91F52D49A}"/>
    <cellStyle name="20% - Accent3 2 2 2 2 3" xfId="4937" xr:uid="{00000000-0005-0000-0000-000048010000}"/>
    <cellStyle name="20% - Accent3 2 2 2 2 3 2" xfId="14263" xr:uid="{B957C1CE-CD3A-4CF0-B414-5DA3228AD9BC}"/>
    <cellStyle name="20% - Accent3 2 2 2 2 4" xfId="9527" xr:uid="{B82F9F3C-4714-4F10-BEB2-F90FC0563F53}"/>
    <cellStyle name="20% - Accent3 2 2 2 2 5" xfId="10046" xr:uid="{FAC1E222-5769-4142-AE0D-6D8BF075A3D5}"/>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91D33759-DD1F-44DC-8E45-E01F7AD837A0}"/>
    <cellStyle name="20% - Accent3 2 2 2 3 2 3" xfId="12604" xr:uid="{24F5D02B-A26B-4A09-99DC-BFF252375448}"/>
    <cellStyle name="20% - Accent3 2 2 2 3 3" xfId="5350" xr:uid="{00000000-0005-0000-0000-00004C010000}"/>
    <cellStyle name="20% - Accent3 2 2 2 3 3 2" xfId="14676" xr:uid="{DA227E77-D359-43F5-8E3F-C71FE0F25809}"/>
    <cellStyle name="20% - Accent3 2 2 2 3 4" xfId="10459" xr:uid="{9AAB0500-9448-4AD0-897F-DDBC81C292A5}"/>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03664B5B-5865-4511-A74C-89CF2202D057}"/>
    <cellStyle name="20% - Accent3 2 2 2 4 2 3" xfId="13017" xr:uid="{61563A73-7BBA-422B-98FC-B8E7DAD61933}"/>
    <cellStyle name="20% - Accent3 2 2 2 4 3" xfId="5763" xr:uid="{00000000-0005-0000-0000-000050010000}"/>
    <cellStyle name="20% - Accent3 2 2 2 4 3 2" xfId="15089" xr:uid="{9FFFE181-1884-4F82-930B-D96894156E03}"/>
    <cellStyle name="20% - Accent3 2 2 2 4 4" xfId="10872" xr:uid="{127C0D11-726C-4211-AA5C-9FB955A52047}"/>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62812AE5-9BA3-406D-8AB0-945AD266D84D}"/>
    <cellStyle name="20% - Accent3 2 2 2 5 2 3" xfId="13430" xr:uid="{FF18BE92-6738-436E-9D4A-08021ED14480}"/>
    <cellStyle name="20% - Accent3 2 2 2 5 3" xfId="6176" xr:uid="{00000000-0005-0000-0000-000054010000}"/>
    <cellStyle name="20% - Accent3 2 2 2 5 3 2" xfId="15502" xr:uid="{1D31C3CA-EA18-403F-8350-010C722A8B7E}"/>
    <cellStyle name="20% - Accent3 2 2 2 5 4" xfId="11285" xr:uid="{77597FE1-D995-4B15-A234-C663C8D893EC}"/>
    <cellStyle name="20% - Accent3 2 2 2 6" xfId="2283" xr:uid="{00000000-0005-0000-0000-000055010000}"/>
    <cellStyle name="20% - Accent3 2 2 2 6 2" xfId="6589" xr:uid="{00000000-0005-0000-0000-000056010000}"/>
    <cellStyle name="20% - Accent3 2 2 2 6 2 2" xfId="15915" xr:uid="{44B36007-5BE3-4718-B106-713D1EEF50BC}"/>
    <cellStyle name="20% - Accent3 2 2 2 6 3" xfId="11698" xr:uid="{3D1BD7E8-A5C4-4DC5-BF28-B9E7EC42C24A}"/>
    <cellStyle name="20% - Accent3 2 2 2 7" xfId="4523" xr:uid="{00000000-0005-0000-0000-000057010000}"/>
    <cellStyle name="20% - Accent3 2 2 2 7 2" xfId="13849" xr:uid="{56D76E2F-B8C1-43FF-A477-0F2D3A41C858}"/>
    <cellStyle name="20% - Accent3 2 2 2 8" xfId="9102" xr:uid="{77698EAD-FDE4-4105-BE80-980B5219F464}"/>
    <cellStyle name="20% - Accent3 2 2 2 9" xfId="9632" xr:uid="{33F43795-48C4-4523-938D-AB2ACBCC6F63}"/>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872506BB-D3BD-4D2B-BF66-A844E39E8FEC}"/>
    <cellStyle name="20% - Accent3 2 2 3 2 3" xfId="12190" xr:uid="{29AC4D16-4E84-477E-9DEC-ECACFE0C0BED}"/>
    <cellStyle name="20% - Accent3 2 2 3 3" xfId="4936" xr:uid="{00000000-0005-0000-0000-00005B010000}"/>
    <cellStyle name="20% - Accent3 2 2 3 3 2" xfId="14262" xr:uid="{A09EF23E-F952-4279-99B5-CAA6E59EC65D}"/>
    <cellStyle name="20% - Accent3 2 2 3 4" xfId="9320" xr:uid="{BF070B19-D289-4211-B080-DBB621CAE7BA}"/>
    <cellStyle name="20% - Accent3 2 2 3 5" xfId="10045" xr:uid="{BF8833EA-5C19-4F46-AEB9-FC14B94A17A2}"/>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235DD2F0-9DA5-4B4E-A8B5-4C3DF3D81702}"/>
    <cellStyle name="20% - Accent3 2 2 4 2 3" xfId="12603" xr:uid="{B4E4F178-7709-4294-8E72-E57FFDC73CBD}"/>
    <cellStyle name="20% - Accent3 2 2 4 3" xfId="5349" xr:uid="{00000000-0005-0000-0000-00005F010000}"/>
    <cellStyle name="20% - Accent3 2 2 4 3 2" xfId="14675" xr:uid="{8759046B-B52A-4C15-AFAB-6240D0E5C4F9}"/>
    <cellStyle name="20% - Accent3 2 2 4 4" xfId="10458" xr:uid="{D28B032B-4B24-40AC-8D9A-A1E69188BA39}"/>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93EC9D47-3BC6-4379-874A-15E0C8717F46}"/>
    <cellStyle name="20% - Accent3 2 2 5 2 3" xfId="13016" xr:uid="{D61A5972-1516-4599-A95F-FEDB95C1C8E8}"/>
    <cellStyle name="20% - Accent3 2 2 5 3" xfId="5762" xr:uid="{00000000-0005-0000-0000-000063010000}"/>
    <cellStyle name="20% - Accent3 2 2 5 3 2" xfId="15088" xr:uid="{D7675B3C-E635-4BF6-BF5E-2677A1F5B2F3}"/>
    <cellStyle name="20% - Accent3 2 2 5 4" xfId="10871" xr:uid="{2449421D-76A8-4BB4-AAB5-CDE32D3FDA2C}"/>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DF9D18B0-8B97-4915-B47E-3A701685AE1E}"/>
    <cellStyle name="20% - Accent3 2 2 6 2 3" xfId="13429" xr:uid="{0F8E0FE1-B078-4BF2-A7E5-14F5510ED5EA}"/>
    <cellStyle name="20% - Accent3 2 2 6 3" xfId="6175" xr:uid="{00000000-0005-0000-0000-000067010000}"/>
    <cellStyle name="20% - Accent3 2 2 6 3 2" xfId="15501" xr:uid="{5E25DF91-027E-4B59-9326-1DEC051FE93F}"/>
    <cellStyle name="20% - Accent3 2 2 6 4" xfId="11284" xr:uid="{8C45F1B1-0839-45F9-A10A-B9A5623D6714}"/>
    <cellStyle name="20% - Accent3 2 2 7" xfId="2282" xr:uid="{00000000-0005-0000-0000-000068010000}"/>
    <cellStyle name="20% - Accent3 2 2 7 2" xfId="6588" xr:uid="{00000000-0005-0000-0000-000069010000}"/>
    <cellStyle name="20% - Accent3 2 2 7 2 2" xfId="15914" xr:uid="{122B1B8E-F348-47B5-A751-F9C3CE94F7EA}"/>
    <cellStyle name="20% - Accent3 2 2 7 3" xfId="11697" xr:uid="{73B24BA3-FEDE-461C-81CF-D1F619D222C9}"/>
    <cellStyle name="20% - Accent3 2 2 8" xfId="4522" xr:uid="{00000000-0005-0000-0000-00006A010000}"/>
    <cellStyle name="20% - Accent3 2 2 8 2" xfId="13848" xr:uid="{E760060A-ED30-440D-8F39-BADCFC33D48D}"/>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7AA3B76C-5FE2-49C9-AF11-7E82AAA0245A}"/>
    <cellStyle name="20% - Accent3 2 3 2 2 3" xfId="12192" xr:uid="{A14FF736-7993-4BFB-B67F-8696A7D3415A}"/>
    <cellStyle name="20% - Accent3 2 3 2 3" xfId="4938" xr:uid="{00000000-0005-0000-0000-00006F010000}"/>
    <cellStyle name="20% - Accent3 2 3 2 3 2" xfId="14264" xr:uid="{9329C834-F8E6-4C38-B118-EB689F00BEB6}"/>
    <cellStyle name="20% - Accent3 2 3 2 4" xfId="9424" xr:uid="{C3588D98-6F24-4F2C-9F96-F34501405613}"/>
    <cellStyle name="20% - Accent3 2 3 2 5" xfId="10047" xr:uid="{68F88E96-BAB1-49F2-8209-358632D59224}"/>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56E3A359-0AF4-4CA2-8DA0-B17128BAA655}"/>
    <cellStyle name="20% - Accent3 2 3 3 2 3" xfId="12605" xr:uid="{77BD0EED-A532-4652-8B77-F11760CCB343}"/>
    <cellStyle name="20% - Accent3 2 3 3 3" xfId="5351" xr:uid="{00000000-0005-0000-0000-000073010000}"/>
    <cellStyle name="20% - Accent3 2 3 3 3 2" xfId="14677" xr:uid="{005B5368-A57E-48A7-B5CD-B27AA94734AE}"/>
    <cellStyle name="20% - Accent3 2 3 3 4" xfId="10460" xr:uid="{17866A09-6C81-4610-A1EE-3CAB59468D5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5806BEAD-658D-46AF-890A-626675ABDE05}"/>
    <cellStyle name="20% - Accent3 2 3 4 2 3" xfId="13018" xr:uid="{A9288EEC-CEFD-4327-883D-4B78253A9A02}"/>
    <cellStyle name="20% - Accent3 2 3 4 3" xfId="5764" xr:uid="{00000000-0005-0000-0000-000077010000}"/>
    <cellStyle name="20% - Accent3 2 3 4 3 2" xfId="15090" xr:uid="{7E4F033D-89D6-415E-B136-7BB339C88C8F}"/>
    <cellStyle name="20% - Accent3 2 3 4 4" xfId="10873" xr:uid="{A2359E8E-568D-4B74-AD20-5A65E6A8A6FD}"/>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C60D7198-4AE9-4B72-BD76-7370D25B0076}"/>
    <cellStyle name="20% - Accent3 2 3 5 2 3" xfId="13431" xr:uid="{CDBAED1C-0925-47CB-8315-6AD50EC56E7E}"/>
    <cellStyle name="20% - Accent3 2 3 5 3" xfId="6177" xr:uid="{00000000-0005-0000-0000-00007B010000}"/>
    <cellStyle name="20% - Accent3 2 3 5 3 2" xfId="15503" xr:uid="{7265C1DF-07B9-42C9-B4A7-24B3E3B7DFB4}"/>
    <cellStyle name="20% - Accent3 2 3 5 4" xfId="11286" xr:uid="{E290063A-411E-4BA4-8ABF-7AE3336F51A0}"/>
    <cellStyle name="20% - Accent3 2 3 6" xfId="2284" xr:uid="{00000000-0005-0000-0000-00007C010000}"/>
    <cellStyle name="20% - Accent3 2 3 6 2" xfId="6590" xr:uid="{00000000-0005-0000-0000-00007D010000}"/>
    <cellStyle name="20% - Accent3 2 3 6 2 2" xfId="15916" xr:uid="{1BCC159E-2FF1-44C3-B6B1-0C7B8F628355}"/>
    <cellStyle name="20% - Accent3 2 3 6 3" xfId="11699" xr:uid="{3DC5CECE-0E13-483A-8CD5-17F50224CB18}"/>
    <cellStyle name="20% - Accent3 2 3 7" xfId="4524" xr:uid="{00000000-0005-0000-0000-00007E010000}"/>
    <cellStyle name="20% - Accent3 2 3 7 2" xfId="13850" xr:uid="{5ABDD1FC-7160-4F75-911B-14AD52E15A7A}"/>
    <cellStyle name="20% - Accent3 2 3 8" xfId="8999" xr:uid="{2B5D0148-B6EA-4DEA-92B1-644886C27051}"/>
    <cellStyle name="20% - Accent3 2 3 9" xfId="9633" xr:uid="{C26F5677-B4DA-490B-B4F8-D6611285C12F}"/>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A651B398-9007-47AD-ADB9-0766B17F1F6A}"/>
    <cellStyle name="20% - Accent3 2 4 2 3" xfId="12189" xr:uid="{E8C1FCF2-77CC-4441-B083-71A06E998EE6}"/>
    <cellStyle name="20% - Accent3 2 4 3" xfId="4935" xr:uid="{00000000-0005-0000-0000-000082010000}"/>
    <cellStyle name="20% - Accent3 2 4 3 2" xfId="14261" xr:uid="{114378DB-9E7A-4F55-BE31-553B6C6B3354}"/>
    <cellStyle name="20% - Accent3 2 4 4" xfId="9216" xr:uid="{A12C3877-5492-4CD3-AD22-81B3F0AB1EDD}"/>
    <cellStyle name="20% - Accent3 2 4 5" xfId="10044" xr:uid="{9DE1AE39-858D-4058-9D3B-EBB6D0D6F3B4}"/>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E909C114-FD9C-477E-9116-B3F1066402AF}"/>
    <cellStyle name="20% - Accent3 2 5 2 3" xfId="12602" xr:uid="{87CFB1FE-EA32-4F8F-99D6-C441F07EF299}"/>
    <cellStyle name="20% - Accent3 2 5 3" xfId="5348" xr:uid="{00000000-0005-0000-0000-000086010000}"/>
    <cellStyle name="20% - Accent3 2 5 3 2" xfId="14674" xr:uid="{27D1BD67-CE88-4626-9E9C-0BC04E988422}"/>
    <cellStyle name="20% - Accent3 2 5 4" xfId="10457" xr:uid="{68F40EA3-DDA6-4DD1-8FC7-501577366115}"/>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1A69BEF9-5D76-4163-B0C0-B3AEEB89E44F}"/>
    <cellStyle name="20% - Accent3 2 6 2 3" xfId="13015" xr:uid="{4A68DD8F-34A4-4DF9-B92E-E22C5E86C81D}"/>
    <cellStyle name="20% - Accent3 2 6 3" xfId="5761" xr:uid="{00000000-0005-0000-0000-00008A010000}"/>
    <cellStyle name="20% - Accent3 2 6 3 2" xfId="15087" xr:uid="{82ACCE05-320D-487F-9542-C72BB2447FC0}"/>
    <cellStyle name="20% - Accent3 2 6 4" xfId="10870" xr:uid="{DE126DBE-A6B9-4F72-80ED-6BB091ACF6E1}"/>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46D6DE94-49CC-4AE6-ADCB-E89B9A68BC40}"/>
    <cellStyle name="20% - Accent3 2 7 2 3" xfId="13428" xr:uid="{799C611C-D08E-452E-9520-D26B2A96FBE8}"/>
    <cellStyle name="20% - Accent3 2 7 3" xfId="6174" xr:uid="{00000000-0005-0000-0000-00008E010000}"/>
    <cellStyle name="20% - Accent3 2 7 3 2" xfId="15500" xr:uid="{E41B042A-08C4-4C08-BDC9-646710D0FFB0}"/>
    <cellStyle name="20% - Accent3 2 7 4" xfId="11283" xr:uid="{9D2FB810-3F4C-4425-AD52-FA604349847F}"/>
    <cellStyle name="20% - Accent3 2 8" xfId="2281" xr:uid="{00000000-0005-0000-0000-00008F010000}"/>
    <cellStyle name="20% - Accent3 2 8 2" xfId="6587" xr:uid="{00000000-0005-0000-0000-000090010000}"/>
    <cellStyle name="20% - Accent3 2 8 2 2" xfId="15913" xr:uid="{925A2FA3-B55C-46EF-9209-59219B4177C2}"/>
    <cellStyle name="20% - Accent3 2 8 3" xfId="11696" xr:uid="{21129793-4EC8-4DB1-8E96-68C5BF5F09EA}"/>
    <cellStyle name="20% - Accent3 2 9" xfId="4521" xr:uid="{00000000-0005-0000-0000-000091010000}"/>
    <cellStyle name="20% - Accent3 2 9 2" xfId="13847" xr:uid="{C2D66523-FD67-46B3-A671-C3A571D16544}"/>
    <cellStyle name="20% - Accent3 3" xfId="22" xr:uid="{00000000-0005-0000-0000-000092010000}"/>
    <cellStyle name="20% - Accent3 3 10" xfId="9634" xr:uid="{6772CB85-6FC7-463A-B09E-5041895F0B7C}"/>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42C963AD-16B5-47D7-B75A-ACD07E3A0D86}"/>
    <cellStyle name="20% - Accent3 3 2 2 2 3" xfId="12194" xr:uid="{BF7AE745-3E75-4BEE-B8BD-28B7283A5F20}"/>
    <cellStyle name="20% - Accent3 3 2 2 3" xfId="4940" xr:uid="{00000000-0005-0000-0000-000097010000}"/>
    <cellStyle name="20% - Accent3 3 2 2 3 2" xfId="14266" xr:uid="{E419B087-D6A4-46FD-BF30-E4E258376C67}"/>
    <cellStyle name="20% - Accent3 3 2 2 4" xfId="9497" xr:uid="{43A0E151-F418-49A1-AF18-121DEB02B6D4}"/>
    <cellStyle name="20% - Accent3 3 2 2 5" xfId="10049" xr:uid="{3AB05A97-B559-489D-9034-9600962E892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8135B6B6-31C5-4F96-9A84-7C75BA46FF92}"/>
    <cellStyle name="20% - Accent3 3 2 3 2 3" xfId="12607" xr:uid="{A18EBDBC-AEB7-4303-A546-1501731DA0E0}"/>
    <cellStyle name="20% - Accent3 3 2 3 3" xfId="5353" xr:uid="{00000000-0005-0000-0000-00009B010000}"/>
    <cellStyle name="20% - Accent3 3 2 3 3 2" xfId="14679" xr:uid="{A34CA903-A391-41BE-AD13-A25A1664A5C7}"/>
    <cellStyle name="20% - Accent3 3 2 3 4" xfId="10462" xr:uid="{B0B76302-B1B8-4AD2-B758-BAC1E5B1BABD}"/>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A650996D-3204-41F9-95B1-35C51593CF80}"/>
    <cellStyle name="20% - Accent3 3 2 4 2 3" xfId="13020" xr:uid="{4FCD68F6-14FE-42D4-A4C6-2FE5BECFA613}"/>
    <cellStyle name="20% - Accent3 3 2 4 3" xfId="5766" xr:uid="{00000000-0005-0000-0000-00009F010000}"/>
    <cellStyle name="20% - Accent3 3 2 4 3 2" xfId="15092" xr:uid="{238D15CA-7039-4F0F-98B5-D14EE457E00F}"/>
    <cellStyle name="20% - Accent3 3 2 4 4" xfId="10875" xr:uid="{C1CB92E8-018C-4B5E-AE89-6D004FD3469C}"/>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48FB7FC0-974C-40D3-A158-CAC1A82ED3F3}"/>
    <cellStyle name="20% - Accent3 3 2 5 2 3" xfId="13433" xr:uid="{3D3FF45E-22FD-4528-87F9-7AF7C134C69D}"/>
    <cellStyle name="20% - Accent3 3 2 5 3" xfId="6179" xr:uid="{00000000-0005-0000-0000-0000A3010000}"/>
    <cellStyle name="20% - Accent3 3 2 5 3 2" xfId="15505" xr:uid="{BE47E7F9-35E3-44B7-853D-0607C33FDCE4}"/>
    <cellStyle name="20% - Accent3 3 2 5 4" xfId="11288" xr:uid="{C3C351EA-0088-4CC5-8A19-C0CF0B4C5818}"/>
    <cellStyle name="20% - Accent3 3 2 6" xfId="2286" xr:uid="{00000000-0005-0000-0000-0000A4010000}"/>
    <cellStyle name="20% - Accent3 3 2 6 2" xfId="6592" xr:uid="{00000000-0005-0000-0000-0000A5010000}"/>
    <cellStyle name="20% - Accent3 3 2 6 2 2" xfId="15918" xr:uid="{258BFE63-E428-4822-9276-9F192749164E}"/>
    <cellStyle name="20% - Accent3 3 2 6 3" xfId="11701" xr:uid="{DB7CC62F-9469-4546-9FA9-FECDBD11F86B}"/>
    <cellStyle name="20% - Accent3 3 2 7" xfId="4526" xr:uid="{00000000-0005-0000-0000-0000A6010000}"/>
    <cellStyle name="20% - Accent3 3 2 7 2" xfId="13852" xr:uid="{BD8CBF3B-8A81-4F32-B85B-CE32CDF3C607}"/>
    <cellStyle name="20% - Accent3 3 2 8" xfId="9072" xr:uid="{422EC144-F6F8-460E-8B93-316BBF9707FB}"/>
    <cellStyle name="20% - Accent3 3 2 9" xfId="9635" xr:uid="{699667FC-CF71-49C4-BFC0-76CB4097030D}"/>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D793D7D1-1E80-4841-8A0A-A36716A87697}"/>
    <cellStyle name="20% - Accent3 3 3 2 3" xfId="12193" xr:uid="{2AB86866-D660-4C87-9CF8-0EB654DA3F45}"/>
    <cellStyle name="20% - Accent3 3 3 3" xfId="4939" xr:uid="{00000000-0005-0000-0000-0000AA010000}"/>
    <cellStyle name="20% - Accent3 3 3 3 2" xfId="14265" xr:uid="{71D2B7B1-6D6F-4F77-B528-C701D40F8238}"/>
    <cellStyle name="20% - Accent3 3 3 4" xfId="9290" xr:uid="{8511D0A3-BAF4-4D49-BFEA-2ED828678819}"/>
    <cellStyle name="20% - Accent3 3 3 5" xfId="10048" xr:uid="{EEF7A02E-C348-46AB-8145-7279C8F9E670}"/>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249215DC-D2AF-41F0-AAE4-5F677301A841}"/>
    <cellStyle name="20% - Accent3 3 4 2 3" xfId="12606" xr:uid="{1C6A9BEF-DFEE-4AEA-89AE-F61D79E8E0C6}"/>
    <cellStyle name="20% - Accent3 3 4 3" xfId="5352" xr:uid="{00000000-0005-0000-0000-0000AE010000}"/>
    <cellStyle name="20% - Accent3 3 4 3 2" xfId="14678" xr:uid="{C679E2BD-FB2D-4EB8-B2B4-D4F20F5B848B}"/>
    <cellStyle name="20% - Accent3 3 4 4" xfId="10461" xr:uid="{AF0A1D2B-1329-4BEE-96E1-97C6C13BD2FA}"/>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C53161EE-934D-42A9-B9EB-46E2CF988A9D}"/>
    <cellStyle name="20% - Accent3 3 5 2 3" xfId="13019" xr:uid="{435D0744-9A5C-4B62-8141-5C6CD5D09EF4}"/>
    <cellStyle name="20% - Accent3 3 5 3" xfId="5765" xr:uid="{00000000-0005-0000-0000-0000B2010000}"/>
    <cellStyle name="20% - Accent3 3 5 3 2" xfId="15091" xr:uid="{B6AB0551-9582-4422-AA4B-E8A484FF15E5}"/>
    <cellStyle name="20% - Accent3 3 5 4" xfId="10874" xr:uid="{85525701-FE1C-47A7-8703-EA8A8D3A4917}"/>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01CA60F7-2E92-4694-8675-421C7DF4C5B9}"/>
    <cellStyle name="20% - Accent3 3 6 2 3" xfId="13432" xr:uid="{1B377EE4-293A-4BEC-B18E-5A4759528528}"/>
    <cellStyle name="20% - Accent3 3 6 3" xfId="6178" xr:uid="{00000000-0005-0000-0000-0000B6010000}"/>
    <cellStyle name="20% - Accent3 3 6 3 2" xfId="15504" xr:uid="{AB45D038-CABA-4052-BD5E-F3FD3267A8E4}"/>
    <cellStyle name="20% - Accent3 3 6 4" xfId="11287" xr:uid="{03421530-FAC9-448C-B84D-9EF359B7B96C}"/>
    <cellStyle name="20% - Accent3 3 7" xfId="2285" xr:uid="{00000000-0005-0000-0000-0000B7010000}"/>
    <cellStyle name="20% - Accent3 3 7 2" xfId="6591" xr:uid="{00000000-0005-0000-0000-0000B8010000}"/>
    <cellStyle name="20% - Accent3 3 7 2 2" xfId="15917" xr:uid="{2C6E4CEB-ACC5-44B9-B329-29D04A478F97}"/>
    <cellStyle name="20% - Accent3 3 7 3" xfId="11700" xr:uid="{C12B2870-912C-4B06-84CA-9EA6067DEF6D}"/>
    <cellStyle name="20% - Accent3 3 8" xfId="4525" xr:uid="{00000000-0005-0000-0000-0000B9010000}"/>
    <cellStyle name="20% - Accent3 3 8 2" xfId="13851" xr:uid="{B1F1210B-7C92-44AC-BF15-817EF2465A0C}"/>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2AF2A6C7-2D05-42A0-B569-495968912C73}"/>
    <cellStyle name="20% - Accent3 4 2 2 3" xfId="12195" xr:uid="{D3500854-9E02-4D9B-A64E-37106D50E179}"/>
    <cellStyle name="20% - Accent3 4 2 3" xfId="4941" xr:uid="{00000000-0005-0000-0000-0000BE010000}"/>
    <cellStyle name="20% - Accent3 4 2 3 2" xfId="14267" xr:uid="{6223FA37-58B0-49B0-8D10-7EF6228659FA}"/>
    <cellStyle name="20% - Accent3 4 2 4" xfId="9376" xr:uid="{92AC27CA-0B0B-4AFE-8457-D3F19BE2837F}"/>
    <cellStyle name="20% - Accent3 4 2 5" xfId="10050" xr:uid="{750DCA24-2CDB-4E60-A94B-498E915DB76E}"/>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93DF2758-77B5-47D5-B0D8-CA26ECBC02C6}"/>
    <cellStyle name="20% - Accent3 4 3 2 3" xfId="12608" xr:uid="{C7C50374-DBB9-4651-8759-8CEF19014725}"/>
    <cellStyle name="20% - Accent3 4 3 3" xfId="5354" xr:uid="{00000000-0005-0000-0000-0000C2010000}"/>
    <cellStyle name="20% - Accent3 4 3 3 2" xfId="14680" xr:uid="{B047CA17-44C2-4ED5-B09C-A3616FADBD4B}"/>
    <cellStyle name="20% - Accent3 4 3 4" xfId="10463" xr:uid="{FF5E6BCE-9214-4BF2-9252-696A2A3C8E05}"/>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038B8470-828E-4766-AF4D-6218A72745A2}"/>
    <cellStyle name="20% - Accent3 4 4 2 3" xfId="13021" xr:uid="{802F91D9-7FF8-4A88-8673-460AC33BDFF0}"/>
    <cellStyle name="20% - Accent3 4 4 3" xfId="5767" xr:uid="{00000000-0005-0000-0000-0000C6010000}"/>
    <cellStyle name="20% - Accent3 4 4 3 2" xfId="15093" xr:uid="{DF686A6A-ABFA-4904-94B9-5EBE377EFAE8}"/>
    <cellStyle name="20% - Accent3 4 4 4" xfId="10876" xr:uid="{547263CD-9220-4BB1-9AC2-BE1D3155A6BD}"/>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5716BB0F-3367-46E4-8E27-FE53DB5ED9CA}"/>
    <cellStyle name="20% - Accent3 4 5 2 3" xfId="13434" xr:uid="{5A633963-29B7-45B3-9512-D2BFB76F7E3A}"/>
    <cellStyle name="20% - Accent3 4 5 3" xfId="6180" xr:uid="{00000000-0005-0000-0000-0000CA010000}"/>
    <cellStyle name="20% - Accent3 4 5 3 2" xfId="15506" xr:uid="{479D86BF-3AAF-45AC-9631-F21EA21156E6}"/>
    <cellStyle name="20% - Accent3 4 5 4" xfId="11289" xr:uid="{28BD014C-7463-467D-9330-6D553997705B}"/>
    <cellStyle name="20% - Accent3 4 6" xfId="2287" xr:uid="{00000000-0005-0000-0000-0000CB010000}"/>
    <cellStyle name="20% - Accent3 4 6 2" xfId="6593" xr:uid="{00000000-0005-0000-0000-0000CC010000}"/>
    <cellStyle name="20% - Accent3 4 6 2 2" xfId="15919" xr:uid="{AAB1367C-7FF0-490B-81B0-5D9CDA0F4BED}"/>
    <cellStyle name="20% - Accent3 4 6 3" xfId="11702" xr:uid="{0E0543F0-8007-44B8-A753-B36A4F0E4588}"/>
    <cellStyle name="20% - Accent3 4 7" xfId="4527" xr:uid="{00000000-0005-0000-0000-0000CD010000}"/>
    <cellStyle name="20% - Accent3 4 7 2" xfId="13853" xr:uid="{8F02B2ED-A983-46B7-AE5F-B1E1EEAB7A24}"/>
    <cellStyle name="20% - Accent3 4 8" xfId="8951" xr:uid="{3CB7770B-4F12-4C44-B65D-06C641FEE851}"/>
    <cellStyle name="20% - Accent3 4 9" xfId="9636" xr:uid="{F21D2E34-A3DD-451F-8B88-2241E7F107A9}"/>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4DBAFB5F-F544-4378-B353-40A59F6D643D}"/>
    <cellStyle name="20% - Accent3 5 2 3" xfId="12188" xr:uid="{45ADF045-AD25-424A-8F5F-B60B8313D54E}"/>
    <cellStyle name="20% - Accent3 5 3" xfId="4934" xr:uid="{00000000-0005-0000-0000-0000D1010000}"/>
    <cellStyle name="20% - Accent3 5 3 2" xfId="14260" xr:uid="{D207299B-98E8-452D-8725-280ECB5A60A9}"/>
    <cellStyle name="20% - Accent3 5 4" xfId="9184" xr:uid="{F51B2D95-9593-4370-A6D2-AFEF087D7920}"/>
    <cellStyle name="20% - Accent3 5 5" xfId="10043" xr:uid="{3F3CA79D-63B6-4D96-8561-C7F9DEBFD558}"/>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253626BC-6EA3-45CC-8051-726A8A99849D}"/>
    <cellStyle name="20% - Accent3 6 2 3" xfId="12601" xr:uid="{03B3A1ED-A48F-4BF6-A088-B77324FB11C4}"/>
    <cellStyle name="20% - Accent3 6 3" xfId="5347" xr:uid="{00000000-0005-0000-0000-0000D5010000}"/>
    <cellStyle name="20% - Accent3 6 3 2" xfId="14673" xr:uid="{F7CE3946-392E-4D9F-A3A6-A657D2285DDD}"/>
    <cellStyle name="20% - Accent3 6 4" xfId="10456" xr:uid="{29E7CCE0-792B-46D9-BA21-EC8A224081B0}"/>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780C65A9-50A6-4C80-84C8-B4A803B09DB4}"/>
    <cellStyle name="20% - Accent3 7 2 3" xfId="13014" xr:uid="{8739EBA2-0A9A-4840-84D4-493EBF451FBA}"/>
    <cellStyle name="20% - Accent3 7 3" xfId="5760" xr:uid="{00000000-0005-0000-0000-0000D9010000}"/>
    <cellStyle name="20% - Accent3 7 3 2" xfId="15086" xr:uid="{99B4CEA2-D9C8-476B-A2BC-63CB7FFE7B3E}"/>
    <cellStyle name="20% - Accent3 7 4" xfId="10869" xr:uid="{71B0BF9F-ECC4-4118-8BCA-9AF59204A36D}"/>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255D839C-A170-4A52-8E61-1DA6B09C338E}"/>
    <cellStyle name="20% - Accent3 8 2 3" xfId="13427" xr:uid="{A3B44E53-46EC-4127-8F54-63F8082463FA}"/>
    <cellStyle name="20% - Accent3 8 3" xfId="6173" xr:uid="{00000000-0005-0000-0000-0000DD010000}"/>
    <cellStyle name="20% - Accent3 8 3 2" xfId="15499" xr:uid="{45EEBAE5-4625-4BD9-A5CD-49CDF4F75A4A}"/>
    <cellStyle name="20% - Accent3 8 4" xfId="11282" xr:uid="{84CC2957-D604-4073-8F6F-B9934C5B191C}"/>
    <cellStyle name="20% - Accent3 9" xfId="2280" xr:uid="{00000000-0005-0000-0000-0000DE010000}"/>
    <cellStyle name="20% - Accent3 9 2" xfId="6586" xr:uid="{00000000-0005-0000-0000-0000DF010000}"/>
    <cellStyle name="20% - Accent3 9 2 2" xfId="15912" xr:uid="{9C50D570-29D5-4013-AB4D-0C4BAE0BEFC3}"/>
    <cellStyle name="20% - Accent3 9 3" xfId="11695" xr:uid="{8758FE41-AD8B-4E8B-B3D4-1507C28A9766}"/>
    <cellStyle name="20% - Accent4" xfId="25" builtinId="42" customBuiltin="1"/>
    <cellStyle name="20% - Accent4 10" xfId="4528" xr:uid="{00000000-0005-0000-0000-0000E1010000}"/>
    <cellStyle name="20% - Accent4 10 2" xfId="13854" xr:uid="{18AF5086-7E13-4871-931D-5AEFE4061798}"/>
    <cellStyle name="20% - Accent4 11" xfId="8764" xr:uid="{4A9BF508-806C-496D-AEC5-5842E4A62892}"/>
    <cellStyle name="20% - Accent4 12" xfId="9637" xr:uid="{692AE99C-BAB4-42BB-8062-495D87951802}"/>
    <cellStyle name="20% - Accent4 2" xfId="26" xr:uid="{00000000-0005-0000-0000-0000E2010000}"/>
    <cellStyle name="20% - Accent4 2 10" xfId="8794" xr:uid="{31A2F477-5237-45C2-B43F-25AC049A95FF}"/>
    <cellStyle name="20% - Accent4 2 11" xfId="9638" xr:uid="{07C11B07-E48D-4A2B-A73C-655139C9BF58}"/>
    <cellStyle name="20% - Accent4 2 2" xfId="27" xr:uid="{00000000-0005-0000-0000-0000E3010000}"/>
    <cellStyle name="20% - Accent4 2 2 10" xfId="9639" xr:uid="{DD98B974-4D56-4C95-9FDA-69EA6948E555}"/>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9B1AF8DE-9F08-44D0-BEC4-9815B2D5E2CB}"/>
    <cellStyle name="20% - Accent4 2 2 2 2 2 3" xfId="12199" xr:uid="{9768B2FD-2E64-4CCB-AAF5-C72E19E32CCC}"/>
    <cellStyle name="20% - Accent4 2 2 2 2 3" xfId="4945" xr:uid="{00000000-0005-0000-0000-0000E8010000}"/>
    <cellStyle name="20% - Accent4 2 2 2 2 3 2" xfId="14271" xr:uid="{16115727-9025-425A-81C1-A92F4E6FE034}"/>
    <cellStyle name="20% - Accent4 2 2 2 2 4" xfId="9529" xr:uid="{0C40CE19-1873-4316-818D-CC943AAFBB7B}"/>
    <cellStyle name="20% - Accent4 2 2 2 2 5" xfId="10054" xr:uid="{F3DF455E-DAEC-4D51-A77E-77C10C9B7374}"/>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D39A5813-6A4A-4BEB-AF7B-0763B06979B7}"/>
    <cellStyle name="20% - Accent4 2 2 2 3 2 3" xfId="12612" xr:uid="{D8F38E28-1357-4F72-9F36-DCE2C433A9B5}"/>
    <cellStyle name="20% - Accent4 2 2 2 3 3" xfId="5358" xr:uid="{00000000-0005-0000-0000-0000EC010000}"/>
    <cellStyle name="20% - Accent4 2 2 2 3 3 2" xfId="14684" xr:uid="{1354A180-5772-428F-BE99-9E423B321E48}"/>
    <cellStyle name="20% - Accent4 2 2 2 3 4" xfId="10467" xr:uid="{B5FFA6FA-BE5D-4E64-9575-00E900F4228F}"/>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380E583D-58C7-4162-AD9B-77DDD359C95A}"/>
    <cellStyle name="20% - Accent4 2 2 2 4 2 3" xfId="13025" xr:uid="{BD5FADA1-C442-491F-9CE7-B950A44D2B6C}"/>
    <cellStyle name="20% - Accent4 2 2 2 4 3" xfId="5771" xr:uid="{00000000-0005-0000-0000-0000F0010000}"/>
    <cellStyle name="20% - Accent4 2 2 2 4 3 2" xfId="15097" xr:uid="{8ABD388B-18ED-485A-B006-76EF1CBA214A}"/>
    <cellStyle name="20% - Accent4 2 2 2 4 4" xfId="10880" xr:uid="{36031817-E432-4D13-89A1-41BC7920DB8D}"/>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7B86AE4E-966F-4A41-87CA-00D0F6381CC9}"/>
    <cellStyle name="20% - Accent4 2 2 2 5 2 3" xfId="13438" xr:uid="{097E4929-14D4-4B3C-96C5-952B5ADF4F31}"/>
    <cellStyle name="20% - Accent4 2 2 2 5 3" xfId="6184" xr:uid="{00000000-0005-0000-0000-0000F4010000}"/>
    <cellStyle name="20% - Accent4 2 2 2 5 3 2" xfId="15510" xr:uid="{E5797EA2-9D7F-4844-B5A8-02667AF19857}"/>
    <cellStyle name="20% - Accent4 2 2 2 5 4" xfId="11293" xr:uid="{1A89EC6A-56F0-4E5F-8423-683D522E6CE6}"/>
    <cellStyle name="20% - Accent4 2 2 2 6" xfId="2291" xr:uid="{00000000-0005-0000-0000-0000F5010000}"/>
    <cellStyle name="20% - Accent4 2 2 2 6 2" xfId="6597" xr:uid="{00000000-0005-0000-0000-0000F6010000}"/>
    <cellStyle name="20% - Accent4 2 2 2 6 2 2" xfId="15923" xr:uid="{EBAEC887-B247-4612-9C70-0866425C1799}"/>
    <cellStyle name="20% - Accent4 2 2 2 6 3" xfId="11706" xr:uid="{88E51457-8CA8-44E1-AFF0-CA7FC1039087}"/>
    <cellStyle name="20% - Accent4 2 2 2 7" xfId="4531" xr:uid="{00000000-0005-0000-0000-0000F7010000}"/>
    <cellStyle name="20% - Accent4 2 2 2 7 2" xfId="13857" xr:uid="{3FDC7DFB-28C9-4A25-8875-0B609E117473}"/>
    <cellStyle name="20% - Accent4 2 2 2 8" xfId="9104" xr:uid="{526BE306-22BA-4A85-81B2-34AEB56F0D90}"/>
    <cellStyle name="20% - Accent4 2 2 2 9" xfId="9640" xr:uid="{8C3EAD18-DAC8-4E76-93D9-8AAD9950B68D}"/>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A86DAB7B-0DCC-4BAD-93F0-91509A67CDC9}"/>
    <cellStyle name="20% - Accent4 2 2 3 2 3" xfId="12198" xr:uid="{4A64E280-AA04-459D-976A-7A6033423209}"/>
    <cellStyle name="20% - Accent4 2 2 3 3" xfId="4944" xr:uid="{00000000-0005-0000-0000-0000FB010000}"/>
    <cellStyle name="20% - Accent4 2 2 3 3 2" xfId="14270" xr:uid="{712911E6-76D9-460B-90D9-2745EDA9FC31}"/>
    <cellStyle name="20% - Accent4 2 2 3 4" xfId="9322" xr:uid="{003BBE99-27AA-4036-A373-4475953A88F4}"/>
    <cellStyle name="20% - Accent4 2 2 3 5" xfId="10053" xr:uid="{06FFE3D1-1075-4E91-8685-4EF95E507A85}"/>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701BA5E0-6FB1-458B-A1D7-89A05717A4BE}"/>
    <cellStyle name="20% - Accent4 2 2 4 2 3" xfId="12611" xr:uid="{D9696397-4DC8-4FD1-9FF1-8206A001C7FC}"/>
    <cellStyle name="20% - Accent4 2 2 4 3" xfId="5357" xr:uid="{00000000-0005-0000-0000-0000FF010000}"/>
    <cellStyle name="20% - Accent4 2 2 4 3 2" xfId="14683" xr:uid="{F1543484-549F-47B0-A1BA-ADCD58E350C3}"/>
    <cellStyle name="20% - Accent4 2 2 4 4" xfId="10466" xr:uid="{76283F3A-CD82-4B7C-B960-F4D89ACB2720}"/>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6C94ECDD-A5D7-494E-A4F7-D76C09869566}"/>
    <cellStyle name="20% - Accent4 2 2 5 2 3" xfId="13024" xr:uid="{3FC3A66C-B099-46AE-9F58-C720EC275B73}"/>
    <cellStyle name="20% - Accent4 2 2 5 3" xfId="5770" xr:uid="{00000000-0005-0000-0000-000003020000}"/>
    <cellStyle name="20% - Accent4 2 2 5 3 2" xfId="15096" xr:uid="{E56F7D53-C41C-42C0-901C-6777040DECD4}"/>
    <cellStyle name="20% - Accent4 2 2 5 4" xfId="10879" xr:uid="{E657607B-48CC-4F89-898C-0CAC578CC271}"/>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27F93FE4-273B-4DCB-BEF9-7F19D71E1E79}"/>
    <cellStyle name="20% - Accent4 2 2 6 2 3" xfId="13437" xr:uid="{45273FEB-8492-4489-931B-B282084F4D3B}"/>
    <cellStyle name="20% - Accent4 2 2 6 3" xfId="6183" xr:uid="{00000000-0005-0000-0000-000007020000}"/>
    <cellStyle name="20% - Accent4 2 2 6 3 2" xfId="15509" xr:uid="{70AC5D82-E197-4D93-B51E-6EB9DE04FC3C}"/>
    <cellStyle name="20% - Accent4 2 2 6 4" xfId="11292" xr:uid="{7A3071B1-A78F-42D2-BE22-C040738A4A06}"/>
    <cellStyle name="20% - Accent4 2 2 7" xfId="2290" xr:uid="{00000000-0005-0000-0000-000008020000}"/>
    <cellStyle name="20% - Accent4 2 2 7 2" xfId="6596" xr:uid="{00000000-0005-0000-0000-000009020000}"/>
    <cellStyle name="20% - Accent4 2 2 7 2 2" xfId="15922" xr:uid="{FCEDC960-B647-4538-96CC-B49025832F0C}"/>
    <cellStyle name="20% - Accent4 2 2 7 3" xfId="11705" xr:uid="{AA6C890F-3057-4425-AD8C-1AA0F76C4828}"/>
    <cellStyle name="20% - Accent4 2 2 8" xfId="4530" xr:uid="{00000000-0005-0000-0000-00000A020000}"/>
    <cellStyle name="20% - Accent4 2 2 8 2" xfId="13856" xr:uid="{F5F05994-0388-453F-AB84-FE0848179EBF}"/>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63E6FAC0-AF07-404C-BAC1-DD61438B5BE2}"/>
    <cellStyle name="20% - Accent4 2 3 2 2 3" xfId="12200" xr:uid="{4E050CD2-ABD5-4B01-8AE0-53991831B7E0}"/>
    <cellStyle name="20% - Accent4 2 3 2 3" xfId="4946" xr:uid="{00000000-0005-0000-0000-00000F020000}"/>
    <cellStyle name="20% - Accent4 2 3 2 3 2" xfId="14272" xr:uid="{17D1B9C3-ABF0-41C9-B985-BBE971B7AACF}"/>
    <cellStyle name="20% - Accent4 2 3 2 4" xfId="9426" xr:uid="{5B247D51-FBFD-4799-8395-E3F1C04297B8}"/>
    <cellStyle name="20% - Accent4 2 3 2 5" xfId="10055" xr:uid="{9C770340-7D2E-481E-82E3-F36AEEEFAA97}"/>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1E63F89D-54CB-4119-8048-5DD5EFCBA9C5}"/>
    <cellStyle name="20% - Accent4 2 3 3 2 3" xfId="12613" xr:uid="{DD4554A4-3E86-481F-8EA5-057C2BA5BC9B}"/>
    <cellStyle name="20% - Accent4 2 3 3 3" xfId="5359" xr:uid="{00000000-0005-0000-0000-000013020000}"/>
    <cellStyle name="20% - Accent4 2 3 3 3 2" xfId="14685" xr:uid="{7CF27957-BD56-4CA1-9302-F3BDBF1AA295}"/>
    <cellStyle name="20% - Accent4 2 3 3 4" xfId="10468" xr:uid="{CE250DC6-CA1F-4FD2-BE25-3BD303BAB1F7}"/>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673ACC92-949E-4D63-A119-F574F2DA9BCD}"/>
    <cellStyle name="20% - Accent4 2 3 4 2 3" xfId="13026" xr:uid="{CF97536B-BBF7-4F30-A9ED-6F8E7D110F0B}"/>
    <cellStyle name="20% - Accent4 2 3 4 3" xfId="5772" xr:uid="{00000000-0005-0000-0000-000017020000}"/>
    <cellStyle name="20% - Accent4 2 3 4 3 2" xfId="15098" xr:uid="{80065525-FC29-40ED-80EE-DE5758FD6563}"/>
    <cellStyle name="20% - Accent4 2 3 4 4" xfId="10881" xr:uid="{5D01ABE7-E0FC-4BFD-90A7-9DDE247F1FF0}"/>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E69F7ED1-5112-4850-B859-3A94F0D8F99E}"/>
    <cellStyle name="20% - Accent4 2 3 5 2 3" xfId="13439" xr:uid="{C0805017-DE55-4B31-A839-00CFAEE31F95}"/>
    <cellStyle name="20% - Accent4 2 3 5 3" xfId="6185" xr:uid="{00000000-0005-0000-0000-00001B020000}"/>
    <cellStyle name="20% - Accent4 2 3 5 3 2" xfId="15511" xr:uid="{B5A7470D-8519-4CC4-861D-4E70B805744C}"/>
    <cellStyle name="20% - Accent4 2 3 5 4" xfId="11294" xr:uid="{2E0D13E4-125D-4E1C-80E5-12A1FFF49A69}"/>
    <cellStyle name="20% - Accent4 2 3 6" xfId="2292" xr:uid="{00000000-0005-0000-0000-00001C020000}"/>
    <cellStyle name="20% - Accent4 2 3 6 2" xfId="6598" xr:uid="{00000000-0005-0000-0000-00001D020000}"/>
    <cellStyle name="20% - Accent4 2 3 6 2 2" xfId="15924" xr:uid="{B479F223-3AEE-4E5E-829E-F15162BD315B}"/>
    <cellStyle name="20% - Accent4 2 3 6 3" xfId="11707" xr:uid="{357F0E79-8CA8-4210-90F6-FDBDD4D81542}"/>
    <cellStyle name="20% - Accent4 2 3 7" xfId="4532" xr:uid="{00000000-0005-0000-0000-00001E020000}"/>
    <cellStyle name="20% - Accent4 2 3 7 2" xfId="13858" xr:uid="{A559DAA8-F6F3-4316-93B5-397952C912F3}"/>
    <cellStyle name="20% - Accent4 2 3 8" xfId="9001" xr:uid="{B9DE6BBA-06E2-4FC8-B645-F20E60244072}"/>
    <cellStyle name="20% - Accent4 2 3 9" xfId="9641" xr:uid="{EB90FB5F-C009-4E2D-87A3-1864E36655E8}"/>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D10C32BF-6D26-4772-B100-9F39B21CE98E}"/>
    <cellStyle name="20% - Accent4 2 4 2 3" xfId="12197" xr:uid="{5430166B-1752-45F9-AE14-A6101CBDCAA5}"/>
    <cellStyle name="20% - Accent4 2 4 3" xfId="4943" xr:uid="{00000000-0005-0000-0000-000022020000}"/>
    <cellStyle name="20% - Accent4 2 4 3 2" xfId="14269" xr:uid="{41C1D505-3265-4984-B95C-AA333AD9C553}"/>
    <cellStyle name="20% - Accent4 2 4 4" xfId="9218" xr:uid="{EEA9CEE5-7B27-41EB-B571-13D0ADC44445}"/>
    <cellStyle name="20% - Accent4 2 4 5" xfId="10052" xr:uid="{C8A7EF30-4606-4650-A87A-F14A8646F32C}"/>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D7F5D312-FE22-42C9-A468-C4420A4832F1}"/>
    <cellStyle name="20% - Accent4 2 5 2 3" xfId="12610" xr:uid="{1D1D866F-EEEC-4D84-8A81-85780195D86C}"/>
    <cellStyle name="20% - Accent4 2 5 3" xfId="5356" xr:uid="{00000000-0005-0000-0000-000026020000}"/>
    <cellStyle name="20% - Accent4 2 5 3 2" xfId="14682" xr:uid="{5E8913F1-A959-4129-BF3F-D510CB82969F}"/>
    <cellStyle name="20% - Accent4 2 5 4" xfId="10465" xr:uid="{FC20CF66-A1F0-4344-8A7D-525849909D3F}"/>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BD1145A4-28D3-4562-8D06-884FAAF8598D}"/>
    <cellStyle name="20% - Accent4 2 6 2 3" xfId="13023" xr:uid="{61EC9FBF-B017-4744-8C0F-1ACE7C4D7811}"/>
    <cellStyle name="20% - Accent4 2 6 3" xfId="5769" xr:uid="{00000000-0005-0000-0000-00002A020000}"/>
    <cellStyle name="20% - Accent4 2 6 3 2" xfId="15095" xr:uid="{4CB5F199-A57B-410C-8D45-1BAB19C50C59}"/>
    <cellStyle name="20% - Accent4 2 6 4" xfId="10878" xr:uid="{8DA6632F-49E0-4485-8A66-208B1701A59E}"/>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7EE8FC9F-F4DE-4D59-8B44-E07D8368F625}"/>
    <cellStyle name="20% - Accent4 2 7 2 3" xfId="13436" xr:uid="{6378BF5A-8070-44B1-B128-B5763B5452F2}"/>
    <cellStyle name="20% - Accent4 2 7 3" xfId="6182" xr:uid="{00000000-0005-0000-0000-00002E020000}"/>
    <cellStyle name="20% - Accent4 2 7 3 2" xfId="15508" xr:uid="{61A90413-5883-4120-84D4-8C11A769F4C3}"/>
    <cellStyle name="20% - Accent4 2 7 4" xfId="11291" xr:uid="{0FBA6E6A-150B-4C35-A26D-541CE6CA88EC}"/>
    <cellStyle name="20% - Accent4 2 8" xfId="2289" xr:uid="{00000000-0005-0000-0000-00002F020000}"/>
    <cellStyle name="20% - Accent4 2 8 2" xfId="6595" xr:uid="{00000000-0005-0000-0000-000030020000}"/>
    <cellStyle name="20% - Accent4 2 8 2 2" xfId="15921" xr:uid="{8F2B9B40-CDCE-47F2-8CBE-8E34B23BB205}"/>
    <cellStyle name="20% - Accent4 2 8 3" xfId="11704" xr:uid="{59C4BDDA-F8C1-4909-8680-A63EB9B31C45}"/>
    <cellStyle name="20% - Accent4 2 9" xfId="4529" xr:uid="{00000000-0005-0000-0000-000031020000}"/>
    <cellStyle name="20% - Accent4 2 9 2" xfId="13855" xr:uid="{298A2723-151E-4F7B-A5C3-9F789CE58CE7}"/>
    <cellStyle name="20% - Accent4 3" xfId="30" xr:uid="{00000000-0005-0000-0000-000032020000}"/>
    <cellStyle name="20% - Accent4 3 10" xfId="9642" xr:uid="{FA7A772D-E57F-4117-B207-DC0C3261A438}"/>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C08BD7B1-6441-49F2-BD03-1BE0E5CEC448}"/>
    <cellStyle name="20% - Accent4 3 2 2 2 3" xfId="12202" xr:uid="{29F8BB1B-C774-4B0F-AE30-A3D8CD2B0118}"/>
    <cellStyle name="20% - Accent4 3 2 2 3" xfId="4948" xr:uid="{00000000-0005-0000-0000-000037020000}"/>
    <cellStyle name="20% - Accent4 3 2 2 3 2" xfId="14274" xr:uid="{3C59F9BC-BB6B-41BB-B081-7A81582C2CC5}"/>
    <cellStyle name="20% - Accent4 3 2 2 4" xfId="9499" xr:uid="{019308F4-938B-408B-A627-483AF94276A0}"/>
    <cellStyle name="20% - Accent4 3 2 2 5" xfId="10057" xr:uid="{25AD899B-1220-4DBF-9B6D-2F664E2B85A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F9538B1A-FD56-48FF-90AB-C703D90B530D}"/>
    <cellStyle name="20% - Accent4 3 2 3 2 3" xfId="12615" xr:uid="{55425249-FDE3-4A62-A071-DBB22CB49F86}"/>
    <cellStyle name="20% - Accent4 3 2 3 3" xfId="5361" xr:uid="{00000000-0005-0000-0000-00003B020000}"/>
    <cellStyle name="20% - Accent4 3 2 3 3 2" xfId="14687" xr:uid="{39E8D95C-91A3-498B-B0E7-DB5EAF7759AE}"/>
    <cellStyle name="20% - Accent4 3 2 3 4" xfId="10470" xr:uid="{779FAE6D-C041-468C-9A60-5185B780D39C}"/>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BDFEB069-7307-4E0A-AF97-59CEA485B0D9}"/>
    <cellStyle name="20% - Accent4 3 2 4 2 3" xfId="13028" xr:uid="{FE9EBF3A-0D33-4CD6-BA77-86A502A7C63B}"/>
    <cellStyle name="20% - Accent4 3 2 4 3" xfId="5774" xr:uid="{00000000-0005-0000-0000-00003F020000}"/>
    <cellStyle name="20% - Accent4 3 2 4 3 2" xfId="15100" xr:uid="{502001DC-47BF-4EFA-BD3B-104FA2C700FE}"/>
    <cellStyle name="20% - Accent4 3 2 4 4" xfId="10883" xr:uid="{097AFCDB-0DEA-48AF-8CAD-7BF286A7C6BD}"/>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0B089DBA-2CEA-4B46-9AD4-6C8FA52563B0}"/>
    <cellStyle name="20% - Accent4 3 2 5 2 3" xfId="13441" xr:uid="{4B91C9EA-C62A-41E3-9011-D99AD652EEE2}"/>
    <cellStyle name="20% - Accent4 3 2 5 3" xfId="6187" xr:uid="{00000000-0005-0000-0000-000043020000}"/>
    <cellStyle name="20% - Accent4 3 2 5 3 2" xfId="15513" xr:uid="{C9940BE9-2930-4599-A33C-429267ADDF61}"/>
    <cellStyle name="20% - Accent4 3 2 5 4" xfId="11296" xr:uid="{612E06EC-6167-4E6B-A0A3-5A0510F5D583}"/>
    <cellStyle name="20% - Accent4 3 2 6" xfId="2294" xr:uid="{00000000-0005-0000-0000-000044020000}"/>
    <cellStyle name="20% - Accent4 3 2 6 2" xfId="6600" xr:uid="{00000000-0005-0000-0000-000045020000}"/>
    <cellStyle name="20% - Accent4 3 2 6 2 2" xfId="15926" xr:uid="{6B52820E-1233-4FA4-9EF1-1ADE4675909F}"/>
    <cellStyle name="20% - Accent4 3 2 6 3" xfId="11709" xr:uid="{B0F0064A-4F82-45BF-8546-9F89AB4D2CEA}"/>
    <cellStyle name="20% - Accent4 3 2 7" xfId="4534" xr:uid="{00000000-0005-0000-0000-000046020000}"/>
    <cellStyle name="20% - Accent4 3 2 7 2" xfId="13860" xr:uid="{34BFDC72-88B5-4DFA-A1FE-7D2B4C7600C3}"/>
    <cellStyle name="20% - Accent4 3 2 8" xfId="9074" xr:uid="{BA25EAA8-2B5F-4309-91A3-FC61FCEF209C}"/>
    <cellStyle name="20% - Accent4 3 2 9" xfId="9643" xr:uid="{45481C4D-336A-45AE-8CEF-E783DAA85DDD}"/>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28372689-5FEB-48C7-862D-009FCCDE827E}"/>
    <cellStyle name="20% - Accent4 3 3 2 3" xfId="12201" xr:uid="{A2BC49F0-FDC6-4035-95B3-342333F45109}"/>
    <cellStyle name="20% - Accent4 3 3 3" xfId="4947" xr:uid="{00000000-0005-0000-0000-00004A020000}"/>
    <cellStyle name="20% - Accent4 3 3 3 2" xfId="14273" xr:uid="{37E2E702-F952-483E-8826-547A9B544AC8}"/>
    <cellStyle name="20% - Accent4 3 3 4" xfId="9292" xr:uid="{E33AB5E9-A8F9-45CB-AD95-0E461E901C30}"/>
    <cellStyle name="20% - Accent4 3 3 5" xfId="10056" xr:uid="{CCF76F0F-923D-47DB-85F4-B9EA2C6F5C8B}"/>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3D0050DB-09F4-47B1-BCA1-61C724B4C5E1}"/>
    <cellStyle name="20% - Accent4 3 4 2 3" xfId="12614" xr:uid="{4B90CE30-EB0C-4799-B72D-035A80282C47}"/>
    <cellStyle name="20% - Accent4 3 4 3" xfId="5360" xr:uid="{00000000-0005-0000-0000-00004E020000}"/>
    <cellStyle name="20% - Accent4 3 4 3 2" xfId="14686" xr:uid="{8BE4BB47-0D7F-4CB5-8C61-33CF599F875D}"/>
    <cellStyle name="20% - Accent4 3 4 4" xfId="10469" xr:uid="{174220C0-B6CB-4E4A-8651-8C799ED86E81}"/>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F2EBDBEA-8BB1-4110-9AA1-207FA2EDF6EF}"/>
    <cellStyle name="20% - Accent4 3 5 2 3" xfId="13027" xr:uid="{17665A92-E957-45F1-B519-87A420215F27}"/>
    <cellStyle name="20% - Accent4 3 5 3" xfId="5773" xr:uid="{00000000-0005-0000-0000-000052020000}"/>
    <cellStyle name="20% - Accent4 3 5 3 2" xfId="15099" xr:uid="{F73E08BB-D28B-4F29-9B8F-F0A3E6F8F7FD}"/>
    <cellStyle name="20% - Accent4 3 5 4" xfId="10882" xr:uid="{24AF72B9-02AE-4A46-9862-17DDC69439BA}"/>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A991476F-06C9-4218-9EA1-6F537A1469FE}"/>
    <cellStyle name="20% - Accent4 3 6 2 3" xfId="13440" xr:uid="{D1AAAAFC-4536-4C12-917F-57A2E0E1FA99}"/>
    <cellStyle name="20% - Accent4 3 6 3" xfId="6186" xr:uid="{00000000-0005-0000-0000-000056020000}"/>
    <cellStyle name="20% - Accent4 3 6 3 2" xfId="15512" xr:uid="{9B8EC54A-C269-49DF-95A0-F6E452E2A6DF}"/>
    <cellStyle name="20% - Accent4 3 6 4" xfId="11295" xr:uid="{BE833324-525C-4ED4-A593-B697A7D6CE22}"/>
    <cellStyle name="20% - Accent4 3 7" xfId="2293" xr:uid="{00000000-0005-0000-0000-000057020000}"/>
    <cellStyle name="20% - Accent4 3 7 2" xfId="6599" xr:uid="{00000000-0005-0000-0000-000058020000}"/>
    <cellStyle name="20% - Accent4 3 7 2 2" xfId="15925" xr:uid="{1A734933-98D3-45C6-9DB7-3C4A76E62D7F}"/>
    <cellStyle name="20% - Accent4 3 7 3" xfId="11708" xr:uid="{54A7D6F4-6D24-4A16-8188-B5F3CB5B3A05}"/>
    <cellStyle name="20% - Accent4 3 8" xfId="4533" xr:uid="{00000000-0005-0000-0000-000059020000}"/>
    <cellStyle name="20% - Accent4 3 8 2" xfId="13859" xr:uid="{BD05E061-2E22-4DC0-98C2-FCA36AAD7645}"/>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9ADE162C-F28E-4456-BBCD-DA834904A159}"/>
    <cellStyle name="20% - Accent4 4 2 2 3" xfId="12203" xr:uid="{1AAE9572-5DD9-4678-9C93-96A8A52E3D47}"/>
    <cellStyle name="20% - Accent4 4 2 3" xfId="4949" xr:uid="{00000000-0005-0000-0000-00005E020000}"/>
    <cellStyle name="20% - Accent4 4 2 3 2" xfId="14275" xr:uid="{2A2649A9-414B-45E4-9BB6-26AA66F8D54B}"/>
    <cellStyle name="20% - Accent4 4 2 4" xfId="9378" xr:uid="{761B3D4A-2751-4646-8A50-05A0DD408525}"/>
    <cellStyle name="20% - Accent4 4 2 5" xfId="10058" xr:uid="{B35A7CD4-7EA1-445C-9F3C-DF629A80B08F}"/>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E2B32E74-65D7-4D34-8E5D-485CC27BB577}"/>
    <cellStyle name="20% - Accent4 4 3 2 3" xfId="12616" xr:uid="{ED6B7F82-4C73-4D1F-83A3-1382B0FCF6EB}"/>
    <cellStyle name="20% - Accent4 4 3 3" xfId="5362" xr:uid="{00000000-0005-0000-0000-000062020000}"/>
    <cellStyle name="20% - Accent4 4 3 3 2" xfId="14688" xr:uid="{7F25AC64-7096-4C37-AA26-DD37F10655B8}"/>
    <cellStyle name="20% - Accent4 4 3 4" xfId="10471" xr:uid="{036CA35D-28ED-4BBC-A7A2-D27A266B33BA}"/>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D3C21348-B05D-4A0A-A7DF-A0A786577DB4}"/>
    <cellStyle name="20% - Accent4 4 4 2 3" xfId="13029" xr:uid="{7057B35C-DD4D-4490-BCD0-61CC8489E959}"/>
    <cellStyle name="20% - Accent4 4 4 3" xfId="5775" xr:uid="{00000000-0005-0000-0000-000066020000}"/>
    <cellStyle name="20% - Accent4 4 4 3 2" xfId="15101" xr:uid="{D94C1169-47FE-44AF-84FE-421DB5250F0A}"/>
    <cellStyle name="20% - Accent4 4 4 4" xfId="10884" xr:uid="{4A8FED9F-BE41-46C9-8C20-2F5C27741458}"/>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15EAC463-B417-4085-833F-1896077CAEF9}"/>
    <cellStyle name="20% - Accent4 4 5 2 3" xfId="13442" xr:uid="{EB1C6456-68D3-4DE6-8BCE-D77DF889B4D7}"/>
    <cellStyle name="20% - Accent4 4 5 3" xfId="6188" xr:uid="{00000000-0005-0000-0000-00006A020000}"/>
    <cellStyle name="20% - Accent4 4 5 3 2" xfId="15514" xr:uid="{867FF52B-BE54-4171-BB0E-F433259B86B3}"/>
    <cellStyle name="20% - Accent4 4 5 4" xfId="11297" xr:uid="{62EEE8AD-9FF3-4BC6-8152-4BA531A80EBB}"/>
    <cellStyle name="20% - Accent4 4 6" xfId="2295" xr:uid="{00000000-0005-0000-0000-00006B020000}"/>
    <cellStyle name="20% - Accent4 4 6 2" xfId="6601" xr:uid="{00000000-0005-0000-0000-00006C020000}"/>
    <cellStyle name="20% - Accent4 4 6 2 2" xfId="15927" xr:uid="{1FEA2A5D-5FFF-42F7-8D26-B76B85229BA2}"/>
    <cellStyle name="20% - Accent4 4 6 3" xfId="11710" xr:uid="{F1B7CAB8-1618-4041-A801-D899337B04CC}"/>
    <cellStyle name="20% - Accent4 4 7" xfId="4535" xr:uid="{00000000-0005-0000-0000-00006D020000}"/>
    <cellStyle name="20% - Accent4 4 7 2" xfId="13861" xr:uid="{F8CC7B0B-B550-4531-9B57-366DA8F48C07}"/>
    <cellStyle name="20% - Accent4 4 8" xfId="8953" xr:uid="{66D1590A-BB3A-4B79-BA94-169F97E79370}"/>
    <cellStyle name="20% - Accent4 4 9" xfId="9644" xr:uid="{ACF05F89-2266-446B-AD07-081397FFE6A7}"/>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8DCFB938-4B23-4D5A-BF8C-31AAF5A94E37}"/>
    <cellStyle name="20% - Accent4 5 2 3" xfId="12196" xr:uid="{C3F4E001-76DB-4E0C-88DF-EED3F60C8620}"/>
    <cellStyle name="20% - Accent4 5 3" xfId="4942" xr:uid="{00000000-0005-0000-0000-000071020000}"/>
    <cellStyle name="20% - Accent4 5 3 2" xfId="14268" xr:uid="{E64B2031-6647-4FD0-9893-258D7647F33F}"/>
    <cellStyle name="20% - Accent4 5 4" xfId="9186" xr:uid="{E62ED282-F767-404B-ADA1-4F8E5B4D01EB}"/>
    <cellStyle name="20% - Accent4 5 5" xfId="10051" xr:uid="{A9EE7DA9-8B0C-46E4-BFCD-5192B533ACB7}"/>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A341FE43-2440-40F3-86D3-4D4A5D2FB16A}"/>
    <cellStyle name="20% - Accent4 6 2 3" xfId="12609" xr:uid="{BA5CAE02-B8E9-4882-A2E7-63E3ADE92B6F}"/>
    <cellStyle name="20% - Accent4 6 3" xfId="5355" xr:uid="{00000000-0005-0000-0000-000075020000}"/>
    <cellStyle name="20% - Accent4 6 3 2" xfId="14681" xr:uid="{4746A631-0038-4C8F-807E-1ED15A0BA129}"/>
    <cellStyle name="20% - Accent4 6 4" xfId="10464" xr:uid="{170AAC0F-A230-486D-8B28-07BDB4405EDB}"/>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29F52E4E-0A77-48E4-A436-A7F2F0C9DD89}"/>
    <cellStyle name="20% - Accent4 7 2 3" xfId="13022" xr:uid="{68AC859B-46F6-4D13-AE9A-072ED82AB457}"/>
    <cellStyle name="20% - Accent4 7 3" xfId="5768" xr:uid="{00000000-0005-0000-0000-000079020000}"/>
    <cellStyle name="20% - Accent4 7 3 2" xfId="15094" xr:uid="{1A80D8A7-5657-40F2-B349-F630B457DF8B}"/>
    <cellStyle name="20% - Accent4 7 4" xfId="10877" xr:uid="{55D2C5D3-1FDE-47E2-9CF4-AF6BC57F03B7}"/>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691960E1-AACA-4389-940D-7CC249CB2528}"/>
    <cellStyle name="20% - Accent4 8 2 3" xfId="13435" xr:uid="{9DDF78F7-8D1C-47B5-86B6-602AA76BABD1}"/>
    <cellStyle name="20% - Accent4 8 3" xfId="6181" xr:uid="{00000000-0005-0000-0000-00007D020000}"/>
    <cellStyle name="20% - Accent4 8 3 2" xfId="15507" xr:uid="{57BC0B60-8D76-4AB4-9768-9E48038D1AAB}"/>
    <cellStyle name="20% - Accent4 8 4" xfId="11290" xr:uid="{C07F39FA-857C-4993-BCF4-3456D5E8B0EF}"/>
    <cellStyle name="20% - Accent4 9" xfId="2288" xr:uid="{00000000-0005-0000-0000-00007E020000}"/>
    <cellStyle name="20% - Accent4 9 2" xfId="6594" xr:uid="{00000000-0005-0000-0000-00007F020000}"/>
    <cellStyle name="20% - Accent4 9 2 2" xfId="15920" xr:uid="{773F7D3F-55D7-4FD8-917C-BAEF19DBAFB1}"/>
    <cellStyle name="20% - Accent4 9 3" xfId="11703" xr:uid="{B522878C-58EE-485C-9E4F-4FAAC18A9DC2}"/>
    <cellStyle name="20% - Accent5" xfId="33" builtinId="46" customBuiltin="1"/>
    <cellStyle name="20% - Accent5 10" xfId="4536" xr:uid="{00000000-0005-0000-0000-000081020000}"/>
    <cellStyle name="20% - Accent5 10 2" xfId="13862" xr:uid="{7B86D50E-FD4B-4343-978A-A55AB3B63691}"/>
    <cellStyle name="20% - Accent5 11" xfId="8766" xr:uid="{A87C980D-48BC-4AA3-98F7-53B2F02F228C}"/>
    <cellStyle name="20% - Accent5 12" xfId="9645" xr:uid="{BAD11F70-6FD1-41C6-8048-75B1D69CECC4}"/>
    <cellStyle name="20% - Accent5 2" xfId="34" xr:uid="{00000000-0005-0000-0000-000082020000}"/>
    <cellStyle name="20% - Accent5 2 10" xfId="8796" xr:uid="{5BBF4372-A7B1-47A0-AC3D-4A60EDC1A5F8}"/>
    <cellStyle name="20% - Accent5 2 11" xfId="9646" xr:uid="{0C6C1A21-438E-4EB5-B73C-28B695A342C5}"/>
    <cellStyle name="20% - Accent5 2 2" xfId="35" xr:uid="{00000000-0005-0000-0000-000083020000}"/>
    <cellStyle name="20% - Accent5 2 2 10" xfId="9647" xr:uid="{C14FEF7D-9DD2-48D2-83AC-4D723E66401D}"/>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B994F207-5BDC-4067-AD5B-15F7F68181D7}"/>
    <cellStyle name="20% - Accent5 2 2 2 2 2 3" xfId="12207" xr:uid="{D9357189-92F2-46F7-B8C0-7C677B23FE5F}"/>
    <cellStyle name="20% - Accent5 2 2 2 2 3" xfId="4953" xr:uid="{00000000-0005-0000-0000-000088020000}"/>
    <cellStyle name="20% - Accent5 2 2 2 2 3 2" xfId="14279" xr:uid="{06E4F932-8FB7-4CA0-8AF5-322325271B10}"/>
    <cellStyle name="20% - Accent5 2 2 2 2 4" xfId="9531" xr:uid="{5DC5F027-F767-49FB-B9DE-2ACABCF8AC5A}"/>
    <cellStyle name="20% - Accent5 2 2 2 2 5" xfId="10062" xr:uid="{1206074E-F423-40A1-9437-6C0E921A2F31}"/>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49C059D1-8A6C-48CA-99EA-31DA9BD24BA6}"/>
    <cellStyle name="20% - Accent5 2 2 2 3 2 3" xfId="12620" xr:uid="{E61DDA6F-EADF-4428-A21D-EF560EBB9B4C}"/>
    <cellStyle name="20% - Accent5 2 2 2 3 3" xfId="5366" xr:uid="{00000000-0005-0000-0000-00008C020000}"/>
    <cellStyle name="20% - Accent5 2 2 2 3 3 2" xfId="14692" xr:uid="{8F273C95-9D85-49B8-83CA-59B8205C314A}"/>
    <cellStyle name="20% - Accent5 2 2 2 3 4" xfId="10475" xr:uid="{09DE258B-A93B-4A95-9285-3370C9BCAFB9}"/>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C67E430F-1870-4CFC-8319-ABF36C89AC13}"/>
    <cellStyle name="20% - Accent5 2 2 2 4 2 3" xfId="13033" xr:uid="{4B61CFAC-0918-43E6-885B-C7978BF97D3C}"/>
    <cellStyle name="20% - Accent5 2 2 2 4 3" xfId="5779" xr:uid="{00000000-0005-0000-0000-000090020000}"/>
    <cellStyle name="20% - Accent5 2 2 2 4 3 2" xfId="15105" xr:uid="{8E93CC72-98B4-46B8-AA9C-E73DD0BB6387}"/>
    <cellStyle name="20% - Accent5 2 2 2 4 4" xfId="10888" xr:uid="{40AEE001-C308-4D35-9933-61EEA78B32CE}"/>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9083B5E9-0781-48E9-9266-AA0AC97E4990}"/>
    <cellStyle name="20% - Accent5 2 2 2 5 2 3" xfId="13446" xr:uid="{DFB0D486-BBED-4932-944A-61B04F227A4B}"/>
    <cellStyle name="20% - Accent5 2 2 2 5 3" xfId="6192" xr:uid="{00000000-0005-0000-0000-000094020000}"/>
    <cellStyle name="20% - Accent5 2 2 2 5 3 2" xfId="15518" xr:uid="{738ED2FE-EA10-442F-80D5-077BF1EB8DE9}"/>
    <cellStyle name="20% - Accent5 2 2 2 5 4" xfId="11301" xr:uid="{B2CFBBA1-6C0A-4E2A-B84C-8B5BBDC90DF8}"/>
    <cellStyle name="20% - Accent5 2 2 2 6" xfId="2299" xr:uid="{00000000-0005-0000-0000-000095020000}"/>
    <cellStyle name="20% - Accent5 2 2 2 6 2" xfId="6605" xr:uid="{00000000-0005-0000-0000-000096020000}"/>
    <cellStyle name="20% - Accent5 2 2 2 6 2 2" xfId="15931" xr:uid="{467EDDF1-1BAB-46F2-B43D-4E27AC119783}"/>
    <cellStyle name="20% - Accent5 2 2 2 6 3" xfId="11714" xr:uid="{0CFE8C81-09E2-46D5-9425-8C562BA268BA}"/>
    <cellStyle name="20% - Accent5 2 2 2 7" xfId="4539" xr:uid="{00000000-0005-0000-0000-000097020000}"/>
    <cellStyle name="20% - Accent5 2 2 2 7 2" xfId="13865" xr:uid="{3717A3BB-883E-461D-A532-336EB4912C5A}"/>
    <cellStyle name="20% - Accent5 2 2 2 8" xfId="9106" xr:uid="{E7B219CB-83A9-494A-83ED-783719A0F1D9}"/>
    <cellStyle name="20% - Accent5 2 2 2 9" xfId="9648" xr:uid="{EE673589-1005-4D61-8D2A-A54C7F38011B}"/>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027E6E1B-E460-45E4-99FF-628F8C1C8522}"/>
    <cellStyle name="20% - Accent5 2 2 3 2 3" xfId="12206" xr:uid="{E3E5DD80-24F2-4309-9519-F88ED834C3A0}"/>
    <cellStyle name="20% - Accent5 2 2 3 3" xfId="4952" xr:uid="{00000000-0005-0000-0000-00009B020000}"/>
    <cellStyle name="20% - Accent5 2 2 3 3 2" xfId="14278" xr:uid="{B0166D09-87B9-4050-93EB-E6B03B68C3E7}"/>
    <cellStyle name="20% - Accent5 2 2 3 4" xfId="9324" xr:uid="{6094FEE1-8E2A-466F-9CDF-43EB9EE581FF}"/>
    <cellStyle name="20% - Accent5 2 2 3 5" xfId="10061" xr:uid="{3027B412-158B-464E-972B-AEFB2197CDD9}"/>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4F381A63-F1E9-46FC-BD12-41FA72CB9593}"/>
    <cellStyle name="20% - Accent5 2 2 4 2 3" xfId="12619" xr:uid="{6BFB6219-EA32-4362-9A5E-CC69E892E02F}"/>
    <cellStyle name="20% - Accent5 2 2 4 3" xfId="5365" xr:uid="{00000000-0005-0000-0000-00009F020000}"/>
    <cellStyle name="20% - Accent5 2 2 4 3 2" xfId="14691" xr:uid="{75E386BA-7A88-4E8A-BD72-1C5DF31AC04A}"/>
    <cellStyle name="20% - Accent5 2 2 4 4" xfId="10474" xr:uid="{EAC79E32-D35C-4A7C-A038-41A98C7106DE}"/>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A4EEAB41-B135-4281-9080-C299AF061D41}"/>
    <cellStyle name="20% - Accent5 2 2 5 2 3" xfId="13032" xr:uid="{1625AD9F-83C4-401E-B313-E1A228D8C83A}"/>
    <cellStyle name="20% - Accent5 2 2 5 3" xfId="5778" xr:uid="{00000000-0005-0000-0000-0000A3020000}"/>
    <cellStyle name="20% - Accent5 2 2 5 3 2" xfId="15104" xr:uid="{7C83C1D8-02BE-452E-A025-96E125DF53AD}"/>
    <cellStyle name="20% - Accent5 2 2 5 4" xfId="10887" xr:uid="{F96A5F0A-CCC6-420D-950E-0864EED355C2}"/>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92206A0D-505D-4B01-9F73-27C43A7FCE40}"/>
    <cellStyle name="20% - Accent5 2 2 6 2 3" xfId="13445" xr:uid="{EFD70D7C-D703-499F-818D-513F3B71BEFF}"/>
    <cellStyle name="20% - Accent5 2 2 6 3" xfId="6191" xr:uid="{00000000-0005-0000-0000-0000A7020000}"/>
    <cellStyle name="20% - Accent5 2 2 6 3 2" xfId="15517" xr:uid="{5B081D36-7E31-4847-BAFA-761392505BE9}"/>
    <cellStyle name="20% - Accent5 2 2 6 4" xfId="11300" xr:uid="{E73161FE-9D34-43CD-8FC8-0D465F7E44E8}"/>
    <cellStyle name="20% - Accent5 2 2 7" xfId="2298" xr:uid="{00000000-0005-0000-0000-0000A8020000}"/>
    <cellStyle name="20% - Accent5 2 2 7 2" xfId="6604" xr:uid="{00000000-0005-0000-0000-0000A9020000}"/>
    <cellStyle name="20% - Accent5 2 2 7 2 2" xfId="15930" xr:uid="{B889E9E0-C9C1-4FDA-BB93-5FF8D5C78C62}"/>
    <cellStyle name="20% - Accent5 2 2 7 3" xfId="11713" xr:uid="{93FEA011-81BA-492E-B00D-854F7A558507}"/>
    <cellStyle name="20% - Accent5 2 2 8" xfId="4538" xr:uid="{00000000-0005-0000-0000-0000AA020000}"/>
    <cellStyle name="20% - Accent5 2 2 8 2" xfId="13864" xr:uid="{6EC90517-5A95-4820-B47F-58E51586D18F}"/>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F3B01BFF-AADB-4C01-8633-AB964E3FC6A4}"/>
    <cellStyle name="20% - Accent5 2 3 2 2 3" xfId="12208" xr:uid="{F66CB200-4906-48F8-B82A-67E5203041FE}"/>
    <cellStyle name="20% - Accent5 2 3 2 3" xfId="4954" xr:uid="{00000000-0005-0000-0000-0000AF020000}"/>
    <cellStyle name="20% - Accent5 2 3 2 3 2" xfId="14280" xr:uid="{8379BFAA-04D0-4C6F-807A-E25FA9CCE208}"/>
    <cellStyle name="20% - Accent5 2 3 2 4" xfId="9428" xr:uid="{B7820ACF-E1F3-4653-B5DD-FD829B169E84}"/>
    <cellStyle name="20% - Accent5 2 3 2 5" xfId="10063" xr:uid="{3E17FCDB-D361-4E18-8C32-8E7106D27818}"/>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15EB80C5-4D86-4F78-945D-78D0D0F77102}"/>
    <cellStyle name="20% - Accent5 2 3 3 2 3" xfId="12621" xr:uid="{C0345E76-FC2C-4AFB-AC6E-EAC5A75C76BE}"/>
    <cellStyle name="20% - Accent5 2 3 3 3" xfId="5367" xr:uid="{00000000-0005-0000-0000-0000B3020000}"/>
    <cellStyle name="20% - Accent5 2 3 3 3 2" xfId="14693" xr:uid="{101A4428-E009-41D3-8AFD-A5EC81CAA4B0}"/>
    <cellStyle name="20% - Accent5 2 3 3 4" xfId="10476" xr:uid="{33BCA80F-EE63-4F5E-ACBE-720C617BD120}"/>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D9D8C4C7-8C8C-4A85-B830-885B222ECCC0}"/>
    <cellStyle name="20% - Accent5 2 3 4 2 3" xfId="13034" xr:uid="{419C4863-05E2-4705-9A23-2B89882AC2F8}"/>
    <cellStyle name="20% - Accent5 2 3 4 3" xfId="5780" xr:uid="{00000000-0005-0000-0000-0000B7020000}"/>
    <cellStyle name="20% - Accent5 2 3 4 3 2" xfId="15106" xr:uid="{F6CA5574-30AE-406B-93C6-3C44B8214C3D}"/>
    <cellStyle name="20% - Accent5 2 3 4 4" xfId="10889" xr:uid="{910CE856-0C3B-4CE9-B276-CA5F43B4738C}"/>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619AC16B-2E82-4DB1-BCD0-246A6CB48CAD}"/>
    <cellStyle name="20% - Accent5 2 3 5 2 3" xfId="13447" xr:uid="{7CEC4B63-62EF-4C65-BCD3-2398181A1158}"/>
    <cellStyle name="20% - Accent5 2 3 5 3" xfId="6193" xr:uid="{00000000-0005-0000-0000-0000BB020000}"/>
    <cellStyle name="20% - Accent5 2 3 5 3 2" xfId="15519" xr:uid="{5A36E15E-C1E8-4E71-9D4B-3A495099274C}"/>
    <cellStyle name="20% - Accent5 2 3 5 4" xfId="11302" xr:uid="{8422810E-9DA3-483E-A0DC-247AC4BD8CF1}"/>
    <cellStyle name="20% - Accent5 2 3 6" xfId="2300" xr:uid="{00000000-0005-0000-0000-0000BC020000}"/>
    <cellStyle name="20% - Accent5 2 3 6 2" xfId="6606" xr:uid="{00000000-0005-0000-0000-0000BD020000}"/>
    <cellStyle name="20% - Accent5 2 3 6 2 2" xfId="15932" xr:uid="{54FDB11A-234D-4E05-9B17-83F19BFDE25A}"/>
    <cellStyle name="20% - Accent5 2 3 6 3" xfId="11715" xr:uid="{DDC476FF-9EF6-4612-90CA-5EBCA0C1CE39}"/>
    <cellStyle name="20% - Accent5 2 3 7" xfId="4540" xr:uid="{00000000-0005-0000-0000-0000BE020000}"/>
    <cellStyle name="20% - Accent5 2 3 7 2" xfId="13866" xr:uid="{2F4CCD03-14C5-4938-AADC-EA411C34245D}"/>
    <cellStyle name="20% - Accent5 2 3 8" xfId="9003" xr:uid="{9830E7D1-E361-4BA3-A986-3DCE647EEF8E}"/>
    <cellStyle name="20% - Accent5 2 3 9" xfId="9649" xr:uid="{5E00DB41-6587-47E6-80FF-A6C0E96142D7}"/>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098CD90F-5B36-44E7-A81B-7253D18B2C91}"/>
    <cellStyle name="20% - Accent5 2 4 2 3" xfId="12205" xr:uid="{9FF7BB79-187A-4E69-9826-36D4FDF4067C}"/>
    <cellStyle name="20% - Accent5 2 4 3" xfId="4951" xr:uid="{00000000-0005-0000-0000-0000C2020000}"/>
    <cellStyle name="20% - Accent5 2 4 3 2" xfId="14277" xr:uid="{644EC02D-8F53-4FAF-A626-9C660CE7F7AE}"/>
    <cellStyle name="20% - Accent5 2 4 4" xfId="9220" xr:uid="{A7B88928-FE72-4C1B-B74E-3CA76DBA84CC}"/>
    <cellStyle name="20% - Accent5 2 4 5" xfId="10060" xr:uid="{41BB3160-74D3-4B07-9F6F-5867A57FC46F}"/>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3E8D4040-23AF-44FC-864A-2642819B378C}"/>
    <cellStyle name="20% - Accent5 2 5 2 3" xfId="12618" xr:uid="{E9CEDEC3-9B90-413A-B26F-C64C21561E3D}"/>
    <cellStyle name="20% - Accent5 2 5 3" xfId="5364" xr:uid="{00000000-0005-0000-0000-0000C6020000}"/>
    <cellStyle name="20% - Accent5 2 5 3 2" xfId="14690" xr:uid="{7FE70698-2718-4B7A-B15B-96F4A2ED4463}"/>
    <cellStyle name="20% - Accent5 2 5 4" xfId="10473" xr:uid="{DAFE569D-E160-4545-8BA4-514E277499DF}"/>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081EE4D9-5315-4AE3-B6B8-69F83E0683A4}"/>
    <cellStyle name="20% - Accent5 2 6 2 3" xfId="13031" xr:uid="{861563BF-8D3A-4D4B-B9C1-53A044F5C565}"/>
    <cellStyle name="20% - Accent5 2 6 3" xfId="5777" xr:uid="{00000000-0005-0000-0000-0000CA020000}"/>
    <cellStyle name="20% - Accent5 2 6 3 2" xfId="15103" xr:uid="{B9480212-E1FD-4BA0-BEB7-A95CEF957102}"/>
    <cellStyle name="20% - Accent5 2 6 4" xfId="10886" xr:uid="{531F10CE-8D1C-4C88-A0E5-94BDF4FAD1A8}"/>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284B5D37-7827-4D0E-8D9D-B1304069E64B}"/>
    <cellStyle name="20% - Accent5 2 7 2 3" xfId="13444" xr:uid="{21D29899-7AD9-45A5-8CEB-4DF25769B18E}"/>
    <cellStyle name="20% - Accent5 2 7 3" xfId="6190" xr:uid="{00000000-0005-0000-0000-0000CE020000}"/>
    <cellStyle name="20% - Accent5 2 7 3 2" xfId="15516" xr:uid="{5B7E7A83-FDFD-486E-AF04-E12C3118CE1A}"/>
    <cellStyle name="20% - Accent5 2 7 4" xfId="11299" xr:uid="{4F840E50-7FED-431F-A9B4-30C3B34DB8BB}"/>
    <cellStyle name="20% - Accent5 2 8" xfId="2297" xr:uid="{00000000-0005-0000-0000-0000CF020000}"/>
    <cellStyle name="20% - Accent5 2 8 2" xfId="6603" xr:uid="{00000000-0005-0000-0000-0000D0020000}"/>
    <cellStyle name="20% - Accent5 2 8 2 2" xfId="15929" xr:uid="{8957DAE8-E51D-4EC8-B9D0-230E64E34797}"/>
    <cellStyle name="20% - Accent5 2 8 3" xfId="11712" xr:uid="{D7465429-2FE3-4EE5-A7E0-2C4BFD5E438D}"/>
    <cellStyle name="20% - Accent5 2 9" xfId="4537" xr:uid="{00000000-0005-0000-0000-0000D1020000}"/>
    <cellStyle name="20% - Accent5 2 9 2" xfId="13863" xr:uid="{A5B8BA4E-F5CC-4E6E-9E1F-F5EE9F1DCB39}"/>
    <cellStyle name="20% - Accent5 3" xfId="38" xr:uid="{00000000-0005-0000-0000-0000D2020000}"/>
    <cellStyle name="20% - Accent5 3 10" xfId="9650" xr:uid="{4C408A6A-F467-4FAF-945A-A93CB9A730C7}"/>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2F4FFAF7-3E24-43A7-96EE-AE4280FB1712}"/>
    <cellStyle name="20% - Accent5 3 2 2 2 3" xfId="12210" xr:uid="{CD5C213E-EC4F-41A1-B17F-31EC8533D4C5}"/>
    <cellStyle name="20% - Accent5 3 2 2 3" xfId="4956" xr:uid="{00000000-0005-0000-0000-0000D7020000}"/>
    <cellStyle name="20% - Accent5 3 2 2 3 2" xfId="14282" xr:uid="{459ADDB0-E7F7-4C45-B5E7-949BF582DAB0}"/>
    <cellStyle name="20% - Accent5 3 2 2 4" xfId="9501" xr:uid="{82A590A5-96D4-476E-8E6F-D81EEE08C409}"/>
    <cellStyle name="20% - Accent5 3 2 2 5" xfId="10065" xr:uid="{DA72F1EB-22FF-4444-B7A9-8CDA27F6050F}"/>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F861E17A-606D-4368-A921-BFA669B00EE9}"/>
    <cellStyle name="20% - Accent5 3 2 3 2 3" xfId="12623" xr:uid="{332C319A-3B5A-464B-8729-8B91F959F59F}"/>
    <cellStyle name="20% - Accent5 3 2 3 3" xfId="5369" xr:uid="{00000000-0005-0000-0000-0000DB020000}"/>
    <cellStyle name="20% - Accent5 3 2 3 3 2" xfId="14695" xr:uid="{B379C72C-9EA8-4304-9C04-01DD3C08B45D}"/>
    <cellStyle name="20% - Accent5 3 2 3 4" xfId="10478" xr:uid="{4E65BAEE-374C-4933-9A58-6E7718D9BFD8}"/>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21521FCA-FBDA-4C89-992C-42CDB1FCA9EB}"/>
    <cellStyle name="20% - Accent5 3 2 4 2 3" xfId="13036" xr:uid="{FD54EAF4-B867-4DFF-9EB3-47A391991777}"/>
    <cellStyle name="20% - Accent5 3 2 4 3" xfId="5782" xr:uid="{00000000-0005-0000-0000-0000DF020000}"/>
    <cellStyle name="20% - Accent5 3 2 4 3 2" xfId="15108" xr:uid="{21E775A3-5648-45B5-BBD1-FCE177E8D4B3}"/>
    <cellStyle name="20% - Accent5 3 2 4 4" xfId="10891" xr:uid="{4496B8EF-9650-4DB3-8A4E-6FDDB42B1404}"/>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D27A6F3D-E258-44F2-A53C-FC1D8DC99A13}"/>
    <cellStyle name="20% - Accent5 3 2 5 2 3" xfId="13449" xr:uid="{7275D508-9020-4895-89AC-1EB9D3CC170B}"/>
    <cellStyle name="20% - Accent5 3 2 5 3" xfId="6195" xr:uid="{00000000-0005-0000-0000-0000E3020000}"/>
    <cellStyle name="20% - Accent5 3 2 5 3 2" xfId="15521" xr:uid="{DE3BC587-72C5-40C2-B8A3-7353D68A3304}"/>
    <cellStyle name="20% - Accent5 3 2 5 4" xfId="11304" xr:uid="{C739233E-05AF-487D-B4AF-CA008960B751}"/>
    <cellStyle name="20% - Accent5 3 2 6" xfId="2302" xr:uid="{00000000-0005-0000-0000-0000E4020000}"/>
    <cellStyle name="20% - Accent5 3 2 6 2" xfId="6608" xr:uid="{00000000-0005-0000-0000-0000E5020000}"/>
    <cellStyle name="20% - Accent5 3 2 6 2 2" xfId="15934" xr:uid="{3F9B1EF3-2689-4624-AEB5-AF96319A540D}"/>
    <cellStyle name="20% - Accent5 3 2 6 3" xfId="11717" xr:uid="{11C216F5-1C8E-469B-9F34-96651796755B}"/>
    <cellStyle name="20% - Accent5 3 2 7" xfId="4542" xr:uid="{00000000-0005-0000-0000-0000E6020000}"/>
    <cellStyle name="20% - Accent5 3 2 7 2" xfId="13868" xr:uid="{0C17D4BA-CF54-435C-AA26-165793EE09DB}"/>
    <cellStyle name="20% - Accent5 3 2 8" xfId="9076" xr:uid="{BEDF1D01-35A3-4513-9363-9C1AFC748168}"/>
    <cellStyle name="20% - Accent5 3 2 9" xfId="9651" xr:uid="{B4685393-209A-4619-AB1E-DC205CDEF736}"/>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62983922-C76C-4FE8-BE44-E0460B0146FA}"/>
    <cellStyle name="20% - Accent5 3 3 2 3" xfId="12209" xr:uid="{47448A8A-DFB4-4B91-BBCE-DFB608227575}"/>
    <cellStyle name="20% - Accent5 3 3 3" xfId="4955" xr:uid="{00000000-0005-0000-0000-0000EA020000}"/>
    <cellStyle name="20% - Accent5 3 3 3 2" xfId="14281" xr:uid="{427BABCD-8C81-4532-8D77-759F2D9454FA}"/>
    <cellStyle name="20% - Accent5 3 3 4" xfId="9294" xr:uid="{124960EA-C7A4-4686-BF67-47D6C57F7EEB}"/>
    <cellStyle name="20% - Accent5 3 3 5" xfId="10064" xr:uid="{42C1ADE0-34D2-4F59-9223-2C5D7429CDBB}"/>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6A3C89A2-F3C0-4ABC-868A-C0622F564386}"/>
    <cellStyle name="20% - Accent5 3 4 2 3" xfId="12622" xr:uid="{468EC682-CC72-46FB-9963-79631B2913E2}"/>
    <cellStyle name="20% - Accent5 3 4 3" xfId="5368" xr:uid="{00000000-0005-0000-0000-0000EE020000}"/>
    <cellStyle name="20% - Accent5 3 4 3 2" xfId="14694" xr:uid="{299348FA-0C17-4987-9C93-3239E9887117}"/>
    <cellStyle name="20% - Accent5 3 4 4" xfId="10477" xr:uid="{D6EE48F3-817C-4089-B3C0-4DBCBE1450BC}"/>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7B2953C0-D46C-4DA7-98A2-1DACCBC3D923}"/>
    <cellStyle name="20% - Accent5 3 5 2 3" xfId="13035" xr:uid="{78599AEC-CB4C-4CA2-ACAE-34EB109E4384}"/>
    <cellStyle name="20% - Accent5 3 5 3" xfId="5781" xr:uid="{00000000-0005-0000-0000-0000F2020000}"/>
    <cellStyle name="20% - Accent5 3 5 3 2" xfId="15107" xr:uid="{9A9F6395-2F45-4F7D-9299-41A16BF2BC22}"/>
    <cellStyle name="20% - Accent5 3 5 4" xfId="10890" xr:uid="{67316756-070A-4804-9848-82DD9179455F}"/>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2A786733-4E6F-48F0-9E7A-1E534EBEED42}"/>
    <cellStyle name="20% - Accent5 3 6 2 3" xfId="13448" xr:uid="{60016248-F666-4EF0-A4CE-DF59C73DC6EC}"/>
    <cellStyle name="20% - Accent5 3 6 3" xfId="6194" xr:uid="{00000000-0005-0000-0000-0000F6020000}"/>
    <cellStyle name="20% - Accent5 3 6 3 2" xfId="15520" xr:uid="{D951BFE3-AA96-4CF0-B184-CF473C929E18}"/>
    <cellStyle name="20% - Accent5 3 6 4" xfId="11303" xr:uid="{61BDC81E-6EC5-46EB-A613-1B2886C63CF5}"/>
    <cellStyle name="20% - Accent5 3 7" xfId="2301" xr:uid="{00000000-0005-0000-0000-0000F7020000}"/>
    <cellStyle name="20% - Accent5 3 7 2" xfId="6607" xr:uid="{00000000-0005-0000-0000-0000F8020000}"/>
    <cellStyle name="20% - Accent5 3 7 2 2" xfId="15933" xr:uid="{FD2FB61A-259E-4B4C-AE90-53A70F8E494B}"/>
    <cellStyle name="20% - Accent5 3 7 3" xfId="11716" xr:uid="{39363CC6-6960-4270-8837-A049C0B8E62E}"/>
    <cellStyle name="20% - Accent5 3 8" xfId="4541" xr:uid="{00000000-0005-0000-0000-0000F9020000}"/>
    <cellStyle name="20% - Accent5 3 8 2" xfId="13867" xr:uid="{BB8FE0B3-00C1-46CE-8FED-20A4B7EFB8F1}"/>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CBDE924C-D8BF-4AB7-B0DC-8CAF892738B6}"/>
    <cellStyle name="20% - Accent5 4 2 2 3" xfId="12211" xr:uid="{079D6F1B-E7D2-4C30-B440-BCB6B61960D4}"/>
    <cellStyle name="20% - Accent5 4 2 3" xfId="4957" xr:uid="{00000000-0005-0000-0000-0000FE020000}"/>
    <cellStyle name="20% - Accent5 4 2 3 2" xfId="14283" xr:uid="{F7DBEC11-5FD5-4310-AD1C-62592AD27EA9}"/>
    <cellStyle name="20% - Accent5 4 2 4" xfId="9380" xr:uid="{1C764D65-D71C-4646-AD86-15F83BDBF498}"/>
    <cellStyle name="20% - Accent5 4 2 5" xfId="10066" xr:uid="{CF81BB7F-BF1B-4CB4-B16A-FD35A17B3A7C}"/>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04D257D9-E62B-4D79-A2B1-5A55ED2E7582}"/>
    <cellStyle name="20% - Accent5 4 3 2 3" xfId="12624" xr:uid="{87B23C03-5EF1-4816-81BC-087D38D555B6}"/>
    <cellStyle name="20% - Accent5 4 3 3" xfId="5370" xr:uid="{00000000-0005-0000-0000-000002030000}"/>
    <cellStyle name="20% - Accent5 4 3 3 2" xfId="14696" xr:uid="{EAEBEA2C-AE4C-4450-BBD2-0C131EA8B966}"/>
    <cellStyle name="20% - Accent5 4 3 4" xfId="10479" xr:uid="{E42F9A5A-6EAB-4732-8DA5-2D73AEEA62F5}"/>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545308FB-366B-4C60-80B7-9778004C77C5}"/>
    <cellStyle name="20% - Accent5 4 4 2 3" xfId="13037" xr:uid="{682B6AF6-64B7-49B6-8BB0-34491DF91219}"/>
    <cellStyle name="20% - Accent5 4 4 3" xfId="5783" xr:uid="{00000000-0005-0000-0000-000006030000}"/>
    <cellStyle name="20% - Accent5 4 4 3 2" xfId="15109" xr:uid="{297C73B9-DCAE-48A5-88F4-D67F6483B88C}"/>
    <cellStyle name="20% - Accent5 4 4 4" xfId="10892" xr:uid="{A7387605-86AD-4A39-9153-9D0559BE481A}"/>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49D1F193-7C49-4760-9913-D0F9DB275A35}"/>
    <cellStyle name="20% - Accent5 4 5 2 3" xfId="13450" xr:uid="{195E92C1-E5F0-4E4A-94EA-730648BCFBF1}"/>
    <cellStyle name="20% - Accent5 4 5 3" xfId="6196" xr:uid="{00000000-0005-0000-0000-00000A030000}"/>
    <cellStyle name="20% - Accent5 4 5 3 2" xfId="15522" xr:uid="{421C24E3-FEEB-4182-9479-90128FC879AD}"/>
    <cellStyle name="20% - Accent5 4 5 4" xfId="11305" xr:uid="{DDB89E6E-36AA-40FD-8F7F-0EF02F690B80}"/>
    <cellStyle name="20% - Accent5 4 6" xfId="2303" xr:uid="{00000000-0005-0000-0000-00000B030000}"/>
    <cellStyle name="20% - Accent5 4 6 2" xfId="6609" xr:uid="{00000000-0005-0000-0000-00000C030000}"/>
    <cellStyle name="20% - Accent5 4 6 2 2" xfId="15935" xr:uid="{D3CB1377-5EC7-4B23-995C-041C674DB0E1}"/>
    <cellStyle name="20% - Accent5 4 6 3" xfId="11718" xr:uid="{673AC0F8-C760-488C-B1B4-95C862C0665E}"/>
    <cellStyle name="20% - Accent5 4 7" xfId="4543" xr:uid="{00000000-0005-0000-0000-00000D030000}"/>
    <cellStyle name="20% - Accent5 4 7 2" xfId="13869" xr:uid="{94C426B5-2C9C-4C54-A997-5989F4C97FC9}"/>
    <cellStyle name="20% - Accent5 4 8" xfId="8955" xr:uid="{8AD43D76-8747-44EC-8D3B-2720ADF9D1B1}"/>
    <cellStyle name="20% - Accent5 4 9" xfId="9652" xr:uid="{B9226789-ACCC-4F94-A1ED-BD48C2F9C70E}"/>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A35786DB-7A82-4F22-BE2A-F601FA7B9A1F}"/>
    <cellStyle name="20% - Accent5 5 2 3" xfId="12204" xr:uid="{B94B11DC-96D1-4AA4-93E4-1D2B66FD91B0}"/>
    <cellStyle name="20% - Accent5 5 3" xfId="4950" xr:uid="{00000000-0005-0000-0000-000011030000}"/>
    <cellStyle name="20% - Accent5 5 3 2" xfId="14276" xr:uid="{29992EAC-1FB5-4605-A8F6-FCAC113A3E7E}"/>
    <cellStyle name="20% - Accent5 5 4" xfId="9188" xr:uid="{164CF7CE-7706-426C-90AA-4867A06E28BD}"/>
    <cellStyle name="20% - Accent5 5 5" xfId="10059" xr:uid="{48BA0549-B427-40B3-A020-8629949E7D2D}"/>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86E6674F-728A-4463-8CCD-7861C8F37638}"/>
    <cellStyle name="20% - Accent5 6 2 3" xfId="12617" xr:uid="{54B633C1-DD3E-40BB-B3F0-381085D4E3D2}"/>
    <cellStyle name="20% - Accent5 6 3" xfId="5363" xr:uid="{00000000-0005-0000-0000-000015030000}"/>
    <cellStyle name="20% - Accent5 6 3 2" xfId="14689" xr:uid="{54F2EF7A-8778-4043-AD4C-6429D639CE2D}"/>
    <cellStyle name="20% - Accent5 6 4" xfId="10472" xr:uid="{47B76DF1-6F93-4CFA-9341-196E3F97CE27}"/>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3DBA0384-4903-4AD9-BA93-9A61163C5151}"/>
    <cellStyle name="20% - Accent5 7 2 3" xfId="13030" xr:uid="{86D4FF65-18C4-417E-A944-5C63EBA1DB7B}"/>
    <cellStyle name="20% - Accent5 7 3" xfId="5776" xr:uid="{00000000-0005-0000-0000-000019030000}"/>
    <cellStyle name="20% - Accent5 7 3 2" xfId="15102" xr:uid="{AA89459F-4126-4072-972F-F824308A5DF1}"/>
    <cellStyle name="20% - Accent5 7 4" xfId="10885" xr:uid="{996CC046-9139-43DF-8214-5F13BFBF4480}"/>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8427BEC1-C50C-4CD0-BF0D-2CD9FFC0DBA3}"/>
    <cellStyle name="20% - Accent5 8 2 3" xfId="13443" xr:uid="{ECF291AC-4642-44B8-8B55-6DC8AF105A1B}"/>
    <cellStyle name="20% - Accent5 8 3" xfId="6189" xr:uid="{00000000-0005-0000-0000-00001D030000}"/>
    <cellStyle name="20% - Accent5 8 3 2" xfId="15515" xr:uid="{AD7ABA99-2FC8-4B1F-9C65-9398944F8791}"/>
    <cellStyle name="20% - Accent5 8 4" xfId="11298" xr:uid="{E6B800E9-6391-4B3E-9195-7E75AC9DED33}"/>
    <cellStyle name="20% - Accent5 9" xfId="2296" xr:uid="{00000000-0005-0000-0000-00001E030000}"/>
    <cellStyle name="20% - Accent5 9 2" xfId="6602" xr:uid="{00000000-0005-0000-0000-00001F030000}"/>
    <cellStyle name="20% - Accent5 9 2 2" xfId="15928" xr:uid="{972DD792-95D3-466D-9E83-B56F2D919DBF}"/>
    <cellStyle name="20% - Accent5 9 3" xfId="11711" xr:uid="{5FDA39C1-7BE4-484B-B890-3857E8C8BF5B}"/>
    <cellStyle name="20% - Accent6" xfId="41" builtinId="50" customBuiltin="1"/>
    <cellStyle name="20% - Accent6 10" xfId="4544" xr:uid="{00000000-0005-0000-0000-000021030000}"/>
    <cellStyle name="20% - Accent6 10 2" xfId="13870" xr:uid="{B0F0DFC2-A431-4F73-A705-D34F1DF96271}"/>
    <cellStyle name="20% - Accent6 11" xfId="8768" xr:uid="{5A1F1293-A19F-445F-908A-D9DBB6265CA0}"/>
    <cellStyle name="20% - Accent6 12" xfId="9653" xr:uid="{E002597C-5047-4400-82AD-9996817F2B3F}"/>
    <cellStyle name="20% - Accent6 2" xfId="42" xr:uid="{00000000-0005-0000-0000-000022030000}"/>
    <cellStyle name="20% - Accent6 2 10" xfId="8795" xr:uid="{9A35B19E-8802-437A-ABDC-7B06A4E07F58}"/>
    <cellStyle name="20% - Accent6 2 11" xfId="9654" xr:uid="{293C6647-08D2-492B-9032-2EDC81A7D0D4}"/>
    <cellStyle name="20% - Accent6 2 2" xfId="43" xr:uid="{00000000-0005-0000-0000-000023030000}"/>
    <cellStyle name="20% - Accent6 2 2 10" xfId="9655" xr:uid="{697AA850-FAD3-48D1-86B8-7A2CDBE9C5E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3DF43F39-CB45-4E13-9F21-5C77B388512F}"/>
    <cellStyle name="20% - Accent6 2 2 2 2 2 3" xfId="12215" xr:uid="{1F5C593E-A650-4BEF-A8FD-2FB433F2CC63}"/>
    <cellStyle name="20% - Accent6 2 2 2 2 3" xfId="4961" xr:uid="{00000000-0005-0000-0000-000028030000}"/>
    <cellStyle name="20% - Accent6 2 2 2 2 3 2" xfId="14287" xr:uid="{48CF0950-27BD-4B3A-BA13-88042A79A532}"/>
    <cellStyle name="20% - Accent6 2 2 2 2 4" xfId="9530" xr:uid="{AFD3EE0E-70EF-4C1B-B994-7B8E7E8187BC}"/>
    <cellStyle name="20% - Accent6 2 2 2 2 5" xfId="10070" xr:uid="{F67D7F29-B50E-4847-B030-0A119AC7FE3A}"/>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BB1379BD-68B0-426C-8BEB-AEB312AD1D59}"/>
    <cellStyle name="20% - Accent6 2 2 2 3 2 3" xfId="12628" xr:uid="{8EAAB386-E45D-4471-B6C2-D702CEA9105C}"/>
    <cellStyle name="20% - Accent6 2 2 2 3 3" xfId="5374" xr:uid="{00000000-0005-0000-0000-00002C030000}"/>
    <cellStyle name="20% - Accent6 2 2 2 3 3 2" xfId="14700" xr:uid="{AF15019D-CF79-49FF-8810-0AC1704F8BC2}"/>
    <cellStyle name="20% - Accent6 2 2 2 3 4" xfId="10483" xr:uid="{76573385-E6FA-439D-BA5A-149854585D88}"/>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74DDD9BA-9AAC-4D97-9F09-FDBF43FFAC87}"/>
    <cellStyle name="20% - Accent6 2 2 2 4 2 3" xfId="13041" xr:uid="{B6477AC6-B92C-40D8-B8B7-B523B459F8BF}"/>
    <cellStyle name="20% - Accent6 2 2 2 4 3" xfId="5787" xr:uid="{00000000-0005-0000-0000-000030030000}"/>
    <cellStyle name="20% - Accent6 2 2 2 4 3 2" xfId="15113" xr:uid="{E771BDDE-6576-4302-BB60-D96990EC604F}"/>
    <cellStyle name="20% - Accent6 2 2 2 4 4" xfId="10896" xr:uid="{9BCEA04C-3A08-414F-9133-5DCCDFAB5A7D}"/>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8D90BB98-F9C0-408D-96B7-20E230A66CE9}"/>
    <cellStyle name="20% - Accent6 2 2 2 5 2 3" xfId="13454" xr:uid="{E4B3114F-6C39-40C9-BAB4-ABD6F661F506}"/>
    <cellStyle name="20% - Accent6 2 2 2 5 3" xfId="6200" xr:uid="{00000000-0005-0000-0000-000034030000}"/>
    <cellStyle name="20% - Accent6 2 2 2 5 3 2" xfId="15526" xr:uid="{7A67E10E-41CB-4982-8B01-B6A53A88C70C}"/>
    <cellStyle name="20% - Accent6 2 2 2 5 4" xfId="11309" xr:uid="{A664BED5-B495-4CFC-8B62-DC31DF187D05}"/>
    <cellStyle name="20% - Accent6 2 2 2 6" xfId="2307" xr:uid="{00000000-0005-0000-0000-000035030000}"/>
    <cellStyle name="20% - Accent6 2 2 2 6 2" xfId="6613" xr:uid="{00000000-0005-0000-0000-000036030000}"/>
    <cellStyle name="20% - Accent6 2 2 2 6 2 2" xfId="15939" xr:uid="{342B685C-6FFC-4FC7-93BE-AE3FD7426C0B}"/>
    <cellStyle name="20% - Accent6 2 2 2 6 3" xfId="11722" xr:uid="{E992F931-A2B9-4DCF-9BDF-B69D49665E32}"/>
    <cellStyle name="20% - Accent6 2 2 2 7" xfId="4547" xr:uid="{00000000-0005-0000-0000-000037030000}"/>
    <cellStyle name="20% - Accent6 2 2 2 7 2" xfId="13873" xr:uid="{9B457348-7D9C-42A3-9B98-14B535358405}"/>
    <cellStyle name="20% - Accent6 2 2 2 8" xfId="9105" xr:uid="{2D3B6B01-F2FB-4D08-A7F9-9902961EFB46}"/>
    <cellStyle name="20% - Accent6 2 2 2 9" xfId="9656" xr:uid="{027E465B-AB68-4CFC-91B9-0B736546C29B}"/>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92253EFB-76C0-48FD-80CD-0CC956D21A99}"/>
    <cellStyle name="20% - Accent6 2 2 3 2 3" xfId="12214" xr:uid="{5EE7B45A-7A81-40C5-983C-D3A785BF05B2}"/>
    <cellStyle name="20% - Accent6 2 2 3 3" xfId="4960" xr:uid="{00000000-0005-0000-0000-00003B030000}"/>
    <cellStyle name="20% - Accent6 2 2 3 3 2" xfId="14286" xr:uid="{48A2CB0F-4BBD-4495-A4D4-206D37FAA417}"/>
    <cellStyle name="20% - Accent6 2 2 3 4" xfId="9323" xr:uid="{93CC3C58-EC1C-4AC6-8D02-E00EFD80A494}"/>
    <cellStyle name="20% - Accent6 2 2 3 5" xfId="10069" xr:uid="{089E7416-C9AE-4B3C-A4E5-A302FDA0B8BF}"/>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87E896B6-DC77-4BF2-9A58-E64CE90174C7}"/>
    <cellStyle name="20% - Accent6 2 2 4 2 3" xfId="12627" xr:uid="{D839BC2D-0C3E-40E9-8B47-00A0101209CD}"/>
    <cellStyle name="20% - Accent6 2 2 4 3" xfId="5373" xr:uid="{00000000-0005-0000-0000-00003F030000}"/>
    <cellStyle name="20% - Accent6 2 2 4 3 2" xfId="14699" xr:uid="{17C2E821-A0AE-4374-A88E-728290DA3EED}"/>
    <cellStyle name="20% - Accent6 2 2 4 4" xfId="10482" xr:uid="{BC6D0346-8902-43BF-8181-F9D8875A0CCF}"/>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89ACA10A-CCCA-4D6B-BF40-CDBCE8C96D39}"/>
    <cellStyle name="20% - Accent6 2 2 5 2 3" xfId="13040" xr:uid="{9DBD349D-A716-4F87-A66E-4344EDB837F8}"/>
    <cellStyle name="20% - Accent6 2 2 5 3" xfId="5786" xr:uid="{00000000-0005-0000-0000-000043030000}"/>
    <cellStyle name="20% - Accent6 2 2 5 3 2" xfId="15112" xr:uid="{FC101004-E64D-4DAE-B781-6A3304FC255F}"/>
    <cellStyle name="20% - Accent6 2 2 5 4" xfId="10895" xr:uid="{8595E2D7-C456-4E5A-A627-1F56B8608AE7}"/>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66479AFD-5E49-480D-A643-1EA583D6840C}"/>
    <cellStyle name="20% - Accent6 2 2 6 2 3" xfId="13453" xr:uid="{CF518094-9ADA-4174-ACD7-E5627EF6E469}"/>
    <cellStyle name="20% - Accent6 2 2 6 3" xfId="6199" xr:uid="{00000000-0005-0000-0000-000047030000}"/>
    <cellStyle name="20% - Accent6 2 2 6 3 2" xfId="15525" xr:uid="{7A44DEB6-17AB-4EAB-911F-D533476BEEE9}"/>
    <cellStyle name="20% - Accent6 2 2 6 4" xfId="11308" xr:uid="{7071A712-B7FB-411A-9DA8-501083C3C1AE}"/>
    <cellStyle name="20% - Accent6 2 2 7" xfId="2306" xr:uid="{00000000-0005-0000-0000-000048030000}"/>
    <cellStyle name="20% - Accent6 2 2 7 2" xfId="6612" xr:uid="{00000000-0005-0000-0000-000049030000}"/>
    <cellStyle name="20% - Accent6 2 2 7 2 2" xfId="15938" xr:uid="{C0545232-E73D-4058-8E55-67ACCDB9AB3B}"/>
    <cellStyle name="20% - Accent6 2 2 7 3" xfId="11721" xr:uid="{95319D68-ACF4-4835-BB5F-873D550DCFA1}"/>
    <cellStyle name="20% - Accent6 2 2 8" xfId="4546" xr:uid="{00000000-0005-0000-0000-00004A030000}"/>
    <cellStyle name="20% - Accent6 2 2 8 2" xfId="13872" xr:uid="{415F1AE5-404B-44FD-A39C-7D90EAC9FEA2}"/>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B94E0B60-02CF-4C88-A8BB-47ECC3600F0A}"/>
    <cellStyle name="20% - Accent6 2 3 2 2 3" xfId="12216" xr:uid="{69F317A4-0BA9-45C0-911F-7E15BCCADA74}"/>
    <cellStyle name="20% - Accent6 2 3 2 3" xfId="4962" xr:uid="{00000000-0005-0000-0000-00004F030000}"/>
    <cellStyle name="20% - Accent6 2 3 2 3 2" xfId="14288" xr:uid="{F13D80C8-830E-4F6E-A3F3-7BEBC7809E37}"/>
    <cellStyle name="20% - Accent6 2 3 2 4" xfId="9427" xr:uid="{009378B6-C0A8-4C7C-A9A2-F91104842D93}"/>
    <cellStyle name="20% - Accent6 2 3 2 5" xfId="10071" xr:uid="{A171A5FA-6F8B-4C58-94C3-6CB1EB4B8DA9}"/>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99139B02-CA8B-41B9-8767-E10946530DF8}"/>
    <cellStyle name="20% - Accent6 2 3 3 2 3" xfId="12629" xr:uid="{A56A4082-9A9F-43E5-8047-56E25234C9CD}"/>
    <cellStyle name="20% - Accent6 2 3 3 3" xfId="5375" xr:uid="{00000000-0005-0000-0000-000053030000}"/>
    <cellStyle name="20% - Accent6 2 3 3 3 2" xfId="14701" xr:uid="{F51608C2-5F50-4DC7-994F-2F714733ABB4}"/>
    <cellStyle name="20% - Accent6 2 3 3 4" xfId="10484" xr:uid="{E49FC729-175C-44D2-BCF9-F51CF1CFFB1A}"/>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6ECE3D3D-5E70-4F6A-8E94-484C0462E25F}"/>
    <cellStyle name="20% - Accent6 2 3 4 2 3" xfId="13042" xr:uid="{F2455C19-3703-4A28-B28B-26854EBC7CAC}"/>
    <cellStyle name="20% - Accent6 2 3 4 3" xfId="5788" xr:uid="{00000000-0005-0000-0000-000057030000}"/>
    <cellStyle name="20% - Accent6 2 3 4 3 2" xfId="15114" xr:uid="{942BDFFB-1EEA-4A47-8F62-C808CF5776F9}"/>
    <cellStyle name="20% - Accent6 2 3 4 4" xfId="10897" xr:uid="{37B9A9C3-8D30-4157-B44A-10F94C8BB715}"/>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10030779-F43C-4B71-A2A1-DA4BB7585673}"/>
    <cellStyle name="20% - Accent6 2 3 5 2 3" xfId="13455" xr:uid="{CC2B36E5-8FE7-470D-BC1B-83AE31049C48}"/>
    <cellStyle name="20% - Accent6 2 3 5 3" xfId="6201" xr:uid="{00000000-0005-0000-0000-00005B030000}"/>
    <cellStyle name="20% - Accent6 2 3 5 3 2" xfId="15527" xr:uid="{CF508ECB-FDFF-425C-8E53-DB68AAF67980}"/>
    <cellStyle name="20% - Accent6 2 3 5 4" xfId="11310" xr:uid="{DDCBD16B-11F6-4635-80CA-5C1DE4D54ECD}"/>
    <cellStyle name="20% - Accent6 2 3 6" xfId="2308" xr:uid="{00000000-0005-0000-0000-00005C030000}"/>
    <cellStyle name="20% - Accent6 2 3 6 2" xfId="6614" xr:uid="{00000000-0005-0000-0000-00005D030000}"/>
    <cellStyle name="20% - Accent6 2 3 6 2 2" xfId="15940" xr:uid="{13B17086-7C93-4F71-8C6D-9D334A1ACE5D}"/>
    <cellStyle name="20% - Accent6 2 3 6 3" xfId="11723" xr:uid="{490AC42C-4BAC-4951-92B5-559B75EEAA09}"/>
    <cellStyle name="20% - Accent6 2 3 7" xfId="4548" xr:uid="{00000000-0005-0000-0000-00005E030000}"/>
    <cellStyle name="20% - Accent6 2 3 7 2" xfId="13874" xr:uid="{06A2A89C-5BBB-43A6-92AD-84C8BE632013}"/>
    <cellStyle name="20% - Accent6 2 3 8" xfId="9002" xr:uid="{F69877AB-868C-474F-8F88-C5F2F1F2C041}"/>
    <cellStyle name="20% - Accent6 2 3 9" xfId="9657" xr:uid="{B7726597-1C1F-469F-8605-892579411F6F}"/>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9FFD9317-8823-45FA-8386-1B248F5BA0EE}"/>
    <cellStyle name="20% - Accent6 2 4 2 3" xfId="12213" xr:uid="{976E45D0-DB4F-4354-A193-205A6114F869}"/>
    <cellStyle name="20% - Accent6 2 4 3" xfId="4959" xr:uid="{00000000-0005-0000-0000-000062030000}"/>
    <cellStyle name="20% - Accent6 2 4 3 2" xfId="14285" xr:uid="{6E002774-6DC2-4974-8B00-1743833B463B}"/>
    <cellStyle name="20% - Accent6 2 4 4" xfId="9219" xr:uid="{C8AD75F8-261B-45C4-93F0-0E0A49EEEF79}"/>
    <cellStyle name="20% - Accent6 2 4 5" xfId="10068" xr:uid="{CC2DB08A-CB96-4B25-948E-20F42B37C52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96BB6B5F-F23E-4274-87DA-2B26D9BBFEFA}"/>
    <cellStyle name="20% - Accent6 2 5 2 3" xfId="12626" xr:uid="{EB2C2A11-6F24-480A-98B0-555B103FE063}"/>
    <cellStyle name="20% - Accent6 2 5 3" xfId="5372" xr:uid="{00000000-0005-0000-0000-000066030000}"/>
    <cellStyle name="20% - Accent6 2 5 3 2" xfId="14698" xr:uid="{3CFBEBDE-3BD9-4ED3-8EF2-DAF74F7DA8A8}"/>
    <cellStyle name="20% - Accent6 2 5 4" xfId="10481" xr:uid="{00CC352A-41CF-42B5-9D80-2C1F496F7BA8}"/>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9F876B68-C8C3-40C2-B270-1B634D9E66DF}"/>
    <cellStyle name="20% - Accent6 2 6 2 3" xfId="13039" xr:uid="{C58BDB5B-F7CA-4D0D-9733-96EBFBD0A10B}"/>
    <cellStyle name="20% - Accent6 2 6 3" xfId="5785" xr:uid="{00000000-0005-0000-0000-00006A030000}"/>
    <cellStyle name="20% - Accent6 2 6 3 2" xfId="15111" xr:uid="{918FA6D9-306A-4AA0-980E-B9C79E52E445}"/>
    <cellStyle name="20% - Accent6 2 6 4" xfId="10894" xr:uid="{EA37B4BD-1C09-415D-8F88-80F9BD699A4D}"/>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9D28F2E2-B61C-47F3-80A4-92436DBED1DF}"/>
    <cellStyle name="20% - Accent6 2 7 2 3" xfId="13452" xr:uid="{B07AD0DA-B258-421A-B0E4-CD1F92A13D0C}"/>
    <cellStyle name="20% - Accent6 2 7 3" xfId="6198" xr:uid="{00000000-0005-0000-0000-00006E030000}"/>
    <cellStyle name="20% - Accent6 2 7 3 2" xfId="15524" xr:uid="{CF06C19A-DE48-460E-961D-F0868DC53F8C}"/>
    <cellStyle name="20% - Accent6 2 7 4" xfId="11307" xr:uid="{0C5E8AED-7FD1-4277-8969-191FB680BC4D}"/>
    <cellStyle name="20% - Accent6 2 8" xfId="2305" xr:uid="{00000000-0005-0000-0000-00006F030000}"/>
    <cellStyle name="20% - Accent6 2 8 2" xfId="6611" xr:uid="{00000000-0005-0000-0000-000070030000}"/>
    <cellStyle name="20% - Accent6 2 8 2 2" xfId="15937" xr:uid="{895530B0-DBBD-4217-95F3-083F8B0C83C3}"/>
    <cellStyle name="20% - Accent6 2 8 3" xfId="11720" xr:uid="{9FC22832-60F8-4592-93CF-005CEFCB3CA2}"/>
    <cellStyle name="20% - Accent6 2 9" xfId="4545" xr:uid="{00000000-0005-0000-0000-000071030000}"/>
    <cellStyle name="20% - Accent6 2 9 2" xfId="13871" xr:uid="{F1A76992-24AA-41D2-87A2-24BF5BF6F302}"/>
    <cellStyle name="20% - Accent6 3" xfId="46" xr:uid="{00000000-0005-0000-0000-000072030000}"/>
    <cellStyle name="20% - Accent6 3 10" xfId="9658" xr:uid="{8232DBB0-863E-4690-8BCC-3AEFCD02D8D1}"/>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826A812A-71C2-493B-A8C2-7DD02D9B5F90}"/>
    <cellStyle name="20% - Accent6 3 2 2 2 3" xfId="12218" xr:uid="{1206A8E2-EA37-4574-993B-93DF566FDB7E}"/>
    <cellStyle name="20% - Accent6 3 2 2 3" xfId="4964" xr:uid="{00000000-0005-0000-0000-000077030000}"/>
    <cellStyle name="20% - Accent6 3 2 2 3 2" xfId="14290" xr:uid="{2BD92BD8-F265-4D22-ABB2-2DD0571A0618}"/>
    <cellStyle name="20% - Accent6 3 2 2 4" xfId="9503" xr:uid="{A5A3EDF8-16EA-4A86-8795-C3BA46FE244A}"/>
    <cellStyle name="20% - Accent6 3 2 2 5" xfId="10073" xr:uid="{5D520556-1D8E-4BC0-A2C4-60217C95A1D1}"/>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597ACDFE-B45B-4063-B8A5-708D7616F66E}"/>
    <cellStyle name="20% - Accent6 3 2 3 2 3" xfId="12631" xr:uid="{59F42F73-E653-4C2E-BC23-F4059FDC11CE}"/>
    <cellStyle name="20% - Accent6 3 2 3 3" xfId="5377" xr:uid="{00000000-0005-0000-0000-00007B030000}"/>
    <cellStyle name="20% - Accent6 3 2 3 3 2" xfId="14703" xr:uid="{1EA81CA4-E2D4-49C3-8705-CCC835FD7294}"/>
    <cellStyle name="20% - Accent6 3 2 3 4" xfId="10486" xr:uid="{8F250AE7-BD99-446B-93AA-A1DE0DB180F3}"/>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7DFAC334-B301-43E0-81B2-A3846A7DB6E9}"/>
    <cellStyle name="20% - Accent6 3 2 4 2 3" xfId="13044" xr:uid="{189BA701-4934-42A6-A722-A2A642075FBA}"/>
    <cellStyle name="20% - Accent6 3 2 4 3" xfId="5790" xr:uid="{00000000-0005-0000-0000-00007F030000}"/>
    <cellStyle name="20% - Accent6 3 2 4 3 2" xfId="15116" xr:uid="{74F4D756-74F5-4C05-8095-A8F1744BBE8E}"/>
    <cellStyle name="20% - Accent6 3 2 4 4" xfId="10899" xr:uid="{68B63691-04A9-4853-93D1-038FE2B23DF6}"/>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040F6309-FCA5-496B-83CA-CB2B4917D94F}"/>
    <cellStyle name="20% - Accent6 3 2 5 2 3" xfId="13457" xr:uid="{FB4EA496-57F8-439D-A7A3-C9351B68E62C}"/>
    <cellStyle name="20% - Accent6 3 2 5 3" xfId="6203" xr:uid="{00000000-0005-0000-0000-000083030000}"/>
    <cellStyle name="20% - Accent6 3 2 5 3 2" xfId="15529" xr:uid="{D1F145A9-B33B-4C8D-8186-708633FAC07C}"/>
    <cellStyle name="20% - Accent6 3 2 5 4" xfId="11312" xr:uid="{83B7FE0F-985D-4127-8345-71BD7488BC31}"/>
    <cellStyle name="20% - Accent6 3 2 6" xfId="2310" xr:uid="{00000000-0005-0000-0000-000084030000}"/>
    <cellStyle name="20% - Accent6 3 2 6 2" xfId="6616" xr:uid="{00000000-0005-0000-0000-000085030000}"/>
    <cellStyle name="20% - Accent6 3 2 6 2 2" xfId="15942" xr:uid="{64EAD686-4C8C-40AC-9DDA-0E1066A415B1}"/>
    <cellStyle name="20% - Accent6 3 2 6 3" xfId="11725" xr:uid="{6B4B2B38-6695-475B-BC81-D7F69A373955}"/>
    <cellStyle name="20% - Accent6 3 2 7" xfId="4550" xr:uid="{00000000-0005-0000-0000-000086030000}"/>
    <cellStyle name="20% - Accent6 3 2 7 2" xfId="13876" xr:uid="{A82E0B44-DE75-40F8-B900-CF433AAD024F}"/>
    <cellStyle name="20% - Accent6 3 2 8" xfId="9078" xr:uid="{55C63253-C10A-44F0-A9A1-D3E9AD1B1E77}"/>
    <cellStyle name="20% - Accent6 3 2 9" xfId="9659" xr:uid="{9A7F49C5-F96B-416E-8FC5-718C75BE1E32}"/>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4BB4F030-A649-4324-BA96-BC1E9C4ABE7A}"/>
    <cellStyle name="20% - Accent6 3 3 2 3" xfId="12217" xr:uid="{C493E3DF-FF4F-4E93-AD95-D0B9F046B3B2}"/>
    <cellStyle name="20% - Accent6 3 3 3" xfId="4963" xr:uid="{00000000-0005-0000-0000-00008A030000}"/>
    <cellStyle name="20% - Accent6 3 3 3 2" xfId="14289" xr:uid="{310DCAB7-DDDD-428F-AD19-CA20D6090AAF}"/>
    <cellStyle name="20% - Accent6 3 3 4" xfId="9296" xr:uid="{68DBDAD1-945F-459A-93CE-56D312D1EDE4}"/>
    <cellStyle name="20% - Accent6 3 3 5" xfId="10072" xr:uid="{831A313C-4DB7-44F9-8D9D-9104D0EC9AEB}"/>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750EE939-E664-4439-8585-0B6ACFD34851}"/>
    <cellStyle name="20% - Accent6 3 4 2 3" xfId="12630" xr:uid="{023D39AA-02A7-4598-9349-9AD6328B1E1B}"/>
    <cellStyle name="20% - Accent6 3 4 3" xfId="5376" xr:uid="{00000000-0005-0000-0000-00008E030000}"/>
    <cellStyle name="20% - Accent6 3 4 3 2" xfId="14702" xr:uid="{78D4D86D-DEC6-4E63-98D8-C7BB39C02257}"/>
    <cellStyle name="20% - Accent6 3 4 4" xfId="10485" xr:uid="{1E086622-EBEC-4BF3-BE84-65E44FBC86E0}"/>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8781A61F-BF1A-4C65-A162-DDCD4FA3F188}"/>
    <cellStyle name="20% - Accent6 3 5 2 3" xfId="13043" xr:uid="{FA40A822-7985-4DB0-937A-294A3E2B17F5}"/>
    <cellStyle name="20% - Accent6 3 5 3" xfId="5789" xr:uid="{00000000-0005-0000-0000-000092030000}"/>
    <cellStyle name="20% - Accent6 3 5 3 2" xfId="15115" xr:uid="{0536CCEF-874B-4D0C-B801-615565BECADB}"/>
    <cellStyle name="20% - Accent6 3 5 4" xfId="10898" xr:uid="{F41F208A-BAB9-4842-BA91-2F5BF857E7B9}"/>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3276CD97-D19D-4C2C-BB9F-92B21A894F55}"/>
    <cellStyle name="20% - Accent6 3 6 2 3" xfId="13456" xr:uid="{E1128CCB-E9DF-4687-BB07-CD5AEF2B60AD}"/>
    <cellStyle name="20% - Accent6 3 6 3" xfId="6202" xr:uid="{00000000-0005-0000-0000-000096030000}"/>
    <cellStyle name="20% - Accent6 3 6 3 2" xfId="15528" xr:uid="{8A98FDBF-DB0E-420A-9362-063094407815}"/>
    <cellStyle name="20% - Accent6 3 6 4" xfId="11311" xr:uid="{04497490-0B93-4AE2-87A3-C187D3A2C566}"/>
    <cellStyle name="20% - Accent6 3 7" xfId="2309" xr:uid="{00000000-0005-0000-0000-000097030000}"/>
    <cellStyle name="20% - Accent6 3 7 2" xfId="6615" xr:uid="{00000000-0005-0000-0000-000098030000}"/>
    <cellStyle name="20% - Accent6 3 7 2 2" xfId="15941" xr:uid="{F3E133DB-6B34-4935-9318-F1E4FEC65E2B}"/>
    <cellStyle name="20% - Accent6 3 7 3" xfId="11724" xr:uid="{0F49BF58-0B2D-49F0-99BF-DF7C833BFC2B}"/>
    <cellStyle name="20% - Accent6 3 8" xfId="4549" xr:uid="{00000000-0005-0000-0000-000099030000}"/>
    <cellStyle name="20% - Accent6 3 8 2" xfId="13875" xr:uid="{321128FB-2F04-4B20-B2F1-EF7479717AF4}"/>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13520949-804F-49B4-B66E-54A487843333}"/>
    <cellStyle name="20% - Accent6 4 2 2 3" xfId="12219" xr:uid="{118CBE26-A891-4A90-A491-0BB45DC6AE99}"/>
    <cellStyle name="20% - Accent6 4 2 3" xfId="4965" xr:uid="{00000000-0005-0000-0000-00009E030000}"/>
    <cellStyle name="20% - Accent6 4 2 3 2" xfId="14291" xr:uid="{25B6902F-D6AC-4D1B-A12D-08F5AE8F80A1}"/>
    <cellStyle name="20% - Accent6 4 2 4" xfId="9382" xr:uid="{704ED43C-A59A-4E80-A03F-B933767E3A55}"/>
    <cellStyle name="20% - Accent6 4 2 5" xfId="10074" xr:uid="{EB5E192A-3D40-4301-B5A3-26FE9210C36D}"/>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813EE45C-A56F-4988-84E4-DA06CA7E1657}"/>
    <cellStyle name="20% - Accent6 4 3 2 3" xfId="12632" xr:uid="{EE18A1FB-D85C-4F1C-941C-F178B4FB949E}"/>
    <cellStyle name="20% - Accent6 4 3 3" xfId="5378" xr:uid="{00000000-0005-0000-0000-0000A2030000}"/>
    <cellStyle name="20% - Accent6 4 3 3 2" xfId="14704" xr:uid="{01BAA839-86A5-44E3-9665-FFCDA87F3AD2}"/>
    <cellStyle name="20% - Accent6 4 3 4" xfId="10487" xr:uid="{777AFCCB-A1CA-4278-8AB9-D141CA47B87E}"/>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2DC95CA0-7FEF-41A3-BA8D-4793D6F59D1C}"/>
    <cellStyle name="20% - Accent6 4 4 2 3" xfId="13045" xr:uid="{11BDC633-689F-482D-97E2-FEBBB699ADF6}"/>
    <cellStyle name="20% - Accent6 4 4 3" xfId="5791" xr:uid="{00000000-0005-0000-0000-0000A6030000}"/>
    <cellStyle name="20% - Accent6 4 4 3 2" xfId="15117" xr:uid="{6190D1BE-C1A9-42ED-9A5E-FA52C33A1039}"/>
    <cellStyle name="20% - Accent6 4 4 4" xfId="10900" xr:uid="{99CD8F2B-D811-4A98-A229-0CA8991C15C6}"/>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C326AEED-98BD-4158-B8A0-99F6129D1431}"/>
    <cellStyle name="20% - Accent6 4 5 2 3" xfId="13458" xr:uid="{8433AAC3-A902-4310-B58B-7D982DDBB2B0}"/>
    <cellStyle name="20% - Accent6 4 5 3" xfId="6204" xr:uid="{00000000-0005-0000-0000-0000AA030000}"/>
    <cellStyle name="20% - Accent6 4 5 3 2" xfId="15530" xr:uid="{3AA174BD-0FC1-4880-8695-96E81B5F1318}"/>
    <cellStyle name="20% - Accent6 4 5 4" xfId="11313" xr:uid="{104D8F43-24FC-4545-A258-8B70CC05AD6F}"/>
    <cellStyle name="20% - Accent6 4 6" xfId="2311" xr:uid="{00000000-0005-0000-0000-0000AB030000}"/>
    <cellStyle name="20% - Accent6 4 6 2" xfId="6617" xr:uid="{00000000-0005-0000-0000-0000AC030000}"/>
    <cellStyle name="20% - Accent6 4 6 2 2" xfId="15943" xr:uid="{4833A99A-590E-4B50-BEA3-FAEF383C35C0}"/>
    <cellStyle name="20% - Accent6 4 6 3" xfId="11726" xr:uid="{B64C5BFA-3DFB-4943-9198-9E7AD6EA4859}"/>
    <cellStyle name="20% - Accent6 4 7" xfId="4551" xr:uid="{00000000-0005-0000-0000-0000AD030000}"/>
    <cellStyle name="20% - Accent6 4 7 2" xfId="13877" xr:uid="{9D27CB2B-81CB-4CCB-B48A-85CAAB8417AE}"/>
    <cellStyle name="20% - Accent6 4 8" xfId="8957" xr:uid="{03E1DA3A-6A3F-4C0D-9844-2D38E7BA13BC}"/>
    <cellStyle name="20% - Accent6 4 9" xfId="9660" xr:uid="{86978F35-5492-4C31-8ECB-E442A5515DDB}"/>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738FE3DC-936D-4985-899E-E13616761447}"/>
    <cellStyle name="20% - Accent6 5 2 3" xfId="12212" xr:uid="{D31FA538-06EC-4E73-96E8-104D4B3E81BE}"/>
    <cellStyle name="20% - Accent6 5 3" xfId="4958" xr:uid="{00000000-0005-0000-0000-0000B1030000}"/>
    <cellStyle name="20% - Accent6 5 3 2" xfId="14284" xr:uid="{46788429-08E5-4069-B1EB-E0D6F5D4AA72}"/>
    <cellStyle name="20% - Accent6 5 4" xfId="9191" xr:uid="{C812E2E5-5572-4E86-9CB6-C7C53792C044}"/>
    <cellStyle name="20% - Accent6 5 5" xfId="10067" xr:uid="{78F44FFD-19C7-4181-A0BB-1EAE4385436B}"/>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A00129B7-7B4A-4DB8-89FA-F96EFACC5F1E}"/>
    <cellStyle name="20% - Accent6 6 2 3" xfId="12625" xr:uid="{84183F94-5CD1-4236-97ED-14C0A8D7E0A0}"/>
    <cellStyle name="20% - Accent6 6 3" xfId="5371" xr:uid="{00000000-0005-0000-0000-0000B5030000}"/>
    <cellStyle name="20% - Accent6 6 3 2" xfId="14697" xr:uid="{9AA57292-BD29-41BE-AFCB-65ACEBB44A2C}"/>
    <cellStyle name="20% - Accent6 6 4" xfId="10480" xr:uid="{B1BD8835-0683-4945-8CE3-2706A2EC28F8}"/>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6DC63EB5-EB36-4E72-A2D9-B2EC051955FE}"/>
    <cellStyle name="20% - Accent6 7 2 3" xfId="13038" xr:uid="{CB6D8B05-A0C3-48FE-AA96-DF17A9C9CE84}"/>
    <cellStyle name="20% - Accent6 7 3" xfId="5784" xr:uid="{00000000-0005-0000-0000-0000B9030000}"/>
    <cellStyle name="20% - Accent6 7 3 2" xfId="15110" xr:uid="{F35B1A39-B7C2-4428-8CE5-ADCF43FCAC1B}"/>
    <cellStyle name="20% - Accent6 7 4" xfId="10893" xr:uid="{AA5F1C5D-BD27-426C-A6A8-ADBDB15DAAF4}"/>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83F376D6-A851-48CD-8C85-FE5AF78AE82F}"/>
    <cellStyle name="20% - Accent6 8 2 3" xfId="13451" xr:uid="{F8BAFDF4-83AD-4C9E-AF2F-17F818A6CD1F}"/>
    <cellStyle name="20% - Accent6 8 3" xfId="6197" xr:uid="{00000000-0005-0000-0000-0000BD030000}"/>
    <cellStyle name="20% - Accent6 8 3 2" xfId="15523" xr:uid="{0CC70BBF-4503-4F5D-B536-4132B5CEFFE2}"/>
    <cellStyle name="20% - Accent6 8 4" xfId="11306" xr:uid="{37FC59D6-66D8-48A6-9B2A-46541AEAD21C}"/>
    <cellStyle name="20% - Accent6 9" xfId="2304" xr:uid="{00000000-0005-0000-0000-0000BE030000}"/>
    <cellStyle name="20% - Accent6 9 2" xfId="6610" xr:uid="{00000000-0005-0000-0000-0000BF030000}"/>
    <cellStyle name="20% - Accent6 9 2 2" xfId="15936" xr:uid="{673C01FE-4374-4A38-974D-C0805CBF58ED}"/>
    <cellStyle name="20% - Accent6 9 3" xfId="11719" xr:uid="{932862FB-7C08-4A21-98F0-F7063185C75E}"/>
    <cellStyle name="40% - Accent1" xfId="49" builtinId="31" customBuiltin="1"/>
    <cellStyle name="40% - Accent1 10" xfId="4552" xr:uid="{00000000-0005-0000-0000-0000C1030000}"/>
    <cellStyle name="40% - Accent1 10 2" xfId="13878" xr:uid="{77031882-3DF5-4B90-BE63-6ECE62E89F1D}"/>
    <cellStyle name="40% - Accent1 11" xfId="8759" xr:uid="{E0AA4078-00FF-4C00-81ED-1F048AC6C533}"/>
    <cellStyle name="40% - Accent1 12" xfId="9661" xr:uid="{27FE63A4-0AC6-4F2E-98DF-0CA2C3F25B53}"/>
    <cellStyle name="40% - Accent1 2" xfId="50" xr:uid="{00000000-0005-0000-0000-0000C2030000}"/>
    <cellStyle name="40% - Accent1 2 10" xfId="8798" xr:uid="{82026451-631C-40CA-BC49-BE5DA2EA921A}"/>
    <cellStyle name="40% - Accent1 2 11" xfId="9662" xr:uid="{6C4440FC-D446-409D-9EA3-F36320793F2C}"/>
    <cellStyle name="40% - Accent1 2 2" xfId="51" xr:uid="{00000000-0005-0000-0000-0000C3030000}"/>
    <cellStyle name="40% - Accent1 2 2 10" xfId="9663" xr:uid="{0417BF3E-E5F2-4965-9040-15EA10FC84A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348AC134-E8F7-4820-9C4F-4F4363154E47}"/>
    <cellStyle name="40% - Accent1 2 2 2 2 2 3" xfId="12223" xr:uid="{1E4B0FB6-325F-4CA9-8994-4A6DAE89452E}"/>
    <cellStyle name="40% - Accent1 2 2 2 2 3" xfId="4969" xr:uid="{00000000-0005-0000-0000-0000C8030000}"/>
    <cellStyle name="40% - Accent1 2 2 2 2 3 2" xfId="14295" xr:uid="{4CBF1600-931C-4260-ADD1-DC50DF277251}"/>
    <cellStyle name="40% - Accent1 2 2 2 2 4" xfId="9533" xr:uid="{757B5AC4-115E-4B90-B4EA-505C31F9B178}"/>
    <cellStyle name="40% - Accent1 2 2 2 2 5" xfId="10078" xr:uid="{384450F8-6EDB-45BE-9F1B-6436E07686EA}"/>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EB87FFF6-5257-4416-BF6D-1EB74ABF6A77}"/>
    <cellStyle name="40% - Accent1 2 2 2 3 2 3" xfId="12636" xr:uid="{8FD3AD90-860D-4C66-B937-3587FEE06551}"/>
    <cellStyle name="40% - Accent1 2 2 2 3 3" xfId="5382" xr:uid="{00000000-0005-0000-0000-0000CC030000}"/>
    <cellStyle name="40% - Accent1 2 2 2 3 3 2" xfId="14708" xr:uid="{1D9823AB-F47E-4D58-949B-BDCC7D40C4D6}"/>
    <cellStyle name="40% - Accent1 2 2 2 3 4" xfId="10491" xr:uid="{300E5AC5-E8EA-4437-A567-021974DE2902}"/>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27812FB7-21EE-45F4-AEAD-93D9ACEA877D}"/>
    <cellStyle name="40% - Accent1 2 2 2 4 2 3" xfId="13049" xr:uid="{B1D32854-C578-47CD-9BB1-A9C81830AD0C}"/>
    <cellStyle name="40% - Accent1 2 2 2 4 3" xfId="5795" xr:uid="{00000000-0005-0000-0000-0000D0030000}"/>
    <cellStyle name="40% - Accent1 2 2 2 4 3 2" xfId="15121" xr:uid="{DC14D4CB-A215-47C3-89E9-7CB359D30564}"/>
    <cellStyle name="40% - Accent1 2 2 2 4 4" xfId="10904" xr:uid="{576488BD-ECA6-49FE-B05B-F31DA11AA4EF}"/>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89F85FC6-D6A1-42C2-90A5-2E6EE1CB13C4}"/>
    <cellStyle name="40% - Accent1 2 2 2 5 2 3" xfId="13462" xr:uid="{5E44F4D4-C7E9-431C-9211-CD81D8C7C100}"/>
    <cellStyle name="40% - Accent1 2 2 2 5 3" xfId="6208" xr:uid="{00000000-0005-0000-0000-0000D4030000}"/>
    <cellStyle name="40% - Accent1 2 2 2 5 3 2" xfId="15534" xr:uid="{02E98036-ABAE-4CCD-B128-5A5A9E4492AA}"/>
    <cellStyle name="40% - Accent1 2 2 2 5 4" xfId="11317" xr:uid="{AB58BDE4-ABB2-42F3-9D3E-BFF1DC4B5AE2}"/>
    <cellStyle name="40% - Accent1 2 2 2 6" xfId="2315" xr:uid="{00000000-0005-0000-0000-0000D5030000}"/>
    <cellStyle name="40% - Accent1 2 2 2 6 2" xfId="6621" xr:uid="{00000000-0005-0000-0000-0000D6030000}"/>
    <cellStyle name="40% - Accent1 2 2 2 6 2 2" xfId="15947" xr:uid="{A3017D1C-FD8C-4F08-9479-C49A0876D0EE}"/>
    <cellStyle name="40% - Accent1 2 2 2 6 3" xfId="11730" xr:uid="{F4CE6D17-D06E-4104-B525-F5616BD37EAF}"/>
    <cellStyle name="40% - Accent1 2 2 2 7" xfId="4555" xr:uid="{00000000-0005-0000-0000-0000D7030000}"/>
    <cellStyle name="40% - Accent1 2 2 2 7 2" xfId="13881" xr:uid="{9AFF858C-1FBB-4D7A-81CA-4D5AF20C93D8}"/>
    <cellStyle name="40% - Accent1 2 2 2 8" xfId="9108" xr:uid="{1189B5E8-DD3C-4F9A-ACD3-DB853C0AC60B}"/>
    <cellStyle name="40% - Accent1 2 2 2 9" xfId="9664" xr:uid="{4E36B870-163A-4247-A824-824FFC68555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F03DA299-247A-40F6-ADB1-5138DF36E1CB}"/>
    <cellStyle name="40% - Accent1 2 2 3 2 3" xfId="12222" xr:uid="{F7EE3772-CD37-4B40-9773-AD7D30AD3661}"/>
    <cellStyle name="40% - Accent1 2 2 3 3" xfId="4968" xr:uid="{00000000-0005-0000-0000-0000DB030000}"/>
    <cellStyle name="40% - Accent1 2 2 3 3 2" xfId="14294" xr:uid="{52675E4E-DDCF-457D-BE9F-A7075B8E77B7}"/>
    <cellStyle name="40% - Accent1 2 2 3 4" xfId="9326" xr:uid="{6D693950-F4D3-4A82-8C01-49E2379281D4}"/>
    <cellStyle name="40% - Accent1 2 2 3 5" xfId="10077" xr:uid="{506259E2-4251-4412-BE1D-B87371EEE3D3}"/>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FB05DF14-E7AF-4A84-9614-4EED1024567F}"/>
    <cellStyle name="40% - Accent1 2 2 4 2 3" xfId="12635" xr:uid="{12F1C427-62EC-470E-9EA8-BAE70AAB0D32}"/>
    <cellStyle name="40% - Accent1 2 2 4 3" xfId="5381" xr:uid="{00000000-0005-0000-0000-0000DF030000}"/>
    <cellStyle name="40% - Accent1 2 2 4 3 2" xfId="14707" xr:uid="{E37D10CD-79C1-4635-A5C5-D428CFE9F0DC}"/>
    <cellStyle name="40% - Accent1 2 2 4 4" xfId="10490" xr:uid="{47BF4A78-B77C-40DB-8C3C-99C8FC6919B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06701ED0-9AF4-46D4-AB23-2459DB698E7C}"/>
    <cellStyle name="40% - Accent1 2 2 5 2 3" xfId="13048" xr:uid="{A478BB06-1C59-45FF-9973-90F0B4E69178}"/>
    <cellStyle name="40% - Accent1 2 2 5 3" xfId="5794" xr:uid="{00000000-0005-0000-0000-0000E3030000}"/>
    <cellStyle name="40% - Accent1 2 2 5 3 2" xfId="15120" xr:uid="{0F1C4044-9EAE-4B8A-86D0-1212B6BF8136}"/>
    <cellStyle name="40% - Accent1 2 2 5 4" xfId="10903" xr:uid="{B089AF15-EE34-4CC1-8217-2183BB287A76}"/>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46FC5D49-277D-4381-94AD-1A3E10275436}"/>
    <cellStyle name="40% - Accent1 2 2 6 2 3" xfId="13461" xr:uid="{29ABDA20-8FF5-41AF-8867-03876AC24E76}"/>
    <cellStyle name="40% - Accent1 2 2 6 3" xfId="6207" xr:uid="{00000000-0005-0000-0000-0000E7030000}"/>
    <cellStyle name="40% - Accent1 2 2 6 3 2" xfId="15533" xr:uid="{70B4F883-0ABE-4F99-9E75-93A2F1F8DB64}"/>
    <cellStyle name="40% - Accent1 2 2 6 4" xfId="11316" xr:uid="{7F18FC70-0F37-43D4-B1DF-069562ED6715}"/>
    <cellStyle name="40% - Accent1 2 2 7" xfId="2314" xr:uid="{00000000-0005-0000-0000-0000E8030000}"/>
    <cellStyle name="40% - Accent1 2 2 7 2" xfId="6620" xr:uid="{00000000-0005-0000-0000-0000E9030000}"/>
    <cellStyle name="40% - Accent1 2 2 7 2 2" xfId="15946" xr:uid="{35A28419-1538-4E41-B083-14E19F63CD6E}"/>
    <cellStyle name="40% - Accent1 2 2 7 3" xfId="11729" xr:uid="{409F49C3-BF62-4F93-BA3C-F851A57017A4}"/>
    <cellStyle name="40% - Accent1 2 2 8" xfId="4554" xr:uid="{00000000-0005-0000-0000-0000EA030000}"/>
    <cellStyle name="40% - Accent1 2 2 8 2" xfId="13880" xr:uid="{C3A23FD7-EDAC-4654-A2DA-313CC6F1E95D}"/>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FDBFD033-BBCC-427F-A1CF-49C3633B29D9}"/>
    <cellStyle name="40% - Accent1 2 3 2 2 3" xfId="12224" xr:uid="{1AECC6F9-018B-4F36-8220-66651CEE4820}"/>
    <cellStyle name="40% - Accent1 2 3 2 3" xfId="4970" xr:uid="{00000000-0005-0000-0000-0000EF030000}"/>
    <cellStyle name="40% - Accent1 2 3 2 3 2" xfId="14296" xr:uid="{774F31C1-DAE1-4E59-B756-45A27A2FA9A1}"/>
    <cellStyle name="40% - Accent1 2 3 2 4" xfId="9430" xr:uid="{C79D1FB2-141C-4301-8F37-B3B9643C0550}"/>
    <cellStyle name="40% - Accent1 2 3 2 5" xfId="10079" xr:uid="{12C3D4D6-BEF1-47D3-8B73-1FE6B84A22C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6EFFBF5C-755A-422D-954A-8F0E327090F5}"/>
    <cellStyle name="40% - Accent1 2 3 3 2 3" xfId="12637" xr:uid="{CC340E28-7A2A-44D6-B010-B069995B557B}"/>
    <cellStyle name="40% - Accent1 2 3 3 3" xfId="5383" xr:uid="{00000000-0005-0000-0000-0000F3030000}"/>
    <cellStyle name="40% - Accent1 2 3 3 3 2" xfId="14709" xr:uid="{0F47C8CA-91FA-4647-9FF8-5318E0C01D7F}"/>
    <cellStyle name="40% - Accent1 2 3 3 4" xfId="10492" xr:uid="{3E5D3D31-9E6C-4061-88AB-EA3BED25B4E8}"/>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1C5ACE28-2C72-4779-888D-16143AF57CE3}"/>
    <cellStyle name="40% - Accent1 2 3 4 2 3" xfId="13050" xr:uid="{B15CB2C3-C1C5-4E3E-9CB7-345B7EB3F593}"/>
    <cellStyle name="40% - Accent1 2 3 4 3" xfId="5796" xr:uid="{00000000-0005-0000-0000-0000F7030000}"/>
    <cellStyle name="40% - Accent1 2 3 4 3 2" xfId="15122" xr:uid="{AC98F750-8731-455D-9A4A-E5424FBD67FF}"/>
    <cellStyle name="40% - Accent1 2 3 4 4" xfId="10905" xr:uid="{A721A71E-D731-419D-916B-AB43A6BC93FB}"/>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26396771-1947-477E-961A-28921BC52C8F}"/>
    <cellStyle name="40% - Accent1 2 3 5 2 3" xfId="13463" xr:uid="{36E82B1E-04E7-4E99-A137-8F4255991A00}"/>
    <cellStyle name="40% - Accent1 2 3 5 3" xfId="6209" xr:uid="{00000000-0005-0000-0000-0000FB030000}"/>
    <cellStyle name="40% - Accent1 2 3 5 3 2" xfId="15535" xr:uid="{E6B462D0-46C4-4112-964F-92A3A2B65083}"/>
    <cellStyle name="40% - Accent1 2 3 5 4" xfId="11318" xr:uid="{FCCFFB17-CF94-4B7F-B177-B6CDEBCC266C}"/>
    <cellStyle name="40% - Accent1 2 3 6" xfId="2316" xr:uid="{00000000-0005-0000-0000-0000FC030000}"/>
    <cellStyle name="40% - Accent1 2 3 6 2" xfId="6622" xr:uid="{00000000-0005-0000-0000-0000FD030000}"/>
    <cellStyle name="40% - Accent1 2 3 6 2 2" xfId="15948" xr:uid="{1F8D1A99-86C5-481E-A911-7EF3CD1F6CD3}"/>
    <cellStyle name="40% - Accent1 2 3 6 3" xfId="11731" xr:uid="{80CBD877-8835-4DBC-8D05-A87B4C2968A4}"/>
    <cellStyle name="40% - Accent1 2 3 7" xfId="4556" xr:uid="{00000000-0005-0000-0000-0000FE030000}"/>
    <cellStyle name="40% - Accent1 2 3 7 2" xfId="13882" xr:uid="{C049EC0B-29FA-4BD7-9AB5-DD8DE5891045}"/>
    <cellStyle name="40% - Accent1 2 3 8" xfId="9005" xr:uid="{83AF69B9-664F-4E19-B721-7989C2FEBC0C}"/>
    <cellStyle name="40% - Accent1 2 3 9" xfId="9665" xr:uid="{60AECF6C-65AE-42A0-9C60-94B7528165B9}"/>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E94B2F2B-AE29-45E6-999B-9E3B9DBDF092}"/>
    <cellStyle name="40% - Accent1 2 4 2 3" xfId="12221" xr:uid="{62617E96-42CA-425F-B100-5A1410D4930B}"/>
    <cellStyle name="40% - Accent1 2 4 3" xfId="4967" xr:uid="{00000000-0005-0000-0000-000002040000}"/>
    <cellStyle name="40% - Accent1 2 4 3 2" xfId="14293" xr:uid="{C286497C-A7AE-46A4-8FB8-BF0ABD403517}"/>
    <cellStyle name="40% - Accent1 2 4 4" xfId="9222" xr:uid="{A6B83122-AC98-4E58-AA4D-EC5ECC38FC6B}"/>
    <cellStyle name="40% - Accent1 2 4 5" xfId="10076" xr:uid="{56B4EC30-8738-499E-9284-E8720FF83236}"/>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5212A2E5-72A3-4DB9-A526-89F8E1FB85D4}"/>
    <cellStyle name="40% - Accent1 2 5 2 3" xfId="12634" xr:uid="{3584FDF8-072D-4649-A03B-61AC6FCFCCDE}"/>
    <cellStyle name="40% - Accent1 2 5 3" xfId="5380" xr:uid="{00000000-0005-0000-0000-000006040000}"/>
    <cellStyle name="40% - Accent1 2 5 3 2" xfId="14706" xr:uid="{2AD35ED4-E1D2-430D-BB1C-08C5D1A754C6}"/>
    <cellStyle name="40% - Accent1 2 5 4" xfId="10489" xr:uid="{6378414D-40F7-4A76-BE4C-DBF8B9B7BAFD}"/>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535007F2-2D6A-429F-B664-8D6462458E62}"/>
    <cellStyle name="40% - Accent1 2 6 2 3" xfId="13047" xr:uid="{78775F01-D413-44F1-B24E-B3AA387844EA}"/>
    <cellStyle name="40% - Accent1 2 6 3" xfId="5793" xr:uid="{00000000-0005-0000-0000-00000A040000}"/>
    <cellStyle name="40% - Accent1 2 6 3 2" xfId="15119" xr:uid="{407ABD8C-B8B8-48C3-A158-13793D259892}"/>
    <cellStyle name="40% - Accent1 2 6 4" xfId="10902" xr:uid="{D31FBEAB-4D65-4776-A9D7-8C9FAAE093D8}"/>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C37E1012-52DB-4A61-85A2-55864D30EF95}"/>
    <cellStyle name="40% - Accent1 2 7 2 3" xfId="13460" xr:uid="{36219243-0FC1-4440-AF74-29C9F1AE5628}"/>
    <cellStyle name="40% - Accent1 2 7 3" xfId="6206" xr:uid="{00000000-0005-0000-0000-00000E040000}"/>
    <cellStyle name="40% - Accent1 2 7 3 2" xfId="15532" xr:uid="{F57FB363-5621-4CDE-990F-6799FDB9BA27}"/>
    <cellStyle name="40% - Accent1 2 7 4" xfId="11315" xr:uid="{9BDDE2A6-9C4A-423C-88D3-7B263B9580A5}"/>
    <cellStyle name="40% - Accent1 2 8" xfId="2313" xr:uid="{00000000-0005-0000-0000-00000F040000}"/>
    <cellStyle name="40% - Accent1 2 8 2" xfId="6619" xr:uid="{00000000-0005-0000-0000-000010040000}"/>
    <cellStyle name="40% - Accent1 2 8 2 2" xfId="15945" xr:uid="{1A0F4425-52BB-40EA-A48D-65A40EB3B407}"/>
    <cellStyle name="40% - Accent1 2 8 3" xfId="11728" xr:uid="{C6B6CB99-DC99-418B-A7EF-637279579EE2}"/>
    <cellStyle name="40% - Accent1 2 9" xfId="4553" xr:uid="{00000000-0005-0000-0000-000011040000}"/>
    <cellStyle name="40% - Accent1 2 9 2" xfId="13879" xr:uid="{A98A48F5-3A99-42F3-8083-BED2FAA2ADDF}"/>
    <cellStyle name="40% - Accent1 3" xfId="54" xr:uid="{00000000-0005-0000-0000-000012040000}"/>
    <cellStyle name="40% - Accent1 3 10" xfId="9666" xr:uid="{18CA03F0-533D-4572-8D08-02F70A4692D2}"/>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31BD34B7-E487-4EEE-9EC5-D1EC958F9763}"/>
    <cellStyle name="40% - Accent1 3 2 2 2 3" xfId="12226" xr:uid="{36111F16-5B4B-4637-9E00-28DD727A52AC}"/>
    <cellStyle name="40% - Accent1 3 2 2 3" xfId="4972" xr:uid="{00000000-0005-0000-0000-000017040000}"/>
    <cellStyle name="40% - Accent1 3 2 2 3 2" xfId="14298" xr:uid="{40A84DDD-0CD2-49AE-ADF0-BA2BD2F63941}"/>
    <cellStyle name="40% - Accent1 3 2 2 4" xfId="9494" xr:uid="{49092FA9-F337-44E8-98C8-15711B1C1558}"/>
    <cellStyle name="40% - Accent1 3 2 2 5" xfId="10081" xr:uid="{0E1AF317-E02B-40FC-AA94-52C1F2CB9589}"/>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63BD468E-4A76-4822-A384-09CE196685DE}"/>
    <cellStyle name="40% - Accent1 3 2 3 2 3" xfId="12639" xr:uid="{9FCDDA98-2077-429B-ACAC-9C613D028F59}"/>
    <cellStyle name="40% - Accent1 3 2 3 3" xfId="5385" xr:uid="{00000000-0005-0000-0000-00001B040000}"/>
    <cellStyle name="40% - Accent1 3 2 3 3 2" xfId="14711" xr:uid="{98D7C2CF-DD22-47D7-BA7A-7761D3418B46}"/>
    <cellStyle name="40% - Accent1 3 2 3 4" xfId="10494" xr:uid="{1A3FC7F3-A5A0-441A-A05F-60F2BF4B63BA}"/>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AFD1C625-2096-4518-AEAB-8D902559B9CA}"/>
    <cellStyle name="40% - Accent1 3 2 4 2 3" xfId="13052" xr:uid="{FB43BB27-30EC-4194-B487-C3DB81F9FA9C}"/>
    <cellStyle name="40% - Accent1 3 2 4 3" xfId="5798" xr:uid="{00000000-0005-0000-0000-00001F040000}"/>
    <cellStyle name="40% - Accent1 3 2 4 3 2" xfId="15124" xr:uid="{5533CA42-A129-467A-A95A-27D0125EA32A}"/>
    <cellStyle name="40% - Accent1 3 2 4 4" xfId="10907" xr:uid="{A0A5E35D-03D7-41D6-82B9-4B1AB481A103}"/>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29D45CF7-FD9F-48BD-B19F-A7617A30F8BE}"/>
    <cellStyle name="40% - Accent1 3 2 5 2 3" xfId="13465" xr:uid="{F71404CE-44E4-40B0-BAAF-D03601A872E0}"/>
    <cellStyle name="40% - Accent1 3 2 5 3" xfId="6211" xr:uid="{00000000-0005-0000-0000-000023040000}"/>
    <cellStyle name="40% - Accent1 3 2 5 3 2" xfId="15537" xr:uid="{11AD1633-660F-4648-A9F5-47A9AF2968D3}"/>
    <cellStyle name="40% - Accent1 3 2 5 4" xfId="11320" xr:uid="{CBC88C08-1690-43AB-B502-4ACB45B52A3F}"/>
    <cellStyle name="40% - Accent1 3 2 6" xfId="2318" xr:uid="{00000000-0005-0000-0000-000024040000}"/>
    <cellStyle name="40% - Accent1 3 2 6 2" xfId="6624" xr:uid="{00000000-0005-0000-0000-000025040000}"/>
    <cellStyle name="40% - Accent1 3 2 6 2 2" xfId="15950" xr:uid="{E740770C-EDFD-43CA-8D9A-76DE14018705}"/>
    <cellStyle name="40% - Accent1 3 2 6 3" xfId="11733" xr:uid="{E2DC95F9-2D5C-468B-83AC-1500B5F1EBF3}"/>
    <cellStyle name="40% - Accent1 3 2 7" xfId="4558" xr:uid="{00000000-0005-0000-0000-000026040000}"/>
    <cellStyle name="40% - Accent1 3 2 7 2" xfId="13884" xr:uid="{AD2DA7D2-2B80-4D42-A422-429CBD55DA43}"/>
    <cellStyle name="40% - Accent1 3 2 8" xfId="9069" xr:uid="{F3D9FD63-8946-4492-B81A-42936E8B246D}"/>
    <cellStyle name="40% - Accent1 3 2 9" xfId="9667" xr:uid="{3F1D0EBE-67F5-4227-9FB0-C3E860E4076B}"/>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C1FD7797-1567-479D-A78B-D3B7CA624098}"/>
    <cellStyle name="40% - Accent1 3 3 2 3" xfId="12225" xr:uid="{19D509DF-A5B0-4A8A-89A4-413A9880E34E}"/>
    <cellStyle name="40% - Accent1 3 3 3" xfId="4971" xr:uid="{00000000-0005-0000-0000-00002A040000}"/>
    <cellStyle name="40% - Accent1 3 3 3 2" xfId="14297" xr:uid="{25E9594D-A925-4826-AFD0-72E4C9D6786A}"/>
    <cellStyle name="40% - Accent1 3 3 4" xfId="9287" xr:uid="{8C21B573-3D31-49DA-ACD8-D3EC7CC3A858}"/>
    <cellStyle name="40% - Accent1 3 3 5" xfId="10080" xr:uid="{F17D0536-FAF7-477B-A219-FC93941779F8}"/>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CF34053A-9765-48FB-9B45-A5B1817C21ED}"/>
    <cellStyle name="40% - Accent1 3 4 2 3" xfId="12638" xr:uid="{F92012AD-45C6-4485-8D9A-B6AB8E2D72C2}"/>
    <cellStyle name="40% - Accent1 3 4 3" xfId="5384" xr:uid="{00000000-0005-0000-0000-00002E040000}"/>
    <cellStyle name="40% - Accent1 3 4 3 2" xfId="14710" xr:uid="{BD7CC85F-D25B-4CC7-A53E-9EA1F9A09F3E}"/>
    <cellStyle name="40% - Accent1 3 4 4" xfId="10493" xr:uid="{6C1C8F76-2919-45CC-ABC2-4271ED77E094}"/>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88F68701-02B6-4023-9C1B-553249FD0F3D}"/>
    <cellStyle name="40% - Accent1 3 5 2 3" xfId="13051" xr:uid="{B9FB5A94-70F0-40CE-A32E-8A770A0741FA}"/>
    <cellStyle name="40% - Accent1 3 5 3" xfId="5797" xr:uid="{00000000-0005-0000-0000-000032040000}"/>
    <cellStyle name="40% - Accent1 3 5 3 2" xfId="15123" xr:uid="{A90D67C6-1352-4A69-B73C-788072C80121}"/>
    <cellStyle name="40% - Accent1 3 5 4" xfId="10906" xr:uid="{DF1748FF-CB9C-4545-BB72-0DD872348E8A}"/>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CE4E83D5-889A-45DB-909B-4C53DD53F186}"/>
    <cellStyle name="40% - Accent1 3 6 2 3" xfId="13464" xr:uid="{D1FEDA89-4ECE-4434-88E8-A1A9268EFB1D}"/>
    <cellStyle name="40% - Accent1 3 6 3" xfId="6210" xr:uid="{00000000-0005-0000-0000-000036040000}"/>
    <cellStyle name="40% - Accent1 3 6 3 2" xfId="15536" xr:uid="{A1914544-6B0E-45C3-8686-C3DE0F4AA98B}"/>
    <cellStyle name="40% - Accent1 3 6 4" xfId="11319" xr:uid="{3AED7054-2B76-4DAE-BADC-D3A89B26EB89}"/>
    <cellStyle name="40% - Accent1 3 7" xfId="2317" xr:uid="{00000000-0005-0000-0000-000037040000}"/>
    <cellStyle name="40% - Accent1 3 7 2" xfId="6623" xr:uid="{00000000-0005-0000-0000-000038040000}"/>
    <cellStyle name="40% - Accent1 3 7 2 2" xfId="15949" xr:uid="{2CE9F4FB-FB74-46E1-A28E-0F76ADF55D7E}"/>
    <cellStyle name="40% - Accent1 3 7 3" xfId="11732" xr:uid="{DA9F0B7C-0582-4A21-88A5-C8BEF26D289D}"/>
    <cellStyle name="40% - Accent1 3 8" xfId="4557" xr:uid="{00000000-0005-0000-0000-000039040000}"/>
    <cellStyle name="40% - Accent1 3 8 2" xfId="13883" xr:uid="{5D1777A2-197B-4B7F-82ED-9C82A6484F42}"/>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3CCA08C3-41B4-4512-B98D-6971FA620DA4}"/>
    <cellStyle name="40% - Accent1 4 2 2 3" xfId="12227" xr:uid="{F1823182-0637-4BC0-B1A5-C854EFE6FA6A}"/>
    <cellStyle name="40% - Accent1 4 2 3" xfId="4973" xr:uid="{00000000-0005-0000-0000-00003E040000}"/>
    <cellStyle name="40% - Accent1 4 2 3 2" xfId="14299" xr:uid="{E3767AE1-6E05-4FCE-962F-5FF3E1F0018E}"/>
    <cellStyle name="40% - Accent1 4 2 4" xfId="9373" xr:uid="{3BC949C7-8F86-44EA-9F10-CF277586B131}"/>
    <cellStyle name="40% - Accent1 4 2 5" xfId="10082" xr:uid="{83C576B0-4FCA-4481-ABC5-5ADF7AFCB69C}"/>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CF26B397-4BCE-445C-B991-70623B128106}"/>
    <cellStyle name="40% - Accent1 4 3 2 3" xfId="12640" xr:uid="{803047D7-654D-4ECD-B81B-AE39F181A90C}"/>
    <cellStyle name="40% - Accent1 4 3 3" xfId="5386" xr:uid="{00000000-0005-0000-0000-000042040000}"/>
    <cellStyle name="40% - Accent1 4 3 3 2" xfId="14712" xr:uid="{DDC055C5-A48C-4C6D-8861-297436E45576}"/>
    <cellStyle name="40% - Accent1 4 3 4" xfId="10495" xr:uid="{67A5ADC9-CDF8-4E56-BB8C-4C66EFC83270}"/>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C688DA03-DEC4-481F-AEA0-0D27A0258611}"/>
    <cellStyle name="40% - Accent1 4 4 2 3" xfId="13053" xr:uid="{2A85B584-8FA8-43F8-9146-867F775D0232}"/>
    <cellStyle name="40% - Accent1 4 4 3" xfId="5799" xr:uid="{00000000-0005-0000-0000-000046040000}"/>
    <cellStyle name="40% - Accent1 4 4 3 2" xfId="15125" xr:uid="{66C67CD8-6804-4335-A2BD-484C942300D3}"/>
    <cellStyle name="40% - Accent1 4 4 4" xfId="10908" xr:uid="{C07CF44F-C8F7-4D30-86DD-BE18CCED6D2A}"/>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8884DC3E-E547-43C1-A61A-764A47A970A9}"/>
    <cellStyle name="40% - Accent1 4 5 2 3" xfId="13466" xr:uid="{7C3D4E1A-3B8E-40FD-9D75-923DF22B057F}"/>
    <cellStyle name="40% - Accent1 4 5 3" xfId="6212" xr:uid="{00000000-0005-0000-0000-00004A040000}"/>
    <cellStyle name="40% - Accent1 4 5 3 2" xfId="15538" xr:uid="{FB08868F-CC2B-46F9-AE9A-59FCDF253A4F}"/>
    <cellStyle name="40% - Accent1 4 5 4" xfId="11321" xr:uid="{ED742E56-A954-4B6D-ABA2-342D4623FC7C}"/>
    <cellStyle name="40% - Accent1 4 6" xfId="2319" xr:uid="{00000000-0005-0000-0000-00004B040000}"/>
    <cellStyle name="40% - Accent1 4 6 2" xfId="6625" xr:uid="{00000000-0005-0000-0000-00004C040000}"/>
    <cellStyle name="40% - Accent1 4 6 2 2" xfId="15951" xr:uid="{B2CBDC38-1AA5-4F74-8B64-731BA08A1344}"/>
    <cellStyle name="40% - Accent1 4 6 3" xfId="11734" xr:uid="{26FE8D6F-C0C4-46E0-A4D5-CB59D0540C4C}"/>
    <cellStyle name="40% - Accent1 4 7" xfId="4559" xr:uid="{00000000-0005-0000-0000-00004D040000}"/>
    <cellStyle name="40% - Accent1 4 7 2" xfId="13885" xr:uid="{BB72E9AD-E90A-4517-A263-EF54DDF8315B}"/>
    <cellStyle name="40% - Accent1 4 8" xfId="8948" xr:uid="{7BCBB449-71B8-4468-A700-0125C7659C3D}"/>
    <cellStyle name="40% - Accent1 4 9" xfId="9668" xr:uid="{D2832CAC-920F-4F10-BC34-250FC8E562FA}"/>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A96CD228-76D3-4392-AA45-56297187A4C0}"/>
    <cellStyle name="40% - Accent1 5 2 3" xfId="12220" xr:uid="{5FC70ED9-4161-480F-AAD1-E391868C7DA7}"/>
    <cellStyle name="40% - Accent1 5 3" xfId="4966" xr:uid="{00000000-0005-0000-0000-000051040000}"/>
    <cellStyle name="40% - Accent1 5 3 2" xfId="14292" xr:uid="{64AE0CA4-BD8B-4BAC-8C9B-525B531BD78C}"/>
    <cellStyle name="40% - Accent1 5 4" xfId="9181" xr:uid="{332DA761-F1AA-4FF3-9BBB-9ECEE19D2DFF}"/>
    <cellStyle name="40% - Accent1 5 5" xfId="10075" xr:uid="{415D2350-B6A6-4C62-BEF7-4125C82DFC67}"/>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D71C842E-D1EC-46C0-9A54-B1EF4FAFFA15}"/>
    <cellStyle name="40% - Accent1 6 2 3" xfId="12633" xr:uid="{B08E95C2-9D7A-44C4-8F00-31AABB3FAD8A}"/>
    <cellStyle name="40% - Accent1 6 3" xfId="5379" xr:uid="{00000000-0005-0000-0000-000055040000}"/>
    <cellStyle name="40% - Accent1 6 3 2" xfId="14705" xr:uid="{E6B405A3-1FE6-4EA6-935D-1A5DF7B4F1E1}"/>
    <cellStyle name="40% - Accent1 6 4" xfId="10488" xr:uid="{3DD56B51-3135-4924-8693-4AC101B3DAB9}"/>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C2BECDF5-40C8-4466-9645-52A3362C2C7C}"/>
    <cellStyle name="40% - Accent1 7 2 3" xfId="13046" xr:uid="{8426B7B7-D14D-4A3E-B198-B12FDA44187D}"/>
    <cellStyle name="40% - Accent1 7 3" xfId="5792" xr:uid="{00000000-0005-0000-0000-000059040000}"/>
    <cellStyle name="40% - Accent1 7 3 2" xfId="15118" xr:uid="{1926BA9B-8B1D-4770-92E5-455CC9BDBEEE}"/>
    <cellStyle name="40% - Accent1 7 4" xfId="10901" xr:uid="{A4A1A533-A28E-42E2-AEE5-FF6E8A94CF45}"/>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07233CB7-0FEA-4277-B5AE-FBF7DA19E468}"/>
    <cellStyle name="40% - Accent1 8 2 3" xfId="13459" xr:uid="{5DB1B5EF-1D02-487A-ACCD-AB5351BBACF3}"/>
    <cellStyle name="40% - Accent1 8 3" xfId="6205" xr:uid="{00000000-0005-0000-0000-00005D040000}"/>
    <cellStyle name="40% - Accent1 8 3 2" xfId="15531" xr:uid="{64277BA6-7D18-4C4C-BBDF-D0D602995D3F}"/>
    <cellStyle name="40% - Accent1 8 4" xfId="11314" xr:uid="{CD4381F9-EE4B-4AD4-98E0-125C08EADAE3}"/>
    <cellStyle name="40% - Accent1 9" xfId="2312" xr:uid="{00000000-0005-0000-0000-00005E040000}"/>
    <cellStyle name="40% - Accent1 9 2" xfId="6618" xr:uid="{00000000-0005-0000-0000-00005F040000}"/>
    <cellStyle name="40% - Accent1 9 2 2" xfId="15944" xr:uid="{05D23F68-9F95-4062-AE36-99ED9402E1E4}"/>
    <cellStyle name="40% - Accent1 9 3" xfId="11727" xr:uid="{9FA73123-1DBF-4C6D-9E8B-12381B277F0C}"/>
    <cellStyle name="40% - Accent2" xfId="57" builtinId="35" customBuiltin="1"/>
    <cellStyle name="40% - Accent2 10" xfId="4560" xr:uid="{00000000-0005-0000-0000-000061040000}"/>
    <cellStyle name="40% - Accent2 10 2" xfId="13886" xr:uid="{AFAA6538-93D7-46BD-9325-FCF1265D8012}"/>
    <cellStyle name="40% - Accent2 11" xfId="8761" xr:uid="{8631D9D1-53DA-4958-8F7C-AD68B7B91D61}"/>
    <cellStyle name="40% - Accent2 12" xfId="9669" xr:uid="{DF0C47D5-499F-49EB-ABFE-84986C51B3A4}"/>
    <cellStyle name="40% - Accent2 2" xfId="58" xr:uid="{00000000-0005-0000-0000-000062040000}"/>
    <cellStyle name="40% - Accent2 2 10" xfId="8799" xr:uid="{E3EEC046-6E76-44A5-8D1B-64621A8F0AC5}"/>
    <cellStyle name="40% - Accent2 2 11" xfId="9670" xr:uid="{044C477F-E16A-4681-8CCF-5309FC735E8A}"/>
    <cellStyle name="40% - Accent2 2 2" xfId="59" xr:uid="{00000000-0005-0000-0000-000063040000}"/>
    <cellStyle name="40% - Accent2 2 2 10" xfId="9671" xr:uid="{87860DFC-E9CD-4208-BB2F-F17B2AADC05F}"/>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877CB2F2-E6C0-41C9-A830-92F09054E253}"/>
    <cellStyle name="40% - Accent2 2 2 2 2 2 3" xfId="12231" xr:uid="{6906D148-5503-44BC-B1B4-69C750BB8D7F}"/>
    <cellStyle name="40% - Accent2 2 2 2 2 3" xfId="4977" xr:uid="{00000000-0005-0000-0000-000068040000}"/>
    <cellStyle name="40% - Accent2 2 2 2 2 3 2" xfId="14303" xr:uid="{9D2AABFF-6E9B-45D3-9C29-F9CB5C48646C}"/>
    <cellStyle name="40% - Accent2 2 2 2 2 4" xfId="9534" xr:uid="{9F53A086-33FC-422E-9DFF-72D04AC43949}"/>
    <cellStyle name="40% - Accent2 2 2 2 2 5" xfId="10086" xr:uid="{A746A5A6-5D33-4470-90E6-5C7D375FCEFF}"/>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C9C1CADF-C023-4AB4-A801-AFAA01E9B842}"/>
    <cellStyle name="40% - Accent2 2 2 2 3 2 3" xfId="12644" xr:uid="{C8E45FA4-DCE4-4D6C-9F38-6469B4DCF1BD}"/>
    <cellStyle name="40% - Accent2 2 2 2 3 3" xfId="5390" xr:uid="{00000000-0005-0000-0000-00006C040000}"/>
    <cellStyle name="40% - Accent2 2 2 2 3 3 2" xfId="14716" xr:uid="{27601EEB-728B-4C0D-B37C-FEF9643255BA}"/>
    <cellStyle name="40% - Accent2 2 2 2 3 4" xfId="10499" xr:uid="{BE494640-9BC3-4420-91C4-F18D23DC452F}"/>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56378961-50CE-46B3-B030-E93E7F19160B}"/>
    <cellStyle name="40% - Accent2 2 2 2 4 2 3" xfId="13057" xr:uid="{693390DB-1592-41C9-A64C-C1D411B7AE83}"/>
    <cellStyle name="40% - Accent2 2 2 2 4 3" xfId="5803" xr:uid="{00000000-0005-0000-0000-000070040000}"/>
    <cellStyle name="40% - Accent2 2 2 2 4 3 2" xfId="15129" xr:uid="{84E5EDC5-B89F-4C73-A892-6FAFEB47B859}"/>
    <cellStyle name="40% - Accent2 2 2 2 4 4" xfId="10912" xr:uid="{289578E8-09EB-4F6B-BF5B-E4FB72A5FA0C}"/>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3C9972EF-B150-4BBD-9F99-F368C848292B}"/>
    <cellStyle name="40% - Accent2 2 2 2 5 2 3" xfId="13470" xr:uid="{932F9E12-A75D-4076-932C-7ED64A7B0E92}"/>
    <cellStyle name="40% - Accent2 2 2 2 5 3" xfId="6216" xr:uid="{00000000-0005-0000-0000-000074040000}"/>
    <cellStyle name="40% - Accent2 2 2 2 5 3 2" xfId="15542" xr:uid="{77D7614E-99A2-4C75-A960-69AD4D0CF2B9}"/>
    <cellStyle name="40% - Accent2 2 2 2 5 4" xfId="11325" xr:uid="{C8B6A2BC-2F5F-4571-B8F9-DE9639A4912D}"/>
    <cellStyle name="40% - Accent2 2 2 2 6" xfId="2323" xr:uid="{00000000-0005-0000-0000-000075040000}"/>
    <cellStyle name="40% - Accent2 2 2 2 6 2" xfId="6629" xr:uid="{00000000-0005-0000-0000-000076040000}"/>
    <cellStyle name="40% - Accent2 2 2 2 6 2 2" xfId="15955" xr:uid="{0CE04084-6C04-4114-B1D0-00CF89ABE24E}"/>
    <cellStyle name="40% - Accent2 2 2 2 6 3" xfId="11738" xr:uid="{FBAE3334-21E4-4D6E-A5D0-9E559690DA14}"/>
    <cellStyle name="40% - Accent2 2 2 2 7" xfId="4563" xr:uid="{00000000-0005-0000-0000-000077040000}"/>
    <cellStyle name="40% - Accent2 2 2 2 7 2" xfId="13889" xr:uid="{59C722C3-8A75-44A1-8236-70F0326D64EE}"/>
    <cellStyle name="40% - Accent2 2 2 2 8" xfId="9109" xr:uid="{73F0012D-4386-4224-BFB0-7DB1C0E98822}"/>
    <cellStyle name="40% - Accent2 2 2 2 9" xfId="9672" xr:uid="{4E540D1F-3722-48B0-BE50-15828544953C}"/>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4896B322-A92F-4197-AC70-D1BB3143F7D0}"/>
    <cellStyle name="40% - Accent2 2 2 3 2 3" xfId="12230" xr:uid="{EA2517F8-5EEC-428A-A717-37CB0A457CC8}"/>
    <cellStyle name="40% - Accent2 2 2 3 3" xfId="4976" xr:uid="{00000000-0005-0000-0000-00007B040000}"/>
    <cellStyle name="40% - Accent2 2 2 3 3 2" xfId="14302" xr:uid="{4B5CF30B-DBA6-43CA-BD32-0B8EB6830772}"/>
    <cellStyle name="40% - Accent2 2 2 3 4" xfId="9327" xr:uid="{F2BC9A12-B689-4B73-B71E-77A9F0BC7FE4}"/>
    <cellStyle name="40% - Accent2 2 2 3 5" xfId="10085" xr:uid="{5FA00860-8470-4936-8B45-6EBCCBEECED8}"/>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8495109C-9C00-4468-BB51-17288EB918ED}"/>
    <cellStyle name="40% - Accent2 2 2 4 2 3" xfId="12643" xr:uid="{9EBC40EF-AFC4-43F1-8912-9D2EAC5452A1}"/>
    <cellStyle name="40% - Accent2 2 2 4 3" xfId="5389" xr:uid="{00000000-0005-0000-0000-00007F040000}"/>
    <cellStyle name="40% - Accent2 2 2 4 3 2" xfId="14715" xr:uid="{5B92FF70-7AAB-4EC1-A36A-096EBFFF6507}"/>
    <cellStyle name="40% - Accent2 2 2 4 4" xfId="10498" xr:uid="{33812899-19A7-4BB9-B2C3-E97DA13B7497}"/>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564C0BD7-CDEA-4B0D-A4D7-08056F8A17AE}"/>
    <cellStyle name="40% - Accent2 2 2 5 2 3" xfId="13056" xr:uid="{979A6EA4-5A45-4CD5-AC91-64C41082C881}"/>
    <cellStyle name="40% - Accent2 2 2 5 3" xfId="5802" xr:uid="{00000000-0005-0000-0000-000083040000}"/>
    <cellStyle name="40% - Accent2 2 2 5 3 2" xfId="15128" xr:uid="{D67CF67F-50A4-4497-918E-6F1E9E01DFD3}"/>
    <cellStyle name="40% - Accent2 2 2 5 4" xfId="10911" xr:uid="{570DDF04-58E4-4AB5-84BB-8181EE30DCB5}"/>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CE64ABEB-11F7-4268-A4BC-6FBF5A38FB51}"/>
    <cellStyle name="40% - Accent2 2 2 6 2 3" xfId="13469" xr:uid="{BFD8A3BF-E62D-445F-BF86-ABB13E4B31BA}"/>
    <cellStyle name="40% - Accent2 2 2 6 3" xfId="6215" xr:uid="{00000000-0005-0000-0000-000087040000}"/>
    <cellStyle name="40% - Accent2 2 2 6 3 2" xfId="15541" xr:uid="{BA69764E-B69F-4A45-9183-308FD9472856}"/>
    <cellStyle name="40% - Accent2 2 2 6 4" xfId="11324" xr:uid="{BF2A201D-49E2-4180-B3D0-6211FF611032}"/>
    <cellStyle name="40% - Accent2 2 2 7" xfId="2322" xr:uid="{00000000-0005-0000-0000-000088040000}"/>
    <cellStyle name="40% - Accent2 2 2 7 2" xfId="6628" xr:uid="{00000000-0005-0000-0000-000089040000}"/>
    <cellStyle name="40% - Accent2 2 2 7 2 2" xfId="15954" xr:uid="{0E068174-D67E-4E3F-83C9-4A5ED5444D3D}"/>
    <cellStyle name="40% - Accent2 2 2 7 3" xfId="11737" xr:uid="{B7FAF292-7E96-4F9F-A5CE-92FF0F7B905C}"/>
    <cellStyle name="40% - Accent2 2 2 8" xfId="4562" xr:uid="{00000000-0005-0000-0000-00008A040000}"/>
    <cellStyle name="40% - Accent2 2 2 8 2" xfId="13888" xr:uid="{33E7F5AB-FD2E-462C-9FB0-D936D34B2869}"/>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D8F6211D-598F-4C3B-983F-96F20DB45B59}"/>
    <cellStyle name="40% - Accent2 2 3 2 2 3" xfId="12232" xr:uid="{28BEF5AB-9FEC-44C2-BEE2-54D7589D5D59}"/>
    <cellStyle name="40% - Accent2 2 3 2 3" xfId="4978" xr:uid="{00000000-0005-0000-0000-00008F040000}"/>
    <cellStyle name="40% - Accent2 2 3 2 3 2" xfId="14304" xr:uid="{E1D8ACC4-4100-4CE8-BE95-85E965398FF4}"/>
    <cellStyle name="40% - Accent2 2 3 2 4" xfId="9431" xr:uid="{BD4E3561-302E-4359-AAF3-4F2E007BC697}"/>
    <cellStyle name="40% - Accent2 2 3 2 5" xfId="10087" xr:uid="{D29368A9-6F91-4F42-B84B-56ED007B27CD}"/>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302BBE04-C81A-4433-B2B5-3CBB0B54A510}"/>
    <cellStyle name="40% - Accent2 2 3 3 2 3" xfId="12645" xr:uid="{E375D199-FD8C-4F76-A6FC-C056EB30B640}"/>
    <cellStyle name="40% - Accent2 2 3 3 3" xfId="5391" xr:uid="{00000000-0005-0000-0000-000093040000}"/>
    <cellStyle name="40% - Accent2 2 3 3 3 2" xfId="14717" xr:uid="{BA6E0093-83DD-42BE-B2E2-38B2BF885D6D}"/>
    <cellStyle name="40% - Accent2 2 3 3 4" xfId="10500" xr:uid="{CAF6F86D-6342-4E04-AC4A-5D3EDA5F2FEF}"/>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3DD3075D-F3AB-4B3F-8B45-F22F6C7BAE66}"/>
    <cellStyle name="40% - Accent2 2 3 4 2 3" xfId="13058" xr:uid="{02CDD73F-F74C-499A-90E2-6656C6763983}"/>
    <cellStyle name="40% - Accent2 2 3 4 3" xfId="5804" xr:uid="{00000000-0005-0000-0000-000097040000}"/>
    <cellStyle name="40% - Accent2 2 3 4 3 2" xfId="15130" xr:uid="{CCB999F1-4C50-4CE4-A93F-EBBDD071F046}"/>
    <cellStyle name="40% - Accent2 2 3 4 4" xfId="10913" xr:uid="{09BC6353-8612-47AF-9D25-8FCFAA8BF5D8}"/>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3E38040B-5E8E-4B3D-9BB8-E682242EE821}"/>
    <cellStyle name="40% - Accent2 2 3 5 2 3" xfId="13471" xr:uid="{FD48916E-F4AB-46C5-8C55-7F542C265FA5}"/>
    <cellStyle name="40% - Accent2 2 3 5 3" xfId="6217" xr:uid="{00000000-0005-0000-0000-00009B040000}"/>
    <cellStyle name="40% - Accent2 2 3 5 3 2" xfId="15543" xr:uid="{3DF603B9-6642-4823-AECF-DA6A8BF6BD30}"/>
    <cellStyle name="40% - Accent2 2 3 5 4" xfId="11326" xr:uid="{28978141-B6EA-4A8F-B356-8CF1B307AEF1}"/>
    <cellStyle name="40% - Accent2 2 3 6" xfId="2324" xr:uid="{00000000-0005-0000-0000-00009C040000}"/>
    <cellStyle name="40% - Accent2 2 3 6 2" xfId="6630" xr:uid="{00000000-0005-0000-0000-00009D040000}"/>
    <cellStyle name="40% - Accent2 2 3 6 2 2" xfId="15956" xr:uid="{BCA294FC-65E5-44EF-B66A-C88AE4B47CD2}"/>
    <cellStyle name="40% - Accent2 2 3 6 3" xfId="11739" xr:uid="{F8FDAB5E-40C8-48FF-BAAE-6F10FB9941CB}"/>
    <cellStyle name="40% - Accent2 2 3 7" xfId="4564" xr:uid="{00000000-0005-0000-0000-00009E040000}"/>
    <cellStyle name="40% - Accent2 2 3 7 2" xfId="13890" xr:uid="{2162D4C7-F22C-42CB-930B-DC54243C1771}"/>
    <cellStyle name="40% - Accent2 2 3 8" xfId="9006" xr:uid="{E6E89EA5-B76F-4FCC-89B9-DD4135B6364B}"/>
    <cellStyle name="40% - Accent2 2 3 9" xfId="9673" xr:uid="{7F231590-041F-4D43-8A0E-F1D9AEF26BCB}"/>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1E13D922-615D-4A1A-9DF9-39A6CBE5768A}"/>
    <cellStyle name="40% - Accent2 2 4 2 3" xfId="12229" xr:uid="{4B7DDF10-142E-4D1D-9017-B46462384529}"/>
    <cellStyle name="40% - Accent2 2 4 3" xfId="4975" xr:uid="{00000000-0005-0000-0000-0000A2040000}"/>
    <cellStyle name="40% - Accent2 2 4 3 2" xfId="14301" xr:uid="{482B12D4-CA37-4374-A183-895B949E55E5}"/>
    <cellStyle name="40% - Accent2 2 4 4" xfId="9223" xr:uid="{FA9890B4-781A-4E4C-81EE-BC7448559828}"/>
    <cellStyle name="40% - Accent2 2 4 5" xfId="10084" xr:uid="{797DFD73-E98F-4A54-9108-6D554DE3F1BF}"/>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81655655-58C7-4591-A411-1721B3A6B49C}"/>
    <cellStyle name="40% - Accent2 2 5 2 3" xfId="12642" xr:uid="{6912D3D4-C04F-46E6-B4E9-7CF4969AD22E}"/>
    <cellStyle name="40% - Accent2 2 5 3" xfId="5388" xr:uid="{00000000-0005-0000-0000-0000A6040000}"/>
    <cellStyle name="40% - Accent2 2 5 3 2" xfId="14714" xr:uid="{DF58CF0C-3B4E-4B7D-8AC5-439205D22408}"/>
    <cellStyle name="40% - Accent2 2 5 4" xfId="10497" xr:uid="{474A79D5-CAAD-43BE-BA1C-5DE2CC2C3F71}"/>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990883DA-6690-449C-B09B-768595381A36}"/>
    <cellStyle name="40% - Accent2 2 6 2 3" xfId="13055" xr:uid="{403EFF6E-65FD-48A2-8257-F47429BBCCE3}"/>
    <cellStyle name="40% - Accent2 2 6 3" xfId="5801" xr:uid="{00000000-0005-0000-0000-0000AA040000}"/>
    <cellStyle name="40% - Accent2 2 6 3 2" xfId="15127" xr:uid="{4A9855AE-243A-408E-96E5-B3F8638EB80B}"/>
    <cellStyle name="40% - Accent2 2 6 4" xfId="10910" xr:uid="{807A19FF-DEC6-4CE6-880E-552D29696D0C}"/>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CFE5AC5D-8E57-401E-A868-15D507840775}"/>
    <cellStyle name="40% - Accent2 2 7 2 3" xfId="13468" xr:uid="{E855C588-F869-4339-9FF8-E325228BCA31}"/>
    <cellStyle name="40% - Accent2 2 7 3" xfId="6214" xr:uid="{00000000-0005-0000-0000-0000AE040000}"/>
    <cellStyle name="40% - Accent2 2 7 3 2" xfId="15540" xr:uid="{FF9BFD49-F33A-460D-B0C7-E5DF3DB11A34}"/>
    <cellStyle name="40% - Accent2 2 7 4" xfId="11323" xr:uid="{48AFFBAF-5819-47ED-BAD2-FABDB4AD4313}"/>
    <cellStyle name="40% - Accent2 2 8" xfId="2321" xr:uid="{00000000-0005-0000-0000-0000AF040000}"/>
    <cellStyle name="40% - Accent2 2 8 2" xfId="6627" xr:uid="{00000000-0005-0000-0000-0000B0040000}"/>
    <cellStyle name="40% - Accent2 2 8 2 2" xfId="15953" xr:uid="{48C06167-413C-4D0D-91FB-1DECABD94AAB}"/>
    <cellStyle name="40% - Accent2 2 8 3" xfId="11736" xr:uid="{4B3D54E8-1E3B-40E9-BAF8-1C6C9B5AD4D7}"/>
    <cellStyle name="40% - Accent2 2 9" xfId="4561" xr:uid="{00000000-0005-0000-0000-0000B1040000}"/>
    <cellStyle name="40% - Accent2 2 9 2" xfId="13887" xr:uid="{F272A8B0-64A1-4A64-B3F7-EFC5A56A60D0}"/>
    <cellStyle name="40% - Accent2 3" xfId="62" xr:uid="{00000000-0005-0000-0000-0000B2040000}"/>
    <cellStyle name="40% - Accent2 3 10" xfId="9674" xr:uid="{F0C75361-8CC7-41F6-A91E-9441F3CDC16A}"/>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01E4EEC0-6621-4424-9975-709ACCD6A305}"/>
    <cellStyle name="40% - Accent2 3 2 2 2 3" xfId="12234" xr:uid="{C6F8CD08-B0AF-4C35-802E-011C013E0CF4}"/>
    <cellStyle name="40% - Accent2 3 2 2 3" xfId="4980" xr:uid="{00000000-0005-0000-0000-0000B7040000}"/>
    <cellStyle name="40% - Accent2 3 2 2 3 2" xfId="14306" xr:uid="{1F900F0C-6EF1-4698-A121-5ACFE6A8A1BA}"/>
    <cellStyle name="40% - Accent2 3 2 2 4" xfId="9496" xr:uid="{700FA1AF-D943-4FDB-BFB1-F903AD1F731A}"/>
    <cellStyle name="40% - Accent2 3 2 2 5" xfId="10089" xr:uid="{1DCC6805-042B-431E-ACCE-47465ED19684}"/>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26221FD8-4BFC-4E97-932B-CCD4C2A938F2}"/>
    <cellStyle name="40% - Accent2 3 2 3 2 3" xfId="12647" xr:uid="{785DEA69-8FF6-42FE-BD8C-646798758C5A}"/>
    <cellStyle name="40% - Accent2 3 2 3 3" xfId="5393" xr:uid="{00000000-0005-0000-0000-0000BB040000}"/>
    <cellStyle name="40% - Accent2 3 2 3 3 2" xfId="14719" xr:uid="{C79172AE-8F38-4A22-A59D-AA64C02AD845}"/>
    <cellStyle name="40% - Accent2 3 2 3 4" xfId="10502" xr:uid="{041819BB-B9EA-46AF-BDB8-FA72211801AA}"/>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E2D6B7AB-B964-46B4-9BBD-F692EAE377CD}"/>
    <cellStyle name="40% - Accent2 3 2 4 2 3" xfId="13060" xr:uid="{90CB328E-2349-4FEC-96E4-43C09FFF1527}"/>
    <cellStyle name="40% - Accent2 3 2 4 3" xfId="5806" xr:uid="{00000000-0005-0000-0000-0000BF040000}"/>
    <cellStyle name="40% - Accent2 3 2 4 3 2" xfId="15132" xr:uid="{B330F2DF-C23E-4560-86E1-C4074AAC2B94}"/>
    <cellStyle name="40% - Accent2 3 2 4 4" xfId="10915" xr:uid="{0242FC58-6B97-48AB-8671-6417467F5F85}"/>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B90676FF-9775-4543-83FE-FD72214BFB02}"/>
    <cellStyle name="40% - Accent2 3 2 5 2 3" xfId="13473" xr:uid="{79388F60-7F2D-4200-82D7-724144F3D5F1}"/>
    <cellStyle name="40% - Accent2 3 2 5 3" xfId="6219" xr:uid="{00000000-0005-0000-0000-0000C3040000}"/>
    <cellStyle name="40% - Accent2 3 2 5 3 2" xfId="15545" xr:uid="{BA68D3D6-9D69-4B92-841F-55BAB1DF1B98}"/>
    <cellStyle name="40% - Accent2 3 2 5 4" xfId="11328" xr:uid="{9CAE6404-5A20-43A4-8881-014768F5DCD4}"/>
    <cellStyle name="40% - Accent2 3 2 6" xfId="2326" xr:uid="{00000000-0005-0000-0000-0000C4040000}"/>
    <cellStyle name="40% - Accent2 3 2 6 2" xfId="6632" xr:uid="{00000000-0005-0000-0000-0000C5040000}"/>
    <cellStyle name="40% - Accent2 3 2 6 2 2" xfId="15958" xr:uid="{FAFC67E5-1DAD-403F-9066-3AFAE5325EB7}"/>
    <cellStyle name="40% - Accent2 3 2 6 3" xfId="11741" xr:uid="{CF9A94EA-2815-41C6-87C4-BDC59DDF4467}"/>
    <cellStyle name="40% - Accent2 3 2 7" xfId="4566" xr:uid="{00000000-0005-0000-0000-0000C6040000}"/>
    <cellStyle name="40% - Accent2 3 2 7 2" xfId="13892" xr:uid="{456997E1-36CD-48E7-A312-4ECD6512F304}"/>
    <cellStyle name="40% - Accent2 3 2 8" xfId="9071" xr:uid="{B5463F05-11FC-4377-B380-DDB549C63AA9}"/>
    <cellStyle name="40% - Accent2 3 2 9" xfId="9675" xr:uid="{BE8FDE7D-9C1C-4EDB-9011-732BF8CFC74E}"/>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C077F42E-9A2D-4BDE-B9F9-F4620A8A5E8C}"/>
    <cellStyle name="40% - Accent2 3 3 2 3" xfId="12233" xr:uid="{41A4FC7E-575C-48F8-BFE7-C11723CFA9D3}"/>
    <cellStyle name="40% - Accent2 3 3 3" xfId="4979" xr:uid="{00000000-0005-0000-0000-0000CA040000}"/>
    <cellStyle name="40% - Accent2 3 3 3 2" xfId="14305" xr:uid="{69BB0E10-D633-417C-BFAC-5237652E98A1}"/>
    <cellStyle name="40% - Accent2 3 3 4" xfId="9289" xr:uid="{B234EB9F-4AFE-41A2-A17D-ABC1D0F80875}"/>
    <cellStyle name="40% - Accent2 3 3 5" xfId="10088" xr:uid="{B44C5E57-7601-40B2-BA19-DDA56E113FAE}"/>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19BD37B3-84BD-423B-9DFC-F86ADAD06017}"/>
    <cellStyle name="40% - Accent2 3 4 2 3" xfId="12646" xr:uid="{B10C8DDC-36E6-48C7-BB74-FB08A8293CAA}"/>
    <cellStyle name="40% - Accent2 3 4 3" xfId="5392" xr:uid="{00000000-0005-0000-0000-0000CE040000}"/>
    <cellStyle name="40% - Accent2 3 4 3 2" xfId="14718" xr:uid="{28563BE0-5B40-447C-BE3F-50CB5A530FEA}"/>
    <cellStyle name="40% - Accent2 3 4 4" xfId="10501" xr:uid="{622F7D3A-F2F6-497F-9E3E-A3B87E40AFDC}"/>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5A32FD80-9B44-405B-9897-ABC215588041}"/>
    <cellStyle name="40% - Accent2 3 5 2 3" xfId="13059" xr:uid="{4C26C26B-6ED9-4013-BD41-1D0CE9630D63}"/>
    <cellStyle name="40% - Accent2 3 5 3" xfId="5805" xr:uid="{00000000-0005-0000-0000-0000D2040000}"/>
    <cellStyle name="40% - Accent2 3 5 3 2" xfId="15131" xr:uid="{27C6D337-7944-4A52-B731-656FD8961451}"/>
    <cellStyle name="40% - Accent2 3 5 4" xfId="10914" xr:uid="{3764DA3B-1F9E-4B1D-B0B6-D4D9868F9369}"/>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E27A0BCF-7D87-4C8F-856C-687BF666AE2C}"/>
    <cellStyle name="40% - Accent2 3 6 2 3" xfId="13472" xr:uid="{4B68D8C6-6A5C-4566-B056-C70B9287DD5D}"/>
    <cellStyle name="40% - Accent2 3 6 3" xfId="6218" xr:uid="{00000000-0005-0000-0000-0000D6040000}"/>
    <cellStyle name="40% - Accent2 3 6 3 2" xfId="15544" xr:uid="{7705BD25-A3D4-4F26-AEC6-3DF7F2ABF4BF}"/>
    <cellStyle name="40% - Accent2 3 6 4" xfId="11327" xr:uid="{54A0F416-3BB4-4AD0-A08F-04CB50FEEDCE}"/>
    <cellStyle name="40% - Accent2 3 7" xfId="2325" xr:uid="{00000000-0005-0000-0000-0000D7040000}"/>
    <cellStyle name="40% - Accent2 3 7 2" xfId="6631" xr:uid="{00000000-0005-0000-0000-0000D8040000}"/>
    <cellStyle name="40% - Accent2 3 7 2 2" xfId="15957" xr:uid="{E6AD595C-906C-4298-8B63-EFB872B506CB}"/>
    <cellStyle name="40% - Accent2 3 7 3" xfId="11740" xr:uid="{CBE830C4-7F36-412A-B74A-06588F39FBB7}"/>
    <cellStyle name="40% - Accent2 3 8" xfId="4565" xr:uid="{00000000-0005-0000-0000-0000D9040000}"/>
    <cellStyle name="40% - Accent2 3 8 2" xfId="13891" xr:uid="{38417DC7-8FF3-4A38-B456-5D462114EE62}"/>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A71BF5F9-3CBB-4369-BD27-02D421FBB351}"/>
    <cellStyle name="40% - Accent2 4 2 2 3" xfId="12235" xr:uid="{D2246473-FCEB-4E47-97F4-D5373F257D68}"/>
    <cellStyle name="40% - Accent2 4 2 3" xfId="4981" xr:uid="{00000000-0005-0000-0000-0000DE040000}"/>
    <cellStyle name="40% - Accent2 4 2 3 2" xfId="14307" xr:uid="{C3794996-03B8-4EEB-9DEB-E9D380EC2A30}"/>
    <cellStyle name="40% - Accent2 4 2 4" xfId="9375" xr:uid="{E0F8B4F7-419E-40A5-89E1-F3F0DF6ADFF8}"/>
    <cellStyle name="40% - Accent2 4 2 5" xfId="10090" xr:uid="{D5205050-B2A3-4418-9EAA-3686A9AF8AA5}"/>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B7A4AA00-88E3-4715-BC64-5353A6641864}"/>
    <cellStyle name="40% - Accent2 4 3 2 3" xfId="12648" xr:uid="{1646F130-BE0E-4966-95CE-2AF9568ECD56}"/>
    <cellStyle name="40% - Accent2 4 3 3" xfId="5394" xr:uid="{00000000-0005-0000-0000-0000E2040000}"/>
    <cellStyle name="40% - Accent2 4 3 3 2" xfId="14720" xr:uid="{51712A4E-8A75-4F23-B2C1-E7642095511B}"/>
    <cellStyle name="40% - Accent2 4 3 4" xfId="10503" xr:uid="{AC7E663D-2A5E-482E-987E-E530943151CE}"/>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1FFD20AB-EC39-4927-8329-5A35EDEE2FF0}"/>
    <cellStyle name="40% - Accent2 4 4 2 3" xfId="13061" xr:uid="{D74A62A1-A317-4B4B-B4F0-81C61F0BD22A}"/>
    <cellStyle name="40% - Accent2 4 4 3" xfId="5807" xr:uid="{00000000-0005-0000-0000-0000E6040000}"/>
    <cellStyle name="40% - Accent2 4 4 3 2" xfId="15133" xr:uid="{5DFD0572-1D62-43E9-BCF3-F5B6A5F0BAD7}"/>
    <cellStyle name="40% - Accent2 4 4 4" xfId="10916" xr:uid="{B170A5A0-01A1-4D34-B68F-F4A2FBDE0288}"/>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EB652B8C-7953-4CC2-A838-499214705CF5}"/>
    <cellStyle name="40% - Accent2 4 5 2 3" xfId="13474" xr:uid="{108729B3-8AF5-4976-90DE-AB9DAAF2D84B}"/>
    <cellStyle name="40% - Accent2 4 5 3" xfId="6220" xr:uid="{00000000-0005-0000-0000-0000EA040000}"/>
    <cellStyle name="40% - Accent2 4 5 3 2" xfId="15546" xr:uid="{615616E2-2349-4618-96A3-600897A6DE87}"/>
    <cellStyle name="40% - Accent2 4 5 4" xfId="11329" xr:uid="{FB5BF03C-B7C1-4B12-B00C-EE8BB468969F}"/>
    <cellStyle name="40% - Accent2 4 6" xfId="2327" xr:uid="{00000000-0005-0000-0000-0000EB040000}"/>
    <cellStyle name="40% - Accent2 4 6 2" xfId="6633" xr:uid="{00000000-0005-0000-0000-0000EC040000}"/>
    <cellStyle name="40% - Accent2 4 6 2 2" xfId="15959" xr:uid="{BABBE2A0-B1D3-4000-8C23-0EB4592750C7}"/>
    <cellStyle name="40% - Accent2 4 6 3" xfId="11742" xr:uid="{47A97635-2ABD-47DD-94CD-F3FADEF1AF2E}"/>
    <cellStyle name="40% - Accent2 4 7" xfId="4567" xr:uid="{00000000-0005-0000-0000-0000ED040000}"/>
    <cellStyle name="40% - Accent2 4 7 2" xfId="13893" xr:uid="{A9E3B3BA-3166-421E-A28A-DB271E4DB004}"/>
    <cellStyle name="40% - Accent2 4 8" xfId="8950" xr:uid="{02FCA414-0598-4779-8636-7B176A3552C0}"/>
    <cellStyle name="40% - Accent2 4 9" xfId="9676" xr:uid="{AEF4030B-4661-4690-A303-133080C64A48}"/>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CD460669-588A-4E67-BFAC-9CE5CE5EEA29}"/>
    <cellStyle name="40% - Accent2 5 2 3" xfId="12228" xr:uid="{F22E3839-EE64-472B-9A27-14D9DA2A6356}"/>
    <cellStyle name="40% - Accent2 5 3" xfId="4974" xr:uid="{00000000-0005-0000-0000-0000F1040000}"/>
    <cellStyle name="40% - Accent2 5 3 2" xfId="14300" xr:uid="{3AA71238-ADAC-417A-9D4F-47082C5F6967}"/>
    <cellStyle name="40% - Accent2 5 4" xfId="9183" xr:uid="{071EDB8E-9FD1-4063-BCEF-70B734E5ECF1}"/>
    <cellStyle name="40% - Accent2 5 5" xfId="10083" xr:uid="{72FC6402-B29A-4327-96EF-4F0B1EF4EF6A}"/>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AC5D6522-B2F2-4CD0-91F8-2F868E70E5E8}"/>
    <cellStyle name="40% - Accent2 6 2 3" xfId="12641" xr:uid="{88BFAAEE-E0E7-4518-89C9-AA076C0BC9B4}"/>
    <cellStyle name="40% - Accent2 6 3" xfId="5387" xr:uid="{00000000-0005-0000-0000-0000F5040000}"/>
    <cellStyle name="40% - Accent2 6 3 2" xfId="14713" xr:uid="{AE52A9C1-4EF1-42D6-93AF-820EE16FDB40}"/>
    <cellStyle name="40% - Accent2 6 4" xfId="10496" xr:uid="{04A86873-024D-46DB-BB2D-436011CEFF9A}"/>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080E20BA-B629-4AC3-A94D-B126F234BEE5}"/>
    <cellStyle name="40% - Accent2 7 2 3" xfId="13054" xr:uid="{98D3AF96-B298-4BA5-99CF-013CA809D97E}"/>
    <cellStyle name="40% - Accent2 7 3" xfId="5800" xr:uid="{00000000-0005-0000-0000-0000F9040000}"/>
    <cellStyle name="40% - Accent2 7 3 2" xfId="15126" xr:uid="{441B441A-4136-4F60-BA93-9401C66DC700}"/>
    <cellStyle name="40% - Accent2 7 4" xfId="10909" xr:uid="{2311CF83-C6BB-4522-AF0F-49C11F330E73}"/>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81623BDB-138E-4D4F-BD45-E9E844BB5797}"/>
    <cellStyle name="40% - Accent2 8 2 3" xfId="13467" xr:uid="{A0913F63-9FA3-43EB-9439-434BA2DBBCC9}"/>
    <cellStyle name="40% - Accent2 8 3" xfId="6213" xr:uid="{00000000-0005-0000-0000-0000FD040000}"/>
    <cellStyle name="40% - Accent2 8 3 2" xfId="15539" xr:uid="{C8804B80-6102-494D-A04B-A1744AA17250}"/>
    <cellStyle name="40% - Accent2 8 4" xfId="11322" xr:uid="{0B3F8467-CD1D-40A3-B7CF-EBE8730B186D}"/>
    <cellStyle name="40% - Accent2 9" xfId="2320" xr:uid="{00000000-0005-0000-0000-0000FE040000}"/>
    <cellStyle name="40% - Accent2 9 2" xfId="6626" xr:uid="{00000000-0005-0000-0000-0000FF040000}"/>
    <cellStyle name="40% - Accent2 9 2 2" xfId="15952" xr:uid="{B9AC9A59-6182-4B9B-BF9C-22E9808B166D}"/>
    <cellStyle name="40% - Accent2 9 3" xfId="11735" xr:uid="{82C3F514-1D06-45C3-96E0-F7C10CB34D95}"/>
    <cellStyle name="40% - Accent3" xfId="65" builtinId="39" customBuiltin="1"/>
    <cellStyle name="40% - Accent3 10" xfId="4568" xr:uid="{00000000-0005-0000-0000-000001050000}"/>
    <cellStyle name="40% - Accent3 10 2" xfId="13894" xr:uid="{ECDCF2A9-D63D-4DBC-9F81-1A55ECDF54BA}"/>
    <cellStyle name="40% - Accent3 11" xfId="8763" xr:uid="{CEFBFA85-5B68-4AEB-BF0D-8E604938B05F}"/>
    <cellStyle name="40% - Accent3 12" xfId="9677" xr:uid="{5D24F7F4-63FB-40E6-B4AD-82A229C56B2A}"/>
    <cellStyle name="40% - Accent3 2" xfId="66" xr:uid="{00000000-0005-0000-0000-000002050000}"/>
    <cellStyle name="40% - Accent3 2 10" xfId="8800" xr:uid="{00FF2AAD-7D96-45B5-8981-0BB923A3505B}"/>
    <cellStyle name="40% - Accent3 2 11" xfId="9678" xr:uid="{B87458FB-1C9F-4203-AF18-34C2ABB87698}"/>
    <cellStyle name="40% - Accent3 2 2" xfId="67" xr:uid="{00000000-0005-0000-0000-000003050000}"/>
    <cellStyle name="40% - Accent3 2 2 10" xfId="9679" xr:uid="{785110D9-699F-4F89-9E0B-E83922291E59}"/>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27822672-0593-48DC-82D1-2586B788FDD5}"/>
    <cellStyle name="40% - Accent3 2 2 2 2 2 3" xfId="12239" xr:uid="{8AB4C4BB-D8B7-46FB-AA7B-8D60CD17F981}"/>
    <cellStyle name="40% - Accent3 2 2 2 2 3" xfId="4985" xr:uid="{00000000-0005-0000-0000-000008050000}"/>
    <cellStyle name="40% - Accent3 2 2 2 2 3 2" xfId="14311" xr:uid="{22E768D6-9841-4B62-A77B-6E0F3D5841C4}"/>
    <cellStyle name="40% - Accent3 2 2 2 2 4" xfId="9535" xr:uid="{3AC66435-D4C7-42EF-A799-3DC81A57BDF4}"/>
    <cellStyle name="40% - Accent3 2 2 2 2 5" xfId="10094" xr:uid="{F65759D7-ADC8-4D06-A272-FF761C5F628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12C94226-3F44-40C9-BF91-C830ED253F9B}"/>
    <cellStyle name="40% - Accent3 2 2 2 3 2 3" xfId="12652" xr:uid="{31BE3BD4-43DE-46FF-99F8-D66E97FB1390}"/>
    <cellStyle name="40% - Accent3 2 2 2 3 3" xfId="5398" xr:uid="{00000000-0005-0000-0000-00000C050000}"/>
    <cellStyle name="40% - Accent3 2 2 2 3 3 2" xfId="14724" xr:uid="{90AF79A0-41A7-4300-B158-9209A41E0068}"/>
    <cellStyle name="40% - Accent3 2 2 2 3 4" xfId="10507" xr:uid="{0E8A03CF-7B55-4133-B0F2-DB474A170B48}"/>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ECC31988-354B-490D-9082-3D9979D355FE}"/>
    <cellStyle name="40% - Accent3 2 2 2 4 2 3" xfId="13065" xr:uid="{7EBD0582-E6B2-4D77-AA04-A00ACCFB2DFB}"/>
    <cellStyle name="40% - Accent3 2 2 2 4 3" xfId="5811" xr:uid="{00000000-0005-0000-0000-000010050000}"/>
    <cellStyle name="40% - Accent3 2 2 2 4 3 2" xfId="15137" xr:uid="{D1ACD3D5-7D1D-4203-AC63-A99B61FFEB77}"/>
    <cellStyle name="40% - Accent3 2 2 2 4 4" xfId="10920" xr:uid="{B799952C-74CB-495A-BD16-F1E897B998E5}"/>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FB3EE722-C943-4388-85AF-C0B6698BD708}"/>
    <cellStyle name="40% - Accent3 2 2 2 5 2 3" xfId="13478" xr:uid="{2A07197C-6501-413C-9F05-FD23C03DFFE7}"/>
    <cellStyle name="40% - Accent3 2 2 2 5 3" xfId="6224" xr:uid="{00000000-0005-0000-0000-000014050000}"/>
    <cellStyle name="40% - Accent3 2 2 2 5 3 2" xfId="15550" xr:uid="{BA6FB734-57A3-4CC6-BEA4-074E8CE9C1C3}"/>
    <cellStyle name="40% - Accent3 2 2 2 5 4" xfId="11333" xr:uid="{89C51577-84C2-48FF-876F-7A904356718E}"/>
    <cellStyle name="40% - Accent3 2 2 2 6" xfId="2331" xr:uid="{00000000-0005-0000-0000-000015050000}"/>
    <cellStyle name="40% - Accent3 2 2 2 6 2" xfId="6637" xr:uid="{00000000-0005-0000-0000-000016050000}"/>
    <cellStyle name="40% - Accent3 2 2 2 6 2 2" xfId="15963" xr:uid="{234AB288-17D7-4124-9192-FD01C9052702}"/>
    <cellStyle name="40% - Accent3 2 2 2 6 3" xfId="11746" xr:uid="{6A94EA21-6507-435C-8B55-677F3BBE1AD6}"/>
    <cellStyle name="40% - Accent3 2 2 2 7" xfId="4571" xr:uid="{00000000-0005-0000-0000-000017050000}"/>
    <cellStyle name="40% - Accent3 2 2 2 7 2" xfId="13897" xr:uid="{23BDB88B-EF75-4BA9-875D-6A9455CD3AB9}"/>
    <cellStyle name="40% - Accent3 2 2 2 8" xfId="9110" xr:uid="{E41CBEF9-86F8-44B9-895F-532A7BDC9A2A}"/>
    <cellStyle name="40% - Accent3 2 2 2 9" xfId="9680" xr:uid="{47894C51-E757-4692-B359-969855DB788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B5CA881B-2D6B-4DC5-A107-FD39C47FE3B8}"/>
    <cellStyle name="40% - Accent3 2 2 3 2 3" xfId="12238" xr:uid="{1C0142C2-E831-41D9-BB83-48F031BE8862}"/>
    <cellStyle name="40% - Accent3 2 2 3 3" xfId="4984" xr:uid="{00000000-0005-0000-0000-00001B050000}"/>
    <cellStyle name="40% - Accent3 2 2 3 3 2" xfId="14310" xr:uid="{23F75F06-6256-4B99-8D6B-066B00943372}"/>
    <cellStyle name="40% - Accent3 2 2 3 4" xfId="9328" xr:uid="{1DAEB9B9-01CE-426D-A8F1-CE08999D7264}"/>
    <cellStyle name="40% - Accent3 2 2 3 5" xfId="10093" xr:uid="{4A3C22A1-67CC-4042-8BE8-22261DD5CCE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5E58F4A4-79A4-4E03-8BD6-E211320AEDD6}"/>
    <cellStyle name="40% - Accent3 2 2 4 2 3" xfId="12651" xr:uid="{D51D9445-ABBE-4041-AC5C-83D6A5476A31}"/>
    <cellStyle name="40% - Accent3 2 2 4 3" xfId="5397" xr:uid="{00000000-0005-0000-0000-00001F050000}"/>
    <cellStyle name="40% - Accent3 2 2 4 3 2" xfId="14723" xr:uid="{AD93571C-8E54-4543-B5B3-7E545E1DD143}"/>
    <cellStyle name="40% - Accent3 2 2 4 4" xfId="10506" xr:uid="{04299AB6-3B6F-4B5F-89C8-14BD4CDA0CFC}"/>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D776EDB8-F114-4A0C-9F05-64332EE9F434}"/>
    <cellStyle name="40% - Accent3 2 2 5 2 3" xfId="13064" xr:uid="{7C74DA55-57E4-4A2E-A421-B86062455759}"/>
    <cellStyle name="40% - Accent3 2 2 5 3" xfId="5810" xr:uid="{00000000-0005-0000-0000-000023050000}"/>
    <cellStyle name="40% - Accent3 2 2 5 3 2" xfId="15136" xr:uid="{924F27B7-3C31-43CB-BC40-9ECF5DA67A8A}"/>
    <cellStyle name="40% - Accent3 2 2 5 4" xfId="10919" xr:uid="{6FC89522-6DB8-4A6C-8263-9AD8F04EFD18}"/>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92D2BEAC-C561-40B2-9D33-E91153CC6A59}"/>
    <cellStyle name="40% - Accent3 2 2 6 2 3" xfId="13477" xr:uid="{4A7A0787-1C40-4E66-BA67-BD415A588685}"/>
    <cellStyle name="40% - Accent3 2 2 6 3" xfId="6223" xr:uid="{00000000-0005-0000-0000-000027050000}"/>
    <cellStyle name="40% - Accent3 2 2 6 3 2" xfId="15549" xr:uid="{15D194CA-216D-4126-84CF-8F66518EDA80}"/>
    <cellStyle name="40% - Accent3 2 2 6 4" xfId="11332" xr:uid="{859B09CA-CC9B-4833-B232-FAB258EB0E42}"/>
    <cellStyle name="40% - Accent3 2 2 7" xfId="2330" xr:uid="{00000000-0005-0000-0000-000028050000}"/>
    <cellStyle name="40% - Accent3 2 2 7 2" xfId="6636" xr:uid="{00000000-0005-0000-0000-000029050000}"/>
    <cellStyle name="40% - Accent3 2 2 7 2 2" xfId="15962" xr:uid="{D086EF00-4770-4AD9-BD52-6B9ED4612ED0}"/>
    <cellStyle name="40% - Accent3 2 2 7 3" xfId="11745" xr:uid="{0A011CA6-2B12-49BA-97B0-A89BF905A8AA}"/>
    <cellStyle name="40% - Accent3 2 2 8" xfId="4570" xr:uid="{00000000-0005-0000-0000-00002A050000}"/>
    <cellStyle name="40% - Accent3 2 2 8 2" xfId="13896" xr:uid="{0370A7DF-AB6D-432B-BA95-621FDC9AFFE4}"/>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4B8ED3E0-2D99-461D-AB26-7B4D1C0B6DDD}"/>
    <cellStyle name="40% - Accent3 2 3 2 2 3" xfId="12240" xr:uid="{E86B07C1-94C3-40FD-A4A9-9BEF08AAA5B6}"/>
    <cellStyle name="40% - Accent3 2 3 2 3" xfId="4986" xr:uid="{00000000-0005-0000-0000-00002F050000}"/>
    <cellStyle name="40% - Accent3 2 3 2 3 2" xfId="14312" xr:uid="{421583C7-DB5D-4675-8E99-C5FF51331766}"/>
    <cellStyle name="40% - Accent3 2 3 2 4" xfId="9432" xr:uid="{54D6848B-0200-4F42-820D-262A8F9A2C0F}"/>
    <cellStyle name="40% - Accent3 2 3 2 5" xfId="10095" xr:uid="{8085D8AF-C52F-45D8-91F4-5B8F223AAF8C}"/>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9F5576BF-4D04-4EF8-B4A6-8BC70A92B9E5}"/>
    <cellStyle name="40% - Accent3 2 3 3 2 3" xfId="12653" xr:uid="{4BFF2C54-DD37-4B95-9F72-01DFDAF23452}"/>
    <cellStyle name="40% - Accent3 2 3 3 3" xfId="5399" xr:uid="{00000000-0005-0000-0000-000033050000}"/>
    <cellStyle name="40% - Accent3 2 3 3 3 2" xfId="14725" xr:uid="{9E1DC3DC-AA06-4777-B353-23CADCA0B3D9}"/>
    <cellStyle name="40% - Accent3 2 3 3 4" xfId="10508" xr:uid="{6CD1255C-E627-488A-BD05-C351B44EB0F8}"/>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FC90390B-30D9-49F5-A1C2-EBEEE2370386}"/>
    <cellStyle name="40% - Accent3 2 3 4 2 3" xfId="13066" xr:uid="{33141E42-F0CC-4747-8EB3-4A329E26CA76}"/>
    <cellStyle name="40% - Accent3 2 3 4 3" xfId="5812" xr:uid="{00000000-0005-0000-0000-000037050000}"/>
    <cellStyle name="40% - Accent3 2 3 4 3 2" xfId="15138" xr:uid="{34B3B27C-CC67-4A7C-9D8F-DAF3C19426C6}"/>
    <cellStyle name="40% - Accent3 2 3 4 4" xfId="10921" xr:uid="{BFD83442-BDFB-4702-A1EA-B4C3BBB149DA}"/>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C1FDEED2-EAA1-4740-B48F-89120DBAD18B}"/>
    <cellStyle name="40% - Accent3 2 3 5 2 3" xfId="13479" xr:uid="{ABFD086A-BC4C-400F-AE28-AECF47A1FE57}"/>
    <cellStyle name="40% - Accent3 2 3 5 3" xfId="6225" xr:uid="{00000000-0005-0000-0000-00003B050000}"/>
    <cellStyle name="40% - Accent3 2 3 5 3 2" xfId="15551" xr:uid="{97994B48-1576-4B63-BC17-34A61F4110BA}"/>
    <cellStyle name="40% - Accent3 2 3 5 4" xfId="11334" xr:uid="{C7818B91-63AF-41F1-9D32-C6B9531A393B}"/>
    <cellStyle name="40% - Accent3 2 3 6" xfId="2332" xr:uid="{00000000-0005-0000-0000-00003C050000}"/>
    <cellStyle name="40% - Accent3 2 3 6 2" xfId="6638" xr:uid="{00000000-0005-0000-0000-00003D050000}"/>
    <cellStyle name="40% - Accent3 2 3 6 2 2" xfId="15964" xr:uid="{B4B07DF9-CE5D-4700-862D-13BD8D1657E3}"/>
    <cellStyle name="40% - Accent3 2 3 6 3" xfId="11747" xr:uid="{B4548110-2CD1-4771-B213-87AC24D6C2AF}"/>
    <cellStyle name="40% - Accent3 2 3 7" xfId="4572" xr:uid="{00000000-0005-0000-0000-00003E050000}"/>
    <cellStyle name="40% - Accent3 2 3 7 2" xfId="13898" xr:uid="{620649BE-96AC-42AB-9E98-D539FF440D93}"/>
    <cellStyle name="40% - Accent3 2 3 8" xfId="9007" xr:uid="{2DEFD82C-2A62-4C1E-AA8D-7F2606BD9091}"/>
    <cellStyle name="40% - Accent3 2 3 9" xfId="9681" xr:uid="{39F9BF02-F24E-4DBC-8421-A92C4EB58093}"/>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C6FEA231-A931-4220-8222-482D72F2C471}"/>
    <cellStyle name="40% - Accent3 2 4 2 3" xfId="12237" xr:uid="{0E264F7D-A6E4-46DB-99AE-BA78ED564D8A}"/>
    <cellStyle name="40% - Accent3 2 4 3" xfId="4983" xr:uid="{00000000-0005-0000-0000-000042050000}"/>
    <cellStyle name="40% - Accent3 2 4 3 2" xfId="14309" xr:uid="{44BF8C49-F785-4FE9-8570-91D0D9DF6DCA}"/>
    <cellStyle name="40% - Accent3 2 4 4" xfId="9224" xr:uid="{6B91012A-BFF2-4F1F-901C-A91F06F80031}"/>
    <cellStyle name="40% - Accent3 2 4 5" xfId="10092" xr:uid="{8A1A3923-F3B8-4E59-BDC4-8BBC7C4AB578}"/>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0D9D1C58-1282-487F-99F2-BBB5BC8F04E1}"/>
    <cellStyle name="40% - Accent3 2 5 2 3" xfId="12650" xr:uid="{967B2CAD-CCA5-4C0B-995E-F39A9AD37E5F}"/>
    <cellStyle name="40% - Accent3 2 5 3" xfId="5396" xr:uid="{00000000-0005-0000-0000-000046050000}"/>
    <cellStyle name="40% - Accent3 2 5 3 2" xfId="14722" xr:uid="{8A50793B-D691-4F58-85EB-3DD307232342}"/>
    <cellStyle name="40% - Accent3 2 5 4" xfId="10505" xr:uid="{83D6E397-0093-4E88-A068-48D229ABC7E8}"/>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876741CC-88B0-434B-90E4-F490813C2660}"/>
    <cellStyle name="40% - Accent3 2 6 2 3" xfId="13063" xr:uid="{D39377DA-CB47-4F52-A8A4-D9AD642B7F0A}"/>
    <cellStyle name="40% - Accent3 2 6 3" xfId="5809" xr:uid="{00000000-0005-0000-0000-00004A050000}"/>
    <cellStyle name="40% - Accent3 2 6 3 2" xfId="15135" xr:uid="{F31F729F-E088-4FCD-A541-37A40B3584F3}"/>
    <cellStyle name="40% - Accent3 2 6 4" xfId="10918" xr:uid="{DD544986-8639-4813-A7B7-1DC453717282}"/>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D4C2D87B-DE9F-41C7-BE96-04E89C6DDC0A}"/>
    <cellStyle name="40% - Accent3 2 7 2 3" xfId="13476" xr:uid="{755ED71E-B84A-46DF-9A81-C8D4E7297732}"/>
    <cellStyle name="40% - Accent3 2 7 3" xfId="6222" xr:uid="{00000000-0005-0000-0000-00004E050000}"/>
    <cellStyle name="40% - Accent3 2 7 3 2" xfId="15548" xr:uid="{FDFC25BB-6EC3-4358-A936-B53E6E63A24D}"/>
    <cellStyle name="40% - Accent3 2 7 4" xfId="11331" xr:uid="{76C5CB16-7881-4853-A9BA-E3003EC91334}"/>
    <cellStyle name="40% - Accent3 2 8" xfId="2329" xr:uid="{00000000-0005-0000-0000-00004F050000}"/>
    <cellStyle name="40% - Accent3 2 8 2" xfId="6635" xr:uid="{00000000-0005-0000-0000-000050050000}"/>
    <cellStyle name="40% - Accent3 2 8 2 2" xfId="15961" xr:uid="{EEBE6601-2410-482F-BB6C-5518D98FF663}"/>
    <cellStyle name="40% - Accent3 2 8 3" xfId="11744" xr:uid="{491B62A1-410F-4316-84BF-995EB2976E65}"/>
    <cellStyle name="40% - Accent3 2 9" xfId="4569" xr:uid="{00000000-0005-0000-0000-000051050000}"/>
    <cellStyle name="40% - Accent3 2 9 2" xfId="13895" xr:uid="{4C152853-EEFC-4652-8EFB-30C1206E8A4D}"/>
    <cellStyle name="40% - Accent3 3" xfId="70" xr:uid="{00000000-0005-0000-0000-000052050000}"/>
    <cellStyle name="40% - Accent3 3 10" xfId="9682" xr:uid="{9489BAD5-3F03-42EB-AE40-8A38DF23E935}"/>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57E1F94E-74B6-439F-BD06-2FCDDA0758F4}"/>
    <cellStyle name="40% - Accent3 3 2 2 2 3" xfId="12242" xr:uid="{876EE0E6-6F05-4072-8D5C-64FE485ED3A9}"/>
    <cellStyle name="40% - Accent3 3 2 2 3" xfId="4988" xr:uid="{00000000-0005-0000-0000-000057050000}"/>
    <cellStyle name="40% - Accent3 3 2 2 3 2" xfId="14314" xr:uid="{0031AEA4-EE17-458B-8D22-CD0D8541CD6F}"/>
    <cellStyle name="40% - Accent3 3 2 2 4" xfId="9498" xr:uid="{7C43CF58-5AE0-4BAA-9D2B-CAB92F3612F1}"/>
    <cellStyle name="40% - Accent3 3 2 2 5" xfId="10097" xr:uid="{CE50D56E-24EC-4794-AE70-4FCF926F34DE}"/>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958B9B15-AE0B-400F-91EB-3242D28D38F1}"/>
    <cellStyle name="40% - Accent3 3 2 3 2 3" xfId="12655" xr:uid="{392C2405-A09C-4FFF-A791-E63F22527996}"/>
    <cellStyle name="40% - Accent3 3 2 3 3" xfId="5401" xr:uid="{00000000-0005-0000-0000-00005B050000}"/>
    <cellStyle name="40% - Accent3 3 2 3 3 2" xfId="14727" xr:uid="{C38A8F4D-425A-4B36-AD35-52A9B3279777}"/>
    <cellStyle name="40% - Accent3 3 2 3 4" xfId="10510" xr:uid="{AC88599B-EACC-4EE7-A3DD-6FCAAAB3E994}"/>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F460AEB3-5D2E-4702-951B-A7533CD4E8E8}"/>
    <cellStyle name="40% - Accent3 3 2 4 2 3" xfId="13068" xr:uid="{2B9B0896-244B-463A-8549-F9E9138E37D4}"/>
    <cellStyle name="40% - Accent3 3 2 4 3" xfId="5814" xr:uid="{00000000-0005-0000-0000-00005F050000}"/>
    <cellStyle name="40% - Accent3 3 2 4 3 2" xfId="15140" xr:uid="{93154A9B-560F-46E6-B076-283959D0F2BB}"/>
    <cellStyle name="40% - Accent3 3 2 4 4" xfId="10923" xr:uid="{3B25D024-B6FB-4369-A040-4ECFBD03D948}"/>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F53E42C5-6397-4B07-A335-A4541FEAA275}"/>
    <cellStyle name="40% - Accent3 3 2 5 2 3" xfId="13481" xr:uid="{2A3EDE97-39A0-4B0E-951A-8B70A6EBA890}"/>
    <cellStyle name="40% - Accent3 3 2 5 3" xfId="6227" xr:uid="{00000000-0005-0000-0000-000063050000}"/>
    <cellStyle name="40% - Accent3 3 2 5 3 2" xfId="15553" xr:uid="{91DEF7C8-6B81-4F3A-BF99-B19FC73B70B1}"/>
    <cellStyle name="40% - Accent3 3 2 5 4" xfId="11336" xr:uid="{F4A324CE-6331-430F-956A-933AF8A81B28}"/>
    <cellStyle name="40% - Accent3 3 2 6" xfId="2334" xr:uid="{00000000-0005-0000-0000-000064050000}"/>
    <cellStyle name="40% - Accent3 3 2 6 2" xfId="6640" xr:uid="{00000000-0005-0000-0000-000065050000}"/>
    <cellStyle name="40% - Accent3 3 2 6 2 2" xfId="15966" xr:uid="{699AA664-4478-4E56-B685-C594B2290461}"/>
    <cellStyle name="40% - Accent3 3 2 6 3" xfId="11749" xr:uid="{5D7670CE-F80E-4D8C-A95F-1EF095ED799F}"/>
    <cellStyle name="40% - Accent3 3 2 7" xfId="4574" xr:uid="{00000000-0005-0000-0000-000066050000}"/>
    <cellStyle name="40% - Accent3 3 2 7 2" xfId="13900" xr:uid="{03FB36E4-962F-4416-A8D6-FD89EFD5F886}"/>
    <cellStyle name="40% - Accent3 3 2 8" xfId="9073" xr:uid="{0E71C752-2CF0-411D-A05E-4DA4A73CFC34}"/>
    <cellStyle name="40% - Accent3 3 2 9" xfId="9683" xr:uid="{C84F484E-4680-4A51-8BD4-A5F311FC539D}"/>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029C7713-291C-42A1-94DA-67BC5D9C68EC}"/>
    <cellStyle name="40% - Accent3 3 3 2 3" xfId="12241" xr:uid="{4827C9E2-DB6B-4BA1-AC61-D233DD2CC976}"/>
    <cellStyle name="40% - Accent3 3 3 3" xfId="4987" xr:uid="{00000000-0005-0000-0000-00006A050000}"/>
    <cellStyle name="40% - Accent3 3 3 3 2" xfId="14313" xr:uid="{D8BF5CFE-792E-449D-8D78-DAA11CC60320}"/>
    <cellStyle name="40% - Accent3 3 3 4" xfId="9291" xr:uid="{59AB3F6D-A8C6-4A37-A8E3-967850079A77}"/>
    <cellStyle name="40% - Accent3 3 3 5" xfId="10096" xr:uid="{19A21F75-8635-421C-8417-C9E55974AFC9}"/>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344522C4-95D3-4C38-82A6-D8922DFD344F}"/>
    <cellStyle name="40% - Accent3 3 4 2 3" xfId="12654" xr:uid="{B19F76B5-3F2C-4AFF-A258-F86C67EA98D1}"/>
    <cellStyle name="40% - Accent3 3 4 3" xfId="5400" xr:uid="{00000000-0005-0000-0000-00006E050000}"/>
    <cellStyle name="40% - Accent3 3 4 3 2" xfId="14726" xr:uid="{BC9E939B-75A1-4F0E-ABA1-EB2B8D73E9D9}"/>
    <cellStyle name="40% - Accent3 3 4 4" xfId="10509" xr:uid="{A676AD79-52E8-479B-A29E-391A2E631D12}"/>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0CC34A8D-1BE3-47F3-9C47-880C4786E9FE}"/>
    <cellStyle name="40% - Accent3 3 5 2 3" xfId="13067" xr:uid="{F5BC7C10-5F3C-49DB-91D0-931571CCF819}"/>
    <cellStyle name="40% - Accent3 3 5 3" xfId="5813" xr:uid="{00000000-0005-0000-0000-000072050000}"/>
    <cellStyle name="40% - Accent3 3 5 3 2" xfId="15139" xr:uid="{5F5A7F85-3B2C-4F6C-BA5F-E807EB5FAC97}"/>
    <cellStyle name="40% - Accent3 3 5 4" xfId="10922" xr:uid="{8D5A9A57-EBB9-462A-98B2-80305063AC17}"/>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F991D646-D650-4F0A-9CBF-A1DBBF4D8777}"/>
    <cellStyle name="40% - Accent3 3 6 2 3" xfId="13480" xr:uid="{5DF76000-E90E-4E48-AFE4-9C01DCD4D03B}"/>
    <cellStyle name="40% - Accent3 3 6 3" xfId="6226" xr:uid="{00000000-0005-0000-0000-000076050000}"/>
    <cellStyle name="40% - Accent3 3 6 3 2" xfId="15552" xr:uid="{4503363A-DA84-42E0-8B4D-4074352D7B1C}"/>
    <cellStyle name="40% - Accent3 3 6 4" xfId="11335" xr:uid="{7FD7DF38-09E3-4D89-8F4D-095BBF1B7DAF}"/>
    <cellStyle name="40% - Accent3 3 7" xfId="2333" xr:uid="{00000000-0005-0000-0000-000077050000}"/>
    <cellStyle name="40% - Accent3 3 7 2" xfId="6639" xr:uid="{00000000-0005-0000-0000-000078050000}"/>
    <cellStyle name="40% - Accent3 3 7 2 2" xfId="15965" xr:uid="{558F261E-29B5-466E-8847-F75540348E63}"/>
    <cellStyle name="40% - Accent3 3 7 3" xfId="11748" xr:uid="{42E4A4C7-B180-44A0-B042-510E1E31CDA1}"/>
    <cellStyle name="40% - Accent3 3 8" xfId="4573" xr:uid="{00000000-0005-0000-0000-000079050000}"/>
    <cellStyle name="40% - Accent3 3 8 2" xfId="13899" xr:uid="{6638DD56-EA40-4CCD-B1E4-023DD4836ADE}"/>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655997C2-D0CB-4E40-A461-DB4E558C8081}"/>
    <cellStyle name="40% - Accent3 4 2 2 3" xfId="12243" xr:uid="{C59C0D47-470F-4C56-A6C1-CCE90CD1901B}"/>
    <cellStyle name="40% - Accent3 4 2 3" xfId="4989" xr:uid="{00000000-0005-0000-0000-00007E050000}"/>
    <cellStyle name="40% - Accent3 4 2 3 2" xfId="14315" xr:uid="{B5A7F4A9-2856-4BC3-B143-A236B7B83536}"/>
    <cellStyle name="40% - Accent3 4 2 4" xfId="9377" xr:uid="{F4393833-4E73-4685-9332-CF918D5239A9}"/>
    <cellStyle name="40% - Accent3 4 2 5" xfId="10098" xr:uid="{9C5A39C2-A9F3-49F0-878B-D6DBCA8A6E34}"/>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2E28A2AD-6182-43CB-BAC1-1D9CC09D0C29}"/>
    <cellStyle name="40% - Accent3 4 3 2 3" xfId="12656" xr:uid="{1B7C6E0D-DB8A-4673-9879-1BEA53F5E16D}"/>
    <cellStyle name="40% - Accent3 4 3 3" xfId="5402" xr:uid="{00000000-0005-0000-0000-000082050000}"/>
    <cellStyle name="40% - Accent3 4 3 3 2" xfId="14728" xr:uid="{0E6D994B-F1F5-478F-BAB3-17532C018E3F}"/>
    <cellStyle name="40% - Accent3 4 3 4" xfId="10511" xr:uid="{9497DD17-C50A-4226-AED7-FF0691BC8D75}"/>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0006B9A8-366A-4CA6-BFB8-B26C1D28B248}"/>
    <cellStyle name="40% - Accent3 4 4 2 3" xfId="13069" xr:uid="{4D494D4A-6F74-4608-B50C-76A8EC56FD4F}"/>
    <cellStyle name="40% - Accent3 4 4 3" xfId="5815" xr:uid="{00000000-0005-0000-0000-000086050000}"/>
    <cellStyle name="40% - Accent3 4 4 3 2" xfId="15141" xr:uid="{70298833-FCDC-45A7-8F25-430AA077F8ED}"/>
    <cellStyle name="40% - Accent3 4 4 4" xfId="10924" xr:uid="{AC7DB7C5-5465-481A-AF3A-5A89F5943DF3}"/>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B5357F6E-FE15-463C-8B05-BE64E3D456A5}"/>
    <cellStyle name="40% - Accent3 4 5 2 3" xfId="13482" xr:uid="{3BA8C1CF-2748-42BF-BBB8-F81BACA9936D}"/>
    <cellStyle name="40% - Accent3 4 5 3" xfId="6228" xr:uid="{00000000-0005-0000-0000-00008A050000}"/>
    <cellStyle name="40% - Accent3 4 5 3 2" xfId="15554" xr:uid="{6EE67D7A-FE15-4B69-B03C-7D8C1CF90094}"/>
    <cellStyle name="40% - Accent3 4 5 4" xfId="11337" xr:uid="{1943C609-9F5C-4148-BDB6-19B792BDB19F}"/>
    <cellStyle name="40% - Accent3 4 6" xfId="2335" xr:uid="{00000000-0005-0000-0000-00008B050000}"/>
    <cellStyle name="40% - Accent3 4 6 2" xfId="6641" xr:uid="{00000000-0005-0000-0000-00008C050000}"/>
    <cellStyle name="40% - Accent3 4 6 2 2" xfId="15967" xr:uid="{E09AFA9C-1987-4236-85EB-792D52237A6E}"/>
    <cellStyle name="40% - Accent3 4 6 3" xfId="11750" xr:uid="{23A5CE8F-F7BB-4C9B-86B2-CC074FCF6452}"/>
    <cellStyle name="40% - Accent3 4 7" xfId="4575" xr:uid="{00000000-0005-0000-0000-00008D050000}"/>
    <cellStyle name="40% - Accent3 4 7 2" xfId="13901" xr:uid="{41DAE455-C7BC-4DD9-9BF2-A3A8C756C6D2}"/>
    <cellStyle name="40% - Accent3 4 8" xfId="8952" xr:uid="{74BF8F1E-4A34-4787-9BA1-0B97E446635F}"/>
    <cellStyle name="40% - Accent3 4 9" xfId="9684" xr:uid="{AC0F8959-E895-438B-9A11-2784957B5B1A}"/>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CCB0547A-236C-4D5F-B3F1-A50F75E4A1EC}"/>
    <cellStyle name="40% - Accent3 5 2 3" xfId="12236" xr:uid="{36F8B151-49B5-46AB-8858-5C68D792B020}"/>
    <cellStyle name="40% - Accent3 5 3" xfId="4982" xr:uid="{00000000-0005-0000-0000-000091050000}"/>
    <cellStyle name="40% - Accent3 5 3 2" xfId="14308" xr:uid="{0326FA52-49B7-4619-8952-97B2A2F95DD0}"/>
    <cellStyle name="40% - Accent3 5 4" xfId="9185" xr:uid="{526F025D-EBF7-4976-9E38-4C0631A2843B}"/>
    <cellStyle name="40% - Accent3 5 5" xfId="10091" xr:uid="{2A0A61B4-333D-4E8B-81CF-ED6D817EEA88}"/>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09C87DA2-1952-47D1-8547-370AD0E99E06}"/>
    <cellStyle name="40% - Accent3 6 2 3" xfId="12649" xr:uid="{91604CDA-4F36-45BC-BE44-4B79685069E1}"/>
    <cellStyle name="40% - Accent3 6 3" xfId="5395" xr:uid="{00000000-0005-0000-0000-000095050000}"/>
    <cellStyle name="40% - Accent3 6 3 2" xfId="14721" xr:uid="{15B9B18F-2A9B-4DA4-AD48-29643FE0BDCF}"/>
    <cellStyle name="40% - Accent3 6 4" xfId="10504" xr:uid="{C2505964-1ADB-47A1-9B62-495A3B78D7B2}"/>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3E3DE66D-13C1-4B7E-B72A-16F183134A94}"/>
    <cellStyle name="40% - Accent3 7 2 3" xfId="13062" xr:uid="{3BFF1B0B-267B-47F1-B274-E8AD78257D00}"/>
    <cellStyle name="40% - Accent3 7 3" xfId="5808" xr:uid="{00000000-0005-0000-0000-000099050000}"/>
    <cellStyle name="40% - Accent3 7 3 2" xfId="15134" xr:uid="{8FD2966F-ACCE-4B68-AD4C-26E17156033E}"/>
    <cellStyle name="40% - Accent3 7 4" xfId="10917" xr:uid="{425F88D8-706F-4154-AB68-A24CB1B00E06}"/>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B7218CEB-C193-4673-9207-565937141227}"/>
    <cellStyle name="40% - Accent3 8 2 3" xfId="13475" xr:uid="{55608B78-21A6-46EE-867F-071AADAAA5EF}"/>
    <cellStyle name="40% - Accent3 8 3" xfId="6221" xr:uid="{00000000-0005-0000-0000-00009D050000}"/>
    <cellStyle name="40% - Accent3 8 3 2" xfId="15547" xr:uid="{33F07E75-F4DB-4A5D-BF50-8572EDED35B4}"/>
    <cellStyle name="40% - Accent3 8 4" xfId="11330" xr:uid="{8C151905-094B-4751-9725-369323E266AE}"/>
    <cellStyle name="40% - Accent3 9" xfId="2328" xr:uid="{00000000-0005-0000-0000-00009E050000}"/>
    <cellStyle name="40% - Accent3 9 2" xfId="6634" xr:uid="{00000000-0005-0000-0000-00009F050000}"/>
    <cellStyle name="40% - Accent3 9 2 2" xfId="15960" xr:uid="{EED7F0E3-334A-4192-8DFA-CB09372C6B68}"/>
    <cellStyle name="40% - Accent3 9 3" xfId="11743" xr:uid="{F6F54DE4-F575-40D5-B3CE-F2CE27CCD1C7}"/>
    <cellStyle name="40% - Accent4" xfId="73" builtinId="43" customBuiltin="1"/>
    <cellStyle name="40% - Accent4 10" xfId="4576" xr:uid="{00000000-0005-0000-0000-0000A1050000}"/>
    <cellStyle name="40% - Accent4 10 2" xfId="13902" xr:uid="{EF1B6129-B8BA-4D30-B48B-08430E0FC3AF}"/>
    <cellStyle name="40% - Accent4 11" xfId="8765" xr:uid="{18B6B6D6-5043-43D1-BB02-3855BF7027C3}"/>
    <cellStyle name="40% - Accent4 12" xfId="9685" xr:uid="{D70545CE-78A4-432D-89DF-A7BA9CFF6509}"/>
    <cellStyle name="40% - Accent4 2" xfId="74" xr:uid="{00000000-0005-0000-0000-0000A2050000}"/>
    <cellStyle name="40% - Accent4 2 10" xfId="8801" xr:uid="{223FCC58-A05E-4022-8080-E75A80678FA6}"/>
    <cellStyle name="40% - Accent4 2 11" xfId="9686" xr:uid="{E7CC3EAD-EAE8-49FD-B98E-9E4B0EDA319F}"/>
    <cellStyle name="40% - Accent4 2 2" xfId="75" xr:uid="{00000000-0005-0000-0000-0000A3050000}"/>
    <cellStyle name="40% - Accent4 2 2 10" xfId="9687" xr:uid="{420E89A2-FA28-4F64-8E2C-FAD0CA2AEEC2}"/>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849C0C2A-7103-4BA1-9EFF-A3FCDBE99806}"/>
    <cellStyle name="40% - Accent4 2 2 2 2 2 3" xfId="12247" xr:uid="{831E53B9-4C32-45D0-8C69-3B60567DCEBC}"/>
    <cellStyle name="40% - Accent4 2 2 2 2 3" xfId="4993" xr:uid="{00000000-0005-0000-0000-0000A8050000}"/>
    <cellStyle name="40% - Accent4 2 2 2 2 3 2" xfId="14319" xr:uid="{D80ACE61-2F1D-4F5B-A3A3-385CA6714F2C}"/>
    <cellStyle name="40% - Accent4 2 2 2 2 4" xfId="9536" xr:uid="{4351D24F-CE30-4CFD-968F-4B882F0FC9B5}"/>
    <cellStyle name="40% - Accent4 2 2 2 2 5" xfId="10102" xr:uid="{08333293-8D0E-4EA8-A4A6-042A1587DC6D}"/>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1757A240-ED5C-4123-A6E3-92830F555F99}"/>
    <cellStyle name="40% - Accent4 2 2 2 3 2 3" xfId="12660" xr:uid="{0182ABC2-2DFA-4564-A1F4-0136BF0B6ADF}"/>
    <cellStyle name="40% - Accent4 2 2 2 3 3" xfId="5406" xr:uid="{00000000-0005-0000-0000-0000AC050000}"/>
    <cellStyle name="40% - Accent4 2 2 2 3 3 2" xfId="14732" xr:uid="{6981D21C-7697-4C73-8C58-92BF5C185590}"/>
    <cellStyle name="40% - Accent4 2 2 2 3 4" xfId="10515" xr:uid="{D6CA65F3-5993-476B-A626-DCC3C1E9691A}"/>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AB0B6C93-1E2B-4DE5-9254-FF8B507CC3CF}"/>
    <cellStyle name="40% - Accent4 2 2 2 4 2 3" xfId="13073" xr:uid="{90E186F3-16BA-4F50-82CD-32DFFE4A40BF}"/>
    <cellStyle name="40% - Accent4 2 2 2 4 3" xfId="5819" xr:uid="{00000000-0005-0000-0000-0000B0050000}"/>
    <cellStyle name="40% - Accent4 2 2 2 4 3 2" xfId="15145" xr:uid="{49077324-4D78-41C8-9528-0FD6A8208D8B}"/>
    <cellStyle name="40% - Accent4 2 2 2 4 4" xfId="10928" xr:uid="{CE5D543B-9D03-4141-85C6-166DECEAB235}"/>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F308244B-36EB-412E-87FB-B9F900A299B3}"/>
    <cellStyle name="40% - Accent4 2 2 2 5 2 3" xfId="13486" xr:uid="{052B5B80-131E-48F0-822B-EFBEC5F61365}"/>
    <cellStyle name="40% - Accent4 2 2 2 5 3" xfId="6232" xr:uid="{00000000-0005-0000-0000-0000B4050000}"/>
    <cellStyle name="40% - Accent4 2 2 2 5 3 2" xfId="15558" xr:uid="{1DA6AACD-F0A1-4985-9A87-C65B064D3496}"/>
    <cellStyle name="40% - Accent4 2 2 2 5 4" xfId="11341" xr:uid="{6F132910-4D0F-45C1-AB64-D889BB78C4AC}"/>
    <cellStyle name="40% - Accent4 2 2 2 6" xfId="2339" xr:uid="{00000000-0005-0000-0000-0000B5050000}"/>
    <cellStyle name="40% - Accent4 2 2 2 6 2" xfId="6645" xr:uid="{00000000-0005-0000-0000-0000B6050000}"/>
    <cellStyle name="40% - Accent4 2 2 2 6 2 2" xfId="15971" xr:uid="{EF963102-7C6F-4868-8518-D740A980C37C}"/>
    <cellStyle name="40% - Accent4 2 2 2 6 3" xfId="11754" xr:uid="{B28C00C5-BA7A-4285-8F7D-B50C533ADC6C}"/>
    <cellStyle name="40% - Accent4 2 2 2 7" xfId="4579" xr:uid="{00000000-0005-0000-0000-0000B7050000}"/>
    <cellStyle name="40% - Accent4 2 2 2 7 2" xfId="13905" xr:uid="{AAC10641-14E8-409B-9330-8C8FDC12AC9D}"/>
    <cellStyle name="40% - Accent4 2 2 2 8" xfId="9111" xr:uid="{1DD86F12-0D11-497C-88D9-78D90E1EF65F}"/>
    <cellStyle name="40% - Accent4 2 2 2 9" xfId="9688" xr:uid="{52FFF7F6-4C81-469E-8AF6-945945BC830D}"/>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912B0E4D-AA90-44CF-84AE-31A45933F15C}"/>
    <cellStyle name="40% - Accent4 2 2 3 2 3" xfId="12246" xr:uid="{5793C501-894F-40FF-9C7A-89EBF80FFD51}"/>
    <cellStyle name="40% - Accent4 2 2 3 3" xfId="4992" xr:uid="{00000000-0005-0000-0000-0000BB050000}"/>
    <cellStyle name="40% - Accent4 2 2 3 3 2" xfId="14318" xr:uid="{0BBC5605-21AC-4C40-ACBD-9C508F5C28D9}"/>
    <cellStyle name="40% - Accent4 2 2 3 4" xfId="9329" xr:uid="{62CB3536-9FC4-4DBF-9121-AD0025D891C9}"/>
    <cellStyle name="40% - Accent4 2 2 3 5" xfId="10101" xr:uid="{C7483CA5-7D34-4CE7-9F92-90D295FD6C70}"/>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A574819D-560B-4076-B13F-0AC360FC5DC6}"/>
    <cellStyle name="40% - Accent4 2 2 4 2 3" xfId="12659" xr:uid="{B4B0ABEE-20A6-4EA7-A58E-9DD905D9212F}"/>
    <cellStyle name="40% - Accent4 2 2 4 3" xfId="5405" xr:uid="{00000000-0005-0000-0000-0000BF050000}"/>
    <cellStyle name="40% - Accent4 2 2 4 3 2" xfId="14731" xr:uid="{1FFA03F9-6CDB-4248-9410-702160C6DB01}"/>
    <cellStyle name="40% - Accent4 2 2 4 4" xfId="10514" xr:uid="{70189AE3-8AF3-49CE-BC16-B05A9855D173}"/>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6342A6F4-AA45-4DF3-9E14-CD40613A5A63}"/>
    <cellStyle name="40% - Accent4 2 2 5 2 3" xfId="13072" xr:uid="{631E3955-6B38-44CA-8441-3CD6C417D93A}"/>
    <cellStyle name="40% - Accent4 2 2 5 3" xfId="5818" xr:uid="{00000000-0005-0000-0000-0000C3050000}"/>
    <cellStyle name="40% - Accent4 2 2 5 3 2" xfId="15144" xr:uid="{9AC6FCFD-5060-42B8-BC3F-30EFF1C62BD2}"/>
    <cellStyle name="40% - Accent4 2 2 5 4" xfId="10927" xr:uid="{5D3A2373-016E-4818-830C-F2F8AE814CA5}"/>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E258710F-D01A-4CFA-A1AC-A8F0442FC5DE}"/>
    <cellStyle name="40% - Accent4 2 2 6 2 3" xfId="13485" xr:uid="{1AC5A2C3-155B-4935-86AA-F5E7778CF6CF}"/>
    <cellStyle name="40% - Accent4 2 2 6 3" xfId="6231" xr:uid="{00000000-0005-0000-0000-0000C7050000}"/>
    <cellStyle name="40% - Accent4 2 2 6 3 2" xfId="15557" xr:uid="{E2582CC0-D3AA-4F17-990D-20B523F1A388}"/>
    <cellStyle name="40% - Accent4 2 2 6 4" xfId="11340" xr:uid="{ABB443BB-C7C7-4D9B-9842-3BA8AC908B71}"/>
    <cellStyle name="40% - Accent4 2 2 7" xfId="2338" xr:uid="{00000000-0005-0000-0000-0000C8050000}"/>
    <cellStyle name="40% - Accent4 2 2 7 2" xfId="6644" xr:uid="{00000000-0005-0000-0000-0000C9050000}"/>
    <cellStyle name="40% - Accent4 2 2 7 2 2" xfId="15970" xr:uid="{6967DBB5-277F-4891-809E-BD6B0305E7B7}"/>
    <cellStyle name="40% - Accent4 2 2 7 3" xfId="11753" xr:uid="{BB851674-4EB9-4335-B292-1F6CF47FB017}"/>
    <cellStyle name="40% - Accent4 2 2 8" xfId="4578" xr:uid="{00000000-0005-0000-0000-0000CA050000}"/>
    <cellStyle name="40% - Accent4 2 2 8 2" xfId="13904" xr:uid="{EDE42A87-8F68-4FCC-8304-BC0E9D03B212}"/>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99B55F74-99E0-45FC-B84D-13A03DC5861D}"/>
    <cellStyle name="40% - Accent4 2 3 2 2 3" xfId="12248" xr:uid="{EA32A244-D23A-4A70-BA3C-B50987392486}"/>
    <cellStyle name="40% - Accent4 2 3 2 3" xfId="4994" xr:uid="{00000000-0005-0000-0000-0000CF050000}"/>
    <cellStyle name="40% - Accent4 2 3 2 3 2" xfId="14320" xr:uid="{407CC349-DF8F-47E1-95EA-A551FE1D6433}"/>
    <cellStyle name="40% - Accent4 2 3 2 4" xfId="9433" xr:uid="{058786D1-7E7D-40D9-9218-B4C7219F4E53}"/>
    <cellStyle name="40% - Accent4 2 3 2 5" xfId="10103" xr:uid="{4C78166D-9FFD-4BB4-979C-A5FDCB6AFC22}"/>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1DF10CE2-73C8-4550-B60E-7EEFF09ACD2E}"/>
    <cellStyle name="40% - Accent4 2 3 3 2 3" xfId="12661" xr:uid="{3F6C8AC5-11CC-44FF-97D5-EFF0DBDF8A61}"/>
    <cellStyle name="40% - Accent4 2 3 3 3" xfId="5407" xr:uid="{00000000-0005-0000-0000-0000D3050000}"/>
    <cellStyle name="40% - Accent4 2 3 3 3 2" xfId="14733" xr:uid="{B5540AF6-1845-452A-B103-82A2F2DC7735}"/>
    <cellStyle name="40% - Accent4 2 3 3 4" xfId="10516" xr:uid="{AD62AE7F-ACB0-48F5-9D8F-89007884E671}"/>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4F963AA7-2355-4E87-A7F3-0ED96581DAA8}"/>
    <cellStyle name="40% - Accent4 2 3 4 2 3" xfId="13074" xr:uid="{B11DDD18-70F2-47E2-85A4-A74967ADCC8D}"/>
    <cellStyle name="40% - Accent4 2 3 4 3" xfId="5820" xr:uid="{00000000-0005-0000-0000-0000D7050000}"/>
    <cellStyle name="40% - Accent4 2 3 4 3 2" xfId="15146" xr:uid="{D940AABC-F737-4C16-BCF4-67D63CEBD19D}"/>
    <cellStyle name="40% - Accent4 2 3 4 4" xfId="10929" xr:uid="{65D0FBE3-2B56-4DA2-BB56-CA109CA98DD8}"/>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4B91A500-28B8-4766-AACB-DCC0BA3CC52A}"/>
    <cellStyle name="40% - Accent4 2 3 5 2 3" xfId="13487" xr:uid="{EEE371D2-26F1-4771-8E0E-68880D13FC97}"/>
    <cellStyle name="40% - Accent4 2 3 5 3" xfId="6233" xr:uid="{00000000-0005-0000-0000-0000DB050000}"/>
    <cellStyle name="40% - Accent4 2 3 5 3 2" xfId="15559" xr:uid="{9B51314A-B7E8-4E0D-AE71-30F5D5B97CE4}"/>
    <cellStyle name="40% - Accent4 2 3 5 4" xfId="11342" xr:uid="{C6948CB0-D967-48FD-A855-011DE9B92149}"/>
    <cellStyle name="40% - Accent4 2 3 6" xfId="2340" xr:uid="{00000000-0005-0000-0000-0000DC050000}"/>
    <cellStyle name="40% - Accent4 2 3 6 2" xfId="6646" xr:uid="{00000000-0005-0000-0000-0000DD050000}"/>
    <cellStyle name="40% - Accent4 2 3 6 2 2" xfId="15972" xr:uid="{8FFDA399-183D-4D24-A287-B59E539C2578}"/>
    <cellStyle name="40% - Accent4 2 3 6 3" xfId="11755" xr:uid="{103B6DBD-6821-4474-9525-C8A5045FD578}"/>
    <cellStyle name="40% - Accent4 2 3 7" xfId="4580" xr:uid="{00000000-0005-0000-0000-0000DE050000}"/>
    <cellStyle name="40% - Accent4 2 3 7 2" xfId="13906" xr:uid="{ABC07165-9138-4C33-83CB-99DF5A42B8BD}"/>
    <cellStyle name="40% - Accent4 2 3 8" xfId="9008" xr:uid="{270F4CAB-C86F-4D9D-804F-69497913908B}"/>
    <cellStyle name="40% - Accent4 2 3 9" xfId="9689" xr:uid="{57A8190F-B4D0-4C9A-AF6F-24BBDE6F5332}"/>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DD25A763-557F-4ED5-BEDC-93EF9E04E975}"/>
    <cellStyle name="40% - Accent4 2 4 2 3" xfId="12245" xr:uid="{C8B90893-FD97-4551-8D54-A0D9EE224768}"/>
    <cellStyle name="40% - Accent4 2 4 3" xfId="4991" xr:uid="{00000000-0005-0000-0000-0000E2050000}"/>
    <cellStyle name="40% - Accent4 2 4 3 2" xfId="14317" xr:uid="{B460FC94-E52B-4D41-BF3D-5B71CD444C92}"/>
    <cellStyle name="40% - Accent4 2 4 4" xfId="9225" xr:uid="{40EEB981-54C4-40E4-A2F9-BCD479248D23}"/>
    <cellStyle name="40% - Accent4 2 4 5" xfId="10100" xr:uid="{F1B98AD8-0D48-4FD0-B93F-C3C5B8BCD0D4}"/>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18D7FA80-A1E9-4442-ADC6-7E6C04364F75}"/>
    <cellStyle name="40% - Accent4 2 5 2 3" xfId="12658" xr:uid="{1646A6CB-073A-43A2-BB0B-F67B14976FFF}"/>
    <cellStyle name="40% - Accent4 2 5 3" xfId="5404" xr:uid="{00000000-0005-0000-0000-0000E6050000}"/>
    <cellStyle name="40% - Accent4 2 5 3 2" xfId="14730" xr:uid="{0C656161-54AE-4D4C-AD10-C9B523C4415E}"/>
    <cellStyle name="40% - Accent4 2 5 4" xfId="10513" xr:uid="{56311ACA-C9E0-4C44-8B4B-0110757DF7D3}"/>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65ABBC9F-FD83-47AD-A2FF-57581AE9BC3B}"/>
    <cellStyle name="40% - Accent4 2 6 2 3" xfId="13071" xr:uid="{0351FD1E-F91D-4732-ABD3-9BC43C44E1C8}"/>
    <cellStyle name="40% - Accent4 2 6 3" xfId="5817" xr:uid="{00000000-0005-0000-0000-0000EA050000}"/>
    <cellStyle name="40% - Accent4 2 6 3 2" xfId="15143" xr:uid="{7F4A1744-2A71-4B06-B80F-F484DEB78484}"/>
    <cellStyle name="40% - Accent4 2 6 4" xfId="10926" xr:uid="{723EBFFA-34A6-446E-94A7-07A2911B7A65}"/>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E28068F1-9B5D-481E-A8FF-D03EB05C9F3B}"/>
    <cellStyle name="40% - Accent4 2 7 2 3" xfId="13484" xr:uid="{CC082377-E64E-4A64-8E4D-2D06424FFF0E}"/>
    <cellStyle name="40% - Accent4 2 7 3" xfId="6230" xr:uid="{00000000-0005-0000-0000-0000EE050000}"/>
    <cellStyle name="40% - Accent4 2 7 3 2" xfId="15556" xr:uid="{FE2C377F-EBC3-40AE-A65A-55DD4D141D71}"/>
    <cellStyle name="40% - Accent4 2 7 4" xfId="11339" xr:uid="{9591BEB5-49A0-4F6E-8ADC-A9E094EC47B3}"/>
    <cellStyle name="40% - Accent4 2 8" xfId="2337" xr:uid="{00000000-0005-0000-0000-0000EF050000}"/>
    <cellStyle name="40% - Accent4 2 8 2" xfId="6643" xr:uid="{00000000-0005-0000-0000-0000F0050000}"/>
    <cellStyle name="40% - Accent4 2 8 2 2" xfId="15969" xr:uid="{55A22E47-B313-4206-9B4A-AC15AA813DB4}"/>
    <cellStyle name="40% - Accent4 2 8 3" xfId="11752" xr:uid="{E4253201-54A4-4C79-81D8-750D36056D0B}"/>
    <cellStyle name="40% - Accent4 2 9" xfId="4577" xr:uid="{00000000-0005-0000-0000-0000F1050000}"/>
    <cellStyle name="40% - Accent4 2 9 2" xfId="13903" xr:uid="{F8E08C02-870F-43ED-AC58-BD916970B2EF}"/>
    <cellStyle name="40% - Accent4 3" xfId="78" xr:uid="{00000000-0005-0000-0000-0000F2050000}"/>
    <cellStyle name="40% - Accent4 3 10" xfId="9690" xr:uid="{ABC62456-EC45-4E43-9AD9-FE44137FC949}"/>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A70C67C3-849F-48B9-B5F4-350FFC926876}"/>
    <cellStyle name="40% - Accent4 3 2 2 2 3" xfId="12250" xr:uid="{AE1B2986-A3CB-4A84-93A6-8CB1E4436AEE}"/>
    <cellStyle name="40% - Accent4 3 2 2 3" xfId="4996" xr:uid="{00000000-0005-0000-0000-0000F7050000}"/>
    <cellStyle name="40% - Accent4 3 2 2 3 2" xfId="14322" xr:uid="{98C01A80-68C0-48AB-9EB9-40C47C1D4562}"/>
    <cellStyle name="40% - Accent4 3 2 2 4" xfId="9500" xr:uid="{EAAAC99F-A3A1-40FB-B78D-6862EF121B7A}"/>
    <cellStyle name="40% - Accent4 3 2 2 5" xfId="10105" xr:uid="{59439D01-0E52-4CC9-BA48-35814AC91305}"/>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DE72011B-F9BF-48AF-B661-511FA44A58E9}"/>
    <cellStyle name="40% - Accent4 3 2 3 2 3" xfId="12663" xr:uid="{5F605CC7-7549-426B-BCC0-EDAEAAC31CB6}"/>
    <cellStyle name="40% - Accent4 3 2 3 3" xfId="5409" xr:uid="{00000000-0005-0000-0000-0000FB050000}"/>
    <cellStyle name="40% - Accent4 3 2 3 3 2" xfId="14735" xr:uid="{CA465201-D7F9-4A99-B59E-B2A709A7A195}"/>
    <cellStyle name="40% - Accent4 3 2 3 4" xfId="10518" xr:uid="{C7C1E07C-7B91-4EA4-B6C1-97B953D9CCA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AF75193E-E2C0-4633-A581-B58223E0F416}"/>
    <cellStyle name="40% - Accent4 3 2 4 2 3" xfId="13076" xr:uid="{BB15A9C6-0E8E-4338-A0A3-ACBD408F138F}"/>
    <cellStyle name="40% - Accent4 3 2 4 3" xfId="5822" xr:uid="{00000000-0005-0000-0000-0000FF050000}"/>
    <cellStyle name="40% - Accent4 3 2 4 3 2" xfId="15148" xr:uid="{B7203AAA-4808-4848-A118-5C7C89FC90A1}"/>
    <cellStyle name="40% - Accent4 3 2 4 4" xfId="10931" xr:uid="{1735CD8F-54E6-4E70-9230-A7B2DD982290}"/>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344F4311-A593-415B-89A0-B9B539C4FA6E}"/>
    <cellStyle name="40% - Accent4 3 2 5 2 3" xfId="13489" xr:uid="{51C03C67-01A7-4143-BD41-BF396E587197}"/>
    <cellStyle name="40% - Accent4 3 2 5 3" xfId="6235" xr:uid="{00000000-0005-0000-0000-000003060000}"/>
    <cellStyle name="40% - Accent4 3 2 5 3 2" xfId="15561" xr:uid="{2BC21DE0-F23D-4A73-9894-72105B4214C5}"/>
    <cellStyle name="40% - Accent4 3 2 5 4" xfId="11344" xr:uid="{232A6499-217E-48DE-8620-9479FEDE2300}"/>
    <cellStyle name="40% - Accent4 3 2 6" xfId="2342" xr:uid="{00000000-0005-0000-0000-000004060000}"/>
    <cellStyle name="40% - Accent4 3 2 6 2" xfId="6648" xr:uid="{00000000-0005-0000-0000-000005060000}"/>
    <cellStyle name="40% - Accent4 3 2 6 2 2" xfId="15974" xr:uid="{626D3A84-A8F4-432C-A92F-FC4C0C2B1B4D}"/>
    <cellStyle name="40% - Accent4 3 2 6 3" xfId="11757" xr:uid="{BEA96AAF-0925-4844-993B-CCB41699083D}"/>
    <cellStyle name="40% - Accent4 3 2 7" xfId="4582" xr:uid="{00000000-0005-0000-0000-000006060000}"/>
    <cellStyle name="40% - Accent4 3 2 7 2" xfId="13908" xr:uid="{FDF352AE-BC86-4BC5-8D4D-FAF06F5AFE2E}"/>
    <cellStyle name="40% - Accent4 3 2 8" xfId="9075" xr:uid="{6C51FF47-5618-4E1E-BC97-01FFF287A6C3}"/>
    <cellStyle name="40% - Accent4 3 2 9" xfId="9691" xr:uid="{6BDDF3E1-3E04-4B60-BCD4-DE62FFDCF9C3}"/>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BB0EE946-9DDE-4E3C-AC35-218526EFDABC}"/>
    <cellStyle name="40% - Accent4 3 3 2 3" xfId="12249" xr:uid="{04DCFAD7-B12B-4B76-BDB0-BF21D05F9C40}"/>
    <cellStyle name="40% - Accent4 3 3 3" xfId="4995" xr:uid="{00000000-0005-0000-0000-00000A060000}"/>
    <cellStyle name="40% - Accent4 3 3 3 2" xfId="14321" xr:uid="{67F32F7B-C96D-4712-803E-5043AF05EF4A}"/>
    <cellStyle name="40% - Accent4 3 3 4" xfId="9293" xr:uid="{4A28D7F5-3617-45DC-A350-6C6596CDA765}"/>
    <cellStyle name="40% - Accent4 3 3 5" xfId="10104" xr:uid="{39DE8F8A-21BA-46CA-84C3-965BF5F60430}"/>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BBBED582-0598-41CE-A365-D67146A10615}"/>
    <cellStyle name="40% - Accent4 3 4 2 3" xfId="12662" xr:uid="{2A37D8CF-CA76-4CD5-9D4E-8F744D4E0927}"/>
    <cellStyle name="40% - Accent4 3 4 3" xfId="5408" xr:uid="{00000000-0005-0000-0000-00000E060000}"/>
    <cellStyle name="40% - Accent4 3 4 3 2" xfId="14734" xr:uid="{85216AFC-B226-4A55-8E2F-7B803D434D30}"/>
    <cellStyle name="40% - Accent4 3 4 4" xfId="10517" xr:uid="{A014274F-2624-4864-AC70-221176E4630F}"/>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E43E2CC4-B682-4810-A920-0CEC26840C8D}"/>
    <cellStyle name="40% - Accent4 3 5 2 3" xfId="13075" xr:uid="{93200EF3-6A57-4F4E-8495-F6CB0A5A74C7}"/>
    <cellStyle name="40% - Accent4 3 5 3" xfId="5821" xr:uid="{00000000-0005-0000-0000-000012060000}"/>
    <cellStyle name="40% - Accent4 3 5 3 2" xfId="15147" xr:uid="{BBBC58E8-B24F-4DF0-958E-FA093F6E5811}"/>
    <cellStyle name="40% - Accent4 3 5 4" xfId="10930" xr:uid="{FD36765E-C88A-4AD4-9407-A6BCF8C9B122}"/>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8566A025-E0C5-4EF0-B8BD-79139E554AC5}"/>
    <cellStyle name="40% - Accent4 3 6 2 3" xfId="13488" xr:uid="{47710047-7F84-43E7-9414-0786E000F1E4}"/>
    <cellStyle name="40% - Accent4 3 6 3" xfId="6234" xr:uid="{00000000-0005-0000-0000-000016060000}"/>
    <cellStyle name="40% - Accent4 3 6 3 2" xfId="15560" xr:uid="{2BCD0AB3-FCA2-42A4-94DF-FE631A088C68}"/>
    <cellStyle name="40% - Accent4 3 6 4" xfId="11343" xr:uid="{9E83B164-BE51-4709-83A1-C892AF867C1C}"/>
    <cellStyle name="40% - Accent4 3 7" xfId="2341" xr:uid="{00000000-0005-0000-0000-000017060000}"/>
    <cellStyle name="40% - Accent4 3 7 2" xfId="6647" xr:uid="{00000000-0005-0000-0000-000018060000}"/>
    <cellStyle name="40% - Accent4 3 7 2 2" xfId="15973" xr:uid="{33A2A243-91A1-43E1-A407-EB3A65D7FB9D}"/>
    <cellStyle name="40% - Accent4 3 7 3" xfId="11756" xr:uid="{5ABFEFB5-70AA-4F28-9DAE-AA24B4ECFE1B}"/>
    <cellStyle name="40% - Accent4 3 8" xfId="4581" xr:uid="{00000000-0005-0000-0000-000019060000}"/>
    <cellStyle name="40% - Accent4 3 8 2" xfId="13907" xr:uid="{A46717AE-7A12-4EC9-934F-996859D1A615}"/>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FF4B2A44-C387-44EA-8A27-44D59F0DC4C5}"/>
    <cellStyle name="40% - Accent4 4 2 2 3" xfId="12251" xr:uid="{70172E87-BCE0-4D62-8F69-730263E7AEAA}"/>
    <cellStyle name="40% - Accent4 4 2 3" xfId="4997" xr:uid="{00000000-0005-0000-0000-00001E060000}"/>
    <cellStyle name="40% - Accent4 4 2 3 2" xfId="14323" xr:uid="{001FBCE7-AAC5-4140-8230-5D92996711A3}"/>
    <cellStyle name="40% - Accent4 4 2 4" xfId="9379" xr:uid="{EE31EAE0-1741-4D6E-B7B4-C5DB59044F55}"/>
    <cellStyle name="40% - Accent4 4 2 5" xfId="10106" xr:uid="{9CFBB079-6C92-451E-A984-ED10069B77C2}"/>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52214239-BA16-4EB3-B78E-A03F9A32B0E8}"/>
    <cellStyle name="40% - Accent4 4 3 2 3" xfId="12664" xr:uid="{A33D60F9-7F2A-4475-974F-3386500FF206}"/>
    <cellStyle name="40% - Accent4 4 3 3" xfId="5410" xr:uid="{00000000-0005-0000-0000-000022060000}"/>
    <cellStyle name="40% - Accent4 4 3 3 2" xfId="14736" xr:uid="{0CDF0F60-B23C-44C8-B14B-185F75A34C7B}"/>
    <cellStyle name="40% - Accent4 4 3 4" xfId="10519" xr:uid="{FA9E3763-5464-41A8-A76B-AA3F9C25FEA0}"/>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E854F080-6EA9-481F-A020-D337DBF1B78C}"/>
    <cellStyle name="40% - Accent4 4 4 2 3" xfId="13077" xr:uid="{3ADAE4B7-0814-4D49-80CF-AF680DEF2D1E}"/>
    <cellStyle name="40% - Accent4 4 4 3" xfId="5823" xr:uid="{00000000-0005-0000-0000-000026060000}"/>
    <cellStyle name="40% - Accent4 4 4 3 2" xfId="15149" xr:uid="{FBC192AD-8E3E-44DC-91A2-664D1F08F6C8}"/>
    <cellStyle name="40% - Accent4 4 4 4" xfId="10932" xr:uid="{934C7493-CD69-4098-97D9-3B40E5BC7EF2}"/>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0944010E-CAB4-401E-9C79-2A002B33DD61}"/>
    <cellStyle name="40% - Accent4 4 5 2 3" xfId="13490" xr:uid="{0D8C64F0-25A3-48FF-9E05-43F8CF409DBA}"/>
    <cellStyle name="40% - Accent4 4 5 3" xfId="6236" xr:uid="{00000000-0005-0000-0000-00002A060000}"/>
    <cellStyle name="40% - Accent4 4 5 3 2" xfId="15562" xr:uid="{40604EAC-2D91-491B-8828-359DC50F2E59}"/>
    <cellStyle name="40% - Accent4 4 5 4" xfId="11345" xr:uid="{62D24EA9-AA56-44C3-A4FC-4336632DE0D3}"/>
    <cellStyle name="40% - Accent4 4 6" xfId="2343" xr:uid="{00000000-0005-0000-0000-00002B060000}"/>
    <cellStyle name="40% - Accent4 4 6 2" xfId="6649" xr:uid="{00000000-0005-0000-0000-00002C060000}"/>
    <cellStyle name="40% - Accent4 4 6 2 2" xfId="15975" xr:uid="{4C713635-F8E8-4243-945D-8F196742C1B7}"/>
    <cellStyle name="40% - Accent4 4 6 3" xfId="11758" xr:uid="{412AB916-7D0C-4F03-98C5-DC19B39F34E2}"/>
    <cellStyle name="40% - Accent4 4 7" xfId="4583" xr:uid="{00000000-0005-0000-0000-00002D060000}"/>
    <cellStyle name="40% - Accent4 4 7 2" xfId="13909" xr:uid="{C7DA3466-D16A-4A08-B54C-2A500012D6D3}"/>
    <cellStyle name="40% - Accent4 4 8" xfId="8954" xr:uid="{2C178683-58B3-4513-85E7-15FAC3AC035D}"/>
    <cellStyle name="40% - Accent4 4 9" xfId="9692" xr:uid="{42A1BC64-97F7-46FE-AB38-32EDA4E771C7}"/>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C3B6739E-5D5D-4A17-8E04-B3D14D757362}"/>
    <cellStyle name="40% - Accent4 5 2 3" xfId="12244" xr:uid="{7ACB118C-B435-4FFF-931B-F736DD52207D}"/>
    <cellStyle name="40% - Accent4 5 3" xfId="4990" xr:uid="{00000000-0005-0000-0000-000031060000}"/>
    <cellStyle name="40% - Accent4 5 3 2" xfId="14316" xr:uid="{668CAA09-99E3-497C-A06E-506F20996B4B}"/>
    <cellStyle name="40% - Accent4 5 4" xfId="9187" xr:uid="{33022C89-0CDD-4091-8005-358F63FF8F46}"/>
    <cellStyle name="40% - Accent4 5 5" xfId="10099" xr:uid="{7685237E-BCA6-4BA5-9851-66831D717847}"/>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A204B15B-1001-4732-8B46-DA84C662C12D}"/>
    <cellStyle name="40% - Accent4 6 2 3" xfId="12657" xr:uid="{EF9B90A9-E082-4D11-A45A-071F1AA829B5}"/>
    <cellStyle name="40% - Accent4 6 3" xfId="5403" xr:uid="{00000000-0005-0000-0000-000035060000}"/>
    <cellStyle name="40% - Accent4 6 3 2" xfId="14729" xr:uid="{A10C61F0-1112-4596-8523-E542413A040B}"/>
    <cellStyle name="40% - Accent4 6 4" xfId="10512" xr:uid="{B67DFADA-4467-46C8-ACC6-4F90A5772815}"/>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F8960574-409E-414A-8653-ACAAEB620F64}"/>
    <cellStyle name="40% - Accent4 7 2 3" xfId="13070" xr:uid="{9BBC0854-3CC8-4F5A-8330-CEF46E59B763}"/>
    <cellStyle name="40% - Accent4 7 3" xfId="5816" xr:uid="{00000000-0005-0000-0000-000039060000}"/>
    <cellStyle name="40% - Accent4 7 3 2" xfId="15142" xr:uid="{A8544827-A21F-4375-9E73-981AC8721374}"/>
    <cellStyle name="40% - Accent4 7 4" xfId="10925" xr:uid="{F2768839-918D-4921-B315-09BCC185EB2D}"/>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A3C6C29C-DB4D-482C-8973-BDB58075BE1C}"/>
    <cellStyle name="40% - Accent4 8 2 3" xfId="13483" xr:uid="{F51F9813-627A-4FAB-9925-ABBF76F8232E}"/>
    <cellStyle name="40% - Accent4 8 3" xfId="6229" xr:uid="{00000000-0005-0000-0000-00003D060000}"/>
    <cellStyle name="40% - Accent4 8 3 2" xfId="15555" xr:uid="{B7FFF102-4FA6-4F90-88E6-688731ECB039}"/>
    <cellStyle name="40% - Accent4 8 4" xfId="11338" xr:uid="{B95FF4FE-1A2C-4B95-8E0B-93A74048BAF4}"/>
    <cellStyle name="40% - Accent4 9" xfId="2336" xr:uid="{00000000-0005-0000-0000-00003E060000}"/>
    <cellStyle name="40% - Accent4 9 2" xfId="6642" xr:uid="{00000000-0005-0000-0000-00003F060000}"/>
    <cellStyle name="40% - Accent4 9 2 2" xfId="15968" xr:uid="{D9CD4DE1-DAA9-482F-A3BF-D6507FCB1EFC}"/>
    <cellStyle name="40% - Accent4 9 3" xfId="11751" xr:uid="{260413ED-7776-48C3-BF43-ED922BFE40B3}"/>
    <cellStyle name="40% - Accent5" xfId="81" builtinId="47" customBuiltin="1"/>
    <cellStyle name="40% - Accent5 10" xfId="4584" xr:uid="{00000000-0005-0000-0000-000041060000}"/>
    <cellStyle name="40% - Accent5 10 2" xfId="13910" xr:uid="{9643E0DE-F9E2-4B80-97FD-94AB91B9D3CD}"/>
    <cellStyle name="40% - Accent5 11" xfId="8767" xr:uid="{7A46ADF8-3420-4D4A-A3FE-8E96F0FA38E7}"/>
    <cellStyle name="40% - Accent5 12" xfId="9693" xr:uid="{2CE33F85-B9BA-4729-9B46-3475C2F91DC1}"/>
    <cellStyle name="40% - Accent5 2" xfId="82" xr:uid="{00000000-0005-0000-0000-000042060000}"/>
    <cellStyle name="40% - Accent5 2 10" xfId="8802" xr:uid="{CF9BFF45-99AC-47A3-8B01-051C55FBB24D}"/>
    <cellStyle name="40% - Accent5 2 11" xfId="9694" xr:uid="{8FF6BB40-5C6C-476D-A85D-822F57DFE068}"/>
    <cellStyle name="40% - Accent5 2 2" xfId="83" xr:uid="{00000000-0005-0000-0000-000043060000}"/>
    <cellStyle name="40% - Accent5 2 2 10" xfId="9695" xr:uid="{F121F6DF-5FE6-494A-B103-0EDF3FA9E284}"/>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265A08A5-96C6-4D80-A2E3-DC278D3DC1D0}"/>
    <cellStyle name="40% - Accent5 2 2 2 2 2 3" xfId="12255" xr:uid="{A4C03D9A-EF1D-4747-90E7-468FA9855781}"/>
    <cellStyle name="40% - Accent5 2 2 2 2 3" xfId="5001" xr:uid="{00000000-0005-0000-0000-000048060000}"/>
    <cellStyle name="40% - Accent5 2 2 2 2 3 2" xfId="14327" xr:uid="{8DF6C731-DAAC-454C-B99D-1E4A943F63D1}"/>
    <cellStyle name="40% - Accent5 2 2 2 2 4" xfId="9537" xr:uid="{83834145-5D3F-4083-A609-6DB90651C4CE}"/>
    <cellStyle name="40% - Accent5 2 2 2 2 5" xfId="10110" xr:uid="{38D40F40-4610-4876-9BF3-3052A9604314}"/>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33228C27-28F4-42DC-A34C-5B92D65244C7}"/>
    <cellStyle name="40% - Accent5 2 2 2 3 2 3" xfId="12668" xr:uid="{3EC915D4-C1E8-4260-BAEE-2E5CCD3251EA}"/>
    <cellStyle name="40% - Accent5 2 2 2 3 3" xfId="5414" xr:uid="{00000000-0005-0000-0000-00004C060000}"/>
    <cellStyle name="40% - Accent5 2 2 2 3 3 2" xfId="14740" xr:uid="{A60BD13D-28CB-4060-AF05-15E6878833C3}"/>
    <cellStyle name="40% - Accent5 2 2 2 3 4" xfId="10523" xr:uid="{19430459-29B5-4068-BA91-3DCF22FF3714}"/>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6E1EF185-6188-413C-AC69-A8DEB07D06BB}"/>
    <cellStyle name="40% - Accent5 2 2 2 4 2 3" xfId="13081" xr:uid="{B28D2EFC-E484-43D6-B3CF-31414F97147C}"/>
    <cellStyle name="40% - Accent5 2 2 2 4 3" xfId="5827" xr:uid="{00000000-0005-0000-0000-000050060000}"/>
    <cellStyle name="40% - Accent5 2 2 2 4 3 2" xfId="15153" xr:uid="{2637949B-A139-4834-B9A8-9EECEAD1DE20}"/>
    <cellStyle name="40% - Accent5 2 2 2 4 4" xfId="10936" xr:uid="{423A44AE-3E80-435A-B566-E9A8E37AF9A2}"/>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32FDE32A-46BC-47D7-BF1E-6E3790EEB183}"/>
    <cellStyle name="40% - Accent5 2 2 2 5 2 3" xfId="13494" xr:uid="{BFB118A8-D0D0-4A61-98D7-79BC0B11B2B7}"/>
    <cellStyle name="40% - Accent5 2 2 2 5 3" xfId="6240" xr:uid="{00000000-0005-0000-0000-000054060000}"/>
    <cellStyle name="40% - Accent5 2 2 2 5 3 2" xfId="15566" xr:uid="{4EE988DE-C3E7-4D9E-BC12-ACD1356A4484}"/>
    <cellStyle name="40% - Accent5 2 2 2 5 4" xfId="11349" xr:uid="{543538A2-E8DF-47C6-967B-72C590C51BC7}"/>
    <cellStyle name="40% - Accent5 2 2 2 6" xfId="2347" xr:uid="{00000000-0005-0000-0000-000055060000}"/>
    <cellStyle name="40% - Accent5 2 2 2 6 2" xfId="6653" xr:uid="{00000000-0005-0000-0000-000056060000}"/>
    <cellStyle name="40% - Accent5 2 2 2 6 2 2" xfId="15979" xr:uid="{5D3972EB-AB49-4614-968B-D59CACD952A4}"/>
    <cellStyle name="40% - Accent5 2 2 2 6 3" xfId="11762" xr:uid="{96DEE23D-A870-4BC1-930E-ED5C6C296342}"/>
    <cellStyle name="40% - Accent5 2 2 2 7" xfId="4587" xr:uid="{00000000-0005-0000-0000-000057060000}"/>
    <cellStyle name="40% - Accent5 2 2 2 7 2" xfId="13913" xr:uid="{3FFD6E70-B60C-4F7A-8870-9AF02056B8C1}"/>
    <cellStyle name="40% - Accent5 2 2 2 8" xfId="9112" xr:uid="{65D0CC40-E9D0-4CE3-B684-8DE4A2C7BCD7}"/>
    <cellStyle name="40% - Accent5 2 2 2 9" xfId="9696" xr:uid="{253405A8-8AF6-4A2E-A633-099476B87D82}"/>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730D2423-C553-48F6-B007-2C23CE95613E}"/>
    <cellStyle name="40% - Accent5 2 2 3 2 3" xfId="12254" xr:uid="{DABA5CEE-5CC3-4B42-86C9-A09DEA39515F}"/>
    <cellStyle name="40% - Accent5 2 2 3 3" xfId="5000" xr:uid="{00000000-0005-0000-0000-00005B060000}"/>
    <cellStyle name="40% - Accent5 2 2 3 3 2" xfId="14326" xr:uid="{06F1E046-05CB-422E-8202-D7FB103EBB88}"/>
    <cellStyle name="40% - Accent5 2 2 3 4" xfId="9330" xr:uid="{75959B30-FD84-42A5-95AE-69048CCC8361}"/>
    <cellStyle name="40% - Accent5 2 2 3 5" xfId="10109" xr:uid="{BE9F13E0-8798-40DE-9D9E-435CA43207C1}"/>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686E663E-623D-48A3-955A-9E46F707ACA9}"/>
    <cellStyle name="40% - Accent5 2 2 4 2 3" xfId="12667" xr:uid="{13E0B936-B65F-4C01-8474-FD062441F12F}"/>
    <cellStyle name="40% - Accent5 2 2 4 3" xfId="5413" xr:uid="{00000000-0005-0000-0000-00005F060000}"/>
    <cellStyle name="40% - Accent5 2 2 4 3 2" xfId="14739" xr:uid="{3CD4EC99-32BD-44C5-BD8A-DE751E8ADE88}"/>
    <cellStyle name="40% - Accent5 2 2 4 4" xfId="10522" xr:uid="{ACC11BE9-95A4-41F3-94CB-7AD5FB01170B}"/>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F4985ABA-5978-4183-BFCE-52AB26CC5D0D}"/>
    <cellStyle name="40% - Accent5 2 2 5 2 3" xfId="13080" xr:uid="{4CBC56EB-E4A5-4170-B0D8-7889BC4F454A}"/>
    <cellStyle name="40% - Accent5 2 2 5 3" xfId="5826" xr:uid="{00000000-0005-0000-0000-000063060000}"/>
    <cellStyle name="40% - Accent5 2 2 5 3 2" xfId="15152" xr:uid="{CED2A18A-FAAA-4AE1-990D-1C93B7AC3A83}"/>
    <cellStyle name="40% - Accent5 2 2 5 4" xfId="10935" xr:uid="{FDAC1E76-A255-49C2-9C33-12670314FCAC}"/>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52E79769-A154-4B2C-AEA0-6E15EB5D45A1}"/>
    <cellStyle name="40% - Accent5 2 2 6 2 3" xfId="13493" xr:uid="{1BA47E3D-6F98-4414-BA0A-3A563FEFFAEA}"/>
    <cellStyle name="40% - Accent5 2 2 6 3" xfId="6239" xr:uid="{00000000-0005-0000-0000-000067060000}"/>
    <cellStyle name="40% - Accent5 2 2 6 3 2" xfId="15565" xr:uid="{C7ACD0A2-1BA2-464D-86D0-2427B753B6CE}"/>
    <cellStyle name="40% - Accent5 2 2 6 4" xfId="11348" xr:uid="{D5B1C4F1-8F05-41CC-BDFE-E8F131183C37}"/>
    <cellStyle name="40% - Accent5 2 2 7" xfId="2346" xr:uid="{00000000-0005-0000-0000-000068060000}"/>
    <cellStyle name="40% - Accent5 2 2 7 2" xfId="6652" xr:uid="{00000000-0005-0000-0000-000069060000}"/>
    <cellStyle name="40% - Accent5 2 2 7 2 2" xfId="15978" xr:uid="{D5B7AA8E-EBB1-4998-8ABB-1A36E2F7160D}"/>
    <cellStyle name="40% - Accent5 2 2 7 3" xfId="11761" xr:uid="{49DB480B-47B3-4FB8-B74A-CFB99FEF5BEB}"/>
    <cellStyle name="40% - Accent5 2 2 8" xfId="4586" xr:uid="{00000000-0005-0000-0000-00006A060000}"/>
    <cellStyle name="40% - Accent5 2 2 8 2" xfId="13912" xr:uid="{B9D28BC6-F3A8-4986-B959-9C780FA3DE98}"/>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4EEFB481-BAB7-4B69-892F-77D6C5D5CC75}"/>
    <cellStyle name="40% - Accent5 2 3 2 2 3" xfId="12256" xr:uid="{2811AC9C-A73C-4C2B-9273-144009D122EF}"/>
    <cellStyle name="40% - Accent5 2 3 2 3" xfId="5002" xr:uid="{00000000-0005-0000-0000-00006F060000}"/>
    <cellStyle name="40% - Accent5 2 3 2 3 2" xfId="14328" xr:uid="{82D50DA7-03E5-40BF-AD03-64433B3F967C}"/>
    <cellStyle name="40% - Accent5 2 3 2 4" xfId="9434" xr:uid="{512EAA64-F150-4B15-8534-EB34D6D41408}"/>
    <cellStyle name="40% - Accent5 2 3 2 5" xfId="10111" xr:uid="{1F8E1FA2-55C1-424D-B690-EBD8285B96B2}"/>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94A3DF16-EA8F-4C95-968B-EAE7E5F6C3C6}"/>
    <cellStyle name="40% - Accent5 2 3 3 2 3" xfId="12669" xr:uid="{C3BA7E0B-D46F-4B51-9AA6-62998C003B29}"/>
    <cellStyle name="40% - Accent5 2 3 3 3" xfId="5415" xr:uid="{00000000-0005-0000-0000-000073060000}"/>
    <cellStyle name="40% - Accent5 2 3 3 3 2" xfId="14741" xr:uid="{8EFE23B9-A50D-48AC-9E2C-50E18B67BB5E}"/>
    <cellStyle name="40% - Accent5 2 3 3 4" xfId="10524" xr:uid="{AA2D0870-A88C-46C2-B221-7E89DBA1BD25}"/>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42AEB715-E05A-4762-A1D3-ABC682F885EE}"/>
    <cellStyle name="40% - Accent5 2 3 4 2 3" xfId="13082" xr:uid="{8A39DF74-0B82-4F00-AD29-6AD9114DC775}"/>
    <cellStyle name="40% - Accent5 2 3 4 3" xfId="5828" xr:uid="{00000000-0005-0000-0000-000077060000}"/>
    <cellStyle name="40% - Accent5 2 3 4 3 2" xfId="15154" xr:uid="{A3FD3D2F-1F4C-4EE0-8FA8-2B59D8484B49}"/>
    <cellStyle name="40% - Accent5 2 3 4 4" xfId="10937" xr:uid="{BD7096C7-4469-471B-97AD-B4712C937566}"/>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632FACCC-07DD-400F-B7DC-A41FF137C50E}"/>
    <cellStyle name="40% - Accent5 2 3 5 2 3" xfId="13495" xr:uid="{50F35E83-D2AD-403B-9485-D9FD2BF1A908}"/>
    <cellStyle name="40% - Accent5 2 3 5 3" xfId="6241" xr:uid="{00000000-0005-0000-0000-00007B060000}"/>
    <cellStyle name="40% - Accent5 2 3 5 3 2" xfId="15567" xr:uid="{D0ED9FFC-0246-4E8A-AC75-F904EC410052}"/>
    <cellStyle name="40% - Accent5 2 3 5 4" xfId="11350" xr:uid="{50C244DB-0F58-42ED-ACF7-BFE412E29C4A}"/>
    <cellStyle name="40% - Accent5 2 3 6" xfId="2348" xr:uid="{00000000-0005-0000-0000-00007C060000}"/>
    <cellStyle name="40% - Accent5 2 3 6 2" xfId="6654" xr:uid="{00000000-0005-0000-0000-00007D060000}"/>
    <cellStyle name="40% - Accent5 2 3 6 2 2" xfId="15980" xr:uid="{C7462498-2DA1-4C5B-B27C-9E2A5652952A}"/>
    <cellStyle name="40% - Accent5 2 3 6 3" xfId="11763" xr:uid="{8FE70CE2-EC54-4A73-8616-B6D42BCB1721}"/>
    <cellStyle name="40% - Accent5 2 3 7" xfId="4588" xr:uid="{00000000-0005-0000-0000-00007E060000}"/>
    <cellStyle name="40% - Accent5 2 3 7 2" xfId="13914" xr:uid="{0F04423B-AEA7-4D45-B251-763A872FCF3E}"/>
    <cellStyle name="40% - Accent5 2 3 8" xfId="9009" xr:uid="{DE8B6E41-761F-4ED0-BA8A-00A6A898A2FC}"/>
    <cellStyle name="40% - Accent5 2 3 9" xfId="9697" xr:uid="{EC0F0B0A-68E4-4F75-A279-CBE9AE691E3B}"/>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102D1518-D1F9-4928-8559-75FA7F97182C}"/>
    <cellStyle name="40% - Accent5 2 4 2 3" xfId="12253" xr:uid="{F09ADA36-06A3-43E7-B8B1-FFE6B26CB81C}"/>
    <cellStyle name="40% - Accent5 2 4 3" xfId="4999" xr:uid="{00000000-0005-0000-0000-000082060000}"/>
    <cellStyle name="40% - Accent5 2 4 3 2" xfId="14325" xr:uid="{595877AE-9B8F-4D43-817B-6D31F79BAF53}"/>
    <cellStyle name="40% - Accent5 2 4 4" xfId="9226" xr:uid="{6A688709-D29B-458C-973B-231279FAFEF5}"/>
    <cellStyle name="40% - Accent5 2 4 5" xfId="10108" xr:uid="{8D0F3035-693F-411C-9193-6B15A6BB19B8}"/>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004710EC-6414-4A10-848E-C8A66B221332}"/>
    <cellStyle name="40% - Accent5 2 5 2 3" xfId="12666" xr:uid="{B38E1FE1-97AC-464C-A71C-98736B03A15C}"/>
    <cellStyle name="40% - Accent5 2 5 3" xfId="5412" xr:uid="{00000000-0005-0000-0000-000086060000}"/>
    <cellStyle name="40% - Accent5 2 5 3 2" xfId="14738" xr:uid="{687E75FC-EA64-4ABD-93A3-BDB1EA6CAF9B}"/>
    <cellStyle name="40% - Accent5 2 5 4" xfId="10521" xr:uid="{0CBB3E27-C01A-487E-9484-C97763F861DA}"/>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5FF1812E-57DB-41FA-976D-C6F05A94256D}"/>
    <cellStyle name="40% - Accent5 2 6 2 3" xfId="13079" xr:uid="{73638587-E5B2-440F-A5CF-7385FBD487AA}"/>
    <cellStyle name="40% - Accent5 2 6 3" xfId="5825" xr:uid="{00000000-0005-0000-0000-00008A060000}"/>
    <cellStyle name="40% - Accent5 2 6 3 2" xfId="15151" xr:uid="{172DE066-8BFF-4165-9BC3-A249E0A7C864}"/>
    <cellStyle name="40% - Accent5 2 6 4" xfId="10934" xr:uid="{19C3ACC9-F66A-4ABB-9533-2D5D811A1498}"/>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B7B83750-475B-4BB4-AD05-E23B636E7626}"/>
    <cellStyle name="40% - Accent5 2 7 2 3" xfId="13492" xr:uid="{F5E3E8AE-0285-47A0-BB2C-0BE40973934A}"/>
    <cellStyle name="40% - Accent5 2 7 3" xfId="6238" xr:uid="{00000000-0005-0000-0000-00008E060000}"/>
    <cellStyle name="40% - Accent5 2 7 3 2" xfId="15564" xr:uid="{A3753AAE-D58B-4A1C-8A1F-5B03F15D5DBF}"/>
    <cellStyle name="40% - Accent5 2 7 4" xfId="11347" xr:uid="{73C5225D-278F-4ED8-A509-2915603DFFE2}"/>
    <cellStyle name="40% - Accent5 2 8" xfId="2345" xr:uid="{00000000-0005-0000-0000-00008F060000}"/>
    <cellStyle name="40% - Accent5 2 8 2" xfId="6651" xr:uid="{00000000-0005-0000-0000-000090060000}"/>
    <cellStyle name="40% - Accent5 2 8 2 2" xfId="15977" xr:uid="{3AF8689F-58CF-4E8C-8F25-6DDAC875942D}"/>
    <cellStyle name="40% - Accent5 2 8 3" xfId="11760" xr:uid="{0D8CF97E-AEF1-4154-B0B1-77A7B76BB8BD}"/>
    <cellStyle name="40% - Accent5 2 9" xfId="4585" xr:uid="{00000000-0005-0000-0000-000091060000}"/>
    <cellStyle name="40% - Accent5 2 9 2" xfId="13911" xr:uid="{1E228858-9838-4235-8514-8FCE639EDFF3}"/>
    <cellStyle name="40% - Accent5 3" xfId="86" xr:uid="{00000000-0005-0000-0000-000092060000}"/>
    <cellStyle name="40% - Accent5 3 10" xfId="9698" xr:uid="{F4AA8A40-E8A6-46EA-911E-ED73286846E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D1C3DA77-0585-4FD6-BFFE-77D85CB4DF16}"/>
    <cellStyle name="40% - Accent5 3 2 2 2 3" xfId="12258" xr:uid="{CBA5D477-E2C7-4916-9E11-AD56960BDC2F}"/>
    <cellStyle name="40% - Accent5 3 2 2 3" xfId="5004" xr:uid="{00000000-0005-0000-0000-000097060000}"/>
    <cellStyle name="40% - Accent5 3 2 2 3 2" xfId="14330" xr:uid="{93F4D0EA-A128-4680-8DB7-DD6B74B82578}"/>
    <cellStyle name="40% - Accent5 3 2 2 4" xfId="9502" xr:uid="{96903B0D-DCFE-4149-8088-461BCB03A73B}"/>
    <cellStyle name="40% - Accent5 3 2 2 5" xfId="10113" xr:uid="{AF365EFB-2C28-4DFB-812E-AEC670E4F026}"/>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A1CF53FC-9ADF-4EB7-BD91-EAF01ECF672A}"/>
    <cellStyle name="40% - Accent5 3 2 3 2 3" xfId="12671" xr:uid="{D2F37025-EA30-42BC-97C0-14F3B941C29A}"/>
    <cellStyle name="40% - Accent5 3 2 3 3" xfId="5417" xr:uid="{00000000-0005-0000-0000-00009B060000}"/>
    <cellStyle name="40% - Accent5 3 2 3 3 2" xfId="14743" xr:uid="{C7F10DDC-942B-4C59-B7DC-EAFCE8D1D11F}"/>
    <cellStyle name="40% - Accent5 3 2 3 4" xfId="10526" xr:uid="{566E1D0A-FB1A-4E18-B1B7-5FA1E78852BD}"/>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50E24461-5998-4353-90FC-DD92AA88922B}"/>
    <cellStyle name="40% - Accent5 3 2 4 2 3" xfId="13084" xr:uid="{0E0EB55E-9892-4766-8701-689203F36BFC}"/>
    <cellStyle name="40% - Accent5 3 2 4 3" xfId="5830" xr:uid="{00000000-0005-0000-0000-00009F060000}"/>
    <cellStyle name="40% - Accent5 3 2 4 3 2" xfId="15156" xr:uid="{9C9C9B5E-0B87-415D-B540-C37971C5FED3}"/>
    <cellStyle name="40% - Accent5 3 2 4 4" xfId="10939" xr:uid="{47CC39BF-5512-4682-A5E4-215B45039714}"/>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AF87BD7A-64F4-40C2-930C-DC1C2CDF4848}"/>
    <cellStyle name="40% - Accent5 3 2 5 2 3" xfId="13497" xr:uid="{4342AF4F-B0FE-46AC-A36C-44914A3B715F}"/>
    <cellStyle name="40% - Accent5 3 2 5 3" xfId="6243" xr:uid="{00000000-0005-0000-0000-0000A3060000}"/>
    <cellStyle name="40% - Accent5 3 2 5 3 2" xfId="15569" xr:uid="{D03D2797-2456-456E-95B6-ED77170B5865}"/>
    <cellStyle name="40% - Accent5 3 2 5 4" xfId="11352" xr:uid="{3E07D8C8-4C60-4491-A639-70AC49C7237F}"/>
    <cellStyle name="40% - Accent5 3 2 6" xfId="2350" xr:uid="{00000000-0005-0000-0000-0000A4060000}"/>
    <cellStyle name="40% - Accent5 3 2 6 2" xfId="6656" xr:uid="{00000000-0005-0000-0000-0000A5060000}"/>
    <cellStyle name="40% - Accent5 3 2 6 2 2" xfId="15982" xr:uid="{B652B7EB-44B7-47B0-A097-5C596D25B615}"/>
    <cellStyle name="40% - Accent5 3 2 6 3" xfId="11765" xr:uid="{DC6F305F-D93E-43E0-B4CB-9CF452DCBDB2}"/>
    <cellStyle name="40% - Accent5 3 2 7" xfId="4590" xr:uid="{00000000-0005-0000-0000-0000A6060000}"/>
    <cellStyle name="40% - Accent5 3 2 7 2" xfId="13916" xr:uid="{BA5F66C3-C4FA-414D-8E8D-16FF331C584A}"/>
    <cellStyle name="40% - Accent5 3 2 8" xfId="9077" xr:uid="{8842DD15-54E4-487D-B492-3A505722387C}"/>
    <cellStyle name="40% - Accent5 3 2 9" xfId="9699" xr:uid="{FCC92504-40FF-45F0-A7C3-F9D6F5A49D62}"/>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252AC8AB-D9F7-44BE-B4FE-2F016B8CE905}"/>
    <cellStyle name="40% - Accent5 3 3 2 3" xfId="12257" xr:uid="{7DA8D739-B5EE-4D44-B86A-98EAB9725C43}"/>
    <cellStyle name="40% - Accent5 3 3 3" xfId="5003" xr:uid="{00000000-0005-0000-0000-0000AA060000}"/>
    <cellStyle name="40% - Accent5 3 3 3 2" xfId="14329" xr:uid="{17A0C7AF-A2CE-4AA5-85A3-BB45D5BEC849}"/>
    <cellStyle name="40% - Accent5 3 3 4" xfId="9295" xr:uid="{0D42C89E-252E-426A-8E1F-7D3AD6B9FE55}"/>
    <cellStyle name="40% - Accent5 3 3 5" xfId="10112" xr:uid="{242107EC-58A3-489F-A920-A5B97BD7228C}"/>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4ABB8B6A-52A9-4810-B6CE-2892BDE20F56}"/>
    <cellStyle name="40% - Accent5 3 4 2 3" xfId="12670" xr:uid="{6C7BC56C-CFA9-4AD2-A052-E3CE55E1A7BF}"/>
    <cellStyle name="40% - Accent5 3 4 3" xfId="5416" xr:uid="{00000000-0005-0000-0000-0000AE060000}"/>
    <cellStyle name="40% - Accent5 3 4 3 2" xfId="14742" xr:uid="{59C6CC32-0ADA-44A0-BB9F-4E5C8F4A6B9A}"/>
    <cellStyle name="40% - Accent5 3 4 4" xfId="10525" xr:uid="{751A366B-95C3-4A86-B052-4A89A2AE030D}"/>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0CF7C35D-184D-49AC-9ED1-18CBF43B6B89}"/>
    <cellStyle name="40% - Accent5 3 5 2 3" xfId="13083" xr:uid="{CDCEF02B-D21D-4F85-A1F7-B2002681AB40}"/>
    <cellStyle name="40% - Accent5 3 5 3" xfId="5829" xr:uid="{00000000-0005-0000-0000-0000B2060000}"/>
    <cellStyle name="40% - Accent5 3 5 3 2" xfId="15155" xr:uid="{0ED03031-C1A4-424E-8E51-A0C59D6AC4E5}"/>
    <cellStyle name="40% - Accent5 3 5 4" xfId="10938" xr:uid="{0474089D-F9E5-492B-AE00-D8C60B611239}"/>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49730926-5883-470D-9386-B24B4D5AF1EB}"/>
    <cellStyle name="40% - Accent5 3 6 2 3" xfId="13496" xr:uid="{FFDFAC5C-396C-444A-8C9B-C874B1BC29CF}"/>
    <cellStyle name="40% - Accent5 3 6 3" xfId="6242" xr:uid="{00000000-0005-0000-0000-0000B6060000}"/>
    <cellStyle name="40% - Accent5 3 6 3 2" xfId="15568" xr:uid="{564CE45E-229D-4BBD-B753-641264271BFF}"/>
    <cellStyle name="40% - Accent5 3 6 4" xfId="11351" xr:uid="{96357ADD-0F04-4C55-888A-AB432AC55E23}"/>
    <cellStyle name="40% - Accent5 3 7" xfId="2349" xr:uid="{00000000-0005-0000-0000-0000B7060000}"/>
    <cellStyle name="40% - Accent5 3 7 2" xfId="6655" xr:uid="{00000000-0005-0000-0000-0000B8060000}"/>
    <cellStyle name="40% - Accent5 3 7 2 2" xfId="15981" xr:uid="{D9E077FB-BDF6-4BC3-8C42-1C3479E6853A}"/>
    <cellStyle name="40% - Accent5 3 7 3" xfId="11764" xr:uid="{82AE2BCC-D3C1-4DE2-BAF6-2D97445A048B}"/>
    <cellStyle name="40% - Accent5 3 8" xfId="4589" xr:uid="{00000000-0005-0000-0000-0000B9060000}"/>
    <cellStyle name="40% - Accent5 3 8 2" xfId="13915" xr:uid="{21AAD402-946E-4555-9E1A-CFE965D760E7}"/>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BD951D97-1751-4100-8033-511FA8F41B09}"/>
    <cellStyle name="40% - Accent5 4 2 2 3" xfId="12259" xr:uid="{0FF60745-A18D-491C-9F4E-4DA1351959D0}"/>
    <cellStyle name="40% - Accent5 4 2 3" xfId="5005" xr:uid="{00000000-0005-0000-0000-0000BE060000}"/>
    <cellStyle name="40% - Accent5 4 2 3 2" xfId="14331" xr:uid="{5E799F29-FA3A-4BBD-A4AF-808EA7DD6621}"/>
    <cellStyle name="40% - Accent5 4 2 4" xfId="9381" xr:uid="{6D86932C-AFC4-4FF0-967D-0F56E90E02E1}"/>
    <cellStyle name="40% - Accent5 4 2 5" xfId="10114" xr:uid="{F90B204E-8D6C-43E9-97F3-CA453D2BB323}"/>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B5D5A394-1A09-426A-A2EF-4652CA1A6C73}"/>
    <cellStyle name="40% - Accent5 4 3 2 3" xfId="12672" xr:uid="{92BAD1D2-486C-481A-8EDF-86D2D4C1E21D}"/>
    <cellStyle name="40% - Accent5 4 3 3" xfId="5418" xr:uid="{00000000-0005-0000-0000-0000C2060000}"/>
    <cellStyle name="40% - Accent5 4 3 3 2" xfId="14744" xr:uid="{1470A9BA-5B57-4F47-99FA-39711ABEC38B}"/>
    <cellStyle name="40% - Accent5 4 3 4" xfId="10527" xr:uid="{C3F4E50E-3CD3-46F0-9B6B-23B565A3A730}"/>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7577BFBB-EA3F-40A9-B4F3-BAF281E529FB}"/>
    <cellStyle name="40% - Accent5 4 4 2 3" xfId="13085" xr:uid="{A5EDCC18-6B16-4A27-980B-F05F53308F25}"/>
    <cellStyle name="40% - Accent5 4 4 3" xfId="5831" xr:uid="{00000000-0005-0000-0000-0000C6060000}"/>
    <cellStyle name="40% - Accent5 4 4 3 2" xfId="15157" xr:uid="{E3C613A1-9B1E-4B6B-B8C3-9CBAE447853D}"/>
    <cellStyle name="40% - Accent5 4 4 4" xfId="10940" xr:uid="{25FA700E-EAE1-441D-B79A-E3BE96646C21}"/>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D950527D-37FD-4D59-B284-3CD6169B0476}"/>
    <cellStyle name="40% - Accent5 4 5 2 3" xfId="13498" xr:uid="{CF1A5783-3E29-4271-BABF-6AFA13C2DA60}"/>
    <cellStyle name="40% - Accent5 4 5 3" xfId="6244" xr:uid="{00000000-0005-0000-0000-0000CA060000}"/>
    <cellStyle name="40% - Accent5 4 5 3 2" xfId="15570" xr:uid="{1710415D-7EEC-4682-8A9B-53729E99D95D}"/>
    <cellStyle name="40% - Accent5 4 5 4" xfId="11353" xr:uid="{05D58239-F866-4073-A0C9-02291B8F6C57}"/>
    <cellStyle name="40% - Accent5 4 6" xfId="2351" xr:uid="{00000000-0005-0000-0000-0000CB060000}"/>
    <cellStyle name="40% - Accent5 4 6 2" xfId="6657" xr:uid="{00000000-0005-0000-0000-0000CC060000}"/>
    <cellStyle name="40% - Accent5 4 6 2 2" xfId="15983" xr:uid="{D510C5AA-FBCA-4D26-BD45-5F9C3A86A69A}"/>
    <cellStyle name="40% - Accent5 4 6 3" xfId="11766" xr:uid="{F2A83A56-AD36-4AD1-82DD-324AD6658B92}"/>
    <cellStyle name="40% - Accent5 4 7" xfId="4591" xr:uid="{00000000-0005-0000-0000-0000CD060000}"/>
    <cellStyle name="40% - Accent5 4 7 2" xfId="13917" xr:uid="{3EA4A821-4DF7-4518-B00F-7F7681026CF7}"/>
    <cellStyle name="40% - Accent5 4 8" xfId="8956" xr:uid="{20EBAEFE-DF5E-4B38-878B-CDA5BD3DABC1}"/>
    <cellStyle name="40% - Accent5 4 9" xfId="9700" xr:uid="{F0320A4F-B7AD-4DD3-BA6C-DC17AE57A342}"/>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A1841763-AF4C-4D33-9FA7-D23390BCC52F}"/>
    <cellStyle name="40% - Accent5 5 2 3" xfId="12252" xr:uid="{EF03367E-7B12-4469-8516-8E4AF336F51C}"/>
    <cellStyle name="40% - Accent5 5 3" xfId="4998" xr:uid="{00000000-0005-0000-0000-0000D1060000}"/>
    <cellStyle name="40% - Accent5 5 3 2" xfId="14324" xr:uid="{50835B52-3A34-4E34-857C-D5F429F4938F}"/>
    <cellStyle name="40% - Accent5 5 4" xfId="9189" xr:uid="{AE9A155E-B06B-4FF1-8984-8F7810581B15}"/>
    <cellStyle name="40% - Accent5 5 5" xfId="10107" xr:uid="{C5C892AD-A4FD-42BE-BF18-9342C0DD1379}"/>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A74B934F-C8F5-4E53-94D6-6507AA58A137}"/>
    <cellStyle name="40% - Accent5 6 2 3" xfId="12665" xr:uid="{1DEA0498-E12E-4230-959E-5476CA9428D0}"/>
    <cellStyle name="40% - Accent5 6 3" xfId="5411" xr:uid="{00000000-0005-0000-0000-0000D5060000}"/>
    <cellStyle name="40% - Accent5 6 3 2" xfId="14737" xr:uid="{CD514212-24EE-4136-A57F-725B2699A9B2}"/>
    <cellStyle name="40% - Accent5 6 4" xfId="10520" xr:uid="{E60325CF-B768-4AB1-B97E-1A5B82CF1164}"/>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DE6EF122-6315-44D7-81D4-F4479213CD6B}"/>
    <cellStyle name="40% - Accent5 7 2 3" xfId="13078" xr:uid="{E3A09674-AB83-42EF-9580-7AF35D8BBEC8}"/>
    <cellStyle name="40% - Accent5 7 3" xfId="5824" xr:uid="{00000000-0005-0000-0000-0000D9060000}"/>
    <cellStyle name="40% - Accent5 7 3 2" xfId="15150" xr:uid="{BD8EB0BD-2DE3-43B3-89B4-D3C7E812B530}"/>
    <cellStyle name="40% - Accent5 7 4" xfId="10933" xr:uid="{54C5B903-7584-4F3B-8E40-27E68112CA83}"/>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74ECBE79-A612-487E-8550-15E1FC0AC36F}"/>
    <cellStyle name="40% - Accent5 8 2 3" xfId="13491" xr:uid="{03EB8320-460D-4EC5-8A4D-254D250D83EB}"/>
    <cellStyle name="40% - Accent5 8 3" xfId="6237" xr:uid="{00000000-0005-0000-0000-0000DD060000}"/>
    <cellStyle name="40% - Accent5 8 3 2" xfId="15563" xr:uid="{A76BE01A-89D3-4582-A809-A46C3DF9D5D8}"/>
    <cellStyle name="40% - Accent5 8 4" xfId="11346" xr:uid="{44A72ED6-1A8D-4CC9-8C8E-5CF01BB3532F}"/>
    <cellStyle name="40% - Accent5 9" xfId="2344" xr:uid="{00000000-0005-0000-0000-0000DE060000}"/>
    <cellStyle name="40% - Accent5 9 2" xfId="6650" xr:uid="{00000000-0005-0000-0000-0000DF060000}"/>
    <cellStyle name="40% - Accent5 9 2 2" xfId="15976" xr:uid="{04EB9BAE-D965-4781-B759-04D1DFB73D76}"/>
    <cellStyle name="40% - Accent5 9 3" xfId="11759" xr:uid="{3EE4015E-8D2D-419B-B8CA-14F85549C879}"/>
    <cellStyle name="40% - Accent6" xfId="89" builtinId="51" customBuiltin="1"/>
    <cellStyle name="40% - Accent6 10" xfId="4592" xr:uid="{00000000-0005-0000-0000-0000E1060000}"/>
    <cellStyle name="40% - Accent6 10 2" xfId="13918" xr:uid="{D5DDF876-A721-478E-A2D7-9666D9E35733}"/>
    <cellStyle name="40% - Accent6 11" xfId="8769" xr:uid="{8369FE49-3815-490F-BF3A-3BEB88E35DFA}"/>
    <cellStyle name="40% - Accent6 12" xfId="9701" xr:uid="{6C74B570-DD3C-4A2A-B6E1-E012B9C126A7}"/>
    <cellStyle name="40% - Accent6 2" xfId="90" xr:uid="{00000000-0005-0000-0000-0000E2060000}"/>
    <cellStyle name="40% - Accent6 2 10" xfId="8803" xr:uid="{3530B69D-EB1D-41EA-A6FB-440FE4FE29AB}"/>
    <cellStyle name="40% - Accent6 2 11" xfId="9702" xr:uid="{5141CA27-F1B2-4079-B15C-5ED9640B5E7E}"/>
    <cellStyle name="40% - Accent6 2 2" xfId="91" xr:uid="{00000000-0005-0000-0000-0000E3060000}"/>
    <cellStyle name="40% - Accent6 2 2 10" xfId="9703" xr:uid="{BF34A106-5828-48C8-AB7B-E34E063F2DA9}"/>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3C146A38-84D0-4E53-B279-397511FAC2CD}"/>
    <cellStyle name="40% - Accent6 2 2 2 2 2 3" xfId="12263" xr:uid="{E78D6F11-B409-4BC1-9165-2F1B3509BB8D}"/>
    <cellStyle name="40% - Accent6 2 2 2 2 3" xfId="5009" xr:uid="{00000000-0005-0000-0000-0000E8060000}"/>
    <cellStyle name="40% - Accent6 2 2 2 2 3 2" xfId="14335" xr:uid="{DB141F36-0FD8-4A84-8B2F-C70E64B2A407}"/>
    <cellStyle name="40% - Accent6 2 2 2 2 4" xfId="9538" xr:uid="{D1801D0B-FDF1-4C59-8DE2-DEC53081BC5D}"/>
    <cellStyle name="40% - Accent6 2 2 2 2 5" xfId="10118" xr:uid="{9FD4CF8B-9186-43E2-B211-1C4D36829C49}"/>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C6B39635-6490-4946-B281-42D14B421B6B}"/>
    <cellStyle name="40% - Accent6 2 2 2 3 2 3" xfId="12676" xr:uid="{0BB23977-CB8F-4EE6-A9B9-D8368FF85DED}"/>
    <cellStyle name="40% - Accent6 2 2 2 3 3" xfId="5422" xr:uid="{00000000-0005-0000-0000-0000EC060000}"/>
    <cellStyle name="40% - Accent6 2 2 2 3 3 2" xfId="14748" xr:uid="{47F8C288-52C9-49FE-8556-CDFBA36338A6}"/>
    <cellStyle name="40% - Accent6 2 2 2 3 4" xfId="10531" xr:uid="{6339612B-B4EF-4465-B932-5DB57DA8BB1C}"/>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6CCD5161-3109-423D-A144-9693A96515E5}"/>
    <cellStyle name="40% - Accent6 2 2 2 4 2 3" xfId="13089" xr:uid="{88D6D3BA-027E-4AD7-84AC-6B309FC86CF3}"/>
    <cellStyle name="40% - Accent6 2 2 2 4 3" xfId="5835" xr:uid="{00000000-0005-0000-0000-0000F0060000}"/>
    <cellStyle name="40% - Accent6 2 2 2 4 3 2" xfId="15161" xr:uid="{F49931F8-AEDA-4CBA-9153-9409F684EB8A}"/>
    <cellStyle name="40% - Accent6 2 2 2 4 4" xfId="10944" xr:uid="{8D5A2A8F-8E52-422A-BB23-FE9F2C1CA79C}"/>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CA591E6F-C1E3-475D-84C3-E746CFDB5C5D}"/>
    <cellStyle name="40% - Accent6 2 2 2 5 2 3" xfId="13502" xr:uid="{C6CC78CA-104C-45C3-A050-3421FC0C1B13}"/>
    <cellStyle name="40% - Accent6 2 2 2 5 3" xfId="6248" xr:uid="{00000000-0005-0000-0000-0000F4060000}"/>
    <cellStyle name="40% - Accent6 2 2 2 5 3 2" xfId="15574" xr:uid="{56F4C1EF-1727-498F-8DFE-6CCA1DF82D7E}"/>
    <cellStyle name="40% - Accent6 2 2 2 5 4" xfId="11357" xr:uid="{63CAB46A-2A74-4DA3-9AE4-40F9B5B4E46F}"/>
    <cellStyle name="40% - Accent6 2 2 2 6" xfId="2355" xr:uid="{00000000-0005-0000-0000-0000F5060000}"/>
    <cellStyle name="40% - Accent6 2 2 2 6 2" xfId="6661" xr:uid="{00000000-0005-0000-0000-0000F6060000}"/>
    <cellStyle name="40% - Accent6 2 2 2 6 2 2" xfId="15987" xr:uid="{52F44FAB-5502-4821-8190-9535124C1538}"/>
    <cellStyle name="40% - Accent6 2 2 2 6 3" xfId="11770" xr:uid="{2096043C-FC7F-430C-BFE2-AB76A35E7F6E}"/>
    <cellStyle name="40% - Accent6 2 2 2 7" xfId="4595" xr:uid="{00000000-0005-0000-0000-0000F7060000}"/>
    <cellStyle name="40% - Accent6 2 2 2 7 2" xfId="13921" xr:uid="{91257469-7EB6-400B-B28E-5FE67A57EAE3}"/>
    <cellStyle name="40% - Accent6 2 2 2 8" xfId="9113" xr:uid="{D9373B4A-E1DA-437A-874A-FCE4D00708EB}"/>
    <cellStyle name="40% - Accent6 2 2 2 9" xfId="9704" xr:uid="{E6F3EBFD-0DBD-4B37-BB86-BC6C665A3FCA}"/>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F0329C0B-B186-4A4C-8327-4894D8CD52D4}"/>
    <cellStyle name="40% - Accent6 2 2 3 2 3" xfId="12262" xr:uid="{28618C67-5ADB-4C44-B0D6-78B1ECBF8875}"/>
    <cellStyle name="40% - Accent6 2 2 3 3" xfId="5008" xr:uid="{00000000-0005-0000-0000-0000FB060000}"/>
    <cellStyle name="40% - Accent6 2 2 3 3 2" xfId="14334" xr:uid="{F80EDC2B-83EB-4352-87DD-00A2A5C96973}"/>
    <cellStyle name="40% - Accent6 2 2 3 4" xfId="9331" xr:uid="{223B62DA-AA8A-4703-B6D5-D6AA8918B034}"/>
    <cellStyle name="40% - Accent6 2 2 3 5" xfId="10117" xr:uid="{3EFF97A7-2518-4CBD-B174-6B1B6B46430A}"/>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CBA146B7-22B8-4A0D-BC96-9692323485B4}"/>
    <cellStyle name="40% - Accent6 2 2 4 2 3" xfId="12675" xr:uid="{898823EF-62CA-432F-80C7-6BC4A04FA9D1}"/>
    <cellStyle name="40% - Accent6 2 2 4 3" xfId="5421" xr:uid="{00000000-0005-0000-0000-0000FF060000}"/>
    <cellStyle name="40% - Accent6 2 2 4 3 2" xfId="14747" xr:uid="{B751FDE0-E792-4194-82FB-F7953D5332D1}"/>
    <cellStyle name="40% - Accent6 2 2 4 4" xfId="10530" xr:uid="{589F9CFF-89AD-4F15-9C2E-0425D09E89E3}"/>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C84A8E97-4E5D-4745-BA0D-911B2E815D65}"/>
    <cellStyle name="40% - Accent6 2 2 5 2 3" xfId="13088" xr:uid="{F245A7A7-5F2D-4176-81F2-E80413121D6A}"/>
    <cellStyle name="40% - Accent6 2 2 5 3" xfId="5834" xr:uid="{00000000-0005-0000-0000-000003070000}"/>
    <cellStyle name="40% - Accent6 2 2 5 3 2" xfId="15160" xr:uid="{EDE708D8-26A3-48AC-8836-FB0DD6C88AC5}"/>
    <cellStyle name="40% - Accent6 2 2 5 4" xfId="10943" xr:uid="{7718B630-224B-483F-92D2-5226E1B0AE8D}"/>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5D0FDC0F-60B6-4353-8F75-E54C91D6966A}"/>
    <cellStyle name="40% - Accent6 2 2 6 2 3" xfId="13501" xr:uid="{03F750BD-B1AE-4DFB-B209-6149CD0688D1}"/>
    <cellStyle name="40% - Accent6 2 2 6 3" xfId="6247" xr:uid="{00000000-0005-0000-0000-000007070000}"/>
    <cellStyle name="40% - Accent6 2 2 6 3 2" xfId="15573" xr:uid="{D1D8CC7B-CF09-4C5D-8664-AEC92627FDB8}"/>
    <cellStyle name="40% - Accent6 2 2 6 4" xfId="11356" xr:uid="{E42A1B52-E1A4-4D8A-8649-1A9AF9013868}"/>
    <cellStyle name="40% - Accent6 2 2 7" xfId="2354" xr:uid="{00000000-0005-0000-0000-000008070000}"/>
    <cellStyle name="40% - Accent6 2 2 7 2" xfId="6660" xr:uid="{00000000-0005-0000-0000-000009070000}"/>
    <cellStyle name="40% - Accent6 2 2 7 2 2" xfId="15986" xr:uid="{1CCD33E8-BCFA-4417-93CA-051404048792}"/>
    <cellStyle name="40% - Accent6 2 2 7 3" xfId="11769" xr:uid="{030C372F-3725-49FD-B1E5-E1FCEC7509EF}"/>
    <cellStyle name="40% - Accent6 2 2 8" xfId="4594" xr:uid="{00000000-0005-0000-0000-00000A070000}"/>
    <cellStyle name="40% - Accent6 2 2 8 2" xfId="13920" xr:uid="{86E3EBD9-7C9C-497B-820C-CB84CF6BE464}"/>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56571304-9C2A-4666-BDD3-6A6B367FD24E}"/>
    <cellStyle name="40% - Accent6 2 3 2 2 3" xfId="12264" xr:uid="{9D89D6CF-0F5B-429A-975B-15170572F0FA}"/>
    <cellStyle name="40% - Accent6 2 3 2 3" xfId="5010" xr:uid="{00000000-0005-0000-0000-00000F070000}"/>
    <cellStyle name="40% - Accent6 2 3 2 3 2" xfId="14336" xr:uid="{8BBD9464-41DF-498E-8507-09E2FF3B84E0}"/>
    <cellStyle name="40% - Accent6 2 3 2 4" xfId="9435" xr:uid="{36535681-1736-4584-8CB6-F8F38C9E0E5B}"/>
    <cellStyle name="40% - Accent6 2 3 2 5" xfId="10119" xr:uid="{107F2BF7-28B6-4E98-AEF2-0EBF73494FF3}"/>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C202DFA2-5913-464B-9C0D-1224E9A4B475}"/>
    <cellStyle name="40% - Accent6 2 3 3 2 3" xfId="12677" xr:uid="{18439F1A-1447-4D73-9202-2F9060A1CC1E}"/>
    <cellStyle name="40% - Accent6 2 3 3 3" xfId="5423" xr:uid="{00000000-0005-0000-0000-000013070000}"/>
    <cellStyle name="40% - Accent6 2 3 3 3 2" xfId="14749" xr:uid="{5C270D2C-573C-441A-852E-52544B92BD51}"/>
    <cellStyle name="40% - Accent6 2 3 3 4" xfId="10532" xr:uid="{EFFECBA4-3FDD-449B-83F8-0C3AC0EA2DB3}"/>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F17CAD6D-6990-431B-8BB4-7A12652231C7}"/>
    <cellStyle name="40% - Accent6 2 3 4 2 3" xfId="13090" xr:uid="{51438DB0-8B42-40AC-B1E4-6DCC2EBA96B8}"/>
    <cellStyle name="40% - Accent6 2 3 4 3" xfId="5836" xr:uid="{00000000-0005-0000-0000-000017070000}"/>
    <cellStyle name="40% - Accent6 2 3 4 3 2" xfId="15162" xr:uid="{933F9B8B-F428-4BB7-8CAE-AC3228730851}"/>
    <cellStyle name="40% - Accent6 2 3 4 4" xfId="10945" xr:uid="{7BE2364B-6CCE-41FB-89B3-E8D0C04D4982}"/>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3B330852-5AE0-445F-A95C-180E31F68CA5}"/>
    <cellStyle name="40% - Accent6 2 3 5 2 3" xfId="13503" xr:uid="{9762846A-B16A-4C52-A846-21509267054C}"/>
    <cellStyle name="40% - Accent6 2 3 5 3" xfId="6249" xr:uid="{00000000-0005-0000-0000-00001B070000}"/>
    <cellStyle name="40% - Accent6 2 3 5 3 2" xfId="15575" xr:uid="{43674E05-906D-4561-83F1-BC4C53787064}"/>
    <cellStyle name="40% - Accent6 2 3 5 4" xfId="11358" xr:uid="{680D6B40-3ADC-42D5-8C95-982EB42E5B39}"/>
    <cellStyle name="40% - Accent6 2 3 6" xfId="2356" xr:uid="{00000000-0005-0000-0000-00001C070000}"/>
    <cellStyle name="40% - Accent6 2 3 6 2" xfId="6662" xr:uid="{00000000-0005-0000-0000-00001D070000}"/>
    <cellStyle name="40% - Accent6 2 3 6 2 2" xfId="15988" xr:uid="{F831A117-0665-401A-AA46-48532978AB71}"/>
    <cellStyle name="40% - Accent6 2 3 6 3" xfId="11771" xr:uid="{F7D55D95-D491-4956-A63B-9FAD878A4615}"/>
    <cellStyle name="40% - Accent6 2 3 7" xfId="4596" xr:uid="{00000000-0005-0000-0000-00001E070000}"/>
    <cellStyle name="40% - Accent6 2 3 7 2" xfId="13922" xr:uid="{7F9D8503-446D-4797-8FDC-DFFE2553991A}"/>
    <cellStyle name="40% - Accent6 2 3 8" xfId="9010" xr:uid="{63E1B5F8-FE5F-441F-B768-94B1D98CB2B1}"/>
    <cellStyle name="40% - Accent6 2 3 9" xfId="9705" xr:uid="{4FA1062C-D387-4923-B4F8-F1DA16E88B12}"/>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09DEE551-8F30-4830-92E3-704982D08BBC}"/>
    <cellStyle name="40% - Accent6 2 4 2 3" xfId="12261" xr:uid="{AF94E2E4-C033-4065-B897-FD14408A9911}"/>
    <cellStyle name="40% - Accent6 2 4 3" xfId="5007" xr:uid="{00000000-0005-0000-0000-000022070000}"/>
    <cellStyle name="40% - Accent6 2 4 3 2" xfId="14333" xr:uid="{1FBCF037-D21C-4187-8F62-AA1DDC3C2D0D}"/>
    <cellStyle name="40% - Accent6 2 4 4" xfId="9227" xr:uid="{61BC3AC1-FAE9-47DF-8143-7EECE05FF8D3}"/>
    <cellStyle name="40% - Accent6 2 4 5" xfId="10116" xr:uid="{DCF5FF34-1C19-45DE-AD15-3694B50785A4}"/>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2206571E-AECF-4751-A395-ECAF889451CF}"/>
    <cellStyle name="40% - Accent6 2 5 2 3" xfId="12674" xr:uid="{C006A617-3F7E-4EF1-9B6A-E4DB22DE9ECD}"/>
    <cellStyle name="40% - Accent6 2 5 3" xfId="5420" xr:uid="{00000000-0005-0000-0000-000026070000}"/>
    <cellStyle name="40% - Accent6 2 5 3 2" xfId="14746" xr:uid="{B8DE8EC2-E167-45EC-BC89-95FF7C403D9A}"/>
    <cellStyle name="40% - Accent6 2 5 4" xfId="10529" xr:uid="{8BA9EFDB-5B4F-476E-B82A-E9B1DC6CD479}"/>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05F9EA4F-CD7E-447A-9C98-7F64F69115B4}"/>
    <cellStyle name="40% - Accent6 2 6 2 3" xfId="13087" xr:uid="{E2DD4C27-82D9-4B89-BD33-D347AEB50E14}"/>
    <cellStyle name="40% - Accent6 2 6 3" xfId="5833" xr:uid="{00000000-0005-0000-0000-00002A070000}"/>
    <cellStyle name="40% - Accent6 2 6 3 2" xfId="15159" xr:uid="{9B0B0F50-B73D-4899-AFF4-10CE0126ADE7}"/>
    <cellStyle name="40% - Accent6 2 6 4" xfId="10942" xr:uid="{830F4829-9A94-4771-B3AC-7A2498CDA021}"/>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75462124-FEF8-4012-848C-E41182F0EF1C}"/>
    <cellStyle name="40% - Accent6 2 7 2 3" xfId="13500" xr:uid="{E21CD0AA-03E6-4091-AC5C-2F91BE4D3E21}"/>
    <cellStyle name="40% - Accent6 2 7 3" xfId="6246" xr:uid="{00000000-0005-0000-0000-00002E070000}"/>
    <cellStyle name="40% - Accent6 2 7 3 2" xfId="15572" xr:uid="{33D04F05-6AB0-4065-856C-26E1FA077616}"/>
    <cellStyle name="40% - Accent6 2 7 4" xfId="11355" xr:uid="{B89860EC-D198-4F0F-BB9C-2C95AFF37B17}"/>
    <cellStyle name="40% - Accent6 2 8" xfId="2353" xr:uid="{00000000-0005-0000-0000-00002F070000}"/>
    <cellStyle name="40% - Accent6 2 8 2" xfId="6659" xr:uid="{00000000-0005-0000-0000-000030070000}"/>
    <cellStyle name="40% - Accent6 2 8 2 2" xfId="15985" xr:uid="{438F02F0-9192-4A44-A615-E32A4A84860A}"/>
    <cellStyle name="40% - Accent6 2 8 3" xfId="11768" xr:uid="{29EA411E-15FC-4558-B547-CF8B1C0E9145}"/>
    <cellStyle name="40% - Accent6 2 9" xfId="4593" xr:uid="{00000000-0005-0000-0000-000031070000}"/>
    <cellStyle name="40% - Accent6 2 9 2" xfId="13919" xr:uid="{F94DDC18-4B94-4664-8CA0-2E3C156171F2}"/>
    <cellStyle name="40% - Accent6 3" xfId="94" xr:uid="{00000000-0005-0000-0000-000032070000}"/>
    <cellStyle name="40% - Accent6 3 10" xfId="9706" xr:uid="{2C67CB42-A7A4-4385-B2DE-95835AD87E69}"/>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1196F797-CDB6-423D-9B1A-62A9AD28ECEF}"/>
    <cellStyle name="40% - Accent6 3 2 2 2 3" xfId="12266" xr:uid="{92CE5FB2-09EC-4AAC-8CA3-08108B703062}"/>
    <cellStyle name="40% - Accent6 3 2 2 3" xfId="5012" xr:uid="{00000000-0005-0000-0000-000037070000}"/>
    <cellStyle name="40% - Accent6 3 2 2 3 2" xfId="14338" xr:uid="{9AA02FF9-FB73-42BC-B0EF-14DBE323A4BD}"/>
    <cellStyle name="40% - Accent6 3 2 2 4" xfId="9504" xr:uid="{23E46585-FD8F-4BA3-8B65-284D6884E4FD}"/>
    <cellStyle name="40% - Accent6 3 2 2 5" xfId="10121" xr:uid="{9730BB9D-9005-4079-8916-8DCDE82C4F6B}"/>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4C625692-0E34-480B-8D0F-A3639C1973DA}"/>
    <cellStyle name="40% - Accent6 3 2 3 2 3" xfId="12679" xr:uid="{556A3BAB-4968-48D4-B136-4164A22D068C}"/>
    <cellStyle name="40% - Accent6 3 2 3 3" xfId="5425" xr:uid="{00000000-0005-0000-0000-00003B070000}"/>
    <cellStyle name="40% - Accent6 3 2 3 3 2" xfId="14751" xr:uid="{8195541D-57FE-4B18-91CA-342FD9E612A1}"/>
    <cellStyle name="40% - Accent6 3 2 3 4" xfId="10534" xr:uid="{2F097A95-C1AE-4CC6-9EA0-31F30BCBA129}"/>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25B22A3E-5939-450E-9B3E-2B927FD857BE}"/>
    <cellStyle name="40% - Accent6 3 2 4 2 3" xfId="13092" xr:uid="{321EC204-28C8-45B4-A893-B2DC9BD253A9}"/>
    <cellStyle name="40% - Accent6 3 2 4 3" xfId="5838" xr:uid="{00000000-0005-0000-0000-00003F070000}"/>
    <cellStyle name="40% - Accent6 3 2 4 3 2" xfId="15164" xr:uid="{DC57F254-469E-455C-A31C-19CFC00898D9}"/>
    <cellStyle name="40% - Accent6 3 2 4 4" xfId="10947" xr:uid="{5A09E012-82FC-45CC-8409-DD265BB2D2EA}"/>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B644E179-F606-4305-8150-B17ED303B5BD}"/>
    <cellStyle name="40% - Accent6 3 2 5 2 3" xfId="13505" xr:uid="{7F8869DE-E449-4BB8-951E-29DBD1D37132}"/>
    <cellStyle name="40% - Accent6 3 2 5 3" xfId="6251" xr:uid="{00000000-0005-0000-0000-000043070000}"/>
    <cellStyle name="40% - Accent6 3 2 5 3 2" xfId="15577" xr:uid="{3CB96CFA-5620-4C88-9B90-5D6D62C93615}"/>
    <cellStyle name="40% - Accent6 3 2 5 4" xfId="11360" xr:uid="{F279C679-A59C-47F8-A6AF-795EAD3929BD}"/>
    <cellStyle name="40% - Accent6 3 2 6" xfId="2358" xr:uid="{00000000-0005-0000-0000-000044070000}"/>
    <cellStyle name="40% - Accent6 3 2 6 2" xfId="6664" xr:uid="{00000000-0005-0000-0000-000045070000}"/>
    <cellStyle name="40% - Accent6 3 2 6 2 2" xfId="15990" xr:uid="{AFAE289E-E317-4584-BABA-4FD317E481DB}"/>
    <cellStyle name="40% - Accent6 3 2 6 3" xfId="11773" xr:uid="{44956673-725A-4416-B1E8-81D9F96A7D0E}"/>
    <cellStyle name="40% - Accent6 3 2 7" xfId="4598" xr:uid="{00000000-0005-0000-0000-000046070000}"/>
    <cellStyle name="40% - Accent6 3 2 7 2" xfId="13924" xr:uid="{E81C30D0-3176-4B8E-BCF3-B2D71956EEF2}"/>
    <cellStyle name="40% - Accent6 3 2 8" xfId="9079" xr:uid="{7FA93E2E-699F-4676-8533-A3CC5F80D807}"/>
    <cellStyle name="40% - Accent6 3 2 9" xfId="9707" xr:uid="{E5BE3FFE-1DE3-4D85-A516-507931FC8135}"/>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7960B489-CEC3-4313-ACAA-253F784BA78C}"/>
    <cellStyle name="40% - Accent6 3 3 2 3" xfId="12265" xr:uid="{255B8420-F1E1-4386-ABBC-835E00E722AB}"/>
    <cellStyle name="40% - Accent6 3 3 3" xfId="5011" xr:uid="{00000000-0005-0000-0000-00004A070000}"/>
    <cellStyle name="40% - Accent6 3 3 3 2" xfId="14337" xr:uid="{017BB46E-41B2-4258-A375-2DCE739976F8}"/>
    <cellStyle name="40% - Accent6 3 3 4" xfId="9297" xr:uid="{1226E28F-09E7-4580-8D19-7F14AC1CB4B3}"/>
    <cellStyle name="40% - Accent6 3 3 5" xfId="10120" xr:uid="{D25D7A74-94F9-43C9-B575-F306DCEE700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5B99925E-6A01-44E0-A27E-4FD3D7C64CBA}"/>
    <cellStyle name="40% - Accent6 3 4 2 3" xfId="12678" xr:uid="{39104696-CE39-4621-8C4B-75BE3E9EA944}"/>
    <cellStyle name="40% - Accent6 3 4 3" xfId="5424" xr:uid="{00000000-0005-0000-0000-00004E070000}"/>
    <cellStyle name="40% - Accent6 3 4 3 2" xfId="14750" xr:uid="{F6A22FEF-84B4-42E2-BFEE-F0FA067176A2}"/>
    <cellStyle name="40% - Accent6 3 4 4" xfId="10533" xr:uid="{85F64121-19CC-4E6B-B62B-70D615235973}"/>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E11CBAB0-4094-456A-A998-E56326858218}"/>
    <cellStyle name="40% - Accent6 3 5 2 3" xfId="13091" xr:uid="{E3415DB5-5C78-4A0A-AD88-2A84AD2340BF}"/>
    <cellStyle name="40% - Accent6 3 5 3" xfId="5837" xr:uid="{00000000-0005-0000-0000-000052070000}"/>
    <cellStyle name="40% - Accent6 3 5 3 2" xfId="15163" xr:uid="{C4450816-62A8-4C9F-B0BF-C89575FDCF72}"/>
    <cellStyle name="40% - Accent6 3 5 4" xfId="10946" xr:uid="{CDEE6259-B197-4072-B461-F4799217042B}"/>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F8ABD0FB-413C-4296-A247-0FCDCC4F1587}"/>
    <cellStyle name="40% - Accent6 3 6 2 3" xfId="13504" xr:uid="{1ADFF2C0-0F76-4B1C-A4E5-538039676B3D}"/>
    <cellStyle name="40% - Accent6 3 6 3" xfId="6250" xr:uid="{00000000-0005-0000-0000-000056070000}"/>
    <cellStyle name="40% - Accent6 3 6 3 2" xfId="15576" xr:uid="{B7AF0831-3227-44A9-AC19-FF33C932741A}"/>
    <cellStyle name="40% - Accent6 3 6 4" xfId="11359" xr:uid="{91DB9062-73D0-43EA-8F30-D7A023A1102B}"/>
    <cellStyle name="40% - Accent6 3 7" xfId="2357" xr:uid="{00000000-0005-0000-0000-000057070000}"/>
    <cellStyle name="40% - Accent6 3 7 2" xfId="6663" xr:uid="{00000000-0005-0000-0000-000058070000}"/>
    <cellStyle name="40% - Accent6 3 7 2 2" xfId="15989" xr:uid="{BECB54BF-5992-46B7-A7FD-E44674525319}"/>
    <cellStyle name="40% - Accent6 3 7 3" xfId="11772" xr:uid="{1AAE9A51-247D-48C0-BF71-0007944E4895}"/>
    <cellStyle name="40% - Accent6 3 8" xfId="4597" xr:uid="{00000000-0005-0000-0000-000059070000}"/>
    <cellStyle name="40% - Accent6 3 8 2" xfId="13923" xr:uid="{C3FBB80C-6FA2-4B0A-BD4E-678E198DF149}"/>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06E7582B-3714-4268-A5FA-BB38FB562181}"/>
    <cellStyle name="40% - Accent6 4 2 2 3" xfId="12267" xr:uid="{9831C43F-1F91-47E4-AFEA-B19DDBB51BAB}"/>
    <cellStyle name="40% - Accent6 4 2 3" xfId="5013" xr:uid="{00000000-0005-0000-0000-00005E070000}"/>
    <cellStyle name="40% - Accent6 4 2 3 2" xfId="14339" xr:uid="{3456FFDC-D29C-42CC-AD12-C4C85C6803CD}"/>
    <cellStyle name="40% - Accent6 4 2 4" xfId="9383" xr:uid="{07C7426F-B517-4815-A0BF-2BAE02B26B53}"/>
    <cellStyle name="40% - Accent6 4 2 5" xfId="10122" xr:uid="{CDBACF54-94E1-4AC8-BA3F-EC28089EFEF3}"/>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6FDC9FA0-9EA1-4714-B115-A9DC9A2F1779}"/>
    <cellStyle name="40% - Accent6 4 3 2 3" xfId="12680" xr:uid="{1B911A5C-A71C-493B-BBE4-66EF8804F97F}"/>
    <cellStyle name="40% - Accent6 4 3 3" xfId="5426" xr:uid="{00000000-0005-0000-0000-000062070000}"/>
    <cellStyle name="40% - Accent6 4 3 3 2" xfId="14752" xr:uid="{69F03EF2-937B-4E16-A74E-C19427DC162F}"/>
    <cellStyle name="40% - Accent6 4 3 4" xfId="10535" xr:uid="{FFA3AE84-5983-4C32-91C8-DF9B50C8693E}"/>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669C71ED-6121-435A-ABCA-66625A4B2359}"/>
    <cellStyle name="40% - Accent6 4 4 2 3" xfId="13093" xr:uid="{6BE1AE65-870D-4967-A7FA-5DEB6DC00B37}"/>
    <cellStyle name="40% - Accent6 4 4 3" xfId="5839" xr:uid="{00000000-0005-0000-0000-000066070000}"/>
    <cellStyle name="40% - Accent6 4 4 3 2" xfId="15165" xr:uid="{51BDBE92-3A54-4374-BD87-885DE2A401DD}"/>
    <cellStyle name="40% - Accent6 4 4 4" xfId="10948" xr:uid="{762B9CAA-D2B2-4A8E-9B68-52890A739500}"/>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B9A9F56B-1B28-40EF-B110-BEF2EFFA08A7}"/>
    <cellStyle name="40% - Accent6 4 5 2 3" xfId="13506" xr:uid="{507E2097-EE19-4670-A85B-266DCA8602F9}"/>
    <cellStyle name="40% - Accent6 4 5 3" xfId="6252" xr:uid="{00000000-0005-0000-0000-00006A070000}"/>
    <cellStyle name="40% - Accent6 4 5 3 2" xfId="15578" xr:uid="{EA76FF3C-CFD9-4F39-877A-9039B6F67BCB}"/>
    <cellStyle name="40% - Accent6 4 5 4" xfId="11361" xr:uid="{C182C57D-D39C-4DAC-A971-493FEDDFF231}"/>
    <cellStyle name="40% - Accent6 4 6" xfId="2359" xr:uid="{00000000-0005-0000-0000-00006B070000}"/>
    <cellStyle name="40% - Accent6 4 6 2" xfId="6665" xr:uid="{00000000-0005-0000-0000-00006C070000}"/>
    <cellStyle name="40% - Accent6 4 6 2 2" xfId="15991" xr:uid="{A6AE39F1-763A-4C92-B9D6-880E5BE481C6}"/>
    <cellStyle name="40% - Accent6 4 6 3" xfId="11774" xr:uid="{983BFE4D-D50C-4CF6-A866-1DB0E2400621}"/>
    <cellStyle name="40% - Accent6 4 7" xfId="4599" xr:uid="{00000000-0005-0000-0000-00006D070000}"/>
    <cellStyle name="40% - Accent6 4 7 2" xfId="13925" xr:uid="{F4AEF0E6-7919-487A-8E34-88B9812E619B}"/>
    <cellStyle name="40% - Accent6 4 8" xfId="8958" xr:uid="{058203D5-6D6D-4106-8D68-93F66B236239}"/>
    <cellStyle name="40% - Accent6 4 9" xfId="9708" xr:uid="{2D74D378-3141-4627-9E12-77C60CF68671}"/>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2A342377-9A0D-4FE9-9226-38932782D964}"/>
    <cellStyle name="40% - Accent6 5 2 3" xfId="12260" xr:uid="{C72CC467-B433-4D00-9CEB-12E766B4A165}"/>
    <cellStyle name="40% - Accent6 5 3" xfId="5006" xr:uid="{00000000-0005-0000-0000-000071070000}"/>
    <cellStyle name="40% - Accent6 5 3 2" xfId="14332" xr:uid="{A8185E9A-4602-448B-B03B-837ABCDDE564}"/>
    <cellStyle name="40% - Accent6 5 4" xfId="9192" xr:uid="{19661A88-B46A-4EF9-A9F3-4BCF8E242108}"/>
    <cellStyle name="40% - Accent6 5 5" xfId="10115" xr:uid="{6FF9AEB3-E17F-4AFB-ACDC-03C52E3E62D4}"/>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BBA3DA2F-5020-4250-BB24-EB71F18939E4}"/>
    <cellStyle name="40% - Accent6 6 2 3" xfId="12673" xr:uid="{1D43749F-8C59-4D60-A587-E51D1D364F73}"/>
    <cellStyle name="40% - Accent6 6 3" xfId="5419" xr:uid="{00000000-0005-0000-0000-000075070000}"/>
    <cellStyle name="40% - Accent6 6 3 2" xfId="14745" xr:uid="{04F5256B-3DEC-4DBE-839D-50F40647EEE8}"/>
    <cellStyle name="40% - Accent6 6 4" xfId="10528" xr:uid="{C075E716-1D0A-42CC-9A0A-A1772AE6947F}"/>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7F373D75-86E0-4D59-9C09-555B4FE29FBC}"/>
    <cellStyle name="40% - Accent6 7 2 3" xfId="13086" xr:uid="{BEA53B44-752F-496D-B170-BB1F9ED9969C}"/>
    <cellStyle name="40% - Accent6 7 3" xfId="5832" xr:uid="{00000000-0005-0000-0000-000079070000}"/>
    <cellStyle name="40% - Accent6 7 3 2" xfId="15158" xr:uid="{ACC03202-CF23-4CFF-857B-B844CA449615}"/>
    <cellStyle name="40% - Accent6 7 4" xfId="10941" xr:uid="{F91C8051-7EFC-4FFB-BE90-0EC8C4F7F574}"/>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D81BB4DA-48F1-49E0-9BC1-CB1294B20E22}"/>
    <cellStyle name="40% - Accent6 8 2 3" xfId="13499" xr:uid="{7D0BEBEA-E0EA-462E-B276-E6FC13B9B0AC}"/>
    <cellStyle name="40% - Accent6 8 3" xfId="6245" xr:uid="{00000000-0005-0000-0000-00007D070000}"/>
    <cellStyle name="40% - Accent6 8 3 2" xfId="15571" xr:uid="{F0BAB0E1-E6A1-4C11-8B3B-965137F66FC5}"/>
    <cellStyle name="40% - Accent6 8 4" xfId="11354" xr:uid="{7A9E6CEC-15A5-4D8F-A80F-C1419C4560EA}"/>
    <cellStyle name="40% - Accent6 9" xfId="2352" xr:uid="{00000000-0005-0000-0000-00007E070000}"/>
    <cellStyle name="40% - Accent6 9 2" xfId="6658" xr:uid="{00000000-0005-0000-0000-00007F070000}"/>
    <cellStyle name="40% - Accent6 9 2 2" xfId="15984" xr:uid="{B2F1E1AB-293A-4708-B594-C658E0CE3B59}"/>
    <cellStyle name="40% - Accent6 9 3" xfId="11767" xr:uid="{4203C843-A304-4EBB-A649-9D87507E7FD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B6325734-ED0E-4CC3-AA0D-91FBC3BB562A}"/>
    <cellStyle name="Comma 4 2 2 2 10 3" xfId="12092" xr:uid="{36993D41-D40B-4697-9591-4F4E984188AC}"/>
    <cellStyle name="Comma 4 2 2 2 11" xfId="4600" xr:uid="{00000000-0005-0000-0000-0000A3070000}"/>
    <cellStyle name="Comma 4 2 2 2 11 2" xfId="13926" xr:uid="{C7DBF472-A758-4B23-849B-6BA4B043E088}"/>
    <cellStyle name="Comma 4 2 2 2 12" xfId="8806" xr:uid="{6C773D0B-D2E3-4A8C-B041-8DA2843B9E25}"/>
    <cellStyle name="Comma 4 2 2 2 13" xfId="9709" xr:uid="{9C8711BA-E9B8-4A7F-AE6C-855433E6EA67}"/>
    <cellStyle name="Comma 4 2 2 2 2" xfId="129" xr:uid="{00000000-0005-0000-0000-0000A4070000}"/>
    <cellStyle name="Comma 4 2 2 2 2 10" xfId="4601" xr:uid="{00000000-0005-0000-0000-0000A5070000}"/>
    <cellStyle name="Comma 4 2 2 2 2 10 2" xfId="13927" xr:uid="{752C9D48-DA8F-4367-BD90-ECACB8B8049D}"/>
    <cellStyle name="Comma 4 2 2 2 2 11" xfId="8909" xr:uid="{477FCE05-1F49-4658-A03C-A8A5E7983C47}"/>
    <cellStyle name="Comma 4 2 2 2 2 12" xfId="9710" xr:uid="{2C40069C-C3F5-40CD-B85C-08D73A310727}"/>
    <cellStyle name="Comma 4 2 2 2 2 2" xfId="130" xr:uid="{00000000-0005-0000-0000-0000A6070000}"/>
    <cellStyle name="Comma 4 2 2 2 2 2 10" xfId="9116" xr:uid="{7A07505D-6B4C-4086-90B5-B5D345FB7611}"/>
    <cellStyle name="Comma 4 2 2 2 2 2 11" xfId="9711" xr:uid="{ECB6919C-A5BE-42C1-B7A7-B809A4D5F6AF}"/>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C6B94AA6-B8D1-4EAB-B9A5-E62D2BBBE9CE}"/>
    <cellStyle name="Comma 4 2 2 2 2 2 2 2 3" xfId="12270" xr:uid="{1C7AE69D-278A-46F3-A7FC-DB35C7102117}"/>
    <cellStyle name="Comma 4 2 2 2 2 2 2 3" xfId="5016" xr:uid="{00000000-0005-0000-0000-0000AA070000}"/>
    <cellStyle name="Comma 4 2 2 2 2 2 2 3 2" xfId="14342" xr:uid="{22558D82-CC02-4D00-8432-339BB6B797C5}"/>
    <cellStyle name="Comma 4 2 2 2 2 2 2 4" xfId="9541" xr:uid="{21DC771E-83A2-48BA-BE40-3E9E8454DE28}"/>
    <cellStyle name="Comma 4 2 2 2 2 2 2 5" xfId="10125" xr:uid="{92FC066B-EC78-4699-ADC1-22BED53417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D38D652F-6303-4B5A-A954-9617D0010887}"/>
    <cellStyle name="Comma 4 2 2 2 2 2 3 2 3" xfId="12683" xr:uid="{E861CDF5-1760-48AA-932E-899721E372D3}"/>
    <cellStyle name="Comma 4 2 2 2 2 2 3 3" xfId="5429" xr:uid="{00000000-0005-0000-0000-0000AE070000}"/>
    <cellStyle name="Comma 4 2 2 2 2 2 3 3 2" xfId="14755" xr:uid="{623B1709-2C83-440B-8C4C-09C710450CCA}"/>
    <cellStyle name="Comma 4 2 2 2 2 2 3 4" xfId="10538" xr:uid="{8DD84C3A-BEAC-4443-A201-6D625C7DE19B}"/>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8A3E2F63-AC21-4F62-818B-F4823184D914}"/>
    <cellStyle name="Comma 4 2 2 2 2 2 4 2 3" xfId="13096" xr:uid="{47FB2854-0FF1-4337-BA17-89B928665CE9}"/>
    <cellStyle name="Comma 4 2 2 2 2 2 4 3" xfId="5842" xr:uid="{00000000-0005-0000-0000-0000B2070000}"/>
    <cellStyle name="Comma 4 2 2 2 2 2 4 3 2" xfId="15168" xr:uid="{768C8CA5-3F5C-45E2-A71B-53C8F3673CA7}"/>
    <cellStyle name="Comma 4 2 2 2 2 2 4 4" xfId="10951" xr:uid="{66DC98B3-84F4-4F5D-9FF0-47C96299E901}"/>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D05A93D1-0D71-4E4B-9359-B64CC6DA141C}"/>
    <cellStyle name="Comma 4 2 2 2 2 2 5 2 3" xfId="13509" xr:uid="{37078FD9-BF1F-4EF8-A194-36F301F75EAD}"/>
    <cellStyle name="Comma 4 2 2 2 2 2 5 3" xfId="6255" xr:uid="{00000000-0005-0000-0000-0000B6070000}"/>
    <cellStyle name="Comma 4 2 2 2 2 2 5 3 2" xfId="15581" xr:uid="{BE979784-7EA7-4FA7-A7E5-63DFD122BCFF}"/>
    <cellStyle name="Comma 4 2 2 2 2 2 5 4" xfId="11364" xr:uid="{DFF7F472-86A7-4FE6-A160-248B10393D43}"/>
    <cellStyle name="Comma 4 2 2 2 2 2 6" xfId="2384" xr:uid="{00000000-0005-0000-0000-0000B7070000}"/>
    <cellStyle name="Comma 4 2 2 2 2 2 6 2" xfId="6668" xr:uid="{00000000-0005-0000-0000-0000B8070000}"/>
    <cellStyle name="Comma 4 2 2 2 2 2 6 2 2" xfId="15994" xr:uid="{4B7A4B59-0618-4FFA-959D-601A1F004546}"/>
    <cellStyle name="Comma 4 2 2 2 2 2 6 3" xfId="11777" xr:uid="{514ACB9F-3AD6-42DB-BDBF-C8A0A9D31081}"/>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5EEFDEE4-00DE-44E6-A063-5ECADE7B35DA}"/>
    <cellStyle name="Comma 4 2 2 2 2 2 8 3" xfId="12094" xr:uid="{3A6C4394-3D38-4602-AD72-552ECE8AF70B}"/>
    <cellStyle name="Comma 4 2 2 2 2 2 9" xfId="4602" xr:uid="{00000000-0005-0000-0000-0000BC070000}"/>
    <cellStyle name="Comma 4 2 2 2 2 2 9 2" xfId="13928" xr:uid="{F7FB3911-2F7F-4317-BE92-DA7E94C23D44}"/>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3FDDF2B0-B17E-4613-B070-2CE17CFE6134}"/>
    <cellStyle name="Comma 4 2 2 2 2 3 2 3" xfId="12269" xr:uid="{9E4901C0-37F2-4B8B-B693-D188905A4C37}"/>
    <cellStyle name="Comma 4 2 2 2 2 3 3" xfId="5015" xr:uid="{00000000-0005-0000-0000-0000C0070000}"/>
    <cellStyle name="Comma 4 2 2 2 2 3 3 2" xfId="14341" xr:uid="{02A4CF1F-7786-46DD-9F00-C33630FB6232}"/>
    <cellStyle name="Comma 4 2 2 2 2 3 4" xfId="9334" xr:uid="{50E8807F-6450-4082-BD30-0A86C2E78D0E}"/>
    <cellStyle name="Comma 4 2 2 2 2 3 5" xfId="10124" xr:uid="{7A5FC37C-D270-4B09-8669-17AE5434A83D}"/>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2317D00A-8C4D-435E-8FC4-E68FB3259B77}"/>
    <cellStyle name="Comma 4 2 2 2 2 4 2 3" xfId="12682" xr:uid="{5E92FE94-63F5-4DFB-9A38-55E7BC688A91}"/>
    <cellStyle name="Comma 4 2 2 2 2 4 3" xfId="5428" xr:uid="{00000000-0005-0000-0000-0000C4070000}"/>
    <cellStyle name="Comma 4 2 2 2 2 4 3 2" xfId="14754" xr:uid="{34CD4599-F203-4399-985B-BE45BABF490C}"/>
    <cellStyle name="Comma 4 2 2 2 2 4 4" xfId="10537" xr:uid="{0152C69D-E867-4CD0-913A-36E80703D5A5}"/>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E4679FF0-C620-44FA-87B8-963EE94022C8}"/>
    <cellStyle name="Comma 4 2 2 2 2 5 2 3" xfId="13095" xr:uid="{A830E9F2-0656-4E92-8C56-C6CFDD3F2ACD}"/>
    <cellStyle name="Comma 4 2 2 2 2 5 3" xfId="5841" xr:uid="{00000000-0005-0000-0000-0000C8070000}"/>
    <cellStyle name="Comma 4 2 2 2 2 5 3 2" xfId="15167" xr:uid="{7336D685-B805-4CAC-8683-1597D31A2660}"/>
    <cellStyle name="Comma 4 2 2 2 2 5 4" xfId="10950" xr:uid="{4ABE7C6B-AAAA-41E2-A8BA-A8ADA052F9CA}"/>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F44E8837-2499-4B07-A9C0-C180F047A5CE}"/>
    <cellStyle name="Comma 4 2 2 2 2 6 2 3" xfId="13508" xr:uid="{AA65BC67-DC3A-43FD-8EFE-566A55277773}"/>
    <cellStyle name="Comma 4 2 2 2 2 6 3" xfId="6254" xr:uid="{00000000-0005-0000-0000-0000CC070000}"/>
    <cellStyle name="Comma 4 2 2 2 2 6 3 2" xfId="15580" xr:uid="{5B2ED290-F438-40A9-8064-3E94EB1104A5}"/>
    <cellStyle name="Comma 4 2 2 2 2 6 4" xfId="11363" xr:uid="{1971A542-BD73-40E4-9104-D799384C3C27}"/>
    <cellStyle name="Comma 4 2 2 2 2 7" xfId="2383" xr:uid="{00000000-0005-0000-0000-0000CD070000}"/>
    <cellStyle name="Comma 4 2 2 2 2 7 2" xfId="6667" xr:uid="{00000000-0005-0000-0000-0000CE070000}"/>
    <cellStyle name="Comma 4 2 2 2 2 7 2 2" xfId="15993" xr:uid="{3A6219D1-4CAF-4F74-8E9F-4F6438903B04}"/>
    <cellStyle name="Comma 4 2 2 2 2 7 3" xfId="11776" xr:uid="{DEBE3AEE-5C31-4DBF-8697-C2CDD4410405}"/>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5F52D7D3-31AF-4745-9EF0-25D21938B2DB}"/>
    <cellStyle name="Comma 4 2 2 2 2 9 3" xfId="12093" xr:uid="{148A45BB-8ACA-4FD3-B094-4A527C247275}"/>
    <cellStyle name="Comma 4 2 2 2 3" xfId="131" xr:uid="{00000000-0005-0000-0000-0000D2070000}"/>
    <cellStyle name="Comma 4 2 2 2 3 10" xfId="9013" xr:uid="{D7491CA1-A7A0-4099-A659-9FB418CDDACA}"/>
    <cellStyle name="Comma 4 2 2 2 3 11" xfId="9712" xr:uid="{D750B7AC-4AC9-4F6F-A4CB-1E9EF52E04FB}"/>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BDDFEE84-DC63-412D-B800-C6A7D20B1D0F}"/>
    <cellStyle name="Comma 4 2 2 2 3 2 2 3" xfId="12271" xr:uid="{44BDC51D-175E-4ACF-BE92-A11B442BD35D}"/>
    <cellStyle name="Comma 4 2 2 2 3 2 3" xfId="5017" xr:uid="{00000000-0005-0000-0000-0000D6070000}"/>
    <cellStyle name="Comma 4 2 2 2 3 2 3 2" xfId="14343" xr:uid="{F7DC4992-61A9-464E-8CC1-FC4EE1A0BF0B}"/>
    <cellStyle name="Comma 4 2 2 2 3 2 4" xfId="9438" xr:uid="{8E9C4341-814A-43D1-8D35-8CCC512A2E32}"/>
    <cellStyle name="Comma 4 2 2 2 3 2 5" xfId="10126" xr:uid="{60BC8284-E879-4BEC-B986-672833F41D86}"/>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595C4FF8-A572-408D-8047-403B88CDA1F2}"/>
    <cellStyle name="Comma 4 2 2 2 3 3 2 3" xfId="12684" xr:uid="{83CCA4EF-BD98-4DA1-A84A-F16D928B4BD5}"/>
    <cellStyle name="Comma 4 2 2 2 3 3 3" xfId="5430" xr:uid="{00000000-0005-0000-0000-0000DA070000}"/>
    <cellStyle name="Comma 4 2 2 2 3 3 3 2" xfId="14756" xr:uid="{6C65C434-F217-41AC-88DB-80B2F8648B4F}"/>
    <cellStyle name="Comma 4 2 2 2 3 3 4" xfId="10539" xr:uid="{830CEBDC-8483-4EB8-9984-2A1FEC465DBA}"/>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9A4B2D75-2C64-4870-8F93-2E23B87FABEB}"/>
    <cellStyle name="Comma 4 2 2 2 3 4 2 3" xfId="13097" xr:uid="{98F481DE-21B9-4D8F-BEBC-C1B5885195AF}"/>
    <cellStyle name="Comma 4 2 2 2 3 4 3" xfId="5843" xr:uid="{00000000-0005-0000-0000-0000DE070000}"/>
    <cellStyle name="Comma 4 2 2 2 3 4 3 2" xfId="15169" xr:uid="{2C3F1C6C-2F4A-4BC8-BEC2-73A684A8D3E6}"/>
    <cellStyle name="Comma 4 2 2 2 3 4 4" xfId="10952" xr:uid="{F698E44F-2AE4-4CD8-A844-FDED7A293D34}"/>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2C5B6091-6894-47CC-A901-E7C1AD78EEED}"/>
    <cellStyle name="Comma 4 2 2 2 3 5 2 3" xfId="13510" xr:uid="{BEB629B8-0D7B-44B4-AA9F-73D219E73408}"/>
    <cellStyle name="Comma 4 2 2 2 3 5 3" xfId="6256" xr:uid="{00000000-0005-0000-0000-0000E2070000}"/>
    <cellStyle name="Comma 4 2 2 2 3 5 3 2" xfId="15582" xr:uid="{A55E5185-D5CE-489C-9722-AA29E12A33F7}"/>
    <cellStyle name="Comma 4 2 2 2 3 5 4" xfId="11365" xr:uid="{C3C2C73E-D8F9-4001-B48B-18B2C0C8511C}"/>
    <cellStyle name="Comma 4 2 2 2 3 6" xfId="2385" xr:uid="{00000000-0005-0000-0000-0000E3070000}"/>
    <cellStyle name="Comma 4 2 2 2 3 6 2" xfId="6669" xr:uid="{00000000-0005-0000-0000-0000E4070000}"/>
    <cellStyle name="Comma 4 2 2 2 3 6 2 2" xfId="15995" xr:uid="{4B548C9D-4941-47A2-9068-7DC6D9D53B1E}"/>
    <cellStyle name="Comma 4 2 2 2 3 6 3" xfId="11778" xr:uid="{F45582A8-D6FC-4045-A53C-32C1FE7C29FA}"/>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F503EB17-CFC6-4A7B-A03A-9F11AE1D8508}"/>
    <cellStyle name="Comma 4 2 2 2 3 8 3" xfId="12095" xr:uid="{52E9DDE3-6EE2-443F-B932-487DD35F1B85}"/>
    <cellStyle name="Comma 4 2 2 2 3 9" xfId="4603" xr:uid="{00000000-0005-0000-0000-0000E8070000}"/>
    <cellStyle name="Comma 4 2 2 2 3 9 2" xfId="13929" xr:uid="{CC5F0A98-273C-4415-A310-9AB725A11D30}"/>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BEEDE9B1-E86D-4346-832D-F43293EF19BE}"/>
    <cellStyle name="Comma 4 2 2 2 4 2 3" xfId="12268" xr:uid="{75A2ACFB-DA03-4A27-85C3-9996BE42D3D9}"/>
    <cellStyle name="Comma 4 2 2 2 4 3" xfId="5014" xr:uid="{00000000-0005-0000-0000-0000EC070000}"/>
    <cellStyle name="Comma 4 2 2 2 4 3 2" xfId="14340" xr:uid="{6C2ED047-65C5-413F-9F8E-4FB521531D62}"/>
    <cellStyle name="Comma 4 2 2 2 4 4" xfId="9231" xr:uid="{31DAC97A-9492-467B-9850-183797A56FBE}"/>
    <cellStyle name="Comma 4 2 2 2 4 5" xfId="10123" xr:uid="{87D1B524-88EA-48DF-85EC-3FBDECE516BB}"/>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71A85510-944D-4C05-A8B3-AA205AC92F1F}"/>
    <cellStyle name="Comma 4 2 2 2 5 2 3" xfId="12681" xr:uid="{916104D4-8144-436F-B6DB-0FBC7EE856E7}"/>
    <cellStyle name="Comma 4 2 2 2 5 3" xfId="5427" xr:uid="{00000000-0005-0000-0000-0000F0070000}"/>
    <cellStyle name="Comma 4 2 2 2 5 3 2" xfId="14753" xr:uid="{658EFD73-A8B1-4A17-B059-1B34CEDC67F8}"/>
    <cellStyle name="Comma 4 2 2 2 5 4" xfId="10536" xr:uid="{28623128-31C9-4152-9E22-166A6399A534}"/>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20C1B07D-A100-4510-A646-58946BBD5FBC}"/>
    <cellStyle name="Comma 4 2 2 2 6 2 3" xfId="13094" xr:uid="{E563428B-8552-47A2-94F3-133A6F6E7B57}"/>
    <cellStyle name="Comma 4 2 2 2 6 3" xfId="5840" xr:uid="{00000000-0005-0000-0000-0000F4070000}"/>
    <cellStyle name="Comma 4 2 2 2 6 3 2" xfId="15166" xr:uid="{3F74287E-23AE-42E7-9156-3910B8CC060A}"/>
    <cellStyle name="Comma 4 2 2 2 6 4" xfId="10949" xr:uid="{99337273-2A82-46ED-9AB2-1A5C9BD37E42}"/>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DE84F66E-3747-4BE3-BF6D-9F39C0A0A430}"/>
    <cellStyle name="Comma 4 2 2 2 7 2 3" xfId="13507" xr:uid="{8D4C2203-77EB-4DDB-B881-EEC6D038AC6B}"/>
    <cellStyle name="Comma 4 2 2 2 7 3" xfId="6253" xr:uid="{00000000-0005-0000-0000-0000F8070000}"/>
    <cellStyle name="Comma 4 2 2 2 7 3 2" xfId="15579" xr:uid="{38FA49D9-ABB2-4FD0-8AE8-569CC9F0BB3E}"/>
    <cellStyle name="Comma 4 2 2 2 7 4" xfId="11362" xr:uid="{9AAE9BA6-1797-4471-825B-4394B2C7F895}"/>
    <cellStyle name="Comma 4 2 2 2 8" xfId="2382" xr:uid="{00000000-0005-0000-0000-0000F9070000}"/>
    <cellStyle name="Comma 4 2 2 2 8 2" xfId="6666" xr:uid="{00000000-0005-0000-0000-0000FA070000}"/>
    <cellStyle name="Comma 4 2 2 2 8 2 2" xfId="15992" xr:uid="{685F135B-B395-40A5-A25E-19392310DB85}"/>
    <cellStyle name="Comma 4 2 2 2 8 3" xfId="11775" xr:uid="{C304AF10-6E75-48B2-984E-296289732277}"/>
    <cellStyle name="Comma 4 2 2 2 9" xfId="2381" xr:uid="{00000000-0005-0000-0000-0000FB070000}"/>
    <cellStyle name="Comma 4 2 2 3" xfId="132" xr:uid="{00000000-0005-0000-0000-0000FC070000}"/>
    <cellStyle name="Comma 4 2 2 3 10" xfId="4604" xr:uid="{00000000-0005-0000-0000-0000FD070000}"/>
    <cellStyle name="Comma 4 2 2 3 10 2" xfId="13930" xr:uid="{323CB714-A6D4-4428-9512-4CA10C20B8CD}"/>
    <cellStyle name="Comma 4 2 2 3 11" xfId="8889" xr:uid="{93813409-C042-4436-8561-B0237A135E7D}"/>
    <cellStyle name="Comma 4 2 2 3 12" xfId="9713" xr:uid="{248C896E-8031-42A4-837C-EC59A91F2288}"/>
    <cellStyle name="Comma 4 2 2 3 2" xfId="133" xr:uid="{00000000-0005-0000-0000-0000FE070000}"/>
    <cellStyle name="Comma 4 2 2 3 2 10" xfId="9096" xr:uid="{C395B6CC-7E3E-452B-B5AB-BBF992A45CEB}"/>
    <cellStyle name="Comma 4 2 2 3 2 11" xfId="9714" xr:uid="{C06679B2-C312-462D-A669-411B65B152C7}"/>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5393A321-DDB0-4FD5-825A-E8F63E1F6AD3}"/>
    <cellStyle name="Comma 4 2 2 3 2 2 2 3" xfId="12273" xr:uid="{453D7B59-9FAA-447E-B2A6-ED9561CBD7EC}"/>
    <cellStyle name="Comma 4 2 2 3 2 2 3" xfId="5019" xr:uid="{00000000-0005-0000-0000-000002080000}"/>
    <cellStyle name="Comma 4 2 2 3 2 2 3 2" xfId="14345" xr:uid="{7C30A5A8-CB94-4C93-A8B4-52DA607268AA}"/>
    <cellStyle name="Comma 4 2 2 3 2 2 4" xfId="9521" xr:uid="{8F14F654-C711-4E70-8A06-71F68E70E2E0}"/>
    <cellStyle name="Comma 4 2 2 3 2 2 5" xfId="10128" xr:uid="{396DEE49-C509-4D96-B59A-CAA34E10CBC8}"/>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E7A7DAAD-F141-4867-AF49-9D482F1C93A4}"/>
    <cellStyle name="Comma 4 2 2 3 2 3 2 3" xfId="12686" xr:uid="{7F678A1F-ADF9-4EC1-9669-D8C25552356C}"/>
    <cellStyle name="Comma 4 2 2 3 2 3 3" xfId="5432" xr:uid="{00000000-0005-0000-0000-000006080000}"/>
    <cellStyle name="Comma 4 2 2 3 2 3 3 2" xfId="14758" xr:uid="{106BD38E-AB1B-4992-B97E-D9F539DD06B5}"/>
    <cellStyle name="Comma 4 2 2 3 2 3 4" xfId="10541" xr:uid="{D2A31848-3636-476C-9570-B382D125579E}"/>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1E42D3A6-47D1-474E-886A-412837076FEF}"/>
    <cellStyle name="Comma 4 2 2 3 2 4 2 3" xfId="13099" xr:uid="{CE9C6BF0-B21C-4A5A-9412-85DF638595A6}"/>
    <cellStyle name="Comma 4 2 2 3 2 4 3" xfId="5845" xr:uid="{00000000-0005-0000-0000-00000A080000}"/>
    <cellStyle name="Comma 4 2 2 3 2 4 3 2" xfId="15171" xr:uid="{91B4AE3A-B03C-4973-8F3A-47E8BE67080C}"/>
    <cellStyle name="Comma 4 2 2 3 2 4 4" xfId="10954" xr:uid="{406262B1-6D7B-4CE2-9CBC-61FB8EC95BC5}"/>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5CDB5F86-84EC-4100-B4EE-33BE5FA14E6A}"/>
    <cellStyle name="Comma 4 2 2 3 2 5 2 3" xfId="13512" xr:uid="{7C50AA78-F700-41D2-84F7-3E96B5FBA0B7}"/>
    <cellStyle name="Comma 4 2 2 3 2 5 3" xfId="6258" xr:uid="{00000000-0005-0000-0000-00000E080000}"/>
    <cellStyle name="Comma 4 2 2 3 2 5 3 2" xfId="15584" xr:uid="{D2A1388A-F143-4BC4-B580-6C5D5BFAA379}"/>
    <cellStyle name="Comma 4 2 2 3 2 5 4" xfId="11367" xr:uid="{779ACEC6-3C06-4BF5-9CEF-4415796C2B77}"/>
    <cellStyle name="Comma 4 2 2 3 2 6" xfId="2387" xr:uid="{00000000-0005-0000-0000-00000F080000}"/>
    <cellStyle name="Comma 4 2 2 3 2 6 2" xfId="6671" xr:uid="{00000000-0005-0000-0000-000010080000}"/>
    <cellStyle name="Comma 4 2 2 3 2 6 2 2" xfId="15997" xr:uid="{57D24F1C-77E1-4807-8B20-A3978BEE9618}"/>
    <cellStyle name="Comma 4 2 2 3 2 6 3" xfId="11780" xr:uid="{90B7B3C9-A2CC-4467-B792-D8F218FCA6A4}"/>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CE5B9D39-A5C0-47B8-8806-DEEEB0A979F8}"/>
    <cellStyle name="Comma 4 2 2 3 2 8 3" xfId="12097" xr:uid="{1D22D748-98F0-418E-B66B-DEFF03EB0C48}"/>
    <cellStyle name="Comma 4 2 2 3 2 9" xfId="4605" xr:uid="{00000000-0005-0000-0000-000014080000}"/>
    <cellStyle name="Comma 4 2 2 3 2 9 2" xfId="13931" xr:uid="{28F82E7B-A4F0-4E7E-9FA2-5777CF67D5E4}"/>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883F2CE1-38E6-4442-A21F-A766E0110BFC}"/>
    <cellStyle name="Comma 4 2 2 3 3 2 3" xfId="12272" xr:uid="{7060DDE3-24FA-45A8-AC19-9C05264107E6}"/>
    <cellStyle name="Comma 4 2 2 3 3 3" xfId="5018" xr:uid="{00000000-0005-0000-0000-000018080000}"/>
    <cellStyle name="Comma 4 2 2 3 3 3 2" xfId="14344" xr:uid="{EDCC85DC-FA2F-4674-8549-DCF34DCDD9C3}"/>
    <cellStyle name="Comma 4 2 2 3 3 4" xfId="9314" xr:uid="{A74197AE-1229-40FC-8212-8FB289D74FF6}"/>
    <cellStyle name="Comma 4 2 2 3 3 5" xfId="10127" xr:uid="{5EF4530F-1C0A-4D91-8BA5-DB15FCB67F01}"/>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0960F1A6-D014-4C24-9FE2-B7C13FA9637E}"/>
    <cellStyle name="Comma 4 2 2 3 4 2 3" xfId="12685" xr:uid="{DDDD5BEF-3C5B-4A48-A9AA-3CC8F0671578}"/>
    <cellStyle name="Comma 4 2 2 3 4 3" xfId="5431" xr:uid="{00000000-0005-0000-0000-00001C080000}"/>
    <cellStyle name="Comma 4 2 2 3 4 3 2" xfId="14757" xr:uid="{24EB45AA-2977-441B-92EA-25182F923B2A}"/>
    <cellStyle name="Comma 4 2 2 3 4 4" xfId="10540" xr:uid="{3EF9110E-5694-4EF1-9886-D302CCC854EE}"/>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56FEB7BC-DDF6-40BB-B15C-0E9ED8CF86B3}"/>
    <cellStyle name="Comma 4 2 2 3 5 2 3" xfId="13098" xr:uid="{E2AC0CA7-F883-46B7-AE14-ED32A9F038B5}"/>
    <cellStyle name="Comma 4 2 2 3 5 3" xfId="5844" xr:uid="{00000000-0005-0000-0000-000020080000}"/>
    <cellStyle name="Comma 4 2 2 3 5 3 2" xfId="15170" xr:uid="{8BD50946-3740-44D5-9981-B05095B1CB41}"/>
    <cellStyle name="Comma 4 2 2 3 5 4" xfId="10953" xr:uid="{3FE583A0-CE23-48DE-B38E-59A7F4D05C3B}"/>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F16E9829-7308-4324-9E55-5E08BE8E6B27}"/>
    <cellStyle name="Comma 4 2 2 3 6 2 3" xfId="13511" xr:uid="{AAB80317-FBA9-476B-BFEC-1CF43B71F30B}"/>
    <cellStyle name="Comma 4 2 2 3 6 3" xfId="6257" xr:uid="{00000000-0005-0000-0000-000024080000}"/>
    <cellStyle name="Comma 4 2 2 3 6 3 2" xfId="15583" xr:uid="{D227CF26-EECC-409D-A586-A07259D02B9E}"/>
    <cellStyle name="Comma 4 2 2 3 6 4" xfId="11366" xr:uid="{5BEF54F1-5138-4888-A9F8-2FD7A85C50D0}"/>
    <cellStyle name="Comma 4 2 2 3 7" xfId="2386" xr:uid="{00000000-0005-0000-0000-000025080000}"/>
    <cellStyle name="Comma 4 2 2 3 7 2" xfId="6670" xr:uid="{00000000-0005-0000-0000-000026080000}"/>
    <cellStyle name="Comma 4 2 2 3 7 2 2" xfId="15996" xr:uid="{991F1221-2CA2-4F76-A2B5-76CE1AD4F8DB}"/>
    <cellStyle name="Comma 4 2 2 3 7 3" xfId="11779" xr:uid="{2529F729-5299-4B47-8B96-27CE2E1B0C5E}"/>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33377646-0BE7-416D-8F91-C55648F55F6D}"/>
    <cellStyle name="Comma 4 2 2 3 9 3" xfId="12096" xr:uid="{A4F09EA0-2ED8-461D-916C-D69C4A3C9F2C}"/>
    <cellStyle name="Comma 4 2 2 4" xfId="134" xr:uid="{00000000-0005-0000-0000-00002A080000}"/>
    <cellStyle name="Comma 4 2 2 4 10" xfId="8993" xr:uid="{2969CB69-37C4-4C43-BC9D-87F92556F829}"/>
    <cellStyle name="Comma 4 2 2 4 11" xfId="9715" xr:uid="{B3742405-0C43-44CA-BF12-FBB8FD13D901}"/>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7403BF4B-8AEB-495F-A298-76CFC62A701F}"/>
    <cellStyle name="Comma 4 2 2 4 2 2 3" xfId="12274" xr:uid="{BBC36E72-F65A-427F-9C1A-7FF0145BECCA}"/>
    <cellStyle name="Comma 4 2 2 4 2 3" xfId="5020" xr:uid="{00000000-0005-0000-0000-00002E080000}"/>
    <cellStyle name="Comma 4 2 2 4 2 3 2" xfId="14346" xr:uid="{CE9F0624-15F0-40C2-9D72-2B7CF75B03E7}"/>
    <cellStyle name="Comma 4 2 2 4 2 4" xfId="9418" xr:uid="{F2EB07B7-2227-485D-9411-A8F75EC2F9DA}"/>
    <cellStyle name="Comma 4 2 2 4 2 5" xfId="10129" xr:uid="{4C9D86B1-FEB6-4384-AD1D-7448BD65F154}"/>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C4C05BFF-D0FC-453E-BC6F-D74C374D3074}"/>
    <cellStyle name="Comma 4 2 2 4 3 2 3" xfId="12687" xr:uid="{884A6134-34F2-4F82-B9FF-75EB07DB2B51}"/>
    <cellStyle name="Comma 4 2 2 4 3 3" xfId="5433" xr:uid="{00000000-0005-0000-0000-000032080000}"/>
    <cellStyle name="Comma 4 2 2 4 3 3 2" xfId="14759" xr:uid="{7E433DFB-38A6-4361-85FE-071A8FF40B93}"/>
    <cellStyle name="Comma 4 2 2 4 3 4" xfId="10542" xr:uid="{D306D84B-09FD-4064-9905-A42153349E8A}"/>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C55AE6CA-0933-4439-95FD-CC7AD5E05AB8}"/>
    <cellStyle name="Comma 4 2 2 4 4 2 3" xfId="13100" xr:uid="{AE855686-A276-4B22-8769-1EC3EE0716BB}"/>
    <cellStyle name="Comma 4 2 2 4 4 3" xfId="5846" xr:uid="{00000000-0005-0000-0000-000036080000}"/>
    <cellStyle name="Comma 4 2 2 4 4 3 2" xfId="15172" xr:uid="{8C57FBCA-299A-4380-AB39-58EFBF521F8D}"/>
    <cellStyle name="Comma 4 2 2 4 4 4" xfId="10955" xr:uid="{6EE8C6BB-41C7-401E-AF81-B7465906889A}"/>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39DE0F5C-626F-4735-9174-BE020BDD4ACE}"/>
    <cellStyle name="Comma 4 2 2 4 5 2 3" xfId="13513" xr:uid="{75C45950-C83F-4630-8EFF-36AE1B732725}"/>
    <cellStyle name="Comma 4 2 2 4 5 3" xfId="6259" xr:uid="{00000000-0005-0000-0000-00003A080000}"/>
    <cellStyle name="Comma 4 2 2 4 5 3 2" xfId="15585" xr:uid="{1E0E772D-3FE1-4E05-87CB-10FAC11DDA25}"/>
    <cellStyle name="Comma 4 2 2 4 5 4" xfId="11368" xr:uid="{593394CB-01D9-478A-AF2C-CF868DDF4E44}"/>
    <cellStyle name="Comma 4 2 2 4 6" xfId="2388" xr:uid="{00000000-0005-0000-0000-00003B080000}"/>
    <cellStyle name="Comma 4 2 2 4 6 2" xfId="6672" xr:uid="{00000000-0005-0000-0000-00003C080000}"/>
    <cellStyle name="Comma 4 2 2 4 6 2 2" xfId="15998" xr:uid="{4D44C38A-9047-448B-8825-CCDD85464F29}"/>
    <cellStyle name="Comma 4 2 2 4 6 3" xfId="11781" xr:uid="{B7555242-27ED-442E-95C2-72957D82D048}"/>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0E2B26F3-F063-4AC4-8121-25411E5C1374}"/>
    <cellStyle name="Comma 4 2 2 4 8 3" xfId="12098" xr:uid="{28A79A03-D50D-4085-998C-5ECC9DDAE286}"/>
    <cellStyle name="Comma 4 2 2 4 9" xfId="4606" xr:uid="{00000000-0005-0000-0000-000040080000}"/>
    <cellStyle name="Comma 4 2 2 4 9 2" xfId="13932" xr:uid="{F3264E62-6ACC-4FF7-9848-F69A55138378}"/>
    <cellStyle name="Comma 4 2 2 5" xfId="135" xr:uid="{00000000-0005-0000-0000-000041080000}"/>
    <cellStyle name="Comma 4 2 2 5 10" xfId="9210" xr:uid="{C1F9418B-EF96-4063-883D-A983E131C6A4}"/>
    <cellStyle name="Comma 4 2 2 5 11" xfId="9716" xr:uid="{146B0AC5-9852-480C-8ED3-AE716F04A17C}"/>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582BC79A-8B1E-4B3D-A636-5654F3347B42}"/>
    <cellStyle name="Comma 4 2 2 5 2 2 3" xfId="12275" xr:uid="{5035BAF7-9A4D-4789-894C-9D135D784A14}"/>
    <cellStyle name="Comma 4 2 2 5 2 3" xfId="5021" xr:uid="{00000000-0005-0000-0000-000045080000}"/>
    <cellStyle name="Comma 4 2 2 5 2 3 2" xfId="14347" xr:uid="{49210B22-9AC4-48D9-ABDE-07092A273878}"/>
    <cellStyle name="Comma 4 2 2 5 2 4" xfId="9593" xr:uid="{3B41C66E-2108-4CBE-9776-211459781E55}"/>
    <cellStyle name="Comma 4 2 2 5 2 5" xfId="10130" xr:uid="{B52A272C-DF85-4DA3-B3D4-E54A4D873AD6}"/>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D8022A8E-11B4-4EB2-AA5B-0562DC36D47A}"/>
    <cellStyle name="Comma 4 2 2 5 3 2 3" xfId="12688" xr:uid="{AC421B4C-9244-4F37-B066-8BF299C52930}"/>
    <cellStyle name="Comma 4 2 2 5 3 3" xfId="5434" xr:uid="{00000000-0005-0000-0000-000049080000}"/>
    <cellStyle name="Comma 4 2 2 5 3 3 2" xfId="14760" xr:uid="{3F82DD61-0CE7-40E5-ABC0-F6281E2927B3}"/>
    <cellStyle name="Comma 4 2 2 5 3 4" xfId="10543" xr:uid="{0BC35820-41D9-4062-B7ED-F49B9488A4F9}"/>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468A39C5-6192-4CAB-AF40-B1253E451D90}"/>
    <cellStyle name="Comma 4 2 2 5 4 2 3" xfId="13101" xr:uid="{FD4CECEC-3DA6-432F-8655-331B9867E16F}"/>
    <cellStyle name="Comma 4 2 2 5 4 3" xfId="5847" xr:uid="{00000000-0005-0000-0000-00004D080000}"/>
    <cellStyle name="Comma 4 2 2 5 4 3 2" xfId="15173" xr:uid="{2B481852-C94E-49CE-9DAC-8D37D12F8CC2}"/>
    <cellStyle name="Comma 4 2 2 5 4 4" xfId="10956" xr:uid="{353FE9D8-6AD6-493D-84F9-F9F8C3864FD5}"/>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03BFEFA5-DEC0-489C-864B-CDD815EEC8FC}"/>
    <cellStyle name="Comma 4 2 2 5 5 2 3" xfId="13514" xr:uid="{41727A71-3090-466F-8CD7-9C694479E612}"/>
    <cellStyle name="Comma 4 2 2 5 5 3" xfId="6260" xr:uid="{00000000-0005-0000-0000-000051080000}"/>
    <cellStyle name="Comma 4 2 2 5 5 3 2" xfId="15586" xr:uid="{097591D2-1012-49DD-AA93-2B5567C7BEB1}"/>
    <cellStyle name="Comma 4 2 2 5 5 4" xfId="11369" xr:uid="{C2CB7041-4498-473B-9735-FDE300CE6A65}"/>
    <cellStyle name="Comma 4 2 2 5 6" xfId="2389" xr:uid="{00000000-0005-0000-0000-000052080000}"/>
    <cellStyle name="Comma 4 2 2 5 6 2" xfId="6673" xr:uid="{00000000-0005-0000-0000-000053080000}"/>
    <cellStyle name="Comma 4 2 2 5 6 2 2" xfId="15999" xr:uid="{52663ED7-5EE4-4E7D-AC7D-D8D4EB61F3C2}"/>
    <cellStyle name="Comma 4 2 2 5 6 3" xfId="11782" xr:uid="{8CD709E6-67D5-4698-8CD5-9396D79601ED}"/>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68711D71-72C4-483C-85A6-42DF20628531}"/>
    <cellStyle name="Comma 4 2 2 5 8 3" xfId="12099" xr:uid="{FA52D5A0-0B99-4D7F-9376-1803EC593A88}"/>
    <cellStyle name="Comma 4 2 2 5 9" xfId="4607" xr:uid="{00000000-0005-0000-0000-000057080000}"/>
    <cellStyle name="Comma 4 2 2 5 9 2" xfId="13933" xr:uid="{E7DA5D0D-2626-4AFB-9714-1E3FA15FDC78}"/>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EA854177-C085-469B-8F45-702C9725E082}"/>
    <cellStyle name="Comma 4 2 3 10 3" xfId="12100" xr:uid="{5981308F-840D-4F2E-AB79-2337A8729068}"/>
    <cellStyle name="Comma 4 2 3 11" xfId="4608" xr:uid="{00000000-0005-0000-0000-00005B080000}"/>
    <cellStyle name="Comma 4 2 3 11 2" xfId="13934" xr:uid="{91EB1FF0-45E5-42F1-8975-A3F0B3E4ACED}"/>
    <cellStyle name="Comma 4 2 3 12" xfId="8805" xr:uid="{C45527F6-07B7-4887-BAF3-A6424444BA3B}"/>
    <cellStyle name="Comma 4 2 3 13" xfId="9717" xr:uid="{56EF5BCA-C18D-4076-90D5-9CB917F9CDE5}"/>
    <cellStyle name="Comma 4 2 3 2" xfId="137" xr:uid="{00000000-0005-0000-0000-00005C080000}"/>
    <cellStyle name="Comma 4 2 3 2 10" xfId="4609" xr:uid="{00000000-0005-0000-0000-00005D080000}"/>
    <cellStyle name="Comma 4 2 3 2 10 2" xfId="13935" xr:uid="{9C3C4D28-2854-4C60-9843-1E78DD9146DD}"/>
    <cellStyle name="Comma 4 2 3 2 11" xfId="8908" xr:uid="{E7021C11-E6EB-4392-A0AD-2A78F42B4BB7}"/>
    <cellStyle name="Comma 4 2 3 2 12" xfId="9718" xr:uid="{CD8AEB37-40BD-4CD3-9298-C2BE0D09A052}"/>
    <cellStyle name="Comma 4 2 3 2 2" xfId="138" xr:uid="{00000000-0005-0000-0000-00005E080000}"/>
    <cellStyle name="Comma 4 2 3 2 2 10" xfId="9115" xr:uid="{1A31CCC4-B2C0-4E0C-B714-855521500FE8}"/>
    <cellStyle name="Comma 4 2 3 2 2 11" xfId="9719" xr:uid="{353D2DA9-369D-4982-B56E-FB482170658D}"/>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D759EC00-46D9-4191-974C-0CAE91556E65}"/>
    <cellStyle name="Comma 4 2 3 2 2 2 2 3" xfId="12278" xr:uid="{990DB2E7-1279-4951-87FE-99D293F9F751}"/>
    <cellStyle name="Comma 4 2 3 2 2 2 3" xfId="5024" xr:uid="{00000000-0005-0000-0000-000062080000}"/>
    <cellStyle name="Comma 4 2 3 2 2 2 3 2" xfId="14350" xr:uid="{EFCBB44E-9582-4C16-9375-A40F85ABA065}"/>
    <cellStyle name="Comma 4 2 3 2 2 2 4" xfId="9540" xr:uid="{F922DD27-FEAE-4DB6-894F-26CD58815668}"/>
    <cellStyle name="Comma 4 2 3 2 2 2 5" xfId="10133" xr:uid="{899375C9-CB11-4084-950C-568666DC7EE5}"/>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27A5049A-7940-4746-AF6C-6325079AC8E0}"/>
    <cellStyle name="Comma 4 2 3 2 2 3 2 3" xfId="12691" xr:uid="{161FB6E8-442D-4C0D-AE8C-E2458882E243}"/>
    <cellStyle name="Comma 4 2 3 2 2 3 3" xfId="5437" xr:uid="{00000000-0005-0000-0000-000066080000}"/>
    <cellStyle name="Comma 4 2 3 2 2 3 3 2" xfId="14763" xr:uid="{4A454609-C48D-4BB2-A1E0-F64439970808}"/>
    <cellStyle name="Comma 4 2 3 2 2 3 4" xfId="10546" xr:uid="{DF26D75B-DB89-417E-A635-0B05DD7DBD8C}"/>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D0EC3750-B699-4616-B7C6-01AE3F5E3ED8}"/>
    <cellStyle name="Comma 4 2 3 2 2 4 2 3" xfId="13104" xr:uid="{04933C69-8066-47D2-9A18-4ED154C11CC9}"/>
    <cellStyle name="Comma 4 2 3 2 2 4 3" xfId="5850" xr:uid="{00000000-0005-0000-0000-00006A080000}"/>
    <cellStyle name="Comma 4 2 3 2 2 4 3 2" xfId="15176" xr:uid="{9039296B-BC52-431B-B42E-885494281E8B}"/>
    <cellStyle name="Comma 4 2 3 2 2 4 4" xfId="10959" xr:uid="{D5FB2881-A5FC-42C8-82FE-330E5DC03D78}"/>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E97407FC-4FC8-4F7B-8886-DEC2C63F14A4}"/>
    <cellStyle name="Comma 4 2 3 2 2 5 2 3" xfId="13517" xr:uid="{AA09BDF0-948D-40A4-9A2F-31710CA2C681}"/>
    <cellStyle name="Comma 4 2 3 2 2 5 3" xfId="6263" xr:uid="{00000000-0005-0000-0000-00006E080000}"/>
    <cellStyle name="Comma 4 2 3 2 2 5 3 2" xfId="15589" xr:uid="{FBE93531-684A-47C7-BD59-CBC74E3EA70F}"/>
    <cellStyle name="Comma 4 2 3 2 2 5 4" xfId="11372" xr:uid="{04B992BD-DAB6-4F40-81D1-5022878D9EE9}"/>
    <cellStyle name="Comma 4 2 3 2 2 6" xfId="2392" xr:uid="{00000000-0005-0000-0000-00006F080000}"/>
    <cellStyle name="Comma 4 2 3 2 2 6 2" xfId="6676" xr:uid="{00000000-0005-0000-0000-000070080000}"/>
    <cellStyle name="Comma 4 2 3 2 2 6 2 2" xfId="16002" xr:uid="{89C0ECA1-5AA0-4880-9ECB-C4340B6808D5}"/>
    <cellStyle name="Comma 4 2 3 2 2 6 3" xfId="11785" xr:uid="{465085CB-E89C-4A86-A83C-5EA39E1FED86}"/>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5C45E55F-D5D8-4DA8-8702-04AC58A8DE7B}"/>
    <cellStyle name="Comma 4 2 3 2 2 8 3" xfId="12102" xr:uid="{0A640098-2FF9-4B82-A39F-7D88A1B84B42}"/>
    <cellStyle name="Comma 4 2 3 2 2 9" xfId="4610" xr:uid="{00000000-0005-0000-0000-000074080000}"/>
    <cellStyle name="Comma 4 2 3 2 2 9 2" xfId="13936" xr:uid="{C282C558-418D-4D43-8F97-1740473AE499}"/>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A891C1B1-FFCA-49E4-BDB1-B7B57118CEA5}"/>
    <cellStyle name="Comma 4 2 3 2 3 2 3" xfId="12277" xr:uid="{47DE6160-805B-41ED-890A-6723FA290925}"/>
    <cellStyle name="Comma 4 2 3 2 3 3" xfId="5023" xr:uid="{00000000-0005-0000-0000-000078080000}"/>
    <cellStyle name="Comma 4 2 3 2 3 3 2" xfId="14349" xr:uid="{624C9731-62C5-43BA-AB3A-7400EEE1C20F}"/>
    <cellStyle name="Comma 4 2 3 2 3 4" xfId="9333" xr:uid="{5C974796-1B06-4FA8-AB2A-F6B34628ACD4}"/>
    <cellStyle name="Comma 4 2 3 2 3 5" xfId="10132" xr:uid="{DC62CFBE-6AAD-428C-970F-29553A764800}"/>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77A4C0C5-17D1-4012-9C9D-1275AC35D0BC}"/>
    <cellStyle name="Comma 4 2 3 2 4 2 3" xfId="12690" xr:uid="{9349797E-0D39-4265-B87A-27427B65ED7C}"/>
    <cellStyle name="Comma 4 2 3 2 4 3" xfId="5436" xr:uid="{00000000-0005-0000-0000-00007C080000}"/>
    <cellStyle name="Comma 4 2 3 2 4 3 2" xfId="14762" xr:uid="{68B1FBFA-3175-4B36-8595-4102D425E162}"/>
    <cellStyle name="Comma 4 2 3 2 4 4" xfId="10545" xr:uid="{DFE0DDED-D434-41A5-85BD-73EBC60FCBF9}"/>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05FACAAD-1323-4D2C-ADAE-FAD761DADF66}"/>
    <cellStyle name="Comma 4 2 3 2 5 2 3" xfId="13103" xr:uid="{71235FED-0FD4-4428-8153-8C5F923475B0}"/>
    <cellStyle name="Comma 4 2 3 2 5 3" xfId="5849" xr:uid="{00000000-0005-0000-0000-000080080000}"/>
    <cellStyle name="Comma 4 2 3 2 5 3 2" xfId="15175" xr:uid="{28777E27-A2F7-4C17-A5E5-D2262E5E5554}"/>
    <cellStyle name="Comma 4 2 3 2 5 4" xfId="10958" xr:uid="{22D19DD4-E1E7-4D86-83F2-34BDEF580457}"/>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E535934E-AE8C-4AC2-9B1D-E644B628B41F}"/>
    <cellStyle name="Comma 4 2 3 2 6 2 3" xfId="13516" xr:uid="{B8DAF50D-2E7B-430D-936A-B3DFF992B149}"/>
    <cellStyle name="Comma 4 2 3 2 6 3" xfId="6262" xr:uid="{00000000-0005-0000-0000-000084080000}"/>
    <cellStyle name="Comma 4 2 3 2 6 3 2" xfId="15588" xr:uid="{E6D9F0FC-3AF8-410B-AF2C-7141991F38DE}"/>
    <cellStyle name="Comma 4 2 3 2 6 4" xfId="11371" xr:uid="{D9093550-D28B-4B43-8858-29E19831E946}"/>
    <cellStyle name="Comma 4 2 3 2 7" xfId="2391" xr:uid="{00000000-0005-0000-0000-000085080000}"/>
    <cellStyle name="Comma 4 2 3 2 7 2" xfId="6675" xr:uid="{00000000-0005-0000-0000-000086080000}"/>
    <cellStyle name="Comma 4 2 3 2 7 2 2" xfId="16001" xr:uid="{ADD13BDF-D62C-4AD5-B597-CACAC63C33F2}"/>
    <cellStyle name="Comma 4 2 3 2 7 3" xfId="11784" xr:uid="{9A683804-3BCB-4207-89C2-97B2ACE419C9}"/>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EE0544BC-7099-4B1D-9A9B-F8FF0229E418}"/>
    <cellStyle name="Comma 4 2 3 2 9 3" xfId="12101" xr:uid="{D7484F52-AD7A-4EC1-AEE5-4F6C2368414D}"/>
    <cellStyle name="Comma 4 2 3 3" xfId="139" xr:uid="{00000000-0005-0000-0000-00008A080000}"/>
    <cellStyle name="Comma 4 2 3 3 10" xfId="9012" xr:uid="{61C0F117-76A9-43CA-B381-88B2CFF6294C}"/>
    <cellStyle name="Comma 4 2 3 3 11" xfId="9720" xr:uid="{24712CFA-3542-4D4D-9ECF-279483639553}"/>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51B9C9BD-58CF-4657-A7DE-6061DBB7E1E0}"/>
    <cellStyle name="Comma 4 2 3 3 2 2 3" xfId="12279" xr:uid="{20066CFB-2D6B-40CB-9BE9-D46F558BC699}"/>
    <cellStyle name="Comma 4 2 3 3 2 3" xfId="5025" xr:uid="{00000000-0005-0000-0000-00008E080000}"/>
    <cellStyle name="Comma 4 2 3 3 2 3 2" xfId="14351" xr:uid="{0D13EC22-7FC7-462D-AD85-094AAB5A4899}"/>
    <cellStyle name="Comma 4 2 3 3 2 4" xfId="9437" xr:uid="{35C6809B-E49F-4A7F-8CB1-650474E72B0A}"/>
    <cellStyle name="Comma 4 2 3 3 2 5" xfId="10134" xr:uid="{4AA94788-FEF8-409B-AEB2-C20E56079A3C}"/>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B4FB259B-D9A1-4106-9903-E5AEB68A3928}"/>
    <cellStyle name="Comma 4 2 3 3 3 2 3" xfId="12692" xr:uid="{ECED11AA-940D-41BE-8053-ABF269869340}"/>
    <cellStyle name="Comma 4 2 3 3 3 3" xfId="5438" xr:uid="{00000000-0005-0000-0000-000092080000}"/>
    <cellStyle name="Comma 4 2 3 3 3 3 2" xfId="14764" xr:uid="{0F0EA8DC-BD23-4024-AA71-1D5199E90A13}"/>
    <cellStyle name="Comma 4 2 3 3 3 4" xfId="10547" xr:uid="{8A582924-5B45-4AC4-8EB0-8B127E81AC1B}"/>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2186B538-9D0D-439C-8EE2-B08A8709B5FD}"/>
    <cellStyle name="Comma 4 2 3 3 4 2 3" xfId="13105" xr:uid="{87DEF410-6E94-46A1-86D2-8B35D9945D29}"/>
    <cellStyle name="Comma 4 2 3 3 4 3" xfId="5851" xr:uid="{00000000-0005-0000-0000-000096080000}"/>
    <cellStyle name="Comma 4 2 3 3 4 3 2" xfId="15177" xr:uid="{6891B5B3-B428-4BEC-8938-0189781469A0}"/>
    <cellStyle name="Comma 4 2 3 3 4 4" xfId="10960" xr:uid="{7547DB3C-6679-4D01-BD40-A29C31078103}"/>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779A110F-D90D-417E-AD77-699F44C347FA}"/>
    <cellStyle name="Comma 4 2 3 3 5 2 3" xfId="13518" xr:uid="{126C9A82-0A61-4F04-9DF9-D1630DFF7815}"/>
    <cellStyle name="Comma 4 2 3 3 5 3" xfId="6264" xr:uid="{00000000-0005-0000-0000-00009A080000}"/>
    <cellStyle name="Comma 4 2 3 3 5 3 2" xfId="15590" xr:uid="{05358CB2-5198-4F61-865A-A675C8104CCD}"/>
    <cellStyle name="Comma 4 2 3 3 5 4" xfId="11373" xr:uid="{2B94C36D-1356-479B-B335-722679320B3C}"/>
    <cellStyle name="Comma 4 2 3 3 6" xfId="2393" xr:uid="{00000000-0005-0000-0000-00009B080000}"/>
    <cellStyle name="Comma 4 2 3 3 6 2" xfId="6677" xr:uid="{00000000-0005-0000-0000-00009C080000}"/>
    <cellStyle name="Comma 4 2 3 3 6 2 2" xfId="16003" xr:uid="{F3C13F8F-A088-4FF5-BA98-5294CF668A74}"/>
    <cellStyle name="Comma 4 2 3 3 6 3" xfId="11786" xr:uid="{45B3C804-AADA-419A-9B3C-50FCB6AA17FE}"/>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312AE5BB-1EF0-4773-A207-BAF9B07C5B93}"/>
    <cellStyle name="Comma 4 2 3 3 8 3" xfId="12103" xr:uid="{BBB8E17F-BE92-4FAC-BAE4-ACC31E677006}"/>
    <cellStyle name="Comma 4 2 3 3 9" xfId="4611" xr:uid="{00000000-0005-0000-0000-0000A0080000}"/>
    <cellStyle name="Comma 4 2 3 3 9 2" xfId="13937" xr:uid="{9165000F-B00B-40A2-B6DD-43F060C3CF7E}"/>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3EC1158D-BBBF-4CC2-8B19-2316A9642956}"/>
    <cellStyle name="Comma 4 2 3 4 2 3" xfId="12276" xr:uid="{2D2B6AD5-71CD-49EA-A491-F0B892B48186}"/>
    <cellStyle name="Comma 4 2 3 4 3" xfId="5022" xr:uid="{00000000-0005-0000-0000-0000A4080000}"/>
    <cellStyle name="Comma 4 2 3 4 3 2" xfId="14348" xr:uid="{574F825A-FE47-4F91-84C6-5A278DD1FF74}"/>
    <cellStyle name="Comma 4 2 3 4 4" xfId="9230" xr:uid="{24B6B749-023F-4009-8785-C6CFE1098E24}"/>
    <cellStyle name="Comma 4 2 3 4 5" xfId="10131" xr:uid="{5866520F-8D99-4217-804D-C20740DF7218}"/>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E299FC7B-4EFD-4435-B4A9-EB751ED43610}"/>
    <cellStyle name="Comma 4 2 3 5 2 3" xfId="12689" xr:uid="{4D6FBF6D-A782-4CE4-9E70-D14DC1DEE3E7}"/>
    <cellStyle name="Comma 4 2 3 5 3" xfId="5435" xr:uid="{00000000-0005-0000-0000-0000A8080000}"/>
    <cellStyle name="Comma 4 2 3 5 3 2" xfId="14761" xr:uid="{6C6E9A7A-BDA6-4609-A3B5-31C88495B50F}"/>
    <cellStyle name="Comma 4 2 3 5 4" xfId="10544" xr:uid="{8523FE8B-EC4F-41DF-A618-A008BC8618E5}"/>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1A810EED-C551-4EEF-96FB-30C6322786F0}"/>
    <cellStyle name="Comma 4 2 3 6 2 3" xfId="13102" xr:uid="{98037CD5-F6F4-4B5F-A97F-D9D75CC30200}"/>
    <cellStyle name="Comma 4 2 3 6 3" xfId="5848" xr:uid="{00000000-0005-0000-0000-0000AC080000}"/>
    <cellStyle name="Comma 4 2 3 6 3 2" xfId="15174" xr:uid="{937918A9-33C9-4AD0-A2DC-8CD91DADE98E}"/>
    <cellStyle name="Comma 4 2 3 6 4" xfId="10957" xr:uid="{05D705E0-1A69-4E8D-B2D4-7A7541C3A27F}"/>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814CA69D-68BB-4998-BC43-4CF9EE49811A}"/>
    <cellStyle name="Comma 4 2 3 7 2 3" xfId="13515" xr:uid="{245A27ED-399D-48C7-95B4-F40EBC9D67E8}"/>
    <cellStyle name="Comma 4 2 3 7 3" xfId="6261" xr:uid="{00000000-0005-0000-0000-0000B0080000}"/>
    <cellStyle name="Comma 4 2 3 7 3 2" xfId="15587" xr:uid="{48BB51F9-9C40-4158-AB77-32DBE96308C5}"/>
    <cellStyle name="Comma 4 2 3 7 4" xfId="11370" xr:uid="{432E90A8-9401-4B97-90F6-B6AE5EC0FFC3}"/>
    <cellStyle name="Comma 4 2 3 8" xfId="2390" xr:uid="{00000000-0005-0000-0000-0000B1080000}"/>
    <cellStyle name="Comma 4 2 3 8 2" xfId="6674" xr:uid="{00000000-0005-0000-0000-0000B2080000}"/>
    <cellStyle name="Comma 4 2 3 8 2 2" xfId="16000" xr:uid="{6C06FC96-A55F-4031-B4DE-3474007250B7}"/>
    <cellStyle name="Comma 4 2 3 8 3" xfId="11783" xr:uid="{6B714CBE-DC88-43EE-A89D-659F4A54BF38}"/>
    <cellStyle name="Comma 4 2 3 9" xfId="2373" xr:uid="{00000000-0005-0000-0000-0000B3080000}"/>
    <cellStyle name="Comma 4 2 4" xfId="140" xr:uid="{00000000-0005-0000-0000-0000B4080000}"/>
    <cellStyle name="Comma 4 2 4 10" xfId="4612" xr:uid="{00000000-0005-0000-0000-0000B5080000}"/>
    <cellStyle name="Comma 4 2 4 10 2" xfId="13938" xr:uid="{CCBE12D6-0A98-46DE-A90A-B1B2A04C4A4B}"/>
    <cellStyle name="Comma 4 2 4 11" xfId="8858" xr:uid="{B6A00C95-D04C-44B2-B8AF-67540882256C}"/>
    <cellStyle name="Comma 4 2 4 12" xfId="9721" xr:uid="{6A03CF1F-55C3-4FF7-BBC3-93F4811E94FD}"/>
    <cellStyle name="Comma 4 2 4 2" xfId="141" xr:uid="{00000000-0005-0000-0000-0000B6080000}"/>
    <cellStyle name="Comma 4 2 4 2 10" xfId="9065" xr:uid="{961AA06A-D943-447E-AADB-49B440E7E7CE}"/>
    <cellStyle name="Comma 4 2 4 2 11" xfId="9722" xr:uid="{CE68D9E5-BE0D-46BC-950B-6662260A5DFF}"/>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93E90B6B-9C22-41CF-AE76-9E5911432677}"/>
    <cellStyle name="Comma 4 2 4 2 2 2 3" xfId="12281" xr:uid="{1FF38803-10C7-440C-8321-5D1B60AFD385}"/>
    <cellStyle name="Comma 4 2 4 2 2 3" xfId="5027" xr:uid="{00000000-0005-0000-0000-0000BA080000}"/>
    <cellStyle name="Comma 4 2 4 2 2 3 2" xfId="14353" xr:uid="{4D2B9E58-CB27-4DCB-9D11-AADE7BAC59C7}"/>
    <cellStyle name="Comma 4 2 4 2 2 4" xfId="9490" xr:uid="{2FAEB1E6-7B41-437B-B2A9-4352AB4F4B98}"/>
    <cellStyle name="Comma 4 2 4 2 2 5" xfId="10136" xr:uid="{E3C5896D-A1BC-4489-B541-6EC1E7DA5D31}"/>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1858187F-B68A-425A-BD45-A4A01440474B}"/>
    <cellStyle name="Comma 4 2 4 2 3 2 3" xfId="12694" xr:uid="{07341D1A-77B2-407F-811B-70A31D79999F}"/>
    <cellStyle name="Comma 4 2 4 2 3 3" xfId="5440" xr:uid="{00000000-0005-0000-0000-0000BE080000}"/>
    <cellStyle name="Comma 4 2 4 2 3 3 2" xfId="14766" xr:uid="{901E923E-B7E1-4C63-BB5B-E5E5F084C5ED}"/>
    <cellStyle name="Comma 4 2 4 2 3 4" xfId="10549" xr:uid="{F4D7C3B1-5B15-4796-8BF5-90FFDF904605}"/>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AF2FE999-BB23-4A1B-B9D7-54B4CC23E92B}"/>
    <cellStyle name="Comma 4 2 4 2 4 2 3" xfId="13107" xr:uid="{989E6EC5-626F-4A49-A0ED-A27CED464203}"/>
    <cellStyle name="Comma 4 2 4 2 4 3" xfId="5853" xr:uid="{00000000-0005-0000-0000-0000C2080000}"/>
    <cellStyle name="Comma 4 2 4 2 4 3 2" xfId="15179" xr:uid="{71F03614-BF01-4925-9B12-DF3CE949ABB7}"/>
    <cellStyle name="Comma 4 2 4 2 4 4" xfId="10962" xr:uid="{2AF4D7DE-0085-4467-BB35-5106ADB87B9C}"/>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7B6D93B0-05EF-484B-8195-11942AA15132}"/>
    <cellStyle name="Comma 4 2 4 2 5 2 3" xfId="13520" xr:uid="{6DBEC7F8-FD6F-47DC-8ECD-132ADCEAB178}"/>
    <cellStyle name="Comma 4 2 4 2 5 3" xfId="6266" xr:uid="{00000000-0005-0000-0000-0000C6080000}"/>
    <cellStyle name="Comma 4 2 4 2 5 3 2" xfId="15592" xr:uid="{5EBC0884-2912-4452-AD3C-1B1378F95BCF}"/>
    <cellStyle name="Comma 4 2 4 2 5 4" xfId="11375" xr:uid="{CFB37AAD-A2C6-4C6C-ADB3-AEE3D3EBE5CE}"/>
    <cellStyle name="Comma 4 2 4 2 6" xfId="2395" xr:uid="{00000000-0005-0000-0000-0000C7080000}"/>
    <cellStyle name="Comma 4 2 4 2 6 2" xfId="6679" xr:uid="{00000000-0005-0000-0000-0000C8080000}"/>
    <cellStyle name="Comma 4 2 4 2 6 2 2" xfId="16005" xr:uid="{1024152A-74D4-4B1B-BB88-9267B163AA95}"/>
    <cellStyle name="Comma 4 2 4 2 6 3" xfId="11788" xr:uid="{F3E87EC5-12B8-4C46-BE4C-ACD67E683E4A}"/>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3A9E1356-9D22-470A-90F2-A575C6A6D9CE}"/>
    <cellStyle name="Comma 4 2 4 2 8 3" xfId="12105" xr:uid="{88199C69-8F47-4E93-A153-C498087C3086}"/>
    <cellStyle name="Comma 4 2 4 2 9" xfId="4613" xr:uid="{00000000-0005-0000-0000-0000CC080000}"/>
    <cellStyle name="Comma 4 2 4 2 9 2" xfId="13939" xr:uid="{21A62768-D4A3-4393-929F-4392AD7A742F}"/>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18517D37-B4B6-4F58-9F0A-F50A7488A5D3}"/>
    <cellStyle name="Comma 4 2 4 3 2 3" xfId="12280" xr:uid="{AECBB44E-2473-45C3-BF36-685B84972583}"/>
    <cellStyle name="Comma 4 2 4 3 3" xfId="5026" xr:uid="{00000000-0005-0000-0000-0000D0080000}"/>
    <cellStyle name="Comma 4 2 4 3 3 2" xfId="14352" xr:uid="{14B5119B-69CA-4FD0-98B4-E84873992C10}"/>
    <cellStyle name="Comma 4 2 4 3 4" xfId="9283" xr:uid="{7E46ED3C-A8F4-4512-93D9-5F41F1AC397C}"/>
    <cellStyle name="Comma 4 2 4 3 5" xfId="10135" xr:uid="{DB3E9288-C191-4651-9B6A-254BF43C4C00}"/>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573C4190-B10D-485F-94C8-12D138875627}"/>
    <cellStyle name="Comma 4 2 4 4 2 3" xfId="12693" xr:uid="{4E30CFB2-0FE4-40BB-BE7C-CCCA44888DEE}"/>
    <cellStyle name="Comma 4 2 4 4 3" xfId="5439" xr:uid="{00000000-0005-0000-0000-0000D4080000}"/>
    <cellStyle name="Comma 4 2 4 4 3 2" xfId="14765" xr:uid="{C3B5378E-A417-46DC-BC42-679D31B033CF}"/>
    <cellStyle name="Comma 4 2 4 4 4" xfId="10548" xr:uid="{A3F9DBF8-2CFB-4F18-AE63-4F52BEE70D07}"/>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264A8393-5691-4AAF-B6C7-872689BCCC17}"/>
    <cellStyle name="Comma 4 2 4 5 2 3" xfId="13106" xr:uid="{1BC6020A-77B9-4780-8A34-C5F8C768BA4D}"/>
    <cellStyle name="Comma 4 2 4 5 3" xfId="5852" xr:uid="{00000000-0005-0000-0000-0000D8080000}"/>
    <cellStyle name="Comma 4 2 4 5 3 2" xfId="15178" xr:uid="{E49DEC77-5830-45D2-AA28-BC9C2BD7651F}"/>
    <cellStyle name="Comma 4 2 4 5 4" xfId="10961" xr:uid="{D7F54250-37BD-4AA9-85C2-4E9CA535CC35}"/>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C81B1F57-E63B-4F8E-9FBA-C1AD8FB6F8F0}"/>
    <cellStyle name="Comma 4 2 4 6 2 3" xfId="13519" xr:uid="{E40A5F87-4292-4C35-A3BB-89D4DFAA3E53}"/>
    <cellStyle name="Comma 4 2 4 6 3" xfId="6265" xr:uid="{00000000-0005-0000-0000-0000DC080000}"/>
    <cellStyle name="Comma 4 2 4 6 3 2" xfId="15591" xr:uid="{A2DAFA4D-4B8A-4E57-B36D-8A35F3EDD95B}"/>
    <cellStyle name="Comma 4 2 4 6 4" xfId="11374" xr:uid="{90ED7381-5E8A-4F4E-BCD4-9AA528841513}"/>
    <cellStyle name="Comma 4 2 4 7" xfId="2394" xr:uid="{00000000-0005-0000-0000-0000DD080000}"/>
    <cellStyle name="Comma 4 2 4 7 2" xfId="6678" xr:uid="{00000000-0005-0000-0000-0000DE080000}"/>
    <cellStyle name="Comma 4 2 4 7 2 2" xfId="16004" xr:uid="{A653A585-78F7-4F03-8DA4-EA836F7E3A9E}"/>
    <cellStyle name="Comma 4 2 4 7 3" xfId="11787" xr:uid="{6ADE42C0-5DC6-4B71-97B6-D59042431E98}"/>
    <cellStyle name="Comma 4 2 4 8" xfId="2369" xr:uid="{00000000-0005-0000-0000-0000DF080000}"/>
    <cellStyle name="Comma 4 2 4 9" xfId="2772" xr:uid="{00000000-0005-0000-0000-0000E0080000}"/>
    <cellStyle name="Comma 4 2 4 9 2" xfId="6995" xr:uid="{00000000-0005-0000-0000-0000E1080000}"/>
    <cellStyle name="Comma 4 2 4 9 2 2" xfId="16321" xr:uid="{1C42B934-3222-4446-9697-E981EF1907C0}"/>
    <cellStyle name="Comma 4 2 4 9 3" xfId="12104" xr:uid="{97A069C5-BB33-4618-899B-07F95E58F48E}"/>
    <cellStyle name="Comma 4 2 5" xfId="142" xr:uid="{00000000-0005-0000-0000-0000E2080000}"/>
    <cellStyle name="Comma 4 2 5 10" xfId="8974" xr:uid="{86B0C89A-8A2D-4755-B15D-84E412E1D380}"/>
    <cellStyle name="Comma 4 2 5 11" xfId="9723" xr:uid="{300C34B1-380F-4F5A-B064-C4DEDA862D64}"/>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E566439B-BA67-4350-8AAA-F96C1F4284A3}"/>
    <cellStyle name="Comma 4 2 5 2 2 3" xfId="12282" xr:uid="{1019C9A1-17A9-4DA6-AF31-F15D061BCC52}"/>
    <cellStyle name="Comma 4 2 5 2 3" xfId="5028" xr:uid="{00000000-0005-0000-0000-0000E6080000}"/>
    <cellStyle name="Comma 4 2 5 2 3 2" xfId="14354" xr:uid="{D11F6A66-F396-40E0-9193-6B420684A5A9}"/>
    <cellStyle name="Comma 4 2 5 2 4" xfId="9399" xr:uid="{1B388BC7-1FC6-4DC3-B345-755F61B57864}"/>
    <cellStyle name="Comma 4 2 5 2 5" xfId="10137" xr:uid="{5B6B31E0-78DC-4B7D-91A7-94136F54A98A}"/>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A16D3C04-C02C-4A45-B7DB-823D102DAD1F}"/>
    <cellStyle name="Comma 4 2 5 3 2 3" xfId="12695" xr:uid="{07A2BE20-BBE1-464B-8636-007224D4002A}"/>
    <cellStyle name="Comma 4 2 5 3 3" xfId="5441" xr:uid="{00000000-0005-0000-0000-0000EA080000}"/>
    <cellStyle name="Comma 4 2 5 3 3 2" xfId="14767" xr:uid="{D72AECB1-7652-414D-A5E9-5DBCB52F4142}"/>
    <cellStyle name="Comma 4 2 5 3 4" xfId="10550" xr:uid="{584DA876-64BD-49B8-B53D-24FF7F9C77DD}"/>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04489B87-7D39-4291-88A1-D2E7B1098F53}"/>
    <cellStyle name="Comma 4 2 5 4 2 3" xfId="13108" xr:uid="{AF329C7B-A1C7-4291-9AA0-0CEA6FC89586}"/>
    <cellStyle name="Comma 4 2 5 4 3" xfId="5854" xr:uid="{00000000-0005-0000-0000-0000EE080000}"/>
    <cellStyle name="Comma 4 2 5 4 3 2" xfId="15180" xr:uid="{6671301C-6BF0-4826-BE0D-4E9C1AD47196}"/>
    <cellStyle name="Comma 4 2 5 4 4" xfId="10963" xr:uid="{81B947D0-4706-4343-941E-EB7EA524C00A}"/>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1C466474-B648-4C8D-B58D-4343BF8CDD28}"/>
    <cellStyle name="Comma 4 2 5 5 2 3" xfId="13521" xr:uid="{C2A558D6-B729-470A-8007-022466C29EFA}"/>
    <cellStyle name="Comma 4 2 5 5 3" xfId="6267" xr:uid="{00000000-0005-0000-0000-0000F2080000}"/>
    <cellStyle name="Comma 4 2 5 5 3 2" xfId="15593" xr:uid="{877919E0-99C0-4CFF-93C1-5A6F698AA8EB}"/>
    <cellStyle name="Comma 4 2 5 5 4" xfId="11376" xr:uid="{ED3706D9-CDD3-4C87-81AA-B9D48B1270E4}"/>
    <cellStyle name="Comma 4 2 5 6" xfId="2396" xr:uid="{00000000-0005-0000-0000-0000F3080000}"/>
    <cellStyle name="Comma 4 2 5 6 2" xfId="6680" xr:uid="{00000000-0005-0000-0000-0000F4080000}"/>
    <cellStyle name="Comma 4 2 5 6 2 2" xfId="16006" xr:uid="{67BF83D5-2E0A-4E21-ACFD-7D16B57F693D}"/>
    <cellStyle name="Comma 4 2 5 6 3" xfId="11789" xr:uid="{8962662A-5A97-443D-B352-D4BCF3A29A27}"/>
    <cellStyle name="Comma 4 2 5 7" xfId="2367" xr:uid="{00000000-0005-0000-0000-0000F5080000}"/>
    <cellStyle name="Comma 4 2 5 8" xfId="2774" xr:uid="{00000000-0005-0000-0000-0000F6080000}"/>
    <cellStyle name="Comma 4 2 5 8 2" xfId="6997" xr:uid="{00000000-0005-0000-0000-0000F7080000}"/>
    <cellStyle name="Comma 4 2 5 8 2 2" xfId="16323" xr:uid="{0D382DEF-8305-4DAC-9B73-7082F27CA958}"/>
    <cellStyle name="Comma 4 2 5 8 3" xfId="12106" xr:uid="{8A738B06-A572-432D-A18F-99792DC07970}"/>
    <cellStyle name="Comma 4 2 5 9" xfId="4614" xr:uid="{00000000-0005-0000-0000-0000F8080000}"/>
    <cellStyle name="Comma 4 2 5 9 2" xfId="13940" xr:uid="{67DD612B-9943-4FF4-831C-9CBE5AB78469}"/>
    <cellStyle name="Comma 4 2 6" xfId="143" xr:uid="{00000000-0005-0000-0000-0000F9080000}"/>
    <cellStyle name="Comma 4 2 6 10" xfId="9177" xr:uid="{A20A3B72-7630-464F-8E57-DA2B9D6E44FB}"/>
    <cellStyle name="Comma 4 2 6 11" xfId="9724" xr:uid="{4538CFE7-3FC1-46FE-B72A-5FB607E777B6}"/>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0C8AB36A-F1DB-4AC1-BF42-06C97596A226}"/>
    <cellStyle name="Comma 4 2 6 2 2 3" xfId="12283" xr:uid="{FB26A3BD-7449-42E4-9774-FBBCB7B1AF15}"/>
    <cellStyle name="Comma 4 2 6 2 3" xfId="5029" xr:uid="{00000000-0005-0000-0000-0000FD080000}"/>
    <cellStyle name="Comma 4 2 6 2 3 2" xfId="14355" xr:uid="{C5C71B8D-6C9C-46D2-A439-F58662BC4B8A}"/>
    <cellStyle name="Comma 4 2 6 2 4" xfId="9594" xr:uid="{CCB8D3FE-19FC-4F7F-9966-44FD23A1A32A}"/>
    <cellStyle name="Comma 4 2 6 2 5" xfId="10138" xr:uid="{BD3BBF06-AB95-454C-8FFA-80A2E90D385E}"/>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3983D748-D652-49E7-81AF-DD3CEE74FD20}"/>
    <cellStyle name="Comma 4 2 6 3 2 3" xfId="12696" xr:uid="{35FA3854-7B34-48EC-AFAB-D7C048C75E04}"/>
    <cellStyle name="Comma 4 2 6 3 3" xfId="5442" xr:uid="{00000000-0005-0000-0000-000001090000}"/>
    <cellStyle name="Comma 4 2 6 3 3 2" xfId="14768" xr:uid="{1990E1AA-4431-425A-8ACA-D7AB030DA91A}"/>
    <cellStyle name="Comma 4 2 6 3 4" xfId="10551" xr:uid="{35CD0B23-6007-4502-9F62-B2A313E8F63E}"/>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5807F850-682C-4A11-B07D-C2A3EFE8E0AF}"/>
    <cellStyle name="Comma 4 2 6 4 2 3" xfId="13109" xr:uid="{2F70CEAB-1A67-4167-8E32-D5078ABF7D9C}"/>
    <cellStyle name="Comma 4 2 6 4 3" xfId="5855" xr:uid="{00000000-0005-0000-0000-000005090000}"/>
    <cellStyle name="Comma 4 2 6 4 3 2" xfId="15181" xr:uid="{203354A2-7C1E-4099-8906-8738C5342D38}"/>
    <cellStyle name="Comma 4 2 6 4 4" xfId="10964" xr:uid="{9019F6F4-54BC-4328-962A-414F23C11D02}"/>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0641D37C-D8EA-4A0C-AF57-800FEED88BAF}"/>
    <cellStyle name="Comma 4 2 6 5 2 3" xfId="13522" xr:uid="{DAE54C62-3508-41FB-9BB4-EF3CCB91B5F9}"/>
    <cellStyle name="Comma 4 2 6 5 3" xfId="6268" xr:uid="{00000000-0005-0000-0000-000009090000}"/>
    <cellStyle name="Comma 4 2 6 5 3 2" xfId="15594" xr:uid="{5E9E7733-F87E-4173-ADA8-A0F2CD3607DE}"/>
    <cellStyle name="Comma 4 2 6 5 4" xfId="11377" xr:uid="{D9D58678-D53B-4639-B1CE-445C6E4A1A2D}"/>
    <cellStyle name="Comma 4 2 6 6" xfId="2397" xr:uid="{00000000-0005-0000-0000-00000A090000}"/>
    <cellStyle name="Comma 4 2 6 6 2" xfId="6681" xr:uid="{00000000-0005-0000-0000-00000B090000}"/>
    <cellStyle name="Comma 4 2 6 6 2 2" xfId="16007" xr:uid="{EF8EAC35-B282-4710-9243-D9F29763F74D}"/>
    <cellStyle name="Comma 4 2 6 6 3" xfId="11790" xr:uid="{8BAE40A5-CF02-442A-A7CF-9ED6891054C7}"/>
    <cellStyle name="Comma 4 2 6 7" xfId="2366" xr:uid="{00000000-0005-0000-0000-00000C090000}"/>
    <cellStyle name="Comma 4 2 6 8" xfId="2775" xr:uid="{00000000-0005-0000-0000-00000D090000}"/>
    <cellStyle name="Comma 4 2 6 8 2" xfId="6998" xr:uid="{00000000-0005-0000-0000-00000E090000}"/>
    <cellStyle name="Comma 4 2 6 8 2 2" xfId="16324" xr:uid="{2BA4C1DB-27F3-4F86-90F1-8F09C45F5BBB}"/>
    <cellStyle name="Comma 4 2 6 8 3" xfId="12107" xr:uid="{A98BA125-2A40-4CCD-98DE-F5FD50C61647}"/>
    <cellStyle name="Comma 4 2 6 9" xfId="4615" xr:uid="{00000000-0005-0000-0000-00000F090000}"/>
    <cellStyle name="Comma 4 2 6 9 2" xfId="13941" xr:uid="{578BDA4E-FB44-4FB9-BF3C-49441442B0EA}"/>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218CB49B-DBC5-4991-84E2-EAA82A81E256}"/>
    <cellStyle name="Comma 4 3 2 10 3" xfId="12108" xr:uid="{CA1883AD-00B3-4019-8762-23F8436A41F2}"/>
    <cellStyle name="Comma 4 3 2 11" xfId="4616" xr:uid="{00000000-0005-0000-0000-000014090000}"/>
    <cellStyle name="Comma 4 3 2 11 2" xfId="13942" xr:uid="{B29AF9BD-D3C8-49AE-937D-D773AB276757}"/>
    <cellStyle name="Comma 4 3 2 12" xfId="8807" xr:uid="{5C5EF314-D0DB-425B-AE7D-D52FEEE90EC1}"/>
    <cellStyle name="Comma 4 3 2 13" xfId="9725" xr:uid="{D0AA7772-428C-43A7-A180-FA1B40680970}"/>
    <cellStyle name="Comma 4 3 2 2" xfId="146" xr:uid="{00000000-0005-0000-0000-000015090000}"/>
    <cellStyle name="Comma 4 3 2 2 10" xfId="4617" xr:uid="{00000000-0005-0000-0000-000016090000}"/>
    <cellStyle name="Comma 4 3 2 2 10 2" xfId="13943" xr:uid="{EB5713D0-557E-4C51-9651-37CFEFFEF880}"/>
    <cellStyle name="Comma 4 3 2 2 11" xfId="8910" xr:uid="{15019DD0-71A0-438D-B796-68DE42B22692}"/>
    <cellStyle name="Comma 4 3 2 2 12" xfId="9726" xr:uid="{284C0C7E-739C-4F5E-84F4-40D10D1CB165}"/>
    <cellStyle name="Comma 4 3 2 2 2" xfId="147" xr:uid="{00000000-0005-0000-0000-000017090000}"/>
    <cellStyle name="Comma 4 3 2 2 2 10" xfId="9117" xr:uid="{1409F531-DBF2-41E0-9C74-F9317358BA15}"/>
    <cellStyle name="Comma 4 3 2 2 2 11" xfId="9727" xr:uid="{DDEFF23B-937F-4225-9818-F2E63D4CB30F}"/>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B62C4496-4C48-4B33-BF8F-16A03663EEB3}"/>
    <cellStyle name="Comma 4 3 2 2 2 2 2 3" xfId="12286" xr:uid="{A108B77A-EDF2-431E-A5D0-2B27953284E0}"/>
    <cellStyle name="Comma 4 3 2 2 2 2 3" xfId="5032" xr:uid="{00000000-0005-0000-0000-00001B090000}"/>
    <cellStyle name="Comma 4 3 2 2 2 2 3 2" xfId="14358" xr:uid="{20462F62-272A-4CA6-BD8B-36E9225955A4}"/>
    <cellStyle name="Comma 4 3 2 2 2 2 4" xfId="9542" xr:uid="{26CD77CC-F017-4839-8245-BBF245D45E53}"/>
    <cellStyle name="Comma 4 3 2 2 2 2 5" xfId="10141" xr:uid="{F638034F-4ABA-4A22-AA70-F5D0637420E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F408BD5A-54ED-4DCE-81C9-0D8A4F489150}"/>
    <cellStyle name="Comma 4 3 2 2 2 3 2 3" xfId="12699" xr:uid="{1D3D26B1-D37E-4041-BF17-12276B7303A4}"/>
    <cellStyle name="Comma 4 3 2 2 2 3 3" xfId="5445" xr:uid="{00000000-0005-0000-0000-00001F090000}"/>
    <cellStyle name="Comma 4 3 2 2 2 3 3 2" xfId="14771" xr:uid="{22DA1374-ECB0-4E7E-9EB7-963A7F3718AB}"/>
    <cellStyle name="Comma 4 3 2 2 2 3 4" xfId="10554" xr:uid="{DEE3BD18-877D-4E14-8965-62647DF09732}"/>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41BE3D5E-A2D7-46E6-A273-19B6EB17920C}"/>
    <cellStyle name="Comma 4 3 2 2 2 4 2 3" xfId="13112" xr:uid="{95C0A49E-00F3-4964-96AE-6D0C9C9D66F7}"/>
    <cellStyle name="Comma 4 3 2 2 2 4 3" xfId="5858" xr:uid="{00000000-0005-0000-0000-000023090000}"/>
    <cellStyle name="Comma 4 3 2 2 2 4 3 2" xfId="15184" xr:uid="{6119445E-B6F2-4D11-AC72-A0695D559A99}"/>
    <cellStyle name="Comma 4 3 2 2 2 4 4" xfId="10967" xr:uid="{65BB9155-DE9A-4FBC-AECC-0C948FFA97D5}"/>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4BC8290F-C924-4EC9-94B3-72DA48565C10}"/>
    <cellStyle name="Comma 4 3 2 2 2 5 2 3" xfId="13525" xr:uid="{E82DEDFD-9759-411F-B543-9B1C0E5B17CE}"/>
    <cellStyle name="Comma 4 3 2 2 2 5 3" xfId="6271" xr:uid="{00000000-0005-0000-0000-000027090000}"/>
    <cellStyle name="Comma 4 3 2 2 2 5 3 2" xfId="15597" xr:uid="{6C755E6C-71C7-4DD3-9E5A-6FC19D274CEE}"/>
    <cellStyle name="Comma 4 3 2 2 2 5 4" xfId="11380" xr:uid="{7C31900F-3E29-4DB2-B521-806E1238A20F}"/>
    <cellStyle name="Comma 4 3 2 2 2 6" xfId="2400" xr:uid="{00000000-0005-0000-0000-000028090000}"/>
    <cellStyle name="Comma 4 3 2 2 2 6 2" xfId="6684" xr:uid="{00000000-0005-0000-0000-000029090000}"/>
    <cellStyle name="Comma 4 3 2 2 2 6 2 2" xfId="16010" xr:uid="{C419BEE1-B9FB-47B9-9F2E-A4D095DDBA04}"/>
    <cellStyle name="Comma 4 3 2 2 2 6 3" xfId="11793" xr:uid="{8FDD01BB-8A8C-444A-A5CF-15041E4266A9}"/>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0F21C5B5-8545-4D7A-A3C3-16B8A5D84A32}"/>
    <cellStyle name="Comma 4 3 2 2 2 8 3" xfId="12110" xr:uid="{5C1E5C3F-B4B5-4663-980B-03AD6223559D}"/>
    <cellStyle name="Comma 4 3 2 2 2 9" xfId="4618" xr:uid="{00000000-0005-0000-0000-00002D090000}"/>
    <cellStyle name="Comma 4 3 2 2 2 9 2" xfId="13944" xr:uid="{C686E7B9-40B1-4A53-BB5A-895A59F1AC9C}"/>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A63E6FFA-2018-4499-879C-F1780EE8703F}"/>
    <cellStyle name="Comma 4 3 2 2 3 2 3" xfId="12285" xr:uid="{747DAA30-2069-47C4-8F11-D55035D424B9}"/>
    <cellStyle name="Comma 4 3 2 2 3 3" xfId="5031" xr:uid="{00000000-0005-0000-0000-000031090000}"/>
    <cellStyle name="Comma 4 3 2 2 3 3 2" xfId="14357" xr:uid="{5CA15BC4-7ED3-4F21-9426-5A6BE7806E91}"/>
    <cellStyle name="Comma 4 3 2 2 3 4" xfId="9335" xr:uid="{BACD532B-C811-4076-B107-03E74D1B7113}"/>
    <cellStyle name="Comma 4 3 2 2 3 5" xfId="10140" xr:uid="{029FD644-1E53-45C6-95C3-E604BFA0A6D5}"/>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508964F7-ED74-4187-91E4-68ED0460E562}"/>
    <cellStyle name="Comma 4 3 2 2 4 2 3" xfId="12698" xr:uid="{FECD1A3E-BD7E-4AF3-AA9E-5390AEBA8D0D}"/>
    <cellStyle name="Comma 4 3 2 2 4 3" xfId="5444" xr:uid="{00000000-0005-0000-0000-000035090000}"/>
    <cellStyle name="Comma 4 3 2 2 4 3 2" xfId="14770" xr:uid="{D7052A2D-D498-4C10-A81B-06609757E005}"/>
    <cellStyle name="Comma 4 3 2 2 4 4" xfId="10553" xr:uid="{95973E15-5A01-462A-B7B2-908DE63215FE}"/>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C03905C6-8982-4084-832A-588F7EFFC4D9}"/>
    <cellStyle name="Comma 4 3 2 2 5 2 3" xfId="13111" xr:uid="{A73159F3-0FE3-4570-B3EC-438FE61E00A9}"/>
    <cellStyle name="Comma 4 3 2 2 5 3" xfId="5857" xr:uid="{00000000-0005-0000-0000-000039090000}"/>
    <cellStyle name="Comma 4 3 2 2 5 3 2" xfId="15183" xr:uid="{58820D81-3E18-4284-8503-C155C3562D0B}"/>
    <cellStyle name="Comma 4 3 2 2 5 4" xfId="10966" xr:uid="{E275F66A-8C43-4853-AF5F-469581BF5E06}"/>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40B4E6DB-8F52-4B65-91C5-05CBBCA3C294}"/>
    <cellStyle name="Comma 4 3 2 2 6 2 3" xfId="13524" xr:uid="{648A850F-C892-4181-8D5F-781FFB02AB94}"/>
    <cellStyle name="Comma 4 3 2 2 6 3" xfId="6270" xr:uid="{00000000-0005-0000-0000-00003D090000}"/>
    <cellStyle name="Comma 4 3 2 2 6 3 2" xfId="15596" xr:uid="{78A347E3-643B-43D3-8BA2-5D52717FC850}"/>
    <cellStyle name="Comma 4 3 2 2 6 4" xfId="11379" xr:uid="{AD75E4AA-85EF-441A-9174-69252F799BBB}"/>
    <cellStyle name="Comma 4 3 2 2 7" xfId="2399" xr:uid="{00000000-0005-0000-0000-00003E090000}"/>
    <cellStyle name="Comma 4 3 2 2 7 2" xfId="6683" xr:uid="{00000000-0005-0000-0000-00003F090000}"/>
    <cellStyle name="Comma 4 3 2 2 7 2 2" xfId="16009" xr:uid="{A0413F75-33C3-40BB-9727-01DF19A398BD}"/>
    <cellStyle name="Comma 4 3 2 2 7 3" xfId="11792" xr:uid="{96048D53-9906-4B7F-BA9E-93779DD8530E}"/>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204033A7-2810-489B-ABD7-29FC93C87C29}"/>
    <cellStyle name="Comma 4 3 2 2 9 3" xfId="12109" xr:uid="{0EB66BAE-88CA-4F4B-8206-2A5C6F14E165}"/>
    <cellStyle name="Comma 4 3 2 3" xfId="148" xr:uid="{00000000-0005-0000-0000-000043090000}"/>
    <cellStyle name="Comma 4 3 2 3 10" xfId="9014" xr:uid="{46568903-2C47-4BC3-8E78-5A47F62B319C}"/>
    <cellStyle name="Comma 4 3 2 3 11" xfId="9728" xr:uid="{732C09D6-68AC-4248-A100-7494EB3C2883}"/>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DC3F5FFA-BC31-4AC4-86D2-B203C2C11E2B}"/>
    <cellStyle name="Comma 4 3 2 3 2 2 3" xfId="12287" xr:uid="{E0D2CD6A-C214-4735-8630-486A3FE57269}"/>
    <cellStyle name="Comma 4 3 2 3 2 3" xfId="5033" xr:uid="{00000000-0005-0000-0000-000047090000}"/>
    <cellStyle name="Comma 4 3 2 3 2 3 2" xfId="14359" xr:uid="{6BCFE21D-EC15-4CA2-B8D7-39C23A55B7C0}"/>
    <cellStyle name="Comma 4 3 2 3 2 4" xfId="9439" xr:uid="{2FD116B5-6902-4630-AFC5-CC8B06C5F457}"/>
    <cellStyle name="Comma 4 3 2 3 2 5" xfId="10142" xr:uid="{98050656-E0B5-4470-AF99-4C8A92D711F8}"/>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0F452C91-992F-4E33-A10F-68E2E42192AB}"/>
    <cellStyle name="Comma 4 3 2 3 3 2 3" xfId="12700" xr:uid="{34ED95D6-412C-429C-A35A-CAD83F11EA36}"/>
    <cellStyle name="Comma 4 3 2 3 3 3" xfId="5446" xr:uid="{00000000-0005-0000-0000-00004B090000}"/>
    <cellStyle name="Comma 4 3 2 3 3 3 2" xfId="14772" xr:uid="{4BF2C44C-B752-44F8-85AA-F09C4F2A9431}"/>
    <cellStyle name="Comma 4 3 2 3 3 4" xfId="10555" xr:uid="{9AAC4991-43D9-40E5-BF46-9A7ECB78C0DC}"/>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1A3DF1B0-7563-4136-98F3-3C156EFD7FFF}"/>
    <cellStyle name="Comma 4 3 2 3 4 2 3" xfId="13113" xr:uid="{F4E5160E-518A-4D6C-ADA8-F5667F1B75DD}"/>
    <cellStyle name="Comma 4 3 2 3 4 3" xfId="5859" xr:uid="{00000000-0005-0000-0000-00004F090000}"/>
    <cellStyle name="Comma 4 3 2 3 4 3 2" xfId="15185" xr:uid="{79009233-DA8D-4EEC-AC1F-4B0F122F62C9}"/>
    <cellStyle name="Comma 4 3 2 3 4 4" xfId="10968" xr:uid="{35BE185E-CCB4-44D0-8EC3-8C8E198864D5}"/>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BA5D46C9-D12F-489C-A6C6-25AAA0A142EA}"/>
    <cellStyle name="Comma 4 3 2 3 5 2 3" xfId="13526" xr:uid="{2962C01C-4AF0-4DF3-8132-54245506AF33}"/>
    <cellStyle name="Comma 4 3 2 3 5 3" xfId="6272" xr:uid="{00000000-0005-0000-0000-000053090000}"/>
    <cellStyle name="Comma 4 3 2 3 5 3 2" xfId="15598" xr:uid="{B70A0B05-AE33-4FF4-BC15-0823CDBC8557}"/>
    <cellStyle name="Comma 4 3 2 3 5 4" xfId="11381" xr:uid="{BA5287A2-D3FF-43D1-877E-0DB100911FDE}"/>
    <cellStyle name="Comma 4 3 2 3 6" xfId="2401" xr:uid="{00000000-0005-0000-0000-000054090000}"/>
    <cellStyle name="Comma 4 3 2 3 6 2" xfId="6685" xr:uid="{00000000-0005-0000-0000-000055090000}"/>
    <cellStyle name="Comma 4 3 2 3 6 2 2" xfId="16011" xr:uid="{A7D5E4CA-42BC-4298-B5E8-9279936F06C1}"/>
    <cellStyle name="Comma 4 3 2 3 6 3" xfId="11794" xr:uid="{5B3FD5E5-00F6-48D2-A666-E1D5E8795DDC}"/>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215C8843-A792-428D-BF99-F0C88C07CF3B}"/>
    <cellStyle name="Comma 4 3 2 3 8 3" xfId="12111" xr:uid="{48BF0189-74CB-4F3C-AC9F-5A6BC23A95DA}"/>
    <cellStyle name="Comma 4 3 2 3 9" xfId="4619" xr:uid="{00000000-0005-0000-0000-000059090000}"/>
    <cellStyle name="Comma 4 3 2 3 9 2" xfId="13945" xr:uid="{7BA293AF-7C56-4025-91CB-50D2A31F1401}"/>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DF9127C7-3196-436F-A20F-49360C156A88}"/>
    <cellStyle name="Comma 4 3 2 4 2 3" xfId="12284" xr:uid="{E6448397-0475-404A-90F8-1CEF606F626E}"/>
    <cellStyle name="Comma 4 3 2 4 3" xfId="5030" xr:uid="{00000000-0005-0000-0000-00005D090000}"/>
    <cellStyle name="Comma 4 3 2 4 3 2" xfId="14356" xr:uid="{24DC98C8-B386-4D02-950B-A09EF4454260}"/>
    <cellStyle name="Comma 4 3 2 4 4" xfId="9232" xr:uid="{8193451B-D8F0-40BD-91ED-34E7041117F6}"/>
    <cellStyle name="Comma 4 3 2 4 5" xfId="10139" xr:uid="{7E2834FD-E3A4-4191-9C86-654AB82D6F66}"/>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BACC07CC-E637-4BE7-BA30-971BF3FC0FF5}"/>
    <cellStyle name="Comma 4 3 2 5 2 3" xfId="12697" xr:uid="{1EB5B022-08D6-4B17-9792-8562AE69F299}"/>
    <cellStyle name="Comma 4 3 2 5 3" xfId="5443" xr:uid="{00000000-0005-0000-0000-000061090000}"/>
    <cellStyle name="Comma 4 3 2 5 3 2" xfId="14769" xr:uid="{590701FC-7CEC-4115-BDDC-F839DEC2DC8D}"/>
    <cellStyle name="Comma 4 3 2 5 4" xfId="10552" xr:uid="{0B69D415-0CBB-4852-BABA-A25EFF8DE25A}"/>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4A3E7559-D1FE-41CB-B595-B0085578EFDD}"/>
    <cellStyle name="Comma 4 3 2 6 2 3" xfId="13110" xr:uid="{1BAB5914-1D4D-40DD-9B5C-A8E819F9C77A}"/>
    <cellStyle name="Comma 4 3 2 6 3" xfId="5856" xr:uid="{00000000-0005-0000-0000-000065090000}"/>
    <cellStyle name="Comma 4 3 2 6 3 2" xfId="15182" xr:uid="{54ECC559-DF52-4E89-8959-36D931412830}"/>
    <cellStyle name="Comma 4 3 2 6 4" xfId="10965" xr:uid="{FB5E5B81-D47F-4B90-AFF7-868B2697D615}"/>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7BD8D518-B4EE-45F3-8FB0-8C57CBAE736C}"/>
    <cellStyle name="Comma 4 3 2 7 2 3" xfId="13523" xr:uid="{E8E1D94E-B185-4D6E-8CFC-271E8F22F275}"/>
    <cellStyle name="Comma 4 3 2 7 3" xfId="6269" xr:uid="{00000000-0005-0000-0000-000069090000}"/>
    <cellStyle name="Comma 4 3 2 7 3 2" xfId="15595" xr:uid="{096A1E88-098E-438C-ACCF-D541418F99C5}"/>
    <cellStyle name="Comma 4 3 2 7 4" xfId="11378" xr:uid="{64E8C53D-6841-47C7-933D-F76C8A62E541}"/>
    <cellStyle name="Comma 4 3 2 8" xfId="2398" xr:uid="{00000000-0005-0000-0000-00006A090000}"/>
    <cellStyle name="Comma 4 3 2 8 2" xfId="6682" xr:uid="{00000000-0005-0000-0000-00006B090000}"/>
    <cellStyle name="Comma 4 3 2 8 2 2" xfId="16008" xr:uid="{6E0C6DD0-EFCE-4F6B-8301-0A93614EA9CD}"/>
    <cellStyle name="Comma 4 3 2 8 3" xfId="11791" xr:uid="{B880BD42-86FB-43E2-B8B5-611B1382E09C}"/>
    <cellStyle name="Comma 4 3 2 9" xfId="2365" xr:uid="{00000000-0005-0000-0000-00006C090000}"/>
    <cellStyle name="Comma 4 3 3" xfId="149" xr:uid="{00000000-0005-0000-0000-00006D090000}"/>
    <cellStyle name="Comma 4 3 3 10" xfId="4620" xr:uid="{00000000-0005-0000-0000-00006E090000}"/>
    <cellStyle name="Comma 4 3 3 10 2" xfId="13946" xr:uid="{90509CD0-218D-4EAC-A5D7-D4D61F41BF0F}"/>
    <cellStyle name="Comma 4 3 3 11" xfId="8881" xr:uid="{ACA3BC7C-CED7-49C2-9DC3-E2A3989962E9}"/>
    <cellStyle name="Comma 4 3 3 12" xfId="9729" xr:uid="{71A7F899-B8C0-4CB9-808F-6B161A118094}"/>
    <cellStyle name="Comma 4 3 3 2" xfId="150" xr:uid="{00000000-0005-0000-0000-00006F090000}"/>
    <cellStyle name="Comma 4 3 3 2 10" xfId="9088" xr:uid="{D40CFC42-DEA3-4A4C-8532-2B6CFC29229D}"/>
    <cellStyle name="Comma 4 3 3 2 11" xfId="9730" xr:uid="{20507BF8-3E53-4E14-BC68-748F0500F802}"/>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E18844E1-60DA-40B2-9015-4FEF656EBEDC}"/>
    <cellStyle name="Comma 4 3 3 2 2 2 3" xfId="12289" xr:uid="{60D86964-9610-4BB0-B768-7B439517E9BD}"/>
    <cellStyle name="Comma 4 3 3 2 2 3" xfId="5035" xr:uid="{00000000-0005-0000-0000-000073090000}"/>
    <cellStyle name="Comma 4 3 3 2 2 3 2" xfId="14361" xr:uid="{1A864369-92AB-4862-808D-9237721C27D4}"/>
    <cellStyle name="Comma 4 3 3 2 2 4" xfId="9513" xr:uid="{986E0DAD-8ABC-4DAC-9C56-EF87B6B3B829}"/>
    <cellStyle name="Comma 4 3 3 2 2 5" xfId="10144" xr:uid="{BDE68BC3-EFD6-480C-A3FF-691ECA2BB0D3}"/>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3945A0F5-3C45-485C-B586-497EEBC4F9A4}"/>
    <cellStyle name="Comma 4 3 3 2 3 2 3" xfId="12702" xr:uid="{E3CDE9DC-7350-4E84-AAF3-80C9A575E2F1}"/>
    <cellStyle name="Comma 4 3 3 2 3 3" xfId="5448" xr:uid="{00000000-0005-0000-0000-000077090000}"/>
    <cellStyle name="Comma 4 3 3 2 3 3 2" xfId="14774" xr:uid="{A354A76A-8129-4D80-B247-2B1867416A6D}"/>
    <cellStyle name="Comma 4 3 3 2 3 4" xfId="10557" xr:uid="{0AB3B5AD-19AB-4A15-BBD5-4517E58110DD}"/>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66A0525F-7427-4944-9E50-5786DE666AA4}"/>
    <cellStyle name="Comma 4 3 3 2 4 2 3" xfId="13115" xr:uid="{C0F3E5A5-2D7E-4B97-9D31-26E8885A8A82}"/>
    <cellStyle name="Comma 4 3 3 2 4 3" xfId="5861" xr:uid="{00000000-0005-0000-0000-00007B090000}"/>
    <cellStyle name="Comma 4 3 3 2 4 3 2" xfId="15187" xr:uid="{44CF42FC-9F10-4373-A196-30C97C95161B}"/>
    <cellStyle name="Comma 4 3 3 2 4 4" xfId="10970" xr:uid="{0A1AC1C3-D5C9-4A1B-9FCE-F57D3784BB90}"/>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4B209A51-5B0C-4655-941A-86D8F8D9CF39}"/>
    <cellStyle name="Comma 4 3 3 2 5 2 3" xfId="13528" xr:uid="{0574260B-11D6-46A7-BD9C-4828DA26D19E}"/>
    <cellStyle name="Comma 4 3 3 2 5 3" xfId="6274" xr:uid="{00000000-0005-0000-0000-00007F090000}"/>
    <cellStyle name="Comma 4 3 3 2 5 3 2" xfId="15600" xr:uid="{85303A26-C5AD-485B-9413-B945D1A7B993}"/>
    <cellStyle name="Comma 4 3 3 2 5 4" xfId="11383" xr:uid="{4F3CBC5D-D8CE-4B92-8BC2-FF62C4A5E953}"/>
    <cellStyle name="Comma 4 3 3 2 6" xfId="2403" xr:uid="{00000000-0005-0000-0000-000080090000}"/>
    <cellStyle name="Comma 4 3 3 2 6 2" xfId="6687" xr:uid="{00000000-0005-0000-0000-000081090000}"/>
    <cellStyle name="Comma 4 3 3 2 6 2 2" xfId="16013" xr:uid="{ACDB002A-55E3-4552-9FA8-28DE39A5A02F}"/>
    <cellStyle name="Comma 4 3 3 2 6 3" xfId="11796" xr:uid="{C5810F1F-A91A-47C6-A05B-107DF141CB4A}"/>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8138F928-BE8F-4D15-9321-4C828C320FDA}"/>
    <cellStyle name="Comma 4 3 3 2 8 3" xfId="12113" xr:uid="{B695F4D8-5D49-4560-96E9-79028F1C22F5}"/>
    <cellStyle name="Comma 4 3 3 2 9" xfId="4621" xr:uid="{00000000-0005-0000-0000-000085090000}"/>
    <cellStyle name="Comma 4 3 3 2 9 2" xfId="13947" xr:uid="{8E2B3E49-D414-47A8-A486-7639314E6091}"/>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BF2651B7-005D-4D39-837D-6A99F0D3380F}"/>
    <cellStyle name="Comma 4 3 3 3 2 3" xfId="12288" xr:uid="{6F4E15A0-24BA-4969-B91C-A85B2EF0CC57}"/>
    <cellStyle name="Comma 4 3 3 3 3" xfId="5034" xr:uid="{00000000-0005-0000-0000-000089090000}"/>
    <cellStyle name="Comma 4 3 3 3 3 2" xfId="14360" xr:uid="{71C3C802-0253-436D-BBBB-842A9A32143A}"/>
    <cellStyle name="Comma 4 3 3 3 4" xfId="9306" xr:uid="{6AC2749B-EC1D-4760-AD4B-F36381A669B6}"/>
    <cellStyle name="Comma 4 3 3 3 5" xfId="10143" xr:uid="{28E4BBAE-0D86-466F-9A00-53364FA55433}"/>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F13A4F58-9EF9-4FDF-B2C8-F58FF06DEA7D}"/>
    <cellStyle name="Comma 4 3 3 4 2 3" xfId="12701" xr:uid="{21633AB9-D579-4D65-B210-A287CE962337}"/>
    <cellStyle name="Comma 4 3 3 4 3" xfId="5447" xr:uid="{00000000-0005-0000-0000-00008D090000}"/>
    <cellStyle name="Comma 4 3 3 4 3 2" xfId="14773" xr:uid="{FC1BD4DA-6A62-47DE-B9F8-0807DE176DE3}"/>
    <cellStyle name="Comma 4 3 3 4 4" xfId="10556" xr:uid="{F86DE5D1-E4C3-4617-AD2F-3B1D02F551F5}"/>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8CC3941B-0693-468B-AFAB-94D2EA4178CC}"/>
    <cellStyle name="Comma 4 3 3 5 2 3" xfId="13114" xr:uid="{237E5A7B-AE4A-4F50-95C8-EF4F40341F39}"/>
    <cellStyle name="Comma 4 3 3 5 3" xfId="5860" xr:uid="{00000000-0005-0000-0000-000091090000}"/>
    <cellStyle name="Comma 4 3 3 5 3 2" xfId="15186" xr:uid="{ABFD082E-F521-4984-B55C-C840ED981B1E}"/>
    <cellStyle name="Comma 4 3 3 5 4" xfId="10969" xr:uid="{E4040D97-80FE-4478-A94E-92DF70686C6D}"/>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C71B4B0C-B0A7-4478-85BA-3C3F6A7D87BA}"/>
    <cellStyle name="Comma 4 3 3 6 2 3" xfId="13527" xr:uid="{94A53930-A339-49ED-84E1-D088BB0BE85A}"/>
    <cellStyle name="Comma 4 3 3 6 3" xfId="6273" xr:uid="{00000000-0005-0000-0000-000095090000}"/>
    <cellStyle name="Comma 4 3 3 6 3 2" xfId="15599" xr:uid="{82E2C52D-C1B3-4751-ABF4-473CEBCA8D40}"/>
    <cellStyle name="Comma 4 3 3 6 4" xfId="11382" xr:uid="{61083056-FA1D-49FB-A342-108FF2553DCF}"/>
    <cellStyle name="Comma 4 3 3 7" xfId="2402" xr:uid="{00000000-0005-0000-0000-000096090000}"/>
    <cellStyle name="Comma 4 3 3 7 2" xfId="6686" xr:uid="{00000000-0005-0000-0000-000097090000}"/>
    <cellStyle name="Comma 4 3 3 7 2 2" xfId="16012" xr:uid="{56FD5C3E-07A7-4FB5-9481-5FBBF6E2CD85}"/>
    <cellStyle name="Comma 4 3 3 7 3" xfId="11795" xr:uid="{56A76D9B-279C-4B73-A860-20F2BB3EAEAA}"/>
    <cellStyle name="Comma 4 3 3 8" xfId="2361" xr:uid="{00000000-0005-0000-0000-000098090000}"/>
    <cellStyle name="Comma 4 3 3 9" xfId="2780" xr:uid="{00000000-0005-0000-0000-000099090000}"/>
    <cellStyle name="Comma 4 3 3 9 2" xfId="7003" xr:uid="{00000000-0005-0000-0000-00009A090000}"/>
    <cellStyle name="Comma 4 3 3 9 2 2" xfId="16329" xr:uid="{67C2B754-A505-48A3-9F46-655A35F691A6}"/>
    <cellStyle name="Comma 4 3 3 9 3" xfId="12112" xr:uid="{54D4AA3C-91EE-46C0-B6D3-FA943E759BCC}"/>
    <cellStyle name="Comma 4 3 4" xfId="151" xr:uid="{00000000-0005-0000-0000-00009B090000}"/>
    <cellStyle name="Comma 4 3 4 10" xfId="8985" xr:uid="{E965CEC1-A932-4F91-9E18-794CBF7DC7FC}"/>
    <cellStyle name="Comma 4 3 4 11" xfId="9731" xr:uid="{C6269CD9-4309-4390-91CF-5F0B5E42ECCD}"/>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42F43AD7-F443-4248-8C6E-9C8717E94520}"/>
    <cellStyle name="Comma 4 3 4 2 2 3" xfId="12290" xr:uid="{98F984CB-2875-4E7D-95A5-AF3484832090}"/>
    <cellStyle name="Comma 4 3 4 2 3" xfId="5036" xr:uid="{00000000-0005-0000-0000-00009F090000}"/>
    <cellStyle name="Comma 4 3 4 2 3 2" xfId="14362" xr:uid="{6C7255B3-7334-4D4B-A351-9F8FE4F35921}"/>
    <cellStyle name="Comma 4 3 4 2 4" xfId="9410" xr:uid="{54DEC146-6204-4AAF-A15F-BAC0A12B5984}"/>
    <cellStyle name="Comma 4 3 4 2 5" xfId="10145" xr:uid="{53C55D40-36E1-482F-96AC-7C082F8DC0E2}"/>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2E496E4A-875F-4522-A3C0-0BD7ADC02F46}"/>
    <cellStyle name="Comma 4 3 4 3 2 3" xfId="12703" xr:uid="{DD1D2E41-95FC-4CAC-9F2F-AF75B447AF2A}"/>
    <cellStyle name="Comma 4 3 4 3 3" xfId="5449" xr:uid="{00000000-0005-0000-0000-0000A3090000}"/>
    <cellStyle name="Comma 4 3 4 3 3 2" xfId="14775" xr:uid="{966D4526-19F5-4C70-B426-F98BA660DAE1}"/>
    <cellStyle name="Comma 4 3 4 3 4" xfId="10558" xr:uid="{6281720F-E927-4977-AEA5-FC125792A99B}"/>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630055A0-7E60-4172-BA96-13CBEFC100A5}"/>
    <cellStyle name="Comma 4 3 4 4 2 3" xfId="13116" xr:uid="{0943A10E-85C5-4828-95C4-F6AC414510C0}"/>
    <cellStyle name="Comma 4 3 4 4 3" xfId="5862" xr:uid="{00000000-0005-0000-0000-0000A7090000}"/>
    <cellStyle name="Comma 4 3 4 4 3 2" xfId="15188" xr:uid="{64568983-A276-4EC2-8FB8-E2D6C3DCF93A}"/>
    <cellStyle name="Comma 4 3 4 4 4" xfId="10971" xr:uid="{BBE6A24D-FE6F-45C5-8559-50D638A0FE38}"/>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15CB2DB4-4057-493C-ABF7-D13E95CD5CB8}"/>
    <cellStyle name="Comma 4 3 4 5 2 3" xfId="13529" xr:uid="{E84F57EB-2DC3-4666-B559-0808B7A508A4}"/>
    <cellStyle name="Comma 4 3 4 5 3" xfId="6275" xr:uid="{00000000-0005-0000-0000-0000AB090000}"/>
    <cellStyle name="Comma 4 3 4 5 3 2" xfId="15601" xr:uid="{CF5A5C54-5CF4-4C76-A97A-8E06BF1A88EC}"/>
    <cellStyle name="Comma 4 3 4 5 4" xfId="11384" xr:uid="{C24DD8C4-707F-4AD6-AE5D-DC2E99777959}"/>
    <cellStyle name="Comma 4 3 4 6" xfId="2404" xr:uid="{00000000-0005-0000-0000-0000AC090000}"/>
    <cellStyle name="Comma 4 3 4 6 2" xfId="6688" xr:uid="{00000000-0005-0000-0000-0000AD090000}"/>
    <cellStyle name="Comma 4 3 4 6 2 2" xfId="16014" xr:uid="{CB59F0CE-990C-4EED-8210-FD55FAAD83D6}"/>
    <cellStyle name="Comma 4 3 4 6 3" xfId="11797" xr:uid="{FE843B5B-53F8-471B-ACB4-8D45CE6520B2}"/>
    <cellStyle name="Comma 4 3 4 7" xfId="2700" xr:uid="{00000000-0005-0000-0000-0000AE090000}"/>
    <cellStyle name="Comma 4 3 4 8" xfId="2782" xr:uid="{00000000-0005-0000-0000-0000AF090000}"/>
    <cellStyle name="Comma 4 3 4 8 2" xfId="7005" xr:uid="{00000000-0005-0000-0000-0000B0090000}"/>
    <cellStyle name="Comma 4 3 4 8 2 2" xfId="16331" xr:uid="{0A48765C-356E-4D6F-B4CD-1432CFBF49C0}"/>
    <cellStyle name="Comma 4 3 4 8 3" xfId="12114" xr:uid="{EC3C237C-9EA6-4649-9BAA-266D254B06FA}"/>
    <cellStyle name="Comma 4 3 4 9" xfId="4622" xr:uid="{00000000-0005-0000-0000-0000B1090000}"/>
    <cellStyle name="Comma 4 3 4 9 2" xfId="13948" xr:uid="{C8BD6AC6-E841-418E-BA35-9CE217006618}"/>
    <cellStyle name="Comma 4 3 5" xfId="152" xr:uid="{00000000-0005-0000-0000-0000B2090000}"/>
    <cellStyle name="Comma 4 3 5 10" xfId="9202" xr:uid="{BF5456DA-E11C-47BD-8210-21F45D9E5F79}"/>
    <cellStyle name="Comma 4 3 5 11" xfId="9732" xr:uid="{13B3A8C9-F658-4203-A0E7-95B084D00FCA}"/>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40EB30BD-6EBE-4EC6-B6CC-14CE8C813FB9}"/>
    <cellStyle name="Comma 4 3 5 2 2 3" xfId="12291" xr:uid="{9893AB93-7572-4977-860A-0AD579B7F679}"/>
    <cellStyle name="Comma 4 3 5 2 3" xfId="5037" xr:uid="{00000000-0005-0000-0000-0000B6090000}"/>
    <cellStyle name="Comma 4 3 5 2 3 2" xfId="14363" xr:uid="{E8A3DA06-51C5-48D5-B4F5-2947C3D9FB0D}"/>
    <cellStyle name="Comma 4 3 5 2 4" xfId="9595" xr:uid="{3E6BF710-D2EA-4AFB-83F1-C6BF1C2192FF}"/>
    <cellStyle name="Comma 4 3 5 2 5" xfId="10146" xr:uid="{8AB2D35C-0093-46A7-B8A1-55EEB0FC1AE6}"/>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0607A19C-424D-4DA8-88EF-798F5CA27828}"/>
    <cellStyle name="Comma 4 3 5 3 2 3" xfId="12704" xr:uid="{7DF86301-69B9-401F-B74E-22780C61B1FE}"/>
    <cellStyle name="Comma 4 3 5 3 3" xfId="5450" xr:uid="{00000000-0005-0000-0000-0000BA090000}"/>
    <cellStyle name="Comma 4 3 5 3 3 2" xfId="14776" xr:uid="{359143C7-8A73-4761-B954-B3A6A271EABA}"/>
    <cellStyle name="Comma 4 3 5 3 4" xfId="10559" xr:uid="{5D6DBFC4-4A3B-4680-B912-1AA921CC9654}"/>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8A7DAC96-128B-413C-81BA-0E9002358D30}"/>
    <cellStyle name="Comma 4 3 5 4 2 3" xfId="13117" xr:uid="{0E7D5467-E2E1-4DE6-B9DA-2E06AB8BF1D3}"/>
    <cellStyle name="Comma 4 3 5 4 3" xfId="5863" xr:uid="{00000000-0005-0000-0000-0000BE090000}"/>
    <cellStyle name="Comma 4 3 5 4 3 2" xfId="15189" xr:uid="{8220CD7A-275E-4160-9E53-4FA52D275C56}"/>
    <cellStyle name="Comma 4 3 5 4 4" xfId="10972" xr:uid="{09664691-B24B-4CE3-B64C-58ED2145A6D5}"/>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F1B0B78C-57B0-416D-93E1-8262AC66ADCB}"/>
    <cellStyle name="Comma 4 3 5 5 2 3" xfId="13530" xr:uid="{E824ADDA-447C-4BE5-AE6A-3570B8F474E9}"/>
    <cellStyle name="Comma 4 3 5 5 3" xfId="6276" xr:uid="{00000000-0005-0000-0000-0000C2090000}"/>
    <cellStyle name="Comma 4 3 5 5 3 2" xfId="15602" xr:uid="{AF31400C-F2CB-4E5B-AFBA-9758DE27D3AD}"/>
    <cellStyle name="Comma 4 3 5 5 4" xfId="11385" xr:uid="{705AEC58-00CB-4270-B82F-86F27BDE1473}"/>
    <cellStyle name="Comma 4 3 5 6" xfId="2405" xr:uid="{00000000-0005-0000-0000-0000C3090000}"/>
    <cellStyle name="Comma 4 3 5 6 2" xfId="6689" xr:uid="{00000000-0005-0000-0000-0000C4090000}"/>
    <cellStyle name="Comma 4 3 5 6 2 2" xfId="16015" xr:uid="{9504FD88-D7F7-4165-BB50-6DA49CE2411C}"/>
    <cellStyle name="Comma 4 3 5 6 3" xfId="11798" xr:uid="{E2650422-1178-4D95-8D07-05A8422875D5}"/>
    <cellStyle name="Comma 4 3 5 7" xfId="2701" xr:uid="{00000000-0005-0000-0000-0000C5090000}"/>
    <cellStyle name="Comma 4 3 5 8" xfId="2783" xr:uid="{00000000-0005-0000-0000-0000C6090000}"/>
    <cellStyle name="Comma 4 3 5 8 2" xfId="7006" xr:uid="{00000000-0005-0000-0000-0000C7090000}"/>
    <cellStyle name="Comma 4 3 5 8 2 2" xfId="16332" xr:uid="{62D36A21-B355-4B0E-830D-F88267AF5CA0}"/>
    <cellStyle name="Comma 4 3 5 8 3" xfId="12115" xr:uid="{B2401C86-47A9-441B-9660-0DE4668220AE}"/>
    <cellStyle name="Comma 4 3 5 9" xfId="4623" xr:uid="{00000000-0005-0000-0000-0000C8090000}"/>
    <cellStyle name="Comma 4 3 5 9 2" xfId="13949" xr:uid="{8367FBE6-DB63-4C66-A186-BB39090F35A6}"/>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7BB365C7-B194-4ADF-80F7-3FB6996100F5}"/>
    <cellStyle name="Comma 4 4 10 3" xfId="12116" xr:uid="{AA0BFB18-9467-44BB-A6E1-50AA9F7DFDB2}"/>
    <cellStyle name="Comma 4 4 11" xfId="4624" xr:uid="{00000000-0005-0000-0000-0000CC090000}"/>
    <cellStyle name="Comma 4 4 11 2" xfId="13950" xr:uid="{CDAEE385-C127-4E6E-8712-B2E7900EA320}"/>
    <cellStyle name="Comma 4 4 12" xfId="8804" xr:uid="{A2BB6322-7771-45CD-845C-77E2FE03AC7A}"/>
    <cellStyle name="Comma 4 4 13" xfId="9733" xr:uid="{AE6AEC91-8A87-4968-A341-2BE4586A05F4}"/>
    <cellStyle name="Comma 4 4 2" xfId="154" xr:uid="{00000000-0005-0000-0000-0000CD090000}"/>
    <cellStyle name="Comma 4 4 2 10" xfId="4625" xr:uid="{00000000-0005-0000-0000-0000CE090000}"/>
    <cellStyle name="Comma 4 4 2 10 2" xfId="13951" xr:uid="{04D5602C-0F33-469D-932E-B3E195C72A46}"/>
    <cellStyle name="Comma 4 4 2 11" xfId="8907" xr:uid="{F9F87618-3BA1-4211-A686-62CF5BBA5770}"/>
    <cellStyle name="Comma 4 4 2 12" xfId="9734" xr:uid="{439FCAB6-8E96-4A6E-9669-9348334EFEB7}"/>
    <cellStyle name="Comma 4 4 2 2" xfId="155" xr:uid="{00000000-0005-0000-0000-0000CF090000}"/>
    <cellStyle name="Comma 4 4 2 2 10" xfId="9114" xr:uid="{871FAC03-A44E-4C24-806C-3CC0605FD124}"/>
    <cellStyle name="Comma 4 4 2 2 11" xfId="9735" xr:uid="{540CE795-CC87-4DAF-A49C-5944610DDED9}"/>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589C6F21-F196-41B6-9933-861232B2E911}"/>
    <cellStyle name="Comma 4 4 2 2 2 2 3" xfId="12294" xr:uid="{8464BB1B-49EA-4053-A323-D2ABA362988E}"/>
    <cellStyle name="Comma 4 4 2 2 2 3" xfId="5040" xr:uid="{00000000-0005-0000-0000-0000D3090000}"/>
    <cellStyle name="Comma 4 4 2 2 2 3 2" xfId="14366" xr:uid="{A47A3C80-6099-4ADD-A430-96D845FA0B65}"/>
    <cellStyle name="Comma 4 4 2 2 2 4" xfId="9539" xr:uid="{6209A471-8158-46C6-9ADA-C828BB6621B2}"/>
    <cellStyle name="Comma 4 4 2 2 2 5" xfId="10149" xr:uid="{5C678A8D-339E-4404-BCB8-FEA7D47746D1}"/>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ADE54167-1035-4711-B2CE-08D5E4AAF17C}"/>
    <cellStyle name="Comma 4 4 2 2 3 2 3" xfId="12707" xr:uid="{DE46AD97-CAFF-4350-BCBA-38B11A2687C8}"/>
    <cellStyle name="Comma 4 4 2 2 3 3" xfId="5453" xr:uid="{00000000-0005-0000-0000-0000D7090000}"/>
    <cellStyle name="Comma 4 4 2 2 3 3 2" xfId="14779" xr:uid="{69156FB3-44F5-4CA1-9A3B-5698A316AD5D}"/>
    <cellStyle name="Comma 4 4 2 2 3 4" xfId="10562" xr:uid="{D408B411-BD78-4BED-A6C5-542488FDFF61}"/>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FA90AD1F-9A93-47B8-B84F-B91FE4ADF385}"/>
    <cellStyle name="Comma 4 4 2 2 4 2 3" xfId="13120" xr:uid="{49AF8598-E271-494B-BA82-A98D8296C33E}"/>
    <cellStyle name="Comma 4 4 2 2 4 3" xfId="5866" xr:uid="{00000000-0005-0000-0000-0000DB090000}"/>
    <cellStyle name="Comma 4 4 2 2 4 3 2" xfId="15192" xr:uid="{F43C873C-A076-4428-8DE5-9960CC837637}"/>
    <cellStyle name="Comma 4 4 2 2 4 4" xfId="10975" xr:uid="{9AAD2EFC-9E0D-42F0-9B34-DEFCB44DE993}"/>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0E5DA030-BDF5-4A1D-A0A8-FB7D970E36C6}"/>
    <cellStyle name="Comma 4 4 2 2 5 2 3" xfId="13533" xr:uid="{C8408440-4204-404E-AAB5-DA2D141F69F1}"/>
    <cellStyle name="Comma 4 4 2 2 5 3" xfId="6279" xr:uid="{00000000-0005-0000-0000-0000DF090000}"/>
    <cellStyle name="Comma 4 4 2 2 5 3 2" xfId="15605" xr:uid="{73AD324F-51CB-4536-9C8E-C79CA1C78784}"/>
    <cellStyle name="Comma 4 4 2 2 5 4" xfId="11388" xr:uid="{F1C13CC5-3C5C-477C-AA6A-F6E46B63298B}"/>
    <cellStyle name="Comma 4 4 2 2 6" xfId="2408" xr:uid="{00000000-0005-0000-0000-0000E0090000}"/>
    <cellStyle name="Comma 4 4 2 2 6 2" xfId="6692" xr:uid="{00000000-0005-0000-0000-0000E1090000}"/>
    <cellStyle name="Comma 4 4 2 2 6 2 2" xfId="16018" xr:uid="{0884D25E-CAAB-4237-BA02-9165C1FBEBA1}"/>
    <cellStyle name="Comma 4 4 2 2 6 3" xfId="11801" xr:uid="{DB1213C5-58D7-499D-A209-8C4793D92E5D}"/>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37952A0E-692C-49A5-BFF7-213339B41808}"/>
    <cellStyle name="Comma 4 4 2 2 8 3" xfId="12118" xr:uid="{C2536ECB-156D-49C6-A67A-16E1380CDCFB}"/>
    <cellStyle name="Comma 4 4 2 2 9" xfId="4626" xr:uid="{00000000-0005-0000-0000-0000E5090000}"/>
    <cellStyle name="Comma 4 4 2 2 9 2" xfId="13952" xr:uid="{D4FAA589-0835-4C47-A3A8-E5639FC2BF1A}"/>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6E075CD7-1BF1-443E-B532-6978B7B4154C}"/>
    <cellStyle name="Comma 4 4 2 3 2 3" xfId="12293" xr:uid="{DCA2AC21-9CC1-45D6-A151-ECD7A3AC2E70}"/>
    <cellStyle name="Comma 4 4 2 3 3" xfId="5039" xr:uid="{00000000-0005-0000-0000-0000E9090000}"/>
    <cellStyle name="Comma 4 4 2 3 3 2" xfId="14365" xr:uid="{B47F366F-1B4D-4153-9573-CB27EA0DD7D8}"/>
    <cellStyle name="Comma 4 4 2 3 4" xfId="9332" xr:uid="{00F59ECD-64D7-476B-90FD-CD86F054AE4D}"/>
    <cellStyle name="Comma 4 4 2 3 5" xfId="10148" xr:uid="{441D30F2-83BA-4982-AFE0-B739D0E2B581}"/>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AE2A042E-58A3-4A14-8585-B6F42CB3381C}"/>
    <cellStyle name="Comma 4 4 2 4 2 3" xfId="12706" xr:uid="{D0AB35FA-4A19-4E2C-A646-E4EEE926180C}"/>
    <cellStyle name="Comma 4 4 2 4 3" xfId="5452" xr:uid="{00000000-0005-0000-0000-0000ED090000}"/>
    <cellStyle name="Comma 4 4 2 4 3 2" xfId="14778" xr:uid="{EE7C3B6F-4688-4F98-9740-A0E44470B35B}"/>
    <cellStyle name="Comma 4 4 2 4 4" xfId="10561" xr:uid="{12CA3D34-E430-4A2B-B614-5C1489A179E2}"/>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13E60893-1BD5-40D2-85C8-6DBE87A3F1C6}"/>
    <cellStyle name="Comma 4 4 2 5 2 3" xfId="13119" xr:uid="{6CA26711-9BDA-4D6F-B408-96F6FCC7C23A}"/>
    <cellStyle name="Comma 4 4 2 5 3" xfId="5865" xr:uid="{00000000-0005-0000-0000-0000F1090000}"/>
    <cellStyle name="Comma 4 4 2 5 3 2" xfId="15191" xr:uid="{5E69D326-3B9F-4F39-B42B-DB2166A17637}"/>
    <cellStyle name="Comma 4 4 2 5 4" xfId="10974" xr:uid="{4D3E1B45-8C24-4FB7-93D5-168DB74F936D}"/>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7BA3988E-5170-4EF2-94C6-04B8320BEA9F}"/>
    <cellStyle name="Comma 4 4 2 6 2 3" xfId="13532" xr:uid="{1E31CC5F-3CF0-485F-A23C-A9745E90A9DC}"/>
    <cellStyle name="Comma 4 4 2 6 3" xfId="6278" xr:uid="{00000000-0005-0000-0000-0000F5090000}"/>
    <cellStyle name="Comma 4 4 2 6 3 2" xfId="15604" xr:uid="{5BA0CC71-ADED-4022-B65A-0E92505E91BC}"/>
    <cellStyle name="Comma 4 4 2 6 4" xfId="11387" xr:uid="{6096C614-3D91-484E-A3F5-1C0195FEB849}"/>
    <cellStyle name="Comma 4 4 2 7" xfId="2407" xr:uid="{00000000-0005-0000-0000-0000F6090000}"/>
    <cellStyle name="Comma 4 4 2 7 2" xfId="6691" xr:uid="{00000000-0005-0000-0000-0000F7090000}"/>
    <cellStyle name="Comma 4 4 2 7 2 2" xfId="16017" xr:uid="{C3BF289E-5DCD-4261-8D7F-EDA0CEA90F3E}"/>
    <cellStyle name="Comma 4 4 2 7 3" xfId="11800" xr:uid="{A5DF25BC-D611-4E9D-8D2D-3A14FC7FED23}"/>
    <cellStyle name="Comma 4 4 2 8" xfId="2703" xr:uid="{00000000-0005-0000-0000-0000F8090000}"/>
    <cellStyle name="Comma 4 4 2 9" xfId="2785" xr:uid="{00000000-0005-0000-0000-0000F9090000}"/>
    <cellStyle name="Comma 4 4 2 9 2" xfId="7008" xr:uid="{00000000-0005-0000-0000-0000FA090000}"/>
    <cellStyle name="Comma 4 4 2 9 2 2" xfId="16334" xr:uid="{A087961F-C199-4189-BB12-1A82238BCDA2}"/>
    <cellStyle name="Comma 4 4 2 9 3" xfId="12117" xr:uid="{7A91D152-EA4A-45CE-B136-76E7FD1B9BC6}"/>
    <cellStyle name="Comma 4 4 3" xfId="156" xr:uid="{00000000-0005-0000-0000-0000FB090000}"/>
    <cellStyle name="Comma 4 4 3 10" xfId="9011" xr:uid="{31ED03AD-AB12-49AF-9AD4-B783F0BF7322}"/>
    <cellStyle name="Comma 4 4 3 11" xfId="9736" xr:uid="{729363A6-D6B8-4DF2-B897-CBC510722BEF}"/>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F19AF9DA-CC76-4530-943C-C3398807D544}"/>
    <cellStyle name="Comma 4 4 3 2 2 3" xfId="12295" xr:uid="{5904B463-A7F8-41FE-963A-31B904EBA41F}"/>
    <cellStyle name="Comma 4 4 3 2 3" xfId="5041" xr:uid="{00000000-0005-0000-0000-0000FF090000}"/>
    <cellStyle name="Comma 4 4 3 2 3 2" xfId="14367" xr:uid="{117E0E8E-436D-4399-972F-D05900DE1805}"/>
    <cellStyle name="Comma 4 4 3 2 4" xfId="9436" xr:uid="{5B7DDC25-9095-4E8E-BD31-668F46BBD33F}"/>
    <cellStyle name="Comma 4 4 3 2 5" xfId="10150" xr:uid="{AADC2A5D-3E9B-46C9-8FC0-F1FC0CE33252}"/>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51196FD7-902F-49F6-9478-1839BF16EDD1}"/>
    <cellStyle name="Comma 4 4 3 3 2 3" xfId="12708" xr:uid="{7C0E3835-7755-4828-B024-B6CEA04CADA8}"/>
    <cellStyle name="Comma 4 4 3 3 3" xfId="5454" xr:uid="{00000000-0005-0000-0000-0000030A0000}"/>
    <cellStyle name="Comma 4 4 3 3 3 2" xfId="14780" xr:uid="{7D4C40AA-F93D-4E4B-954D-D04209F549BB}"/>
    <cellStyle name="Comma 4 4 3 3 4" xfId="10563" xr:uid="{2359D326-BDF8-490B-A1B5-C324BDFADFF4}"/>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E157039F-C7AC-4CDF-8041-A5A9424471DA}"/>
    <cellStyle name="Comma 4 4 3 4 2 3" xfId="13121" xr:uid="{E82A8935-8B29-4095-8FB5-3BFD94CD9CF9}"/>
    <cellStyle name="Comma 4 4 3 4 3" xfId="5867" xr:uid="{00000000-0005-0000-0000-0000070A0000}"/>
    <cellStyle name="Comma 4 4 3 4 3 2" xfId="15193" xr:uid="{B1CBB7E1-8BD9-4F19-BAD2-44B6C9A07608}"/>
    <cellStyle name="Comma 4 4 3 4 4" xfId="10976" xr:uid="{EB236DA3-DC34-4AE5-A121-A7F308A2E6FF}"/>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DEC74B98-B52E-45BA-87F9-29EA598A2922}"/>
    <cellStyle name="Comma 4 4 3 5 2 3" xfId="13534" xr:uid="{EFDC15C3-FAD7-4A5E-AC4C-7C25516F24E7}"/>
    <cellStyle name="Comma 4 4 3 5 3" xfId="6280" xr:uid="{00000000-0005-0000-0000-00000B0A0000}"/>
    <cellStyle name="Comma 4 4 3 5 3 2" xfId="15606" xr:uid="{7E8AF639-6A79-4A83-8D3F-05E75DF6EF23}"/>
    <cellStyle name="Comma 4 4 3 5 4" xfId="11389" xr:uid="{E7EC109E-C039-4246-99AC-B72ADB79EDA6}"/>
    <cellStyle name="Comma 4 4 3 6" xfId="2409" xr:uid="{00000000-0005-0000-0000-00000C0A0000}"/>
    <cellStyle name="Comma 4 4 3 6 2" xfId="6693" xr:uid="{00000000-0005-0000-0000-00000D0A0000}"/>
    <cellStyle name="Comma 4 4 3 6 2 2" xfId="16019" xr:uid="{6A34B6F4-E1A8-4C82-8743-500927C39B0A}"/>
    <cellStyle name="Comma 4 4 3 6 3" xfId="11802" xr:uid="{22BA6E47-1AAA-4117-841F-D23CD16E2886}"/>
    <cellStyle name="Comma 4 4 3 7" xfId="2705" xr:uid="{00000000-0005-0000-0000-00000E0A0000}"/>
    <cellStyle name="Comma 4 4 3 8" xfId="2787" xr:uid="{00000000-0005-0000-0000-00000F0A0000}"/>
    <cellStyle name="Comma 4 4 3 8 2" xfId="7010" xr:uid="{00000000-0005-0000-0000-0000100A0000}"/>
    <cellStyle name="Comma 4 4 3 8 2 2" xfId="16336" xr:uid="{E63D8FAF-335B-4D92-9F47-6A3EE5F8C92B}"/>
    <cellStyle name="Comma 4 4 3 8 3" xfId="12119" xr:uid="{6C3C7A30-3AA4-47A8-9141-0C016CFAC1B8}"/>
    <cellStyle name="Comma 4 4 3 9" xfId="4627" xr:uid="{00000000-0005-0000-0000-0000110A0000}"/>
    <cellStyle name="Comma 4 4 3 9 2" xfId="13953" xr:uid="{49B8F006-394A-4A4D-9C34-5314BECA8193}"/>
    <cellStyle name="Comma 4 4 4" xfId="690" xr:uid="{00000000-0005-0000-0000-0000120A0000}"/>
    <cellStyle name="Comma 4 4 4 2" xfId="2961" xr:uid="{00000000-0005-0000-0000-0000130A0000}"/>
    <cellStyle name="Comma 4 4 4 2 2" xfId="7183" xr:uid="{00000000-0005-0000-0000-0000140A0000}"/>
    <cellStyle name="Comma 4 4 4 2 2 2" xfId="16509" xr:uid="{0C7B47F1-5721-40FD-8E81-F73E019B3EB6}"/>
    <cellStyle name="Comma 4 4 4 2 3" xfId="12292" xr:uid="{36C81BAC-A9EC-46D5-9120-A15C1CDF03C3}"/>
    <cellStyle name="Comma 4 4 4 3" xfId="5038" xr:uid="{00000000-0005-0000-0000-0000150A0000}"/>
    <cellStyle name="Comma 4 4 4 3 2" xfId="14364" xr:uid="{A7F306D3-7A40-474C-B1FF-9C7976FCE882}"/>
    <cellStyle name="Comma 4 4 4 4" xfId="9229" xr:uid="{5D655A80-2199-4116-9BF2-7327D5827395}"/>
    <cellStyle name="Comma 4 4 4 5" xfId="10147" xr:uid="{5F09E8BA-02AB-4178-BF82-2938FA4F3149}"/>
    <cellStyle name="Comma 4 4 5" xfId="1143" xr:uid="{00000000-0005-0000-0000-0000160A0000}"/>
    <cellStyle name="Comma 4 4 5 2" xfId="3374" xr:uid="{00000000-0005-0000-0000-0000170A0000}"/>
    <cellStyle name="Comma 4 4 5 2 2" xfId="7596" xr:uid="{00000000-0005-0000-0000-0000180A0000}"/>
    <cellStyle name="Comma 4 4 5 2 2 2" xfId="16922" xr:uid="{B5320EB1-07C5-4A6C-9E5B-CE05539C40A7}"/>
    <cellStyle name="Comma 4 4 5 2 3" xfId="12705" xr:uid="{5EDB64DC-2917-4878-B3DE-6C6EB2ECC87F}"/>
    <cellStyle name="Comma 4 4 5 3" xfId="5451" xr:uid="{00000000-0005-0000-0000-0000190A0000}"/>
    <cellStyle name="Comma 4 4 5 3 2" xfId="14777" xr:uid="{ACC680C4-6F35-443A-8845-450BBAF075FA}"/>
    <cellStyle name="Comma 4 4 5 4" xfId="10560" xr:uid="{DD94AD81-7DFD-45CA-9316-F2E166B4FF02}"/>
    <cellStyle name="Comma 4 4 6" xfId="1557" xr:uid="{00000000-0005-0000-0000-00001A0A0000}"/>
    <cellStyle name="Comma 4 4 6 2" xfId="3787" xr:uid="{00000000-0005-0000-0000-00001B0A0000}"/>
    <cellStyle name="Comma 4 4 6 2 2" xfId="8009" xr:uid="{00000000-0005-0000-0000-00001C0A0000}"/>
    <cellStyle name="Comma 4 4 6 2 2 2" xfId="17335" xr:uid="{A9A341B2-ADD9-40B1-986B-B9B084ADADD8}"/>
    <cellStyle name="Comma 4 4 6 2 3" xfId="13118" xr:uid="{24788774-45DB-4116-9278-AD968DD8D1AE}"/>
    <cellStyle name="Comma 4 4 6 3" xfId="5864" xr:uid="{00000000-0005-0000-0000-00001D0A0000}"/>
    <cellStyle name="Comma 4 4 6 3 2" xfId="15190" xr:uid="{D64C6916-25AF-48FD-886D-8EA7DA23EFFA}"/>
    <cellStyle name="Comma 4 4 6 4" xfId="10973" xr:uid="{43FFA91B-B13F-4A4D-A039-F619B3D00AD7}"/>
    <cellStyle name="Comma 4 4 7" xfId="1971" xr:uid="{00000000-0005-0000-0000-00001E0A0000}"/>
    <cellStyle name="Comma 4 4 7 2" xfId="4200" xr:uid="{00000000-0005-0000-0000-00001F0A0000}"/>
    <cellStyle name="Comma 4 4 7 2 2" xfId="8422" xr:uid="{00000000-0005-0000-0000-0000200A0000}"/>
    <cellStyle name="Comma 4 4 7 2 2 2" xfId="17748" xr:uid="{711393CE-4F9A-4DF6-B4D2-DB0F3C85FC69}"/>
    <cellStyle name="Comma 4 4 7 2 3" xfId="13531" xr:uid="{59563DD2-256D-4577-81ED-CEEF5985DE1A}"/>
    <cellStyle name="Comma 4 4 7 3" xfId="6277" xr:uid="{00000000-0005-0000-0000-0000210A0000}"/>
    <cellStyle name="Comma 4 4 7 3 2" xfId="15603" xr:uid="{229C82B0-54BF-4514-A4BC-84F1B8059E63}"/>
    <cellStyle name="Comma 4 4 7 4" xfId="11386" xr:uid="{0A1ED677-AE09-413F-8883-0A7F9EBCCFDA}"/>
    <cellStyle name="Comma 4 4 8" xfId="2406" xr:uid="{00000000-0005-0000-0000-0000220A0000}"/>
    <cellStyle name="Comma 4 4 8 2" xfId="6690" xr:uid="{00000000-0005-0000-0000-0000230A0000}"/>
    <cellStyle name="Comma 4 4 8 2 2" xfId="16016" xr:uid="{40286170-188C-41F7-AB10-5C1AAAAFD5D5}"/>
    <cellStyle name="Comma 4 4 8 3" xfId="11799" xr:uid="{675C15CC-E219-408A-83FD-6256DA80D24D}"/>
    <cellStyle name="Comma 4 4 9" xfId="2702" xr:uid="{00000000-0005-0000-0000-0000240A0000}"/>
    <cellStyle name="Comma 4 5" xfId="157" xr:uid="{00000000-0005-0000-0000-0000250A0000}"/>
    <cellStyle name="Comma 4 5 10" xfId="4628" xr:uid="{00000000-0005-0000-0000-0000260A0000}"/>
    <cellStyle name="Comma 4 5 10 2" xfId="13954" xr:uid="{14F66311-59B3-4752-85DE-4D4095D02FB1}"/>
    <cellStyle name="Comma 4 5 11" xfId="8849" xr:uid="{344CCE08-63E3-41E8-B38A-00347480820F}"/>
    <cellStyle name="Comma 4 5 12" xfId="9737" xr:uid="{E566B5C6-5091-41F9-B7BC-A0C3687D88B7}"/>
    <cellStyle name="Comma 4 5 2" xfId="158" xr:uid="{00000000-0005-0000-0000-0000270A0000}"/>
    <cellStyle name="Comma 4 5 2 10" xfId="9056" xr:uid="{C7C2153B-7EAA-4A13-9C28-1151ACD100A8}"/>
    <cellStyle name="Comma 4 5 2 11" xfId="9738" xr:uid="{2A229637-BD4E-4BAB-9479-32C8335F1380}"/>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62D4D3A9-6C60-491D-A1BF-0CDC3F20B0E5}"/>
    <cellStyle name="Comma 4 5 2 2 2 3" xfId="12297" xr:uid="{4BDC8659-A9E0-4620-882B-2E35E5F1386E}"/>
    <cellStyle name="Comma 4 5 2 2 3" xfId="5043" xr:uid="{00000000-0005-0000-0000-00002B0A0000}"/>
    <cellStyle name="Comma 4 5 2 2 3 2" xfId="14369" xr:uid="{E597A8E7-F06C-4EE9-8F89-8670C9C71EE9}"/>
    <cellStyle name="Comma 4 5 2 2 4" xfId="9481" xr:uid="{47C88F6D-21B1-4457-908C-FFAB8FF83BD1}"/>
    <cellStyle name="Comma 4 5 2 2 5" xfId="10152" xr:uid="{7388D5C1-5750-4A94-8A49-4D480E20477E}"/>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AC4E1A93-C0D2-4B8D-8342-429350EC4A12}"/>
    <cellStyle name="Comma 4 5 2 3 2 3" xfId="12710" xr:uid="{FC28E5BD-CCE4-4258-8AB6-8F302F1468D8}"/>
    <cellStyle name="Comma 4 5 2 3 3" xfId="5456" xr:uid="{00000000-0005-0000-0000-00002F0A0000}"/>
    <cellStyle name="Comma 4 5 2 3 3 2" xfId="14782" xr:uid="{AC31367A-04B8-4705-A4AC-0FA4C97E237F}"/>
    <cellStyle name="Comma 4 5 2 3 4" xfId="10565" xr:uid="{B7BAB61D-B7A0-4494-8B21-FE1F5EFEC8CD}"/>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061890CE-70D4-47BD-B731-50C45C650333}"/>
    <cellStyle name="Comma 4 5 2 4 2 3" xfId="13123" xr:uid="{1050C289-0605-4A19-867D-104D675CFA55}"/>
    <cellStyle name="Comma 4 5 2 4 3" xfId="5869" xr:uid="{00000000-0005-0000-0000-0000330A0000}"/>
    <cellStyle name="Comma 4 5 2 4 3 2" xfId="15195" xr:uid="{75C92C56-4A9C-4AB1-A61F-2371D9965684}"/>
    <cellStyle name="Comma 4 5 2 4 4" xfId="10978" xr:uid="{5BEC51D3-C3E4-4ED6-BDEA-7D932A4A6D3E}"/>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092A9D1B-D77B-46BE-A24E-F0169C1B9286}"/>
    <cellStyle name="Comma 4 5 2 5 2 3" xfId="13536" xr:uid="{CF8D85D5-8CA1-4CF4-9695-33159FA44A8B}"/>
    <cellStyle name="Comma 4 5 2 5 3" xfId="6282" xr:uid="{00000000-0005-0000-0000-0000370A0000}"/>
    <cellStyle name="Comma 4 5 2 5 3 2" xfId="15608" xr:uid="{3F4881C5-BBD8-40D5-9088-530D1FCB8A8D}"/>
    <cellStyle name="Comma 4 5 2 5 4" xfId="11391" xr:uid="{9C003B69-9003-4732-BB72-486286044C05}"/>
    <cellStyle name="Comma 4 5 2 6" xfId="2411" xr:uid="{00000000-0005-0000-0000-0000380A0000}"/>
    <cellStyle name="Comma 4 5 2 6 2" xfId="6695" xr:uid="{00000000-0005-0000-0000-0000390A0000}"/>
    <cellStyle name="Comma 4 5 2 6 2 2" xfId="16021" xr:uid="{801C4C84-D095-460C-98D0-D60363A29625}"/>
    <cellStyle name="Comma 4 5 2 6 3" xfId="11804" xr:uid="{0CB75B79-6A3E-4A53-B3F7-20B2AFE187B3}"/>
    <cellStyle name="Comma 4 5 2 7" xfId="2707" xr:uid="{00000000-0005-0000-0000-00003A0A0000}"/>
    <cellStyle name="Comma 4 5 2 8" xfId="2789" xr:uid="{00000000-0005-0000-0000-00003B0A0000}"/>
    <cellStyle name="Comma 4 5 2 8 2" xfId="7012" xr:uid="{00000000-0005-0000-0000-00003C0A0000}"/>
    <cellStyle name="Comma 4 5 2 8 2 2" xfId="16338" xr:uid="{D513B529-CA58-4E79-8FF3-45882399B0F2}"/>
    <cellStyle name="Comma 4 5 2 8 3" xfId="12121" xr:uid="{DDB514D0-2D31-4A76-ADA9-6470ECD0E19D}"/>
    <cellStyle name="Comma 4 5 2 9" xfId="4629" xr:uid="{00000000-0005-0000-0000-00003D0A0000}"/>
    <cellStyle name="Comma 4 5 2 9 2" xfId="13955" xr:uid="{CEE1D55C-97F2-409B-AEC1-C122AA29C6A0}"/>
    <cellStyle name="Comma 4 5 3" xfId="694" xr:uid="{00000000-0005-0000-0000-00003E0A0000}"/>
    <cellStyle name="Comma 4 5 3 2" xfId="2965" xr:uid="{00000000-0005-0000-0000-00003F0A0000}"/>
    <cellStyle name="Comma 4 5 3 2 2" xfId="7187" xr:uid="{00000000-0005-0000-0000-0000400A0000}"/>
    <cellStyle name="Comma 4 5 3 2 2 2" xfId="16513" xr:uid="{1A543025-9AD1-4613-A271-997FA20DB465}"/>
    <cellStyle name="Comma 4 5 3 2 3" xfId="12296" xr:uid="{84251477-DC80-440E-AED4-3EB29DF54A14}"/>
    <cellStyle name="Comma 4 5 3 3" xfId="5042" xr:uid="{00000000-0005-0000-0000-0000410A0000}"/>
    <cellStyle name="Comma 4 5 3 3 2" xfId="14368" xr:uid="{D7ED72F6-4771-4EAD-A7F2-5F9E985E8C06}"/>
    <cellStyle name="Comma 4 5 3 4" xfId="9274" xr:uid="{04AC3EF2-4A78-4DC5-BAB4-87936023C7E5}"/>
    <cellStyle name="Comma 4 5 3 5" xfId="10151" xr:uid="{32B886F7-9AEF-4309-BB5B-8E2B73077449}"/>
    <cellStyle name="Comma 4 5 4" xfId="1147" xr:uid="{00000000-0005-0000-0000-0000420A0000}"/>
    <cellStyle name="Comma 4 5 4 2" xfId="3378" xr:uid="{00000000-0005-0000-0000-0000430A0000}"/>
    <cellStyle name="Comma 4 5 4 2 2" xfId="7600" xr:uid="{00000000-0005-0000-0000-0000440A0000}"/>
    <cellStyle name="Comma 4 5 4 2 2 2" xfId="16926" xr:uid="{291F1AF8-45A8-4C2E-A048-8CAB76A35B0F}"/>
    <cellStyle name="Comma 4 5 4 2 3" xfId="12709" xr:uid="{80232116-A1C1-4CBA-9496-B483D7DFD2B9}"/>
    <cellStyle name="Comma 4 5 4 3" xfId="5455" xr:uid="{00000000-0005-0000-0000-0000450A0000}"/>
    <cellStyle name="Comma 4 5 4 3 2" xfId="14781" xr:uid="{EDCBA40F-6DD3-4D54-8B32-40BC7FB149C8}"/>
    <cellStyle name="Comma 4 5 4 4" xfId="10564" xr:uid="{FB6CAAB1-1030-4E20-96E3-7D6CB6B7469B}"/>
    <cellStyle name="Comma 4 5 5" xfId="1561" xr:uid="{00000000-0005-0000-0000-0000460A0000}"/>
    <cellStyle name="Comma 4 5 5 2" xfId="3791" xr:uid="{00000000-0005-0000-0000-0000470A0000}"/>
    <cellStyle name="Comma 4 5 5 2 2" xfId="8013" xr:uid="{00000000-0005-0000-0000-0000480A0000}"/>
    <cellStyle name="Comma 4 5 5 2 2 2" xfId="17339" xr:uid="{B9221D35-768C-491C-AE14-BEDE08EF2164}"/>
    <cellStyle name="Comma 4 5 5 2 3" xfId="13122" xr:uid="{386B7061-9E32-47BF-8465-F6FFE6187474}"/>
    <cellStyle name="Comma 4 5 5 3" xfId="5868" xr:uid="{00000000-0005-0000-0000-0000490A0000}"/>
    <cellStyle name="Comma 4 5 5 3 2" xfId="15194" xr:uid="{C64BE3C9-3536-48A9-8C63-68B481E0C10A}"/>
    <cellStyle name="Comma 4 5 5 4" xfId="10977" xr:uid="{49EE8801-3239-492D-A924-C0A8F05AB9F6}"/>
    <cellStyle name="Comma 4 5 6" xfId="1975" xr:uid="{00000000-0005-0000-0000-00004A0A0000}"/>
    <cellStyle name="Comma 4 5 6 2" xfId="4204" xr:uid="{00000000-0005-0000-0000-00004B0A0000}"/>
    <cellStyle name="Comma 4 5 6 2 2" xfId="8426" xr:uid="{00000000-0005-0000-0000-00004C0A0000}"/>
    <cellStyle name="Comma 4 5 6 2 2 2" xfId="17752" xr:uid="{A0B5888D-E510-4050-B3E6-AD48E735D326}"/>
    <cellStyle name="Comma 4 5 6 2 3" xfId="13535" xr:uid="{037A112A-CC54-436F-8D43-545894B39345}"/>
    <cellStyle name="Comma 4 5 6 3" xfId="6281" xr:uid="{00000000-0005-0000-0000-00004D0A0000}"/>
    <cellStyle name="Comma 4 5 6 3 2" xfId="15607" xr:uid="{913D00CE-5798-4058-B9E9-99A268A55873}"/>
    <cellStyle name="Comma 4 5 6 4" xfId="11390" xr:uid="{C6FC7878-688F-400C-81BE-05B90B1A472A}"/>
    <cellStyle name="Comma 4 5 7" xfId="2410" xr:uid="{00000000-0005-0000-0000-00004E0A0000}"/>
    <cellStyle name="Comma 4 5 7 2" xfId="6694" xr:uid="{00000000-0005-0000-0000-00004F0A0000}"/>
    <cellStyle name="Comma 4 5 7 2 2" xfId="16020" xr:uid="{961F9016-1755-4A24-8DF1-3D42E0A084CC}"/>
    <cellStyle name="Comma 4 5 7 3" xfId="11803" xr:uid="{F62C5A9D-33A2-4AEF-A88A-5A4BC723B191}"/>
    <cellStyle name="Comma 4 5 8" xfId="2706" xr:uid="{00000000-0005-0000-0000-0000500A0000}"/>
    <cellStyle name="Comma 4 5 9" xfId="2788" xr:uid="{00000000-0005-0000-0000-0000510A0000}"/>
    <cellStyle name="Comma 4 5 9 2" xfId="7011" xr:uid="{00000000-0005-0000-0000-0000520A0000}"/>
    <cellStyle name="Comma 4 5 9 2 2" xfId="16337" xr:uid="{43DDA876-A77D-400D-BB69-2BAC73CAA29B}"/>
    <cellStyle name="Comma 4 5 9 3" xfId="12120" xr:uid="{1B668C40-DF85-4870-823A-FC4259BE86B4}"/>
    <cellStyle name="Comma 4 6" xfId="159" xr:uid="{00000000-0005-0000-0000-0000530A0000}"/>
    <cellStyle name="Comma 4 6 10" xfId="8965" xr:uid="{FDA33E7D-96B8-46F2-87D8-5CB6C30A4CC6}"/>
    <cellStyle name="Comma 4 6 11" xfId="9739" xr:uid="{AB61D60D-CA6E-4BE8-82F8-42D49C66CC72}"/>
    <cellStyle name="Comma 4 6 2" xfId="696" xr:uid="{00000000-0005-0000-0000-0000540A0000}"/>
    <cellStyle name="Comma 4 6 2 2" xfId="2967" xr:uid="{00000000-0005-0000-0000-0000550A0000}"/>
    <cellStyle name="Comma 4 6 2 2 2" xfId="7189" xr:uid="{00000000-0005-0000-0000-0000560A0000}"/>
    <cellStyle name="Comma 4 6 2 2 2 2" xfId="16515" xr:uid="{F203EC20-EE3F-4626-9FE5-5F116B0EB37A}"/>
    <cellStyle name="Comma 4 6 2 2 3" xfId="12298" xr:uid="{1CCEECA7-0ED7-463C-BD4B-699524039F86}"/>
    <cellStyle name="Comma 4 6 2 3" xfId="5044" xr:uid="{00000000-0005-0000-0000-0000570A0000}"/>
    <cellStyle name="Comma 4 6 2 3 2" xfId="14370" xr:uid="{23629675-0839-465D-8F72-C413A399724D}"/>
    <cellStyle name="Comma 4 6 2 4" xfId="9390" xr:uid="{F8012948-A58F-476A-B4CF-A63C8F36D5B6}"/>
    <cellStyle name="Comma 4 6 2 5" xfId="10153" xr:uid="{955DA66D-1A17-4238-BF46-BB0413021594}"/>
    <cellStyle name="Comma 4 6 3" xfId="1149" xr:uid="{00000000-0005-0000-0000-0000580A0000}"/>
    <cellStyle name="Comma 4 6 3 2" xfId="3380" xr:uid="{00000000-0005-0000-0000-0000590A0000}"/>
    <cellStyle name="Comma 4 6 3 2 2" xfId="7602" xr:uid="{00000000-0005-0000-0000-00005A0A0000}"/>
    <cellStyle name="Comma 4 6 3 2 2 2" xfId="16928" xr:uid="{5111D89F-03C1-4DF5-A59E-4DE2DACCFA3F}"/>
    <cellStyle name="Comma 4 6 3 2 3" xfId="12711" xr:uid="{5168837C-1290-4AB5-BA7B-A46A84BD9D5D}"/>
    <cellStyle name="Comma 4 6 3 3" xfId="5457" xr:uid="{00000000-0005-0000-0000-00005B0A0000}"/>
    <cellStyle name="Comma 4 6 3 3 2" xfId="14783" xr:uid="{8F19B24D-A033-4C7D-9F8B-3792AE65D732}"/>
    <cellStyle name="Comma 4 6 3 4" xfId="10566" xr:uid="{7338F0ED-D05C-4CF0-A9F7-BC5366E032D4}"/>
    <cellStyle name="Comma 4 6 4" xfId="1563" xr:uid="{00000000-0005-0000-0000-00005C0A0000}"/>
    <cellStyle name="Comma 4 6 4 2" xfId="3793" xr:uid="{00000000-0005-0000-0000-00005D0A0000}"/>
    <cellStyle name="Comma 4 6 4 2 2" xfId="8015" xr:uid="{00000000-0005-0000-0000-00005E0A0000}"/>
    <cellStyle name="Comma 4 6 4 2 2 2" xfId="17341" xr:uid="{C3A05D30-761D-4803-8967-62262628C28C}"/>
    <cellStyle name="Comma 4 6 4 2 3" xfId="13124" xr:uid="{6537C8A2-7770-4BEF-993B-8AF7052347FA}"/>
    <cellStyle name="Comma 4 6 4 3" xfId="5870" xr:uid="{00000000-0005-0000-0000-00005F0A0000}"/>
    <cellStyle name="Comma 4 6 4 3 2" xfId="15196" xr:uid="{CB03F95A-0C53-4CF9-8144-63886A6BEC49}"/>
    <cellStyle name="Comma 4 6 4 4" xfId="10979" xr:uid="{54D819EA-386B-460A-9EBE-EFE396B95351}"/>
    <cellStyle name="Comma 4 6 5" xfId="1977" xr:uid="{00000000-0005-0000-0000-0000600A0000}"/>
    <cellStyle name="Comma 4 6 5 2" xfId="4206" xr:uid="{00000000-0005-0000-0000-0000610A0000}"/>
    <cellStyle name="Comma 4 6 5 2 2" xfId="8428" xr:uid="{00000000-0005-0000-0000-0000620A0000}"/>
    <cellStyle name="Comma 4 6 5 2 2 2" xfId="17754" xr:uid="{82AC3CF4-54C7-4D9E-987C-88B3D06A49DD}"/>
    <cellStyle name="Comma 4 6 5 2 3" xfId="13537" xr:uid="{BCBB63B2-08D4-4C10-8E3F-A117F45818DF}"/>
    <cellStyle name="Comma 4 6 5 3" xfId="6283" xr:uid="{00000000-0005-0000-0000-0000630A0000}"/>
    <cellStyle name="Comma 4 6 5 3 2" xfId="15609" xr:uid="{C9BBEF7A-B11D-4F9C-8049-CC64330FAA98}"/>
    <cellStyle name="Comma 4 6 5 4" xfId="11392" xr:uid="{A3B659CD-74A6-4645-8023-68A55F2D2AFF}"/>
    <cellStyle name="Comma 4 6 6" xfId="2412" xr:uid="{00000000-0005-0000-0000-0000640A0000}"/>
    <cellStyle name="Comma 4 6 6 2" xfId="6696" xr:uid="{00000000-0005-0000-0000-0000650A0000}"/>
    <cellStyle name="Comma 4 6 6 2 2" xfId="16022" xr:uid="{D49C96F4-0740-455B-B98B-17251BF62830}"/>
    <cellStyle name="Comma 4 6 6 3" xfId="11805" xr:uid="{D7DE2E92-8B51-47E0-A2EB-B0D0097C37AE}"/>
    <cellStyle name="Comma 4 6 7" xfId="2708" xr:uid="{00000000-0005-0000-0000-0000660A0000}"/>
    <cellStyle name="Comma 4 6 8" xfId="2790" xr:uid="{00000000-0005-0000-0000-0000670A0000}"/>
    <cellStyle name="Comma 4 6 8 2" xfId="7013" xr:uid="{00000000-0005-0000-0000-0000680A0000}"/>
    <cellStyle name="Comma 4 6 8 2 2" xfId="16339" xr:uid="{38227C2F-51A5-4475-AAC1-D0AF0B8502E9}"/>
    <cellStyle name="Comma 4 6 8 3" xfId="12122" xr:uid="{5686AAF4-C9CF-4C62-B3D3-952FEC7EB345}"/>
    <cellStyle name="Comma 4 6 9" xfId="4630" xr:uid="{00000000-0005-0000-0000-0000690A0000}"/>
    <cellStyle name="Comma 4 6 9 2" xfId="13956" xr:uid="{36F44A45-62B5-4049-AAFF-18D7345A1A71}"/>
    <cellStyle name="Comma 4 7" xfId="160" xr:uid="{00000000-0005-0000-0000-00006A0A0000}"/>
    <cellStyle name="Comma 4 7 10" xfId="9168" xr:uid="{C5EF0C72-87BD-43A9-8A23-92F9D9423F50}"/>
    <cellStyle name="Comma 4 7 11" xfId="9740" xr:uid="{32B3D7E3-4CBF-4318-AA19-E366B9319515}"/>
    <cellStyle name="Comma 4 7 2" xfId="697" xr:uid="{00000000-0005-0000-0000-00006B0A0000}"/>
    <cellStyle name="Comma 4 7 2 2" xfId="2968" xr:uid="{00000000-0005-0000-0000-00006C0A0000}"/>
    <cellStyle name="Comma 4 7 2 2 2" xfId="7190" xr:uid="{00000000-0005-0000-0000-00006D0A0000}"/>
    <cellStyle name="Comma 4 7 2 2 2 2" xfId="16516" xr:uid="{81ABAB92-5091-4EC6-8884-E14B2C9436B3}"/>
    <cellStyle name="Comma 4 7 2 2 3" xfId="12299" xr:uid="{6BBE300B-AF45-4D35-8255-FA9BF95C7AD3}"/>
    <cellStyle name="Comma 4 7 2 3" xfId="5045" xr:uid="{00000000-0005-0000-0000-00006E0A0000}"/>
    <cellStyle name="Comma 4 7 2 3 2" xfId="14371" xr:uid="{97821A8D-255E-46F7-A061-F6447FE358BF}"/>
    <cellStyle name="Comma 4 7 2 4" xfId="9596" xr:uid="{F4A1C070-02C1-4F2A-89F2-15465D9BEBB2}"/>
    <cellStyle name="Comma 4 7 2 5" xfId="10154" xr:uid="{76377639-57CB-4358-A3D5-EC8A2EE6C24D}"/>
    <cellStyle name="Comma 4 7 3" xfId="1150" xr:uid="{00000000-0005-0000-0000-00006F0A0000}"/>
    <cellStyle name="Comma 4 7 3 2" xfId="3381" xr:uid="{00000000-0005-0000-0000-0000700A0000}"/>
    <cellStyle name="Comma 4 7 3 2 2" xfId="7603" xr:uid="{00000000-0005-0000-0000-0000710A0000}"/>
    <cellStyle name="Comma 4 7 3 2 2 2" xfId="16929" xr:uid="{52443A01-A4BE-4905-9307-03412ACF4237}"/>
    <cellStyle name="Comma 4 7 3 2 3" xfId="12712" xr:uid="{5E2E119D-E70F-4460-AB4A-3B907DF008C3}"/>
    <cellStyle name="Comma 4 7 3 3" xfId="5458" xr:uid="{00000000-0005-0000-0000-0000720A0000}"/>
    <cellStyle name="Comma 4 7 3 3 2" xfId="14784" xr:uid="{A8713D7F-2929-4C25-BA60-538CB61F4D95}"/>
    <cellStyle name="Comma 4 7 3 4" xfId="10567" xr:uid="{0C22CDA1-2D3D-40E0-B938-A557064BAD9A}"/>
    <cellStyle name="Comma 4 7 4" xfId="1564" xr:uid="{00000000-0005-0000-0000-0000730A0000}"/>
    <cellStyle name="Comma 4 7 4 2" xfId="3794" xr:uid="{00000000-0005-0000-0000-0000740A0000}"/>
    <cellStyle name="Comma 4 7 4 2 2" xfId="8016" xr:uid="{00000000-0005-0000-0000-0000750A0000}"/>
    <cellStyle name="Comma 4 7 4 2 2 2" xfId="17342" xr:uid="{F1D9038E-6111-4A4A-86A8-FF53B0FBEEE3}"/>
    <cellStyle name="Comma 4 7 4 2 3" xfId="13125" xr:uid="{03E930D4-8F01-4E27-A66E-EDA0FDBA72E7}"/>
    <cellStyle name="Comma 4 7 4 3" xfId="5871" xr:uid="{00000000-0005-0000-0000-0000760A0000}"/>
    <cellStyle name="Comma 4 7 4 3 2" xfId="15197" xr:uid="{8FCEA6A8-67DA-4A37-96E9-73A90CA091A7}"/>
    <cellStyle name="Comma 4 7 4 4" xfId="10980" xr:uid="{CB9493A9-007E-4035-BD9A-03CF7CFA4DF2}"/>
    <cellStyle name="Comma 4 7 5" xfId="1978" xr:uid="{00000000-0005-0000-0000-0000770A0000}"/>
    <cellStyle name="Comma 4 7 5 2" xfId="4207" xr:uid="{00000000-0005-0000-0000-0000780A0000}"/>
    <cellStyle name="Comma 4 7 5 2 2" xfId="8429" xr:uid="{00000000-0005-0000-0000-0000790A0000}"/>
    <cellStyle name="Comma 4 7 5 2 2 2" xfId="17755" xr:uid="{F912295F-D446-436B-8F71-3AC183D187B5}"/>
    <cellStyle name="Comma 4 7 5 2 3" xfId="13538" xr:uid="{67548B20-0B7A-4CAB-A29E-4D9D52A9245E}"/>
    <cellStyle name="Comma 4 7 5 3" xfId="6284" xr:uid="{00000000-0005-0000-0000-00007A0A0000}"/>
    <cellStyle name="Comma 4 7 5 3 2" xfId="15610" xr:uid="{3768812F-3E71-4C72-85E4-3E26A9E778C2}"/>
    <cellStyle name="Comma 4 7 5 4" xfId="11393" xr:uid="{2C373ED9-0A55-40C7-92F7-AE8C14F59EB6}"/>
    <cellStyle name="Comma 4 7 6" xfId="2413" xr:uid="{00000000-0005-0000-0000-00007B0A0000}"/>
    <cellStyle name="Comma 4 7 6 2" xfId="6697" xr:uid="{00000000-0005-0000-0000-00007C0A0000}"/>
    <cellStyle name="Comma 4 7 6 2 2" xfId="16023" xr:uid="{B788F83F-6556-4E0E-B22E-747A65605F4C}"/>
    <cellStyle name="Comma 4 7 6 3" xfId="11806" xr:uid="{52E524D3-A172-4817-BEDB-5A421A8F7880}"/>
    <cellStyle name="Comma 4 7 7" xfId="2709" xr:uid="{00000000-0005-0000-0000-00007D0A0000}"/>
    <cellStyle name="Comma 4 7 8" xfId="2791" xr:uid="{00000000-0005-0000-0000-00007E0A0000}"/>
    <cellStyle name="Comma 4 7 8 2" xfId="7014" xr:uid="{00000000-0005-0000-0000-00007F0A0000}"/>
    <cellStyle name="Comma 4 7 8 2 2" xfId="16340" xr:uid="{2B515085-E002-4FFB-B8D3-0DC5646DB6B6}"/>
    <cellStyle name="Comma 4 7 8 3" xfId="12123" xr:uid="{9B72A948-0AEB-4CD4-B02C-64383D930B6E}"/>
    <cellStyle name="Comma 4 7 9" xfId="4631" xr:uid="{00000000-0005-0000-0000-0000800A0000}"/>
    <cellStyle name="Comma 4 7 9 2" xfId="13957" xr:uid="{66111D77-9DF4-40D4-934A-19636EF5A28F}"/>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7EDE0CA2-3A2B-48EE-A09F-B796EF1D0F44}"/>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2439E2B5-0A04-4B80-8771-943859E6E7F1}"/>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8058" xr:uid="{9EB4D539-94A5-4C07-BDF5-13C6AA01CDE8}"/>
    <cellStyle name="Currency 14 3 2 2 2 3" xfId="18055" xr:uid="{7CD8D069-E433-4FFC-BB4C-35C83C469EDC}"/>
    <cellStyle name="Currency 14 3 2 2 3" xfId="18051" xr:uid="{D3CCAD66-603A-4984-8E9D-FC4E2D253215}"/>
    <cellStyle name="Currency 14 3 2 3" xfId="18048" xr:uid="{A81EF192-AAE8-47D5-AC6B-72C02C253362}"/>
    <cellStyle name="Currency 14 3 3" xfId="18045" xr:uid="{D659ADE7-D298-453C-B891-D53F742C1BF8}"/>
    <cellStyle name="Currency 14 4" xfId="13828" xr:uid="{2786FE26-9FF7-4EEB-8F6C-B24F9986F49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C1384ABC-F31F-4612-9432-6BE38F73F78A}"/>
    <cellStyle name="Currency 3 2 2 10 3" xfId="12124" xr:uid="{53D8DB79-AE3B-4601-BECA-BCC3F11C8D0B}"/>
    <cellStyle name="Currency 3 2 2 11" xfId="4632" xr:uid="{00000000-0005-0000-0000-0000A50A0000}"/>
    <cellStyle name="Currency 3 2 2 11 2" xfId="13958" xr:uid="{7EE66E80-532D-48D3-A841-66B0005BCAA6}"/>
    <cellStyle name="Currency 3 2 2 12" xfId="8808" xr:uid="{5CD24693-181E-456A-9199-DC057509AC96}"/>
    <cellStyle name="Currency 3 2 2 13" xfId="9741" xr:uid="{D3F0D23C-4197-410D-9025-CF20F4216A9E}"/>
    <cellStyle name="Currency 3 2 2 2" xfId="179" xr:uid="{00000000-0005-0000-0000-0000A60A0000}"/>
    <cellStyle name="Currency 3 2 2 2 10" xfId="4633" xr:uid="{00000000-0005-0000-0000-0000A70A0000}"/>
    <cellStyle name="Currency 3 2 2 2 10 2" xfId="13959" xr:uid="{3862C632-33D6-4FEF-AD78-564498046468}"/>
    <cellStyle name="Currency 3 2 2 2 11" xfId="8911" xr:uid="{177A45F7-B130-49DA-829A-AA3BF41B848C}"/>
    <cellStyle name="Currency 3 2 2 2 12" xfId="9742" xr:uid="{A25CB8F6-241F-461A-BE3A-1C3A97FA1757}"/>
    <cellStyle name="Currency 3 2 2 2 2" xfId="180" xr:uid="{00000000-0005-0000-0000-0000A80A0000}"/>
    <cellStyle name="Currency 3 2 2 2 2 10" xfId="9118" xr:uid="{4DDBDF88-B997-49F5-AF34-322CC93508E5}"/>
    <cellStyle name="Currency 3 2 2 2 2 11" xfId="9743" xr:uid="{9443BEC5-2B5E-4558-B105-A78935CDE9D4}"/>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DDD14A89-8D99-4330-8AA6-7254B6972240}"/>
    <cellStyle name="Currency 3 2 2 2 2 2 2 3" xfId="12302" xr:uid="{F9DF3C67-9142-4A6C-A24F-011036D00C00}"/>
    <cellStyle name="Currency 3 2 2 2 2 2 3" xfId="5048" xr:uid="{00000000-0005-0000-0000-0000AC0A0000}"/>
    <cellStyle name="Currency 3 2 2 2 2 2 3 2" xfId="14374" xr:uid="{9568501A-94EB-4D53-AF70-31EA2D8D4329}"/>
    <cellStyle name="Currency 3 2 2 2 2 2 4" xfId="9543" xr:uid="{08990697-BAC1-4B06-A86B-C554A35267E6}"/>
    <cellStyle name="Currency 3 2 2 2 2 2 5" xfId="10157" xr:uid="{540C55C6-41C8-462B-AECC-53C8DF34984D}"/>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65D74FFE-F017-4C0D-9C6C-C24C70AE3D2F}"/>
    <cellStyle name="Currency 3 2 2 2 2 3 2 3" xfId="12715" xr:uid="{7D5F0277-A721-438A-80A7-D709D033D314}"/>
    <cellStyle name="Currency 3 2 2 2 2 3 3" xfId="5461" xr:uid="{00000000-0005-0000-0000-0000B00A0000}"/>
    <cellStyle name="Currency 3 2 2 2 2 3 3 2" xfId="14787" xr:uid="{B9093A09-5959-4946-A774-F74879E6C82E}"/>
    <cellStyle name="Currency 3 2 2 2 2 3 4" xfId="10570" xr:uid="{26FFAB3C-6011-46C2-B470-A64B1210C1F3}"/>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9C5472C3-DD11-4541-B1AF-EF38D4D3780C}"/>
    <cellStyle name="Currency 3 2 2 2 2 4 2 3" xfId="13128" xr:uid="{CADCADAF-6E8C-490D-9EDD-AB7EB9465449}"/>
    <cellStyle name="Currency 3 2 2 2 2 4 3" xfId="5874" xr:uid="{00000000-0005-0000-0000-0000B40A0000}"/>
    <cellStyle name="Currency 3 2 2 2 2 4 3 2" xfId="15200" xr:uid="{610DD8E1-52AF-4538-A681-71757A1EF77C}"/>
    <cellStyle name="Currency 3 2 2 2 2 4 4" xfId="10983" xr:uid="{88BEB2A0-38B1-403E-92D0-18A6009811DD}"/>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FCFA2F85-EE49-4DFB-8E6F-E121D62B0FCE}"/>
    <cellStyle name="Currency 3 2 2 2 2 5 2 3" xfId="13541" xr:uid="{6AB4CBC4-6F77-4806-82ED-C3CE3702BF8A}"/>
    <cellStyle name="Currency 3 2 2 2 2 5 3" xfId="6287" xr:uid="{00000000-0005-0000-0000-0000B80A0000}"/>
    <cellStyle name="Currency 3 2 2 2 2 5 3 2" xfId="15613" xr:uid="{0B012EBF-238E-4B04-820E-34C5F83D4B19}"/>
    <cellStyle name="Currency 3 2 2 2 2 5 4" xfId="11396" xr:uid="{371962A4-9C40-4AFA-9585-C8F034765449}"/>
    <cellStyle name="Currency 3 2 2 2 2 6" xfId="2416" xr:uid="{00000000-0005-0000-0000-0000B90A0000}"/>
    <cellStyle name="Currency 3 2 2 2 2 6 2" xfId="6700" xr:uid="{00000000-0005-0000-0000-0000BA0A0000}"/>
    <cellStyle name="Currency 3 2 2 2 2 6 2 2" xfId="16026" xr:uid="{11E35C7A-793F-4521-908D-06562A389709}"/>
    <cellStyle name="Currency 3 2 2 2 2 6 3" xfId="11809" xr:uid="{06A798F9-988B-4490-89D9-EC6F024BE7B2}"/>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6BF4A300-5A85-4A56-BD8A-29D119627DE9}"/>
    <cellStyle name="Currency 3 2 2 2 2 8 3" xfId="12126" xr:uid="{EE36C8B0-DA0A-4B95-B84D-978DA8A50707}"/>
    <cellStyle name="Currency 3 2 2 2 2 9" xfId="4634" xr:uid="{00000000-0005-0000-0000-0000BE0A0000}"/>
    <cellStyle name="Currency 3 2 2 2 2 9 2" xfId="13960" xr:uid="{22C31CD2-17E9-47E0-9F65-8F54E614AF8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AD1A5E21-2550-44F5-B133-910CE878EEAA}"/>
    <cellStyle name="Currency 3 2 2 2 3 2 3" xfId="12301" xr:uid="{D0746259-D7C4-4731-A3CA-C22D6C14A023}"/>
    <cellStyle name="Currency 3 2 2 2 3 3" xfId="5047" xr:uid="{00000000-0005-0000-0000-0000C20A0000}"/>
    <cellStyle name="Currency 3 2 2 2 3 3 2" xfId="14373" xr:uid="{BD7747DE-D58D-4E83-A213-1A0F5BB0FEF9}"/>
    <cellStyle name="Currency 3 2 2 2 3 4" xfId="9336" xr:uid="{F86D5454-A503-484B-B8F3-81FF219E49D0}"/>
    <cellStyle name="Currency 3 2 2 2 3 5" xfId="10156" xr:uid="{31F183D2-C71E-4FD4-B113-CB7022FA9982}"/>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EFD5EC36-E91B-4910-AB50-8A73A702B0EF}"/>
    <cellStyle name="Currency 3 2 2 2 4 2 3" xfId="12714" xr:uid="{63D1FA9E-9CBB-4AC0-9235-61D5217CB26D}"/>
    <cellStyle name="Currency 3 2 2 2 4 3" xfId="5460" xr:uid="{00000000-0005-0000-0000-0000C60A0000}"/>
    <cellStyle name="Currency 3 2 2 2 4 3 2" xfId="14786" xr:uid="{E180CAED-98F5-4419-9BFF-E62889B0758F}"/>
    <cellStyle name="Currency 3 2 2 2 4 4" xfId="10569" xr:uid="{B76745C1-774C-4B82-B239-221E2FBD16AA}"/>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0EBF9B9C-2078-42B0-9C63-134E6A9EBF4D}"/>
    <cellStyle name="Currency 3 2 2 2 5 2 3" xfId="13127" xr:uid="{D49D98EC-1B68-4045-8BA3-95F1B115457D}"/>
    <cellStyle name="Currency 3 2 2 2 5 3" xfId="5873" xr:uid="{00000000-0005-0000-0000-0000CA0A0000}"/>
    <cellStyle name="Currency 3 2 2 2 5 3 2" xfId="15199" xr:uid="{7D9EB42F-626A-4D59-854B-268196616BD7}"/>
    <cellStyle name="Currency 3 2 2 2 5 4" xfId="10982" xr:uid="{E103CC50-BA64-4141-8248-F9CA97415798}"/>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1792A39C-630E-42C9-B612-B123FEC8E9AF}"/>
    <cellStyle name="Currency 3 2 2 2 6 2 3" xfId="13540" xr:uid="{CCD7B014-9960-4D21-BE46-DA89DA99E6EB}"/>
    <cellStyle name="Currency 3 2 2 2 6 3" xfId="6286" xr:uid="{00000000-0005-0000-0000-0000CE0A0000}"/>
    <cellStyle name="Currency 3 2 2 2 6 3 2" xfId="15612" xr:uid="{F85079CF-7718-48AF-897D-3FEAC3AD708F}"/>
    <cellStyle name="Currency 3 2 2 2 6 4" xfId="11395" xr:uid="{72293852-84EC-4E7A-B2B9-FE61EF33EB33}"/>
    <cellStyle name="Currency 3 2 2 2 7" xfId="2415" xr:uid="{00000000-0005-0000-0000-0000CF0A0000}"/>
    <cellStyle name="Currency 3 2 2 2 7 2" xfId="6699" xr:uid="{00000000-0005-0000-0000-0000D00A0000}"/>
    <cellStyle name="Currency 3 2 2 2 7 2 2" xfId="16025" xr:uid="{278B7571-2C19-4A03-AD15-84B73AFD1C44}"/>
    <cellStyle name="Currency 3 2 2 2 7 3" xfId="11808" xr:uid="{B30D2CED-DA14-4D0C-8DB6-B028C1F977AA}"/>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7B55514D-A8B1-4CAB-B530-DB0429AF05E2}"/>
    <cellStyle name="Currency 3 2 2 2 9 3" xfId="12125" xr:uid="{A7641A1D-5FFD-42E2-AD45-57FF94CAA761}"/>
    <cellStyle name="Currency 3 2 2 3" xfId="181" xr:uid="{00000000-0005-0000-0000-0000D40A0000}"/>
    <cellStyle name="Currency 3 2 2 3 10" xfId="9015" xr:uid="{A1C3FAFC-6FB9-45C5-A279-C90E61794A63}"/>
    <cellStyle name="Currency 3 2 2 3 11" xfId="9744" xr:uid="{39A5F350-8259-446B-9683-8AC7EDDDD24B}"/>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61D3F574-356F-48B8-8B6E-DFCE4130E93A}"/>
    <cellStyle name="Currency 3 2 2 3 2 2 3" xfId="12303" xr:uid="{5926B5B3-7980-413E-A714-96B98340938C}"/>
    <cellStyle name="Currency 3 2 2 3 2 3" xfId="5049" xr:uid="{00000000-0005-0000-0000-0000D80A0000}"/>
    <cellStyle name="Currency 3 2 2 3 2 3 2" xfId="14375" xr:uid="{AC2CE9F8-4E35-4C33-A9E7-2C3C3D672148}"/>
    <cellStyle name="Currency 3 2 2 3 2 4" xfId="9440" xr:uid="{774D5512-BCA5-4224-A909-3336A63369C8}"/>
    <cellStyle name="Currency 3 2 2 3 2 5" xfId="10158" xr:uid="{FCB59751-F547-4F4A-9173-EFF689AE27C2}"/>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87BCB030-B9A0-4BB9-8388-3D1F66D99F71}"/>
    <cellStyle name="Currency 3 2 2 3 3 2 3" xfId="12716" xr:uid="{6EE51420-22F3-456A-82FC-0F5578D59F6F}"/>
    <cellStyle name="Currency 3 2 2 3 3 3" xfId="5462" xr:uid="{00000000-0005-0000-0000-0000DC0A0000}"/>
    <cellStyle name="Currency 3 2 2 3 3 3 2" xfId="14788" xr:uid="{042A8165-EDB0-4461-954A-2656E3E18BAE}"/>
    <cellStyle name="Currency 3 2 2 3 3 4" xfId="10571" xr:uid="{E56BFB1F-EC4D-4D9D-9376-72AABC68DB1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2EE90C36-E457-4E27-866E-7E49A805FD10}"/>
    <cellStyle name="Currency 3 2 2 3 4 2 3" xfId="13129" xr:uid="{175085A0-3B0C-470B-8D10-D70C030B706C}"/>
    <cellStyle name="Currency 3 2 2 3 4 3" xfId="5875" xr:uid="{00000000-0005-0000-0000-0000E00A0000}"/>
    <cellStyle name="Currency 3 2 2 3 4 3 2" xfId="15201" xr:uid="{5AE5698A-1FB1-45CA-AA8B-A1461362FE62}"/>
    <cellStyle name="Currency 3 2 2 3 4 4" xfId="10984" xr:uid="{30035871-091A-47B3-AF15-7D1C003DF56E}"/>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37A03A74-7E8D-4CE4-A534-2E707D87C8AD}"/>
    <cellStyle name="Currency 3 2 2 3 5 2 3" xfId="13542" xr:uid="{BFC6029D-8F7A-4963-9923-9B5856059F51}"/>
    <cellStyle name="Currency 3 2 2 3 5 3" xfId="6288" xr:uid="{00000000-0005-0000-0000-0000E40A0000}"/>
    <cellStyle name="Currency 3 2 2 3 5 3 2" xfId="15614" xr:uid="{1D1804E5-6161-45A3-B822-D0938FF8E314}"/>
    <cellStyle name="Currency 3 2 2 3 5 4" xfId="11397" xr:uid="{069AFB1C-73F8-4272-997E-52DF100D8FC4}"/>
    <cellStyle name="Currency 3 2 2 3 6" xfId="2417" xr:uid="{00000000-0005-0000-0000-0000E50A0000}"/>
    <cellStyle name="Currency 3 2 2 3 6 2" xfId="6701" xr:uid="{00000000-0005-0000-0000-0000E60A0000}"/>
    <cellStyle name="Currency 3 2 2 3 6 2 2" xfId="16027" xr:uid="{D42B343C-0ECD-46ED-8620-83C78F2B0396}"/>
    <cellStyle name="Currency 3 2 2 3 6 3" xfId="11810" xr:uid="{C30555EA-58DF-4118-A614-50DD9841D46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89F46234-1EA7-4E9C-B225-B59F0D888B7E}"/>
    <cellStyle name="Currency 3 2 2 3 8 3" xfId="12127" xr:uid="{D1EAB325-52EB-47E8-9B32-DE0D98B4E40F}"/>
    <cellStyle name="Currency 3 2 2 3 9" xfId="4635" xr:uid="{00000000-0005-0000-0000-0000EA0A0000}"/>
    <cellStyle name="Currency 3 2 2 3 9 2" xfId="13961" xr:uid="{2C8E586D-CD25-473A-8C85-91318A2F6161}"/>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733DC170-2875-41B2-8DC6-B83373BDC2BF}"/>
    <cellStyle name="Currency 3 2 2 4 2 3" xfId="12300" xr:uid="{83D17F79-29FD-422C-A3FD-11BBBD699DA8}"/>
    <cellStyle name="Currency 3 2 2 4 3" xfId="5046" xr:uid="{00000000-0005-0000-0000-0000EE0A0000}"/>
    <cellStyle name="Currency 3 2 2 4 3 2" xfId="14372" xr:uid="{495DA52A-5BF1-42F4-98AE-8C48EE0CFF77}"/>
    <cellStyle name="Currency 3 2 2 4 4" xfId="9233" xr:uid="{A90843BF-65B1-48E5-9C93-A2651D7B4B13}"/>
    <cellStyle name="Currency 3 2 2 4 5" xfId="10155" xr:uid="{5CB271F8-641F-4ECF-BDD0-BC15541B6D18}"/>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9E787B41-9EE9-456A-B117-5FC16D7782C3}"/>
    <cellStyle name="Currency 3 2 2 5 2 3" xfId="12713" xr:uid="{03D89DD1-FD19-4847-8D86-BA30D88C9034}"/>
    <cellStyle name="Currency 3 2 2 5 3" xfId="5459" xr:uid="{00000000-0005-0000-0000-0000F20A0000}"/>
    <cellStyle name="Currency 3 2 2 5 3 2" xfId="14785" xr:uid="{06A39976-D421-426E-BE5A-8AA091B7C322}"/>
    <cellStyle name="Currency 3 2 2 5 4" xfId="10568" xr:uid="{0746B08C-B2DE-4A47-9E9F-1BF1608E446F}"/>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2394DE7A-1ACB-44A0-BBCC-1067D133B51F}"/>
    <cellStyle name="Currency 3 2 2 6 2 3" xfId="13126" xr:uid="{6211545D-0C22-49B8-96C9-E452DDA37D60}"/>
    <cellStyle name="Currency 3 2 2 6 3" xfId="5872" xr:uid="{00000000-0005-0000-0000-0000F60A0000}"/>
    <cellStyle name="Currency 3 2 2 6 3 2" xfId="15198" xr:uid="{E16B627D-58D4-4CAE-AAC4-DE4B39D217DF}"/>
    <cellStyle name="Currency 3 2 2 6 4" xfId="10981" xr:uid="{5BC9D027-7584-49F0-8AF3-701D5D83EB3D}"/>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2D1A61DD-6BA4-47C0-BB16-AF7F4631AE71}"/>
    <cellStyle name="Currency 3 2 2 7 2 3" xfId="13539" xr:uid="{82860AF6-46D9-4D2D-8232-122D8679BF00}"/>
    <cellStyle name="Currency 3 2 2 7 3" xfId="6285" xr:uid="{00000000-0005-0000-0000-0000FA0A0000}"/>
    <cellStyle name="Currency 3 2 2 7 3 2" xfId="15611" xr:uid="{17B0A78E-7EBF-4945-A621-AD47F3998602}"/>
    <cellStyle name="Currency 3 2 2 7 4" xfId="11394" xr:uid="{25D4D104-8231-45EA-8BDB-D21D0F1AD43A}"/>
    <cellStyle name="Currency 3 2 2 8" xfId="2414" xr:uid="{00000000-0005-0000-0000-0000FB0A0000}"/>
    <cellStyle name="Currency 3 2 2 8 2" xfId="6698" xr:uid="{00000000-0005-0000-0000-0000FC0A0000}"/>
    <cellStyle name="Currency 3 2 2 8 2 2" xfId="16024" xr:uid="{3928AAAA-5AFD-4BF6-8D86-D9193EF18FA6}"/>
    <cellStyle name="Currency 3 2 2 8 3" xfId="11807" xr:uid="{7D926AAA-3BEF-48B6-80C7-75530332B839}"/>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1A861A91-4C46-43C4-801E-DB174202C891}"/>
    <cellStyle name="Currency 3 2 3 11" xfId="8893" xr:uid="{8CE28714-D587-402C-9A17-1A08799662D4}"/>
    <cellStyle name="Currency 3 2 3 12" xfId="9745" xr:uid="{715EBC78-00AE-473C-917C-E67C00768E26}"/>
    <cellStyle name="Currency 3 2 3 2" xfId="183" xr:uid="{00000000-0005-0000-0000-0000000B0000}"/>
    <cellStyle name="Currency 3 2 3 2 10" xfId="9100" xr:uid="{CEBE1F40-0923-46C6-AB84-DD4DAB20CD81}"/>
    <cellStyle name="Currency 3 2 3 2 11" xfId="9746" xr:uid="{4F5DA8D5-0724-4BEE-9CBA-BDDAFF42AA2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2D90C436-4B94-4A1A-BD9C-A671D406DDC0}"/>
    <cellStyle name="Currency 3 2 3 2 2 2 3" xfId="12305" xr:uid="{2C26FAE3-C1C2-466F-BEE3-8BD2D64FD042}"/>
    <cellStyle name="Currency 3 2 3 2 2 3" xfId="5051" xr:uid="{00000000-0005-0000-0000-0000040B0000}"/>
    <cellStyle name="Currency 3 2 3 2 2 3 2" xfId="14377" xr:uid="{3513302C-0730-4047-A6EC-71A7E72B6A7B}"/>
    <cellStyle name="Currency 3 2 3 2 2 4" xfId="9525" xr:uid="{759374BA-DDD8-4F33-9655-B300986F8700}"/>
    <cellStyle name="Currency 3 2 3 2 2 5" xfId="10160" xr:uid="{7B3F0927-42B6-47CF-A4C5-59999E322C81}"/>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B1DC7018-4BB9-4AF9-BC70-98AD5608D66C}"/>
    <cellStyle name="Currency 3 2 3 2 3 2 3" xfId="12718" xr:uid="{838259DE-1073-4866-A0B6-E21CA96A4123}"/>
    <cellStyle name="Currency 3 2 3 2 3 3" xfId="5464" xr:uid="{00000000-0005-0000-0000-0000080B0000}"/>
    <cellStyle name="Currency 3 2 3 2 3 3 2" xfId="14790" xr:uid="{37BBBC74-1E7D-435D-934A-6F63D3372D07}"/>
    <cellStyle name="Currency 3 2 3 2 3 4" xfId="10573" xr:uid="{B3A00F81-75A7-4CF1-B804-13A2FEA6B379}"/>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0C382771-6884-4635-9BB6-F3C5304F2168}"/>
    <cellStyle name="Currency 3 2 3 2 4 2 3" xfId="13131" xr:uid="{94267125-2049-4DE3-BC7C-6D70AD39E10A}"/>
    <cellStyle name="Currency 3 2 3 2 4 3" xfId="5877" xr:uid="{00000000-0005-0000-0000-00000C0B0000}"/>
    <cellStyle name="Currency 3 2 3 2 4 3 2" xfId="15203" xr:uid="{5A182AF9-669D-4E24-971A-76023497C4DE}"/>
    <cellStyle name="Currency 3 2 3 2 4 4" xfId="10986" xr:uid="{E3259A59-E2C0-492C-ACE1-D32B8F1413DD}"/>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AEFFF452-B5B3-4A5B-8AEA-E6DA6D297803}"/>
    <cellStyle name="Currency 3 2 3 2 5 2 3" xfId="13544" xr:uid="{5B726736-8A06-4E02-A7B3-3E809B995EE5}"/>
    <cellStyle name="Currency 3 2 3 2 5 3" xfId="6290" xr:uid="{00000000-0005-0000-0000-0000100B0000}"/>
    <cellStyle name="Currency 3 2 3 2 5 3 2" xfId="15616" xr:uid="{9E87477C-A3BA-4F64-90BD-DAD9F029F781}"/>
    <cellStyle name="Currency 3 2 3 2 5 4" xfId="11399" xr:uid="{A4FAD93C-F4FF-4143-A8C4-0D7CB1AC09A3}"/>
    <cellStyle name="Currency 3 2 3 2 6" xfId="2419" xr:uid="{00000000-0005-0000-0000-0000110B0000}"/>
    <cellStyle name="Currency 3 2 3 2 6 2" xfId="6703" xr:uid="{00000000-0005-0000-0000-0000120B0000}"/>
    <cellStyle name="Currency 3 2 3 2 6 2 2" xfId="16029" xr:uid="{27DEDCBC-ADC2-4E13-86E1-7B8E59561D2F}"/>
    <cellStyle name="Currency 3 2 3 2 6 3" xfId="11812" xr:uid="{3E6F6130-CD63-4A1B-9544-A0281635BBBB}"/>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94B60B2B-5B9E-4D05-8A59-20E5AC4F2A21}"/>
    <cellStyle name="Currency 3 2 3 2 8 3" xfId="12129" xr:uid="{B97AC2D7-B825-4056-847A-F9C0DD5D864D}"/>
    <cellStyle name="Currency 3 2 3 2 9" xfId="4637" xr:uid="{00000000-0005-0000-0000-0000160B0000}"/>
    <cellStyle name="Currency 3 2 3 2 9 2" xfId="13963" xr:uid="{F30B0D23-2591-4470-A5C6-CE0DC1182974}"/>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B716E183-7D62-4A37-A36D-64E0F6A8F3F5}"/>
    <cellStyle name="Currency 3 2 3 3 2 3" xfId="12304" xr:uid="{FCCF18BD-616F-4B36-B605-059F00D42801}"/>
    <cellStyle name="Currency 3 2 3 3 3" xfId="5050" xr:uid="{00000000-0005-0000-0000-00001A0B0000}"/>
    <cellStyle name="Currency 3 2 3 3 3 2" xfId="14376" xr:uid="{357EA623-642C-41E3-88E5-9138D797928D}"/>
    <cellStyle name="Currency 3 2 3 3 4" xfId="9318" xr:uid="{AA73873E-8E72-4FDE-A22E-F5D80E2A87B1}"/>
    <cellStyle name="Currency 3 2 3 3 5" xfId="10159" xr:uid="{CDCE7AE4-AC4B-4481-97C0-2170DD3BD127}"/>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DE21F586-EBE0-48BD-BEBD-742B3D5E3E94}"/>
    <cellStyle name="Currency 3 2 3 4 2 3" xfId="12717" xr:uid="{74CBE122-AA7D-4D18-8980-19757F307225}"/>
    <cellStyle name="Currency 3 2 3 4 3" xfId="5463" xr:uid="{00000000-0005-0000-0000-00001E0B0000}"/>
    <cellStyle name="Currency 3 2 3 4 3 2" xfId="14789" xr:uid="{E81275AF-1348-4236-A6E0-928C47B7C577}"/>
    <cellStyle name="Currency 3 2 3 4 4" xfId="10572" xr:uid="{3BA4A598-21D8-450E-9FD6-5BCA71C4435F}"/>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42AC5E02-1FD3-4C19-BA1B-EB098C12F7D7}"/>
    <cellStyle name="Currency 3 2 3 5 2 3" xfId="13130" xr:uid="{3A40EEE8-79E7-478F-96BF-1C17CBF91F16}"/>
    <cellStyle name="Currency 3 2 3 5 3" xfId="5876" xr:uid="{00000000-0005-0000-0000-0000220B0000}"/>
    <cellStyle name="Currency 3 2 3 5 3 2" xfId="15202" xr:uid="{9BD50C7A-951B-40CE-892E-31A33BFC3DB1}"/>
    <cellStyle name="Currency 3 2 3 5 4" xfId="10985" xr:uid="{72EAB241-D1F3-4123-8A89-5796A8B16FA9}"/>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CB5D9B8E-5CA7-45D9-B4DE-505ABA6F1560}"/>
    <cellStyle name="Currency 3 2 3 6 2 3" xfId="13543" xr:uid="{C6E1161D-1FA7-4CF6-A991-0CF732DF66EA}"/>
    <cellStyle name="Currency 3 2 3 6 3" xfId="6289" xr:uid="{00000000-0005-0000-0000-0000260B0000}"/>
    <cellStyle name="Currency 3 2 3 6 3 2" xfId="15615" xr:uid="{B62E8423-C67F-4F7C-BBC9-C44A9D6D9CB8}"/>
    <cellStyle name="Currency 3 2 3 6 4" xfId="11398" xr:uid="{D09905DC-79AF-410D-B283-7327D85B871C}"/>
    <cellStyle name="Currency 3 2 3 7" xfId="2418" xr:uid="{00000000-0005-0000-0000-0000270B0000}"/>
    <cellStyle name="Currency 3 2 3 7 2" xfId="6702" xr:uid="{00000000-0005-0000-0000-0000280B0000}"/>
    <cellStyle name="Currency 3 2 3 7 2 2" xfId="16028" xr:uid="{5A18C040-B8EA-4420-BDBA-CD9C9D99AEB1}"/>
    <cellStyle name="Currency 3 2 3 7 3" xfId="11811" xr:uid="{2743875A-0987-42B7-BC29-79ED02B8F86C}"/>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7DEA923A-83B4-40BE-97A1-3542C4E2EF8D}"/>
    <cellStyle name="Currency 3 2 3 9 3" xfId="12128" xr:uid="{2B47A963-C9A3-4BEA-9CBC-5DAF15D96FDB}"/>
    <cellStyle name="Currency 3 2 4" xfId="184" xr:uid="{00000000-0005-0000-0000-00002C0B0000}"/>
    <cellStyle name="Currency 3 2 4 10" xfId="8997" xr:uid="{DF9FC022-A382-4135-990F-F43A472E13BA}"/>
    <cellStyle name="Currency 3 2 4 11" xfId="9747" xr:uid="{CFAAD301-F2B8-4B54-AB2F-7438E077C065}"/>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CCB952B6-D3FF-4859-BF18-12ECA336C4DA}"/>
    <cellStyle name="Currency 3 2 4 2 2 3" xfId="12306" xr:uid="{10AD4F12-70C2-489C-8094-31BDC6302701}"/>
    <cellStyle name="Currency 3 2 4 2 3" xfId="5052" xr:uid="{00000000-0005-0000-0000-0000300B0000}"/>
    <cellStyle name="Currency 3 2 4 2 3 2" xfId="14378" xr:uid="{19A00157-731F-4175-A872-A365F27695B1}"/>
    <cellStyle name="Currency 3 2 4 2 4" xfId="9422" xr:uid="{3049B7CE-611E-437A-AD0B-2E3AA5E2E50D}"/>
    <cellStyle name="Currency 3 2 4 2 5" xfId="10161" xr:uid="{125E3A56-5AD1-437B-8C8C-7F64E6356B0B}"/>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F826B9AD-BB40-4906-BDC3-2ED4CFD5C9A2}"/>
    <cellStyle name="Currency 3 2 4 3 2 3" xfId="12719" xr:uid="{01E7E8A3-CA04-426E-807C-C6E933CCB125}"/>
    <cellStyle name="Currency 3 2 4 3 3" xfId="5465" xr:uid="{00000000-0005-0000-0000-0000340B0000}"/>
    <cellStyle name="Currency 3 2 4 3 3 2" xfId="14791" xr:uid="{E79CB522-4CC1-4FEB-9974-E870F8875DE5}"/>
    <cellStyle name="Currency 3 2 4 3 4" xfId="10574" xr:uid="{75F3E5C8-FF5D-4A8A-A2A9-A9D8192762C3}"/>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8D4B539B-0177-4ACD-8886-90D7CFE20283}"/>
    <cellStyle name="Currency 3 2 4 4 2 3" xfId="13132" xr:uid="{B65B0024-13E5-4128-8EBB-F75651F350BA}"/>
    <cellStyle name="Currency 3 2 4 4 3" xfId="5878" xr:uid="{00000000-0005-0000-0000-0000380B0000}"/>
    <cellStyle name="Currency 3 2 4 4 3 2" xfId="15204" xr:uid="{5052CA40-757F-4D40-8718-3D68611FD75A}"/>
    <cellStyle name="Currency 3 2 4 4 4" xfId="10987" xr:uid="{98435265-5704-4B54-A271-0394C8A76E69}"/>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4D2931C3-AFDD-4543-BBAC-0315AC02CCD0}"/>
    <cellStyle name="Currency 3 2 4 5 2 3" xfId="13545" xr:uid="{4D7176F7-8B51-4671-90A2-0ABE911F04F0}"/>
    <cellStyle name="Currency 3 2 4 5 3" xfId="6291" xr:uid="{00000000-0005-0000-0000-00003C0B0000}"/>
    <cellStyle name="Currency 3 2 4 5 3 2" xfId="15617" xr:uid="{50726C4B-32DB-401C-86CE-AD0F5FF03672}"/>
    <cellStyle name="Currency 3 2 4 5 4" xfId="11400" xr:uid="{A883B290-1596-4B33-8F4A-E6F1BD4B1A64}"/>
    <cellStyle name="Currency 3 2 4 6" xfId="2420" xr:uid="{00000000-0005-0000-0000-00003D0B0000}"/>
    <cellStyle name="Currency 3 2 4 6 2" xfId="6704" xr:uid="{00000000-0005-0000-0000-00003E0B0000}"/>
    <cellStyle name="Currency 3 2 4 6 2 2" xfId="16030" xr:uid="{445E80AC-B00E-4348-9B19-964FD6546C2B}"/>
    <cellStyle name="Currency 3 2 4 6 3" xfId="11813" xr:uid="{FA001389-ED3D-448F-98CF-19E73C24F205}"/>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85AC49B4-7855-40A8-BEA3-A8DF511D6085}"/>
    <cellStyle name="Currency 3 2 4 8 3" xfId="12130" xr:uid="{D8681915-D4DE-4359-B8DB-C619E2041A16}"/>
    <cellStyle name="Currency 3 2 4 9" xfId="4638" xr:uid="{00000000-0005-0000-0000-0000420B0000}"/>
    <cellStyle name="Currency 3 2 4 9 2" xfId="13964" xr:uid="{64B36FE8-A600-4068-A13A-FAB18EF9A4A0}"/>
    <cellStyle name="Currency 3 2 5" xfId="185" xr:uid="{00000000-0005-0000-0000-0000430B0000}"/>
    <cellStyle name="Currency 3 2 5 10" xfId="9214" xr:uid="{3D0A867F-0B9D-4759-A509-3EC1084E197B}"/>
    <cellStyle name="Currency 3 2 5 11" xfId="9748" xr:uid="{CC2DA283-2EEC-421A-91CB-E16D7860B11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5BE0534B-9CB2-4B77-8E81-FB82F089BA3B}"/>
    <cellStyle name="Currency 3 2 5 2 2 3" xfId="12307" xr:uid="{71C684E2-33BC-4382-AEF7-D48A0B7FEDEC}"/>
    <cellStyle name="Currency 3 2 5 2 3" xfId="5053" xr:uid="{00000000-0005-0000-0000-0000470B0000}"/>
    <cellStyle name="Currency 3 2 5 2 3 2" xfId="14379" xr:uid="{062FD9D2-9584-4054-B0BA-19035E22D807}"/>
    <cellStyle name="Currency 3 2 5 2 4" xfId="9597" xr:uid="{6E2F978E-96E4-4AD8-B4BD-1BE9D7E96A2F}"/>
    <cellStyle name="Currency 3 2 5 2 5" xfId="10162" xr:uid="{9F5285C6-FEC9-4111-A698-8FC98F4CC4D7}"/>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AF6C0464-EC6C-420F-97D7-8B87CF288966}"/>
    <cellStyle name="Currency 3 2 5 3 2 3" xfId="12720" xr:uid="{CDF333A4-02A7-436D-A719-932150DDC615}"/>
    <cellStyle name="Currency 3 2 5 3 3" xfId="5466" xr:uid="{00000000-0005-0000-0000-00004B0B0000}"/>
    <cellStyle name="Currency 3 2 5 3 3 2" xfId="14792" xr:uid="{23ADFF64-9256-4C01-B237-F9CD890BBF31}"/>
    <cellStyle name="Currency 3 2 5 3 4" xfId="10575" xr:uid="{3A9A2679-ACFB-4CE2-AEDD-2CB928C981FC}"/>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556BFF02-D5B6-4F70-A28E-6C623737821F}"/>
    <cellStyle name="Currency 3 2 5 4 2 3" xfId="13133" xr:uid="{95F33C9E-5053-41A0-8FD7-04E19105D7D2}"/>
    <cellStyle name="Currency 3 2 5 4 3" xfId="5879" xr:uid="{00000000-0005-0000-0000-00004F0B0000}"/>
    <cellStyle name="Currency 3 2 5 4 3 2" xfId="15205" xr:uid="{7292D156-365B-4031-8E0C-91964BC1057A}"/>
    <cellStyle name="Currency 3 2 5 4 4" xfId="10988" xr:uid="{6D079B04-C059-4505-8938-61C6B1C6042C}"/>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58BD7A9D-70A6-4054-9EDD-7B83B237AB3C}"/>
    <cellStyle name="Currency 3 2 5 5 2 3" xfId="13546" xr:uid="{4C49B1D1-F5C5-4A39-9AAA-D7E6359A5C0B}"/>
    <cellStyle name="Currency 3 2 5 5 3" xfId="6292" xr:uid="{00000000-0005-0000-0000-0000530B0000}"/>
    <cellStyle name="Currency 3 2 5 5 3 2" xfId="15618" xr:uid="{2675976A-3865-435F-BE59-EA218AD91C42}"/>
    <cellStyle name="Currency 3 2 5 5 4" xfId="11401" xr:uid="{46EE119F-4E7C-46E7-9225-A4149EE2CC4A}"/>
    <cellStyle name="Currency 3 2 5 6" xfId="2421" xr:uid="{00000000-0005-0000-0000-0000540B0000}"/>
    <cellStyle name="Currency 3 2 5 6 2" xfId="6705" xr:uid="{00000000-0005-0000-0000-0000550B0000}"/>
    <cellStyle name="Currency 3 2 5 6 2 2" xfId="16031" xr:uid="{FDB4C73A-884E-49B9-B516-840D127344A8}"/>
    <cellStyle name="Currency 3 2 5 6 3" xfId="11814" xr:uid="{7FA727C9-367C-4CBF-B805-FB76EA5583CC}"/>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4C273931-7503-48FE-AB89-02B97EEA3873}"/>
    <cellStyle name="Currency 3 2 5 8 3" xfId="12131" xr:uid="{B03782EB-3F9B-4D0F-A06A-68CAE3ADA80B}"/>
    <cellStyle name="Currency 3 2 5 9" xfId="4639" xr:uid="{00000000-0005-0000-0000-0000590B0000}"/>
    <cellStyle name="Currency 3 2 5 9 2" xfId="13965" xr:uid="{FC7438E1-4466-4FCB-8275-7AF39B73DEF4}"/>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5ED0CC8A-1CF5-42BD-B29A-456AF5CC5A9B}"/>
    <cellStyle name="Currency 5 2 2 2 10 3" xfId="12132" xr:uid="{BE0B64B3-CEE3-46D9-91FD-7E01D5F14540}"/>
    <cellStyle name="Currency 5 2 2 2 11" xfId="4640" xr:uid="{00000000-0005-0000-0000-00006C0B0000}"/>
    <cellStyle name="Currency 5 2 2 2 11 2" xfId="13966" xr:uid="{1F7988C5-7141-42F9-8069-564297C961B1}"/>
    <cellStyle name="Currency 5 2 2 2 12" xfId="8809" xr:uid="{6E2B58BA-BC61-49BF-A0FE-5BC79A050654}"/>
    <cellStyle name="Currency 5 2 2 2 13" xfId="9749" xr:uid="{88DEBC3E-CE46-44E4-B9D0-EFF16E95EA04}"/>
    <cellStyle name="Currency 5 2 2 2 2" xfId="197" xr:uid="{00000000-0005-0000-0000-00006D0B0000}"/>
    <cellStyle name="Currency 5 2 2 2 2 10" xfId="4641" xr:uid="{00000000-0005-0000-0000-00006E0B0000}"/>
    <cellStyle name="Currency 5 2 2 2 2 10 2" xfId="13967" xr:uid="{66DFE496-1AAB-42D1-B61A-28295FCBD1D8}"/>
    <cellStyle name="Currency 5 2 2 2 2 11" xfId="8912" xr:uid="{4079D27E-F98B-4445-AE20-FFD848158756}"/>
    <cellStyle name="Currency 5 2 2 2 2 12" xfId="9750" xr:uid="{B2FEB4C9-01FD-4B4F-BC4D-42B184CB2439}"/>
    <cellStyle name="Currency 5 2 2 2 2 2" xfId="198" xr:uid="{00000000-0005-0000-0000-00006F0B0000}"/>
    <cellStyle name="Currency 5 2 2 2 2 2 10" xfId="9119" xr:uid="{2B97CFE9-E9FD-476D-A341-C695293642F3}"/>
    <cellStyle name="Currency 5 2 2 2 2 2 11" xfId="9751" xr:uid="{A2E33454-BF8F-47B5-873A-E388AC42E45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1897C667-1E75-49E8-9863-85551CC8F868}"/>
    <cellStyle name="Currency 5 2 2 2 2 2 2 2 3" xfId="12310" xr:uid="{25CBE6B7-7114-4C65-AB39-B10F778EFB52}"/>
    <cellStyle name="Currency 5 2 2 2 2 2 2 3" xfId="5056" xr:uid="{00000000-0005-0000-0000-0000730B0000}"/>
    <cellStyle name="Currency 5 2 2 2 2 2 2 3 2" xfId="14382" xr:uid="{B927EF4E-CAF9-4EAF-A6ED-AF96014A4F9A}"/>
    <cellStyle name="Currency 5 2 2 2 2 2 2 4" xfId="9544" xr:uid="{77881B28-843C-4677-B92C-D2A5804BDB97}"/>
    <cellStyle name="Currency 5 2 2 2 2 2 2 5" xfId="10165" xr:uid="{AB0A231A-A2B5-48A0-AE88-7E5B4F661944}"/>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385F2768-1CE6-4ECC-90F1-F9F06575DEBC}"/>
    <cellStyle name="Currency 5 2 2 2 2 2 3 2 3" xfId="12723" xr:uid="{82039E68-FEFC-43A9-9C95-3A7973DA771C}"/>
    <cellStyle name="Currency 5 2 2 2 2 2 3 3" xfId="5469" xr:uid="{00000000-0005-0000-0000-0000770B0000}"/>
    <cellStyle name="Currency 5 2 2 2 2 2 3 3 2" xfId="14795" xr:uid="{50515269-BFBA-4764-9CCD-B694E5772547}"/>
    <cellStyle name="Currency 5 2 2 2 2 2 3 4" xfId="10578" xr:uid="{E159BC1A-C982-46AE-8314-D914175EC81F}"/>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7A8BDC40-50CA-4375-8C52-27101B5DCA58}"/>
    <cellStyle name="Currency 5 2 2 2 2 2 4 2 3" xfId="13136" xr:uid="{70C1AB77-FEA7-4611-9A36-0431AB6BE098}"/>
    <cellStyle name="Currency 5 2 2 2 2 2 4 3" xfId="5882" xr:uid="{00000000-0005-0000-0000-00007B0B0000}"/>
    <cellStyle name="Currency 5 2 2 2 2 2 4 3 2" xfId="15208" xr:uid="{EB337ABF-3F63-4146-9374-D5FCFD1E3732}"/>
    <cellStyle name="Currency 5 2 2 2 2 2 4 4" xfId="10991" xr:uid="{1796EABF-AFFA-47F8-8C9F-64329DCEDF71}"/>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E0112212-0132-41D3-8718-803851165810}"/>
    <cellStyle name="Currency 5 2 2 2 2 2 5 2 3" xfId="13549" xr:uid="{4AA2BB2B-C35A-4815-B51C-2D41C2B96DF8}"/>
    <cellStyle name="Currency 5 2 2 2 2 2 5 3" xfId="6295" xr:uid="{00000000-0005-0000-0000-00007F0B0000}"/>
    <cellStyle name="Currency 5 2 2 2 2 2 5 3 2" xfId="15621" xr:uid="{32348A6B-9D19-4E92-9457-27D1E84C754B}"/>
    <cellStyle name="Currency 5 2 2 2 2 2 5 4" xfId="11404" xr:uid="{9183064A-D0CB-4D93-B114-8F5A11F15ED9}"/>
    <cellStyle name="Currency 5 2 2 2 2 2 6" xfId="2424" xr:uid="{00000000-0005-0000-0000-0000800B0000}"/>
    <cellStyle name="Currency 5 2 2 2 2 2 6 2" xfId="6708" xr:uid="{00000000-0005-0000-0000-0000810B0000}"/>
    <cellStyle name="Currency 5 2 2 2 2 2 6 2 2" xfId="16034" xr:uid="{C6CEECC2-1B75-45C3-B216-75265BD04AE4}"/>
    <cellStyle name="Currency 5 2 2 2 2 2 6 3" xfId="11817" xr:uid="{399F269C-0B68-4B6F-BC48-83D4ACC05D98}"/>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14794B76-9146-40C7-9905-C8914317273F}"/>
    <cellStyle name="Currency 5 2 2 2 2 2 8 3" xfId="12134" xr:uid="{8C9E87EB-A969-4CE4-8DED-CAEA3CD44927}"/>
    <cellStyle name="Currency 5 2 2 2 2 2 9" xfId="4642" xr:uid="{00000000-0005-0000-0000-0000850B0000}"/>
    <cellStyle name="Currency 5 2 2 2 2 2 9 2" xfId="13968" xr:uid="{A9C387F3-BC29-4CC3-9FC7-AD804CF890C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65008B6F-3409-4CBA-9F9B-55F6AD392022}"/>
    <cellStyle name="Currency 5 2 2 2 2 3 2 3" xfId="12309" xr:uid="{2A50E798-6800-468F-BDBF-AA3543260758}"/>
    <cellStyle name="Currency 5 2 2 2 2 3 3" xfId="5055" xr:uid="{00000000-0005-0000-0000-0000890B0000}"/>
    <cellStyle name="Currency 5 2 2 2 2 3 3 2" xfId="14381" xr:uid="{719D903D-04BD-4D41-87A2-A475CA3808A8}"/>
    <cellStyle name="Currency 5 2 2 2 2 3 4" xfId="9337" xr:uid="{A1FF44B9-A8E0-4A4E-9BE9-DA7FD7E326AE}"/>
    <cellStyle name="Currency 5 2 2 2 2 3 5" xfId="10164" xr:uid="{C81C58A5-FE38-49D5-8E10-FBCF43E9A34F}"/>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D846D18D-C200-4155-829C-4223718CB619}"/>
    <cellStyle name="Currency 5 2 2 2 2 4 2 3" xfId="12722" xr:uid="{052A8620-9BFC-4601-BF3B-4300AD01E9D2}"/>
    <cellStyle name="Currency 5 2 2 2 2 4 3" xfId="5468" xr:uid="{00000000-0005-0000-0000-00008D0B0000}"/>
    <cellStyle name="Currency 5 2 2 2 2 4 3 2" xfId="14794" xr:uid="{07462186-A56E-45A1-AD32-B77043D8A793}"/>
    <cellStyle name="Currency 5 2 2 2 2 4 4" xfId="10577" xr:uid="{E6592A04-C56D-4879-AFE5-6E0DD68A2555}"/>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EA7E7DC1-F205-4F37-9220-D2DA842F1846}"/>
    <cellStyle name="Currency 5 2 2 2 2 5 2 3" xfId="13135" xr:uid="{24AB580B-0979-4BAD-8FD6-7A05B5A93DC3}"/>
    <cellStyle name="Currency 5 2 2 2 2 5 3" xfId="5881" xr:uid="{00000000-0005-0000-0000-0000910B0000}"/>
    <cellStyle name="Currency 5 2 2 2 2 5 3 2" xfId="15207" xr:uid="{E03393D9-6A38-4EEC-BC71-26B219C3C60F}"/>
    <cellStyle name="Currency 5 2 2 2 2 5 4" xfId="10990" xr:uid="{3D8C32E6-9068-4F59-B0A7-9ADBE37EFEF8}"/>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FE347F0E-F7C1-487C-B689-F2AACC1F8A99}"/>
    <cellStyle name="Currency 5 2 2 2 2 6 2 3" xfId="13548" xr:uid="{BE0771B0-042B-4970-96CB-DBB3D3B6903F}"/>
    <cellStyle name="Currency 5 2 2 2 2 6 3" xfId="6294" xr:uid="{00000000-0005-0000-0000-0000950B0000}"/>
    <cellStyle name="Currency 5 2 2 2 2 6 3 2" xfId="15620" xr:uid="{7BDBCF1A-D233-4542-810B-C3E0C28AC6F3}"/>
    <cellStyle name="Currency 5 2 2 2 2 6 4" xfId="11403" xr:uid="{D07FE1EA-0707-4D2F-AA92-4A08CC978231}"/>
    <cellStyle name="Currency 5 2 2 2 2 7" xfId="2423" xr:uid="{00000000-0005-0000-0000-0000960B0000}"/>
    <cellStyle name="Currency 5 2 2 2 2 7 2" xfId="6707" xr:uid="{00000000-0005-0000-0000-0000970B0000}"/>
    <cellStyle name="Currency 5 2 2 2 2 7 2 2" xfId="16033" xr:uid="{601C7FA2-0503-4A81-8F1A-332E1BA9900F}"/>
    <cellStyle name="Currency 5 2 2 2 2 7 3" xfId="11816" xr:uid="{4BE79A4B-443E-408F-B51D-CE39AB2A0718}"/>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756DC232-F289-443C-B4A8-B76F65E84AF1}"/>
    <cellStyle name="Currency 5 2 2 2 2 9 3" xfId="12133" xr:uid="{8484E357-F844-43D4-A6E0-CB8517813B9C}"/>
    <cellStyle name="Currency 5 2 2 2 3" xfId="199" xr:uid="{00000000-0005-0000-0000-00009B0B0000}"/>
    <cellStyle name="Currency 5 2 2 2 3 10" xfId="9016" xr:uid="{706F9706-E49D-4995-B402-A842C879DBC8}"/>
    <cellStyle name="Currency 5 2 2 2 3 11" xfId="9752" xr:uid="{4F207349-B5F3-4B8B-8279-06665EAE285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34002E7C-B576-4E45-AA13-83A8FA29E2CC}"/>
    <cellStyle name="Currency 5 2 2 2 3 2 2 3" xfId="12311" xr:uid="{722B65B0-093D-4A21-A1A1-DFD5A1C9999B}"/>
    <cellStyle name="Currency 5 2 2 2 3 2 3" xfId="5057" xr:uid="{00000000-0005-0000-0000-00009F0B0000}"/>
    <cellStyle name="Currency 5 2 2 2 3 2 3 2" xfId="14383" xr:uid="{B75EE96F-6F69-48E9-B526-15CE9823960B}"/>
    <cellStyle name="Currency 5 2 2 2 3 2 4" xfId="9441" xr:uid="{B7048274-E02F-4E6A-9C9A-FAD4299F19B1}"/>
    <cellStyle name="Currency 5 2 2 2 3 2 5" xfId="10166" xr:uid="{2C2F536A-F4F0-49AF-A234-974B42D48047}"/>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2C4AEB7B-3A1F-487C-9F13-B8B7C92857E7}"/>
    <cellStyle name="Currency 5 2 2 2 3 3 2 3" xfId="12724" xr:uid="{A221AADA-93DA-48EB-B580-C5F454EE6FC0}"/>
    <cellStyle name="Currency 5 2 2 2 3 3 3" xfId="5470" xr:uid="{00000000-0005-0000-0000-0000A30B0000}"/>
    <cellStyle name="Currency 5 2 2 2 3 3 3 2" xfId="14796" xr:uid="{93055C76-285C-4D8C-BE7E-2441A750167B}"/>
    <cellStyle name="Currency 5 2 2 2 3 3 4" xfId="10579" xr:uid="{CFDF36D2-26A1-4749-81CA-0CB1C2F6D70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5DE09758-1840-43F2-8C81-7665BADFD57E}"/>
    <cellStyle name="Currency 5 2 2 2 3 4 2 3" xfId="13137" xr:uid="{2276E06E-DE74-4912-99EE-D3965299D570}"/>
    <cellStyle name="Currency 5 2 2 2 3 4 3" xfId="5883" xr:uid="{00000000-0005-0000-0000-0000A70B0000}"/>
    <cellStyle name="Currency 5 2 2 2 3 4 3 2" xfId="15209" xr:uid="{DD5E452E-4A1A-4BEF-8066-6049E02ABB43}"/>
    <cellStyle name="Currency 5 2 2 2 3 4 4" xfId="10992" xr:uid="{CFD57C33-ADC0-4BB5-AF1E-DD28CDA4729D}"/>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D47B3541-5FCA-44B6-A102-7250F673BCB9}"/>
    <cellStyle name="Currency 5 2 2 2 3 5 2 3" xfId="13550" xr:uid="{D20D292E-FBA6-4428-8911-3035F3EBA108}"/>
    <cellStyle name="Currency 5 2 2 2 3 5 3" xfId="6296" xr:uid="{00000000-0005-0000-0000-0000AB0B0000}"/>
    <cellStyle name="Currency 5 2 2 2 3 5 3 2" xfId="15622" xr:uid="{E9ADE026-FC40-415C-9C6D-84FFBFE828EB}"/>
    <cellStyle name="Currency 5 2 2 2 3 5 4" xfId="11405" xr:uid="{4134D51D-CDB4-4BBF-9959-EC78366FCDB6}"/>
    <cellStyle name="Currency 5 2 2 2 3 6" xfId="2425" xr:uid="{00000000-0005-0000-0000-0000AC0B0000}"/>
    <cellStyle name="Currency 5 2 2 2 3 6 2" xfId="6709" xr:uid="{00000000-0005-0000-0000-0000AD0B0000}"/>
    <cellStyle name="Currency 5 2 2 2 3 6 2 2" xfId="16035" xr:uid="{17697FDA-7320-4FB6-B553-6323D6B5D875}"/>
    <cellStyle name="Currency 5 2 2 2 3 6 3" xfId="11818" xr:uid="{2F97D499-9181-4E2C-8926-CBFE06140D5B}"/>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0CAE552C-BE8E-4DE0-B69E-AA046EB845DC}"/>
    <cellStyle name="Currency 5 2 2 2 3 8 3" xfId="12135" xr:uid="{B10820EF-2717-43FD-BE75-605F352C74F5}"/>
    <cellStyle name="Currency 5 2 2 2 3 9" xfId="4643" xr:uid="{00000000-0005-0000-0000-0000B10B0000}"/>
    <cellStyle name="Currency 5 2 2 2 3 9 2" xfId="13969" xr:uid="{04EA431C-4DA0-4897-88A5-7B628DF3078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50E0E139-E4F7-411D-892A-6199D755BD77}"/>
    <cellStyle name="Currency 5 2 2 2 4 2 3" xfId="12308" xr:uid="{E96069C5-EB77-40CE-AB24-E702F64638AB}"/>
    <cellStyle name="Currency 5 2 2 2 4 3" xfId="5054" xr:uid="{00000000-0005-0000-0000-0000B50B0000}"/>
    <cellStyle name="Currency 5 2 2 2 4 3 2" xfId="14380" xr:uid="{29F2E9C7-02E2-4D4F-9409-EDE81F43EC65}"/>
    <cellStyle name="Currency 5 2 2 2 4 4" xfId="9234" xr:uid="{AAF147FE-13D8-48BD-A722-062B96166D61}"/>
    <cellStyle name="Currency 5 2 2 2 4 5" xfId="10163" xr:uid="{42D50D4E-5A8B-45D1-B91A-4F542FF43094}"/>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E7E91079-1470-42A1-B9B8-BD42DE5E1857}"/>
    <cellStyle name="Currency 5 2 2 2 5 2 3" xfId="12721" xr:uid="{8379066C-2418-4786-9D66-305AED320E00}"/>
    <cellStyle name="Currency 5 2 2 2 5 3" xfId="5467" xr:uid="{00000000-0005-0000-0000-0000B90B0000}"/>
    <cellStyle name="Currency 5 2 2 2 5 3 2" xfId="14793" xr:uid="{3AB34B82-2FDE-45BF-B24F-D03443B43B6A}"/>
    <cellStyle name="Currency 5 2 2 2 5 4" xfId="10576" xr:uid="{FA6899C7-5B1B-40A5-BE0C-EB8E1CDD846B}"/>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CA5C6BB9-9199-4DB9-9952-56053296981F}"/>
    <cellStyle name="Currency 5 2 2 2 6 2 3" xfId="13134" xr:uid="{D593C351-1532-4283-A321-CBB4F4A8A38C}"/>
    <cellStyle name="Currency 5 2 2 2 6 3" xfId="5880" xr:uid="{00000000-0005-0000-0000-0000BD0B0000}"/>
    <cellStyle name="Currency 5 2 2 2 6 3 2" xfId="15206" xr:uid="{C33C9A7D-6815-49B9-8782-E12025B3C7E5}"/>
    <cellStyle name="Currency 5 2 2 2 6 4" xfId="10989" xr:uid="{6B4D9E29-0D91-4738-ACAA-08CAFD76DDB9}"/>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1509A43A-081A-4D40-905E-6513402BFCEA}"/>
    <cellStyle name="Currency 5 2 2 2 7 2 3" xfId="13547" xr:uid="{40BF7BEF-D378-4DBA-A925-AC791A122D92}"/>
    <cellStyle name="Currency 5 2 2 2 7 3" xfId="6293" xr:uid="{00000000-0005-0000-0000-0000C10B0000}"/>
    <cellStyle name="Currency 5 2 2 2 7 3 2" xfId="15619" xr:uid="{EDFFE5BE-94B7-4E16-8FDD-A16BC2AD8692}"/>
    <cellStyle name="Currency 5 2 2 2 7 4" xfId="11402" xr:uid="{BFA4A771-1040-4E8A-8BBD-28E8222EFC07}"/>
    <cellStyle name="Currency 5 2 2 2 8" xfId="2422" xr:uid="{00000000-0005-0000-0000-0000C20B0000}"/>
    <cellStyle name="Currency 5 2 2 2 8 2" xfId="6706" xr:uid="{00000000-0005-0000-0000-0000C30B0000}"/>
    <cellStyle name="Currency 5 2 2 2 8 2 2" xfId="16032" xr:uid="{00483372-F697-4616-8DC1-9603ECF315C7}"/>
    <cellStyle name="Currency 5 2 2 2 8 3" xfId="11815" xr:uid="{8B5062B9-E96F-4988-8D3D-6CF480A1036A}"/>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0E677B01-CDBF-49DD-AB1D-0983839C52D0}"/>
    <cellStyle name="Currency 5 2 2 3 11" xfId="8890" xr:uid="{F313D4EC-7666-4BAA-9452-39176957C213}"/>
    <cellStyle name="Currency 5 2 2 3 12" xfId="9753" xr:uid="{123D2969-5606-4468-B0B6-1D68E1562294}"/>
    <cellStyle name="Currency 5 2 2 3 2" xfId="201" xr:uid="{00000000-0005-0000-0000-0000C70B0000}"/>
    <cellStyle name="Currency 5 2 2 3 2 10" xfId="9097" xr:uid="{74199D2F-F17A-42DD-AC8B-D958FBFFCA8B}"/>
    <cellStyle name="Currency 5 2 2 3 2 11" xfId="9754" xr:uid="{55C6F4FF-157E-4A81-BC62-CF2C85A0466D}"/>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4DC411B6-C0EE-4BD1-9926-A6C3E69B5753}"/>
    <cellStyle name="Currency 5 2 2 3 2 2 2 3" xfId="12313" xr:uid="{516BC8C8-1708-4D1B-8913-09CF4C5D4F31}"/>
    <cellStyle name="Currency 5 2 2 3 2 2 3" xfId="5059" xr:uid="{00000000-0005-0000-0000-0000CB0B0000}"/>
    <cellStyle name="Currency 5 2 2 3 2 2 3 2" xfId="14385" xr:uid="{8D0C7DBE-86BF-4DD4-B8BA-743587058411}"/>
    <cellStyle name="Currency 5 2 2 3 2 2 4" xfId="9522" xr:uid="{58EAFCD4-DA5B-47CB-A637-29DA003AA3FD}"/>
    <cellStyle name="Currency 5 2 2 3 2 2 5" xfId="10168" xr:uid="{73200B64-9A52-41E3-ADED-77AC45FB962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7A3D33A3-3254-463A-A893-A9F69A23A413}"/>
    <cellStyle name="Currency 5 2 2 3 2 3 2 3" xfId="12726" xr:uid="{CDD5DB8F-7D25-4416-8818-3517AAE0B54E}"/>
    <cellStyle name="Currency 5 2 2 3 2 3 3" xfId="5472" xr:uid="{00000000-0005-0000-0000-0000CF0B0000}"/>
    <cellStyle name="Currency 5 2 2 3 2 3 3 2" xfId="14798" xr:uid="{5357D6AD-F962-44DB-9590-A241370BC7B6}"/>
    <cellStyle name="Currency 5 2 2 3 2 3 4" xfId="10581" xr:uid="{0F93D09A-8475-43D7-8B3B-5D973B1159C3}"/>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744B5249-351E-49FE-A0C8-CF168FAA5D2E}"/>
    <cellStyle name="Currency 5 2 2 3 2 4 2 3" xfId="13139" xr:uid="{198038FB-AD72-4424-BBC9-9C756F25F399}"/>
    <cellStyle name="Currency 5 2 2 3 2 4 3" xfId="5885" xr:uid="{00000000-0005-0000-0000-0000D30B0000}"/>
    <cellStyle name="Currency 5 2 2 3 2 4 3 2" xfId="15211" xr:uid="{002FA754-4701-4107-876F-A787230013FC}"/>
    <cellStyle name="Currency 5 2 2 3 2 4 4" xfId="10994" xr:uid="{43443A47-C7D2-4D9F-8D33-AFCA770F585C}"/>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7AD7E49C-D64A-4CA8-B8EC-E4A5D2B6DAFE}"/>
    <cellStyle name="Currency 5 2 2 3 2 5 2 3" xfId="13552" xr:uid="{E610BA41-77B8-4959-9891-55ABE5CD9F40}"/>
    <cellStyle name="Currency 5 2 2 3 2 5 3" xfId="6298" xr:uid="{00000000-0005-0000-0000-0000D70B0000}"/>
    <cellStyle name="Currency 5 2 2 3 2 5 3 2" xfId="15624" xr:uid="{E2002697-9372-4619-B29B-469AE18417FF}"/>
    <cellStyle name="Currency 5 2 2 3 2 5 4" xfId="11407" xr:uid="{034FA9CA-06B0-4751-A3DB-6487E5921B5D}"/>
    <cellStyle name="Currency 5 2 2 3 2 6" xfId="2427" xr:uid="{00000000-0005-0000-0000-0000D80B0000}"/>
    <cellStyle name="Currency 5 2 2 3 2 6 2" xfId="6711" xr:uid="{00000000-0005-0000-0000-0000D90B0000}"/>
    <cellStyle name="Currency 5 2 2 3 2 6 2 2" xfId="16037" xr:uid="{4E5CC38E-C47A-412F-864E-54DE3DCCAAFD}"/>
    <cellStyle name="Currency 5 2 2 3 2 6 3" xfId="11820" xr:uid="{915828C5-9CE0-46A0-B10D-BE2D40ACF3D1}"/>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50805EC6-DF7B-4FDF-A59A-10BF6807CB73}"/>
    <cellStyle name="Currency 5 2 2 3 2 8 3" xfId="12137" xr:uid="{639D9F57-DB38-4144-ABEF-3C7AEF515062}"/>
    <cellStyle name="Currency 5 2 2 3 2 9" xfId="4645" xr:uid="{00000000-0005-0000-0000-0000DD0B0000}"/>
    <cellStyle name="Currency 5 2 2 3 2 9 2" xfId="13971" xr:uid="{C1317559-0641-478F-A700-453779F8AA12}"/>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3C2E2C2E-87FE-4304-B369-5A8B2B5E58EC}"/>
    <cellStyle name="Currency 5 2 2 3 3 2 3" xfId="12312" xr:uid="{C94A0BF8-20FA-4B3C-8C74-E59C906E1BB1}"/>
    <cellStyle name="Currency 5 2 2 3 3 3" xfId="5058" xr:uid="{00000000-0005-0000-0000-0000E10B0000}"/>
    <cellStyle name="Currency 5 2 2 3 3 3 2" xfId="14384" xr:uid="{7DD7743C-E7D5-4A89-8FD4-D4A07D954962}"/>
    <cellStyle name="Currency 5 2 2 3 3 4" xfId="9315" xr:uid="{A76EC348-1CDB-41C1-B9B8-9215FF30C619}"/>
    <cellStyle name="Currency 5 2 2 3 3 5" xfId="10167" xr:uid="{3903F255-68F2-4B0A-B53E-0E2378698FC4}"/>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F1759EFA-934A-426B-BD8D-883559524F80}"/>
    <cellStyle name="Currency 5 2 2 3 4 2 3" xfId="12725" xr:uid="{1C17AF4E-8805-4A99-8CF6-DB1DAAD5BD75}"/>
    <cellStyle name="Currency 5 2 2 3 4 3" xfId="5471" xr:uid="{00000000-0005-0000-0000-0000E50B0000}"/>
    <cellStyle name="Currency 5 2 2 3 4 3 2" xfId="14797" xr:uid="{994C31C6-7425-4D5E-AD34-EF597BEE79D3}"/>
    <cellStyle name="Currency 5 2 2 3 4 4" xfId="10580" xr:uid="{CFE5F120-D24A-42E8-BE33-D1C27A734A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F42E6124-7598-4DF3-B1F6-33654A8739B0}"/>
    <cellStyle name="Currency 5 2 2 3 5 2 3" xfId="13138" xr:uid="{FB84984D-154B-4C04-969E-67EDF009FD82}"/>
    <cellStyle name="Currency 5 2 2 3 5 3" xfId="5884" xr:uid="{00000000-0005-0000-0000-0000E90B0000}"/>
    <cellStyle name="Currency 5 2 2 3 5 3 2" xfId="15210" xr:uid="{A55D842D-A729-4042-88E7-04D13A97894B}"/>
    <cellStyle name="Currency 5 2 2 3 5 4" xfId="10993" xr:uid="{C0CFF442-6AB0-49F4-9369-370E3FAF6E82}"/>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F843517C-C031-492E-AF05-3C3D3C2FDD3E}"/>
    <cellStyle name="Currency 5 2 2 3 6 2 3" xfId="13551" xr:uid="{64876A81-1A99-4017-90DF-5EA03A6B172F}"/>
    <cellStyle name="Currency 5 2 2 3 6 3" xfId="6297" xr:uid="{00000000-0005-0000-0000-0000ED0B0000}"/>
    <cellStyle name="Currency 5 2 2 3 6 3 2" xfId="15623" xr:uid="{2246F923-38E9-4BF1-AE55-694AB4F38CBE}"/>
    <cellStyle name="Currency 5 2 2 3 6 4" xfId="11406" xr:uid="{4022C22C-77BA-41A1-AAF3-758F192FE339}"/>
    <cellStyle name="Currency 5 2 2 3 7" xfId="2426" xr:uid="{00000000-0005-0000-0000-0000EE0B0000}"/>
    <cellStyle name="Currency 5 2 2 3 7 2" xfId="6710" xr:uid="{00000000-0005-0000-0000-0000EF0B0000}"/>
    <cellStyle name="Currency 5 2 2 3 7 2 2" xfId="16036" xr:uid="{0CDA35BA-3E63-4AF9-B2EA-E46A23D39B80}"/>
    <cellStyle name="Currency 5 2 2 3 7 3" xfId="11819" xr:uid="{4DEB08A9-464F-46C0-9227-BACA453A3D3D}"/>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902B61F4-1085-4656-9E55-BAD7A9980B09}"/>
    <cellStyle name="Currency 5 2 2 3 9 3" xfId="12136" xr:uid="{B8065FE5-7BE8-46C3-8224-30A14B621C2F}"/>
    <cellStyle name="Currency 5 2 2 4" xfId="202" xr:uid="{00000000-0005-0000-0000-0000F30B0000}"/>
    <cellStyle name="Currency 5 2 2 4 10" xfId="8994" xr:uid="{484CCE7A-1288-4C7F-ABD6-C45948DC4EC0}"/>
    <cellStyle name="Currency 5 2 2 4 11" xfId="9755" xr:uid="{78936EDE-A31D-41E4-8C38-E749608D5E2A}"/>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06604D6E-2A00-4B5D-B2E1-95068DD58DEE}"/>
    <cellStyle name="Currency 5 2 2 4 2 2 3" xfId="12314" xr:uid="{B41D7452-EDAD-4D1A-A289-6B11872B7891}"/>
    <cellStyle name="Currency 5 2 2 4 2 3" xfId="5060" xr:uid="{00000000-0005-0000-0000-0000F70B0000}"/>
    <cellStyle name="Currency 5 2 2 4 2 3 2" xfId="14386" xr:uid="{3321A017-FFA2-4D54-88E6-F3A958FD42DC}"/>
    <cellStyle name="Currency 5 2 2 4 2 4" xfId="9419" xr:uid="{F03E4D2E-3BA9-4D5B-9C35-959DB128CBAE}"/>
    <cellStyle name="Currency 5 2 2 4 2 5" xfId="10169" xr:uid="{73D37EBB-4BC2-4358-9B30-AA7722B56942}"/>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45B0218C-57A6-4AC7-82F1-3A415918BBBA}"/>
    <cellStyle name="Currency 5 2 2 4 3 2 3" xfId="12727" xr:uid="{B1B3E2D4-C132-4BDA-AAC4-F064F41F58AA}"/>
    <cellStyle name="Currency 5 2 2 4 3 3" xfId="5473" xr:uid="{00000000-0005-0000-0000-0000FB0B0000}"/>
    <cellStyle name="Currency 5 2 2 4 3 3 2" xfId="14799" xr:uid="{C5E163A5-1B2C-45CF-AD2B-EF903D74C9EA}"/>
    <cellStyle name="Currency 5 2 2 4 3 4" xfId="10582" xr:uid="{14520E7B-3174-473C-A6AB-E11068286DB3}"/>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C04E3423-1368-4F3D-83DE-DE93C7A97B5E}"/>
    <cellStyle name="Currency 5 2 2 4 4 2 3" xfId="13140" xr:uid="{8F46B123-594E-4A5E-A6EC-59A335A41174}"/>
    <cellStyle name="Currency 5 2 2 4 4 3" xfId="5886" xr:uid="{00000000-0005-0000-0000-0000FF0B0000}"/>
    <cellStyle name="Currency 5 2 2 4 4 3 2" xfId="15212" xr:uid="{5FB6ED5E-1AE0-431B-801D-0AE6E2BFA400}"/>
    <cellStyle name="Currency 5 2 2 4 4 4" xfId="10995" xr:uid="{C5177B81-D3A7-4FE0-A2A7-73F74660A865}"/>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9AEBF3C9-E78F-4631-9516-95ED6573DA78}"/>
    <cellStyle name="Currency 5 2 2 4 5 2 3" xfId="13553" xr:uid="{9BE6BF7D-DD9E-4AC1-BBD4-BAFD00EB3B54}"/>
    <cellStyle name="Currency 5 2 2 4 5 3" xfId="6299" xr:uid="{00000000-0005-0000-0000-0000030C0000}"/>
    <cellStyle name="Currency 5 2 2 4 5 3 2" xfId="15625" xr:uid="{96C22016-F6FB-449B-9A2A-0468EAE726BF}"/>
    <cellStyle name="Currency 5 2 2 4 5 4" xfId="11408" xr:uid="{5167D069-DAD2-4898-A514-26F3061213EA}"/>
    <cellStyle name="Currency 5 2 2 4 6" xfId="2428" xr:uid="{00000000-0005-0000-0000-0000040C0000}"/>
    <cellStyle name="Currency 5 2 2 4 6 2" xfId="6712" xr:uid="{00000000-0005-0000-0000-0000050C0000}"/>
    <cellStyle name="Currency 5 2 2 4 6 2 2" xfId="16038" xr:uid="{B47F8F27-B75E-4516-9168-1C59AD2B5B6D}"/>
    <cellStyle name="Currency 5 2 2 4 6 3" xfId="11821" xr:uid="{92584194-4F9B-4F4C-BB78-E567B73F5316}"/>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1032371A-6FA4-42B4-A799-4B8DFA0EAE75}"/>
    <cellStyle name="Currency 5 2 2 4 8 3" xfId="12138" xr:uid="{744AA033-873A-4148-95F0-5568BCF31F50}"/>
    <cellStyle name="Currency 5 2 2 4 9" xfId="4646" xr:uid="{00000000-0005-0000-0000-0000090C0000}"/>
    <cellStyle name="Currency 5 2 2 4 9 2" xfId="13972" xr:uid="{D2E1DB9A-BF79-4DE1-8692-8DDDA608F0A8}"/>
    <cellStyle name="Currency 5 2 2 5" xfId="203" xr:uid="{00000000-0005-0000-0000-00000A0C0000}"/>
    <cellStyle name="Currency 5 2 2 5 10" xfId="9211" xr:uid="{586E1D8D-A72F-44A2-BAB5-A0BAD4827F6D}"/>
    <cellStyle name="Currency 5 2 2 5 11" xfId="9756" xr:uid="{C786E92C-8A84-45AC-A7B1-1BCFB8DC41EF}"/>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580A6B29-9F1B-4264-8D7F-B87A6DACA628}"/>
    <cellStyle name="Currency 5 2 2 5 2 2 3" xfId="12315" xr:uid="{59F6A04C-E059-4AAA-BB2A-98FBE75683E6}"/>
    <cellStyle name="Currency 5 2 2 5 2 3" xfId="5061" xr:uid="{00000000-0005-0000-0000-00000E0C0000}"/>
    <cellStyle name="Currency 5 2 2 5 2 3 2" xfId="14387" xr:uid="{3533A341-8559-421A-BDEB-F4F9DF3627F5}"/>
    <cellStyle name="Currency 5 2 2 5 2 4" xfId="9598" xr:uid="{EBD3270B-608E-49E1-8A20-C5ADF81FBC1B}"/>
    <cellStyle name="Currency 5 2 2 5 2 5" xfId="10170" xr:uid="{5529187D-8F08-401B-A693-D233625D1042}"/>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EBC08F40-A4F7-4276-80DA-DE6504CB3BB4}"/>
    <cellStyle name="Currency 5 2 2 5 3 2 3" xfId="12728" xr:uid="{5EB53DAD-960F-4454-B338-84C0C94F1D30}"/>
    <cellStyle name="Currency 5 2 2 5 3 3" xfId="5474" xr:uid="{00000000-0005-0000-0000-0000120C0000}"/>
    <cellStyle name="Currency 5 2 2 5 3 3 2" xfId="14800" xr:uid="{8B0DDC64-C3F1-4F49-A0B6-85B1CE27B06F}"/>
    <cellStyle name="Currency 5 2 2 5 3 4" xfId="10583" xr:uid="{854DCB00-E6A7-426F-A35C-7A144EB51EF6}"/>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2BA3C173-8B25-4A6D-8609-7D48BFA3FB51}"/>
    <cellStyle name="Currency 5 2 2 5 4 2 3" xfId="13141" xr:uid="{8D1475C2-0BD5-42F8-AFD5-97FD5A19BAD2}"/>
    <cellStyle name="Currency 5 2 2 5 4 3" xfId="5887" xr:uid="{00000000-0005-0000-0000-0000160C0000}"/>
    <cellStyle name="Currency 5 2 2 5 4 3 2" xfId="15213" xr:uid="{845F44B5-E1E6-48C0-9169-2A70E232ED76}"/>
    <cellStyle name="Currency 5 2 2 5 4 4" xfId="10996" xr:uid="{D0A91640-A4B0-406E-BF33-5F805D9569DA}"/>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23535A45-2EA3-400F-8FD1-7670D0A24017}"/>
    <cellStyle name="Currency 5 2 2 5 5 2 3" xfId="13554" xr:uid="{A8429528-3F74-4E2C-8ABB-7E52795C90BD}"/>
    <cellStyle name="Currency 5 2 2 5 5 3" xfId="6300" xr:uid="{00000000-0005-0000-0000-00001A0C0000}"/>
    <cellStyle name="Currency 5 2 2 5 5 3 2" xfId="15626" xr:uid="{DE032B08-EF8F-490E-8CB3-203E24731CF7}"/>
    <cellStyle name="Currency 5 2 2 5 5 4" xfId="11409" xr:uid="{A47601FD-C2B0-4054-BD57-038989539C30}"/>
    <cellStyle name="Currency 5 2 2 5 6" xfId="2429" xr:uid="{00000000-0005-0000-0000-00001B0C0000}"/>
    <cellStyle name="Currency 5 2 2 5 6 2" xfId="6713" xr:uid="{00000000-0005-0000-0000-00001C0C0000}"/>
    <cellStyle name="Currency 5 2 2 5 6 2 2" xfId="16039" xr:uid="{8446A745-5186-4258-8989-EFF935A72385}"/>
    <cellStyle name="Currency 5 2 2 5 6 3" xfId="11822" xr:uid="{9120D96F-4DAA-4E5A-A0BB-1C23D897C40B}"/>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41C57CC6-2E90-4C8C-BF18-28212F39A99F}"/>
    <cellStyle name="Currency 5 2 2 5 8 3" xfId="12139" xr:uid="{35A4B3CD-4145-490C-91B2-DB212E0712C4}"/>
    <cellStyle name="Currency 5 2 2 5 9" xfId="4647" xr:uid="{00000000-0005-0000-0000-0000200C0000}"/>
    <cellStyle name="Currency 5 2 2 5 9 2" xfId="13973" xr:uid="{3CD091BA-487D-4BF9-860D-3EB77B40E1BA}"/>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FCEFCB4C-31F4-46DC-9A8F-4BE643B86F5A}"/>
    <cellStyle name="Currency 5 2 4 11" xfId="8859" xr:uid="{D3A5F8AD-5F4E-4BEA-A9B4-9A705A015524}"/>
    <cellStyle name="Currency 5 2 4 12" xfId="9757" xr:uid="{772C35F0-7A66-405D-B680-DB7FED62C1FE}"/>
    <cellStyle name="Currency 5 2 4 2" xfId="206" xr:uid="{00000000-0005-0000-0000-0000250C0000}"/>
    <cellStyle name="Currency 5 2 4 2 10" xfId="9066" xr:uid="{2F7A28AF-2120-4AAF-A58B-33C2E07F597D}"/>
    <cellStyle name="Currency 5 2 4 2 11" xfId="9758" xr:uid="{E771120D-E6C7-4D7D-9F18-636412F8B77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CCD55BC9-FA92-4580-B0C4-442448AA2F81}"/>
    <cellStyle name="Currency 5 2 4 2 2 2 3" xfId="12317" xr:uid="{80EDD024-4909-435C-968C-C7081A3E7E9E}"/>
    <cellStyle name="Currency 5 2 4 2 2 3" xfId="5063" xr:uid="{00000000-0005-0000-0000-0000290C0000}"/>
    <cellStyle name="Currency 5 2 4 2 2 3 2" xfId="14389" xr:uid="{6E053E88-BDD8-47D7-8429-6CCC72CA23F3}"/>
    <cellStyle name="Currency 5 2 4 2 2 4" xfId="9491" xr:uid="{64B868C7-9024-4970-9E74-7DF82417BD7A}"/>
    <cellStyle name="Currency 5 2 4 2 2 5" xfId="10172" xr:uid="{AF7ACCCF-3A43-4A23-BB86-8C058E3425AC}"/>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1152EA15-5A95-444D-A8A8-B65D1B26B98D}"/>
    <cellStyle name="Currency 5 2 4 2 3 2 3" xfId="12730" xr:uid="{96B0FC97-69C4-4C71-9928-B47A958B2906}"/>
    <cellStyle name="Currency 5 2 4 2 3 3" xfId="5476" xr:uid="{00000000-0005-0000-0000-00002D0C0000}"/>
    <cellStyle name="Currency 5 2 4 2 3 3 2" xfId="14802" xr:uid="{9A7A7C12-9345-43A2-BFD5-D2A7A58A8E1C}"/>
    <cellStyle name="Currency 5 2 4 2 3 4" xfId="10585" xr:uid="{82B60C3D-7982-4E03-BA32-25E39BFE8161}"/>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C1067E07-7179-440F-A79B-99D747C2E27B}"/>
    <cellStyle name="Currency 5 2 4 2 4 2 3" xfId="13143" xr:uid="{1AA80FCF-9578-4692-943C-4D99BAF5815F}"/>
    <cellStyle name="Currency 5 2 4 2 4 3" xfId="5889" xr:uid="{00000000-0005-0000-0000-0000310C0000}"/>
    <cellStyle name="Currency 5 2 4 2 4 3 2" xfId="15215" xr:uid="{B3C9DAE0-4F80-42F9-BEE4-229A45DAA533}"/>
    <cellStyle name="Currency 5 2 4 2 4 4" xfId="10998" xr:uid="{82E5ECC0-3A31-422E-AF9A-825C44D08897}"/>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17AF6FDF-DD79-4D8A-A4E7-3EAF805A3E55}"/>
    <cellStyle name="Currency 5 2 4 2 5 2 3" xfId="13556" xr:uid="{60C8DE08-7878-4DD0-B041-80E617E5CFD7}"/>
    <cellStyle name="Currency 5 2 4 2 5 3" xfId="6302" xr:uid="{00000000-0005-0000-0000-0000350C0000}"/>
    <cellStyle name="Currency 5 2 4 2 5 3 2" xfId="15628" xr:uid="{631771FB-7747-4C4B-BC15-8DE6BA417831}"/>
    <cellStyle name="Currency 5 2 4 2 5 4" xfId="11411" xr:uid="{AC778643-34B4-4093-8CD1-D03D3E1BF411}"/>
    <cellStyle name="Currency 5 2 4 2 6" xfId="2431" xr:uid="{00000000-0005-0000-0000-0000360C0000}"/>
    <cellStyle name="Currency 5 2 4 2 6 2" xfId="6715" xr:uid="{00000000-0005-0000-0000-0000370C0000}"/>
    <cellStyle name="Currency 5 2 4 2 6 2 2" xfId="16041" xr:uid="{B1B95DFD-5913-473B-9916-90C6451B596F}"/>
    <cellStyle name="Currency 5 2 4 2 6 3" xfId="11824" xr:uid="{EF5ADECD-661D-4A7F-90E8-4B9E9B14E468}"/>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E0F60D45-124A-486F-B504-A4DADCDA5CF6}"/>
    <cellStyle name="Currency 5 2 4 2 8 3" xfId="12141" xr:uid="{638C7CD0-042F-4FE7-B464-C9D5E7B019A6}"/>
    <cellStyle name="Currency 5 2 4 2 9" xfId="4649" xr:uid="{00000000-0005-0000-0000-00003B0C0000}"/>
    <cellStyle name="Currency 5 2 4 2 9 2" xfId="13975" xr:uid="{F5AF5E3E-75D7-45F7-8B24-AD2AFF206BF1}"/>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EDBFBA23-C0EC-4FB3-9535-5908979777BF}"/>
    <cellStyle name="Currency 5 2 4 3 2 3" xfId="12316" xr:uid="{2251F36D-601A-444D-A7E4-804D91C68421}"/>
    <cellStyle name="Currency 5 2 4 3 3" xfId="5062" xr:uid="{00000000-0005-0000-0000-00003F0C0000}"/>
    <cellStyle name="Currency 5 2 4 3 3 2" xfId="14388" xr:uid="{9E9EB967-DB14-4495-B0FB-DE1CECFDEA80}"/>
    <cellStyle name="Currency 5 2 4 3 4" xfId="9284" xr:uid="{1D0B72AC-AFAC-428F-8BF0-6DFF9565613D}"/>
    <cellStyle name="Currency 5 2 4 3 5" xfId="10171" xr:uid="{A4BBA415-A561-45E7-938F-810FCEB1962F}"/>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EFC7B720-D3AA-44F5-A0D2-268C9D751FBB}"/>
    <cellStyle name="Currency 5 2 4 4 2 3" xfId="12729" xr:uid="{F4A78305-E8C3-47F4-A883-1174ADEE46F0}"/>
    <cellStyle name="Currency 5 2 4 4 3" xfId="5475" xr:uid="{00000000-0005-0000-0000-0000430C0000}"/>
    <cellStyle name="Currency 5 2 4 4 3 2" xfId="14801" xr:uid="{5A945E99-AEFC-4791-AB87-0CEDB2B9FB6E}"/>
    <cellStyle name="Currency 5 2 4 4 4" xfId="10584" xr:uid="{F1D9A2EB-04A1-4E56-BA76-68F4F8E210F4}"/>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4838E8E6-A940-402F-94A8-03846B927217}"/>
    <cellStyle name="Currency 5 2 4 5 2 3" xfId="13142" xr:uid="{F3343F75-544E-4C9D-9630-E8D828EB9557}"/>
    <cellStyle name="Currency 5 2 4 5 3" xfId="5888" xr:uid="{00000000-0005-0000-0000-0000470C0000}"/>
    <cellStyle name="Currency 5 2 4 5 3 2" xfId="15214" xr:uid="{C269BE76-EF9E-4E2C-8916-1B07B039E9FA}"/>
    <cellStyle name="Currency 5 2 4 5 4" xfId="10997" xr:uid="{8E6EA13B-9DBD-4916-B012-76EEF729C5BD}"/>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F9ECA6A9-046A-430F-AB40-917E38B02DD5}"/>
    <cellStyle name="Currency 5 2 4 6 2 3" xfId="13555" xr:uid="{2750D21D-9FF4-4D3A-BEBC-1882AB0221C6}"/>
    <cellStyle name="Currency 5 2 4 6 3" xfId="6301" xr:uid="{00000000-0005-0000-0000-00004B0C0000}"/>
    <cellStyle name="Currency 5 2 4 6 3 2" xfId="15627" xr:uid="{5DA5344F-5477-403A-9F4A-D1DAD61FA828}"/>
    <cellStyle name="Currency 5 2 4 6 4" xfId="11410" xr:uid="{3898D0C3-D52E-4713-9A2E-9D5C75ED4557}"/>
    <cellStyle name="Currency 5 2 4 7" xfId="2430" xr:uid="{00000000-0005-0000-0000-00004C0C0000}"/>
    <cellStyle name="Currency 5 2 4 7 2" xfId="6714" xr:uid="{00000000-0005-0000-0000-00004D0C0000}"/>
    <cellStyle name="Currency 5 2 4 7 2 2" xfId="16040" xr:uid="{D720DFE0-9724-46A2-A835-BF1E85BE5ED0}"/>
    <cellStyle name="Currency 5 2 4 7 3" xfId="11823" xr:uid="{BA863632-1D76-42E9-9457-F7591D9B5881}"/>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4066D5AB-78D8-4D84-8698-977AB17F9EFA}"/>
    <cellStyle name="Currency 5 2 4 9 3" xfId="12140" xr:uid="{91F95CC9-6FC8-4301-B955-0BBC05C1FFDA}"/>
    <cellStyle name="Currency 5 2 5" xfId="207" xr:uid="{00000000-0005-0000-0000-0000510C0000}"/>
    <cellStyle name="Currency 5 2 5 10" xfId="8975" xr:uid="{3422EC31-C47F-46E0-A50C-FE05B1979387}"/>
    <cellStyle name="Currency 5 2 5 11" xfId="9759" xr:uid="{A74C4039-6978-4759-84FC-1288D07CE76A}"/>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EDE8DAAD-D952-4390-89D9-2AC4253B3434}"/>
    <cellStyle name="Currency 5 2 5 2 2 3" xfId="12318" xr:uid="{2FA3EB90-FB34-43A1-95FB-6BE5CE0B99C5}"/>
    <cellStyle name="Currency 5 2 5 2 3" xfId="5064" xr:uid="{00000000-0005-0000-0000-0000550C0000}"/>
    <cellStyle name="Currency 5 2 5 2 3 2" xfId="14390" xr:uid="{0EBA281F-5B62-4BCC-A925-CB890D7780AA}"/>
    <cellStyle name="Currency 5 2 5 2 4" xfId="9400" xr:uid="{6620DDCD-05C0-4AFD-8A83-F1190101CCB3}"/>
    <cellStyle name="Currency 5 2 5 2 5" xfId="10173" xr:uid="{8D0FC31C-226E-4E90-9C72-C810B2825B7A}"/>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864C96A7-1AA1-423B-B128-7FE266D56660}"/>
    <cellStyle name="Currency 5 2 5 3 2 3" xfId="12731" xr:uid="{98793476-6730-4C2F-B3F7-DC910E10CBD4}"/>
    <cellStyle name="Currency 5 2 5 3 3" xfId="5477" xr:uid="{00000000-0005-0000-0000-0000590C0000}"/>
    <cellStyle name="Currency 5 2 5 3 3 2" xfId="14803" xr:uid="{EEC9A425-33BD-462F-979E-092E18F0F757}"/>
    <cellStyle name="Currency 5 2 5 3 4" xfId="10586" xr:uid="{ADE810F6-78EC-4CD1-9A82-81E4F674326F}"/>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89AB912D-A134-4BDA-885A-5287FB62CA2E}"/>
    <cellStyle name="Currency 5 2 5 4 2 3" xfId="13144" xr:uid="{DA21C605-D460-4638-B297-9496E3C23221}"/>
    <cellStyle name="Currency 5 2 5 4 3" xfId="5890" xr:uid="{00000000-0005-0000-0000-00005D0C0000}"/>
    <cellStyle name="Currency 5 2 5 4 3 2" xfId="15216" xr:uid="{60837BF8-EFB5-4ADB-A706-959DA6D26340}"/>
    <cellStyle name="Currency 5 2 5 4 4" xfId="10999" xr:uid="{74A57B67-DEF8-427A-8B0E-A2204EE4910D}"/>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DC27D80F-E088-48D8-94B6-B22EF9EC299E}"/>
    <cellStyle name="Currency 5 2 5 5 2 3" xfId="13557" xr:uid="{6C58A78C-E1DB-4FDB-A35C-86A93E8B6869}"/>
    <cellStyle name="Currency 5 2 5 5 3" xfId="6303" xr:uid="{00000000-0005-0000-0000-0000610C0000}"/>
    <cellStyle name="Currency 5 2 5 5 3 2" xfId="15629" xr:uid="{16A96D0C-01D5-48E8-9B04-2C4F835FDF99}"/>
    <cellStyle name="Currency 5 2 5 5 4" xfId="11412" xr:uid="{021D9E3D-598B-49BF-957F-51B2CC86EC23}"/>
    <cellStyle name="Currency 5 2 5 6" xfId="2432" xr:uid="{00000000-0005-0000-0000-0000620C0000}"/>
    <cellStyle name="Currency 5 2 5 6 2" xfId="6716" xr:uid="{00000000-0005-0000-0000-0000630C0000}"/>
    <cellStyle name="Currency 5 2 5 6 2 2" xfId="16042" xr:uid="{22A963C1-5F85-418D-B38F-14CC592A03E2}"/>
    <cellStyle name="Currency 5 2 5 6 3" xfId="11825" xr:uid="{3E50D132-B470-4744-808F-328A539A5C2D}"/>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2B185215-C895-410F-920F-F2F50E5D0DB9}"/>
    <cellStyle name="Currency 5 2 5 8 3" xfId="12142" xr:uid="{DC4A76FF-D4D4-4FE6-A16E-8B4AC9162927}"/>
    <cellStyle name="Currency 5 2 5 9" xfId="4650" xr:uid="{00000000-0005-0000-0000-0000670C0000}"/>
    <cellStyle name="Currency 5 2 5 9 2" xfId="13976" xr:uid="{BADD085A-7F8D-446A-8821-E7718168D28D}"/>
    <cellStyle name="Currency 5 2 6" xfId="208" xr:uid="{00000000-0005-0000-0000-0000680C0000}"/>
    <cellStyle name="Currency 5 2 6 10" xfId="9178" xr:uid="{19F6D70E-88E4-4E39-A1A9-3FF3D840E2F9}"/>
    <cellStyle name="Currency 5 2 6 11" xfId="9760" xr:uid="{9A7B88F8-604B-4D91-A841-12DE3088438E}"/>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8A72CF04-9C94-4480-B904-79B5F1EDBE02}"/>
    <cellStyle name="Currency 5 2 6 2 2 3" xfId="12319" xr:uid="{BF72F10E-C543-42AD-81BF-D04354DAF645}"/>
    <cellStyle name="Currency 5 2 6 2 3" xfId="5065" xr:uid="{00000000-0005-0000-0000-00006C0C0000}"/>
    <cellStyle name="Currency 5 2 6 2 3 2" xfId="14391" xr:uid="{76E3121C-4D2B-4350-9934-6B834689EED4}"/>
    <cellStyle name="Currency 5 2 6 2 4" xfId="9599" xr:uid="{C2EE182C-D73D-4E6C-9671-0484CB4E8D68}"/>
    <cellStyle name="Currency 5 2 6 2 5" xfId="10174" xr:uid="{560AD482-758D-4471-95B8-4178BC691C84}"/>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1149A2CE-DEA3-4864-8E9C-AB0A8E09FB34}"/>
    <cellStyle name="Currency 5 2 6 3 2 3" xfId="12732" xr:uid="{5AA91074-792B-42E3-ABC6-720C122CACAA}"/>
    <cellStyle name="Currency 5 2 6 3 3" xfId="5478" xr:uid="{00000000-0005-0000-0000-0000700C0000}"/>
    <cellStyle name="Currency 5 2 6 3 3 2" xfId="14804" xr:uid="{A519A963-9169-470C-9A04-4871C3B80089}"/>
    <cellStyle name="Currency 5 2 6 3 4" xfId="10587" xr:uid="{5C0261AE-54C9-4D8C-86BA-FD15F2EFFEFC}"/>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3968F933-B05E-4052-BDA0-D2F7EC9554C3}"/>
    <cellStyle name="Currency 5 2 6 4 2 3" xfId="13145" xr:uid="{5830B810-9082-45A8-AF71-B1FD46A34263}"/>
    <cellStyle name="Currency 5 2 6 4 3" xfId="5891" xr:uid="{00000000-0005-0000-0000-0000740C0000}"/>
    <cellStyle name="Currency 5 2 6 4 3 2" xfId="15217" xr:uid="{E1B9230C-0529-40DD-B214-EEF696449E6E}"/>
    <cellStyle name="Currency 5 2 6 4 4" xfId="11000" xr:uid="{0C6AECF3-EA13-471B-8D05-49F6DD54104E}"/>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59295FBC-E2FD-49E0-96E6-9035D7D9F164}"/>
    <cellStyle name="Currency 5 2 6 5 2 3" xfId="13558" xr:uid="{4A0E8201-168F-4D86-B37E-AE640AC2052A}"/>
    <cellStyle name="Currency 5 2 6 5 3" xfId="6304" xr:uid="{00000000-0005-0000-0000-0000780C0000}"/>
    <cellStyle name="Currency 5 2 6 5 3 2" xfId="15630" xr:uid="{020BF2CE-E75E-4067-81DF-33610BCBA782}"/>
    <cellStyle name="Currency 5 2 6 5 4" xfId="11413" xr:uid="{74DD3287-D6A9-406D-A5E0-7379EC7D7640}"/>
    <cellStyle name="Currency 5 2 6 6" xfId="2433" xr:uid="{00000000-0005-0000-0000-0000790C0000}"/>
    <cellStyle name="Currency 5 2 6 6 2" xfId="6717" xr:uid="{00000000-0005-0000-0000-00007A0C0000}"/>
    <cellStyle name="Currency 5 2 6 6 2 2" xfId="16043" xr:uid="{BF41B206-9E5D-4DB7-8B43-999ED99D20D5}"/>
    <cellStyle name="Currency 5 2 6 6 3" xfId="11826" xr:uid="{441D2CFC-CBBC-4633-8B6D-CEC66CDE14F0}"/>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906FAE71-747F-4587-AFE3-E66F85B43A23}"/>
    <cellStyle name="Currency 5 2 6 8 3" xfId="12143" xr:uid="{7E727DC2-6EAD-41B4-B0ED-3CF49B61D80D}"/>
    <cellStyle name="Currency 5 2 6 9" xfId="4651" xr:uid="{00000000-0005-0000-0000-00007E0C0000}"/>
    <cellStyle name="Currency 5 2 6 9 2" xfId="13977" xr:uid="{0DA128AF-BC88-40C6-873E-A26EE5B5ACC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2FE5BBB7-8E37-43FF-A8F7-EA6BC3ACE6BA}"/>
    <cellStyle name="Currency 5 3 2 10 3" xfId="12144" xr:uid="{CE462D0B-1815-43D8-8E60-B109A8539A07}"/>
    <cellStyle name="Currency 5 3 2 11" xfId="4652" xr:uid="{00000000-0005-0000-0000-0000840C0000}"/>
    <cellStyle name="Currency 5 3 2 11 2" xfId="13978" xr:uid="{84B595B2-FA76-43A1-A0E3-19178FC22197}"/>
    <cellStyle name="Currency 5 3 2 12" xfId="8810" xr:uid="{C5234FF9-D509-4CD8-ADA1-D3604CCF3D1F}"/>
    <cellStyle name="Currency 5 3 2 13" xfId="9761" xr:uid="{FFB9DEBE-430C-453F-8175-6AE1F19AED0E}"/>
    <cellStyle name="Currency 5 3 2 2" xfId="211" xr:uid="{00000000-0005-0000-0000-0000850C0000}"/>
    <cellStyle name="Currency 5 3 2 2 10" xfId="4653" xr:uid="{00000000-0005-0000-0000-0000860C0000}"/>
    <cellStyle name="Currency 5 3 2 2 10 2" xfId="13979" xr:uid="{2B93FAAB-9D7A-4256-9C34-BF0281B34013}"/>
    <cellStyle name="Currency 5 3 2 2 11" xfId="8913" xr:uid="{FE033F82-2F16-4925-9899-F927AB9AA612}"/>
    <cellStyle name="Currency 5 3 2 2 12" xfId="9762" xr:uid="{3BF49415-1991-47A4-8672-09DC854A9112}"/>
    <cellStyle name="Currency 5 3 2 2 2" xfId="212" xr:uid="{00000000-0005-0000-0000-0000870C0000}"/>
    <cellStyle name="Currency 5 3 2 2 2 10" xfId="9120" xr:uid="{D5536A1F-8418-4CB5-B1E0-470AD716374A}"/>
    <cellStyle name="Currency 5 3 2 2 2 11" xfId="9763" xr:uid="{001D61BA-8744-4477-B88B-16E93866517F}"/>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3F895A15-B054-43FB-A60E-F1F44E20B36D}"/>
    <cellStyle name="Currency 5 3 2 2 2 2 2 3" xfId="12322" xr:uid="{8E7693F0-DB35-4D46-A362-CCCB5E764E27}"/>
    <cellStyle name="Currency 5 3 2 2 2 2 3" xfId="5068" xr:uid="{00000000-0005-0000-0000-00008B0C0000}"/>
    <cellStyle name="Currency 5 3 2 2 2 2 3 2" xfId="14394" xr:uid="{9210413B-3F84-4850-B088-7B21CE39F99E}"/>
    <cellStyle name="Currency 5 3 2 2 2 2 4" xfId="9545" xr:uid="{F6C268D6-0334-42F7-AE4F-535ADD09B625}"/>
    <cellStyle name="Currency 5 3 2 2 2 2 5" xfId="10177" xr:uid="{AE8C7B6F-A93C-445E-85E1-5636BBE0BAB9}"/>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6219EC76-2E7D-47A3-ADF9-32E3924554B0}"/>
    <cellStyle name="Currency 5 3 2 2 2 3 2 3" xfId="12735" xr:uid="{B0A3110D-DCF7-4222-A2C0-5E8CE0900AB5}"/>
    <cellStyle name="Currency 5 3 2 2 2 3 3" xfId="5481" xr:uid="{00000000-0005-0000-0000-00008F0C0000}"/>
    <cellStyle name="Currency 5 3 2 2 2 3 3 2" xfId="14807" xr:uid="{37EAE8E4-664A-4F46-8132-6892A963709E}"/>
    <cellStyle name="Currency 5 3 2 2 2 3 4" xfId="10590" xr:uid="{92B3A5D0-B2A9-414C-A6B4-0D4C1CE2865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E0796769-41E7-4E95-A9B0-8D9F2FD86AD8}"/>
    <cellStyle name="Currency 5 3 2 2 2 4 2 3" xfId="13148" xr:uid="{92AE2233-28D0-4C5A-B8C1-64528F644571}"/>
    <cellStyle name="Currency 5 3 2 2 2 4 3" xfId="5894" xr:uid="{00000000-0005-0000-0000-0000930C0000}"/>
    <cellStyle name="Currency 5 3 2 2 2 4 3 2" xfId="15220" xr:uid="{B067C62B-569F-4076-86C5-77C54BA33574}"/>
    <cellStyle name="Currency 5 3 2 2 2 4 4" xfId="11003" xr:uid="{EE0C5913-5358-4E98-97C2-A295F07F426E}"/>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40B24E48-856E-4520-8882-EB539BF60852}"/>
    <cellStyle name="Currency 5 3 2 2 2 5 2 3" xfId="13561" xr:uid="{2FE9A4FC-F9DB-4D9B-AEE7-16C6F0B037A3}"/>
    <cellStyle name="Currency 5 3 2 2 2 5 3" xfId="6307" xr:uid="{00000000-0005-0000-0000-0000970C0000}"/>
    <cellStyle name="Currency 5 3 2 2 2 5 3 2" xfId="15633" xr:uid="{55F1A4C7-F476-4C77-AFE0-46951F5CB462}"/>
    <cellStyle name="Currency 5 3 2 2 2 5 4" xfId="11416" xr:uid="{8C1754FC-CD6F-42EB-B859-D6D32B306F1A}"/>
    <cellStyle name="Currency 5 3 2 2 2 6" xfId="2436" xr:uid="{00000000-0005-0000-0000-0000980C0000}"/>
    <cellStyle name="Currency 5 3 2 2 2 6 2" xfId="6720" xr:uid="{00000000-0005-0000-0000-0000990C0000}"/>
    <cellStyle name="Currency 5 3 2 2 2 6 2 2" xfId="16046" xr:uid="{00E5B2B2-2325-477D-8DCE-715F37B33DB5}"/>
    <cellStyle name="Currency 5 3 2 2 2 6 3" xfId="11829" xr:uid="{5873B99E-00DC-4630-927A-78F96244B186}"/>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347892FC-BBAB-4489-9ACC-42FAAB021A1B}"/>
    <cellStyle name="Currency 5 3 2 2 2 8 3" xfId="12146" xr:uid="{086709DD-8541-451F-8B31-0FF159DF2A88}"/>
    <cellStyle name="Currency 5 3 2 2 2 9" xfId="4654" xr:uid="{00000000-0005-0000-0000-00009D0C0000}"/>
    <cellStyle name="Currency 5 3 2 2 2 9 2" xfId="13980" xr:uid="{2DA113D9-CA68-4814-9269-658292A0163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E401CF60-C9F7-4678-B106-705326BBF993}"/>
    <cellStyle name="Currency 5 3 2 2 3 2 3" xfId="12321" xr:uid="{B3027077-9AA4-4AC2-BC8D-686ECF41C8FB}"/>
    <cellStyle name="Currency 5 3 2 2 3 3" xfId="5067" xr:uid="{00000000-0005-0000-0000-0000A10C0000}"/>
    <cellStyle name="Currency 5 3 2 2 3 3 2" xfId="14393" xr:uid="{FF1A9AE6-5D8C-4CE8-9BD8-03E581CA6BD3}"/>
    <cellStyle name="Currency 5 3 2 2 3 4" xfId="9338" xr:uid="{E79296CA-9516-4DDA-84B2-A3B13AAA9D9D}"/>
    <cellStyle name="Currency 5 3 2 2 3 5" xfId="10176" xr:uid="{99A9947B-A61B-44BF-8568-38B0734DEEB9}"/>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FC1BAD6B-72DD-4CD8-8ACF-21FCC38AC3AA}"/>
    <cellStyle name="Currency 5 3 2 2 4 2 3" xfId="12734" xr:uid="{2AA62A1B-D8D9-44A5-81B6-1D7F7DC37402}"/>
    <cellStyle name="Currency 5 3 2 2 4 3" xfId="5480" xr:uid="{00000000-0005-0000-0000-0000A50C0000}"/>
    <cellStyle name="Currency 5 3 2 2 4 3 2" xfId="14806" xr:uid="{1051DBF6-C6CD-40AC-A691-3E5A071A30B2}"/>
    <cellStyle name="Currency 5 3 2 2 4 4" xfId="10589" xr:uid="{1892DB99-F69E-49AF-A547-DD7263576CC3}"/>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46118D04-ABDB-450D-ACA8-8CB2E84DD142}"/>
    <cellStyle name="Currency 5 3 2 2 5 2 3" xfId="13147" xr:uid="{2ECBF5C9-6E2C-4266-9DCF-29038ACC669A}"/>
    <cellStyle name="Currency 5 3 2 2 5 3" xfId="5893" xr:uid="{00000000-0005-0000-0000-0000A90C0000}"/>
    <cellStyle name="Currency 5 3 2 2 5 3 2" xfId="15219" xr:uid="{205EC61A-820F-40BF-898E-3C023D19514F}"/>
    <cellStyle name="Currency 5 3 2 2 5 4" xfId="11002" xr:uid="{AA1AF85C-5BB2-4922-A34C-EA4B986DE7C8}"/>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5CCF8584-AAB4-42F4-A2D5-4D83A3D110E0}"/>
    <cellStyle name="Currency 5 3 2 2 6 2 3" xfId="13560" xr:uid="{FBE825F7-6A7A-456E-8C87-8E8AF433E6A2}"/>
    <cellStyle name="Currency 5 3 2 2 6 3" xfId="6306" xr:uid="{00000000-0005-0000-0000-0000AD0C0000}"/>
    <cellStyle name="Currency 5 3 2 2 6 3 2" xfId="15632" xr:uid="{F2313503-A17E-4D2D-983F-70CC5F5F7CA3}"/>
    <cellStyle name="Currency 5 3 2 2 6 4" xfId="11415" xr:uid="{495BE83F-EC86-4794-832F-1D2FAC8B474A}"/>
    <cellStyle name="Currency 5 3 2 2 7" xfId="2435" xr:uid="{00000000-0005-0000-0000-0000AE0C0000}"/>
    <cellStyle name="Currency 5 3 2 2 7 2" xfId="6719" xr:uid="{00000000-0005-0000-0000-0000AF0C0000}"/>
    <cellStyle name="Currency 5 3 2 2 7 2 2" xfId="16045" xr:uid="{C6E0E2BC-75A6-4BC6-AF16-55C80E0C5CB9}"/>
    <cellStyle name="Currency 5 3 2 2 7 3" xfId="11828" xr:uid="{02D17253-FABC-490B-AD30-F721BE0C530B}"/>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36889866-9BAD-4082-973B-C6D58E166A37}"/>
    <cellStyle name="Currency 5 3 2 2 9 3" xfId="12145" xr:uid="{23A56136-EBA6-4E39-A78D-96E2785C0F3E}"/>
    <cellStyle name="Currency 5 3 2 3" xfId="213" xr:uid="{00000000-0005-0000-0000-0000B30C0000}"/>
    <cellStyle name="Currency 5 3 2 3 10" xfId="9017" xr:uid="{A6213F8D-EE09-4095-B9BE-99C55DEE210F}"/>
    <cellStyle name="Currency 5 3 2 3 11" xfId="9764" xr:uid="{BD069059-01B3-418B-9EA3-886BFD284C2E}"/>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2EAA9BA8-A132-4383-98E7-BF05886855CA}"/>
    <cellStyle name="Currency 5 3 2 3 2 2 3" xfId="12323" xr:uid="{BFC8486B-0D61-42F9-A492-0433EF95E429}"/>
    <cellStyle name="Currency 5 3 2 3 2 3" xfId="5069" xr:uid="{00000000-0005-0000-0000-0000B70C0000}"/>
    <cellStyle name="Currency 5 3 2 3 2 3 2" xfId="14395" xr:uid="{C204A709-DEF2-4063-81A4-BB204BB11B20}"/>
    <cellStyle name="Currency 5 3 2 3 2 4" xfId="9442" xr:uid="{AE48BD1F-B5DA-4007-BBEE-128FE2FE74D7}"/>
    <cellStyle name="Currency 5 3 2 3 2 5" xfId="10178" xr:uid="{26948E1D-2200-4C91-A500-AE7A214D2EB4}"/>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05F36029-DA75-44EC-87B6-0EEFA381B9EF}"/>
    <cellStyle name="Currency 5 3 2 3 3 2 3" xfId="12736" xr:uid="{528C1E2F-935A-43A1-AD9C-01D8036DE864}"/>
    <cellStyle name="Currency 5 3 2 3 3 3" xfId="5482" xr:uid="{00000000-0005-0000-0000-0000BB0C0000}"/>
    <cellStyle name="Currency 5 3 2 3 3 3 2" xfId="14808" xr:uid="{04229CB2-3BD8-45C1-87BF-B6ED94B0AEE4}"/>
    <cellStyle name="Currency 5 3 2 3 3 4" xfId="10591" xr:uid="{491D2DAA-3C02-4027-B243-3FA31CE73248}"/>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3B2E7982-28E5-4E86-8257-F219430F48C4}"/>
    <cellStyle name="Currency 5 3 2 3 4 2 3" xfId="13149" xr:uid="{35ED4156-7C20-4FE7-A89C-BF0761D2140C}"/>
    <cellStyle name="Currency 5 3 2 3 4 3" xfId="5895" xr:uid="{00000000-0005-0000-0000-0000BF0C0000}"/>
    <cellStyle name="Currency 5 3 2 3 4 3 2" xfId="15221" xr:uid="{9D789C76-98C9-42DD-BE9E-A20616F57523}"/>
    <cellStyle name="Currency 5 3 2 3 4 4" xfId="11004" xr:uid="{166AB301-6958-4C12-AF39-7CF3DAC47A2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CB608187-0812-47B0-924D-EC76C0962A91}"/>
    <cellStyle name="Currency 5 3 2 3 5 2 3" xfId="13562" xr:uid="{4762010A-0FC1-4F73-9EE8-810CDD208DE7}"/>
    <cellStyle name="Currency 5 3 2 3 5 3" xfId="6308" xr:uid="{00000000-0005-0000-0000-0000C30C0000}"/>
    <cellStyle name="Currency 5 3 2 3 5 3 2" xfId="15634" xr:uid="{08C0E519-B087-4DF4-8053-1085D91F0C64}"/>
    <cellStyle name="Currency 5 3 2 3 5 4" xfId="11417" xr:uid="{1EC3DF9E-B481-4E4E-A346-25DC82C96188}"/>
    <cellStyle name="Currency 5 3 2 3 6" xfId="2437" xr:uid="{00000000-0005-0000-0000-0000C40C0000}"/>
    <cellStyle name="Currency 5 3 2 3 6 2" xfId="6721" xr:uid="{00000000-0005-0000-0000-0000C50C0000}"/>
    <cellStyle name="Currency 5 3 2 3 6 2 2" xfId="16047" xr:uid="{A06E6C4A-0B40-4801-AD83-4638B2440249}"/>
    <cellStyle name="Currency 5 3 2 3 6 3" xfId="11830" xr:uid="{BB757A9F-80A8-4068-9130-BD43A74203BC}"/>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52AC6237-5F0D-4AD7-809D-D4CD14C8D304}"/>
    <cellStyle name="Currency 5 3 2 3 8 3" xfId="12147" xr:uid="{F3425AF4-6C8D-442C-B489-213FB97A5B90}"/>
    <cellStyle name="Currency 5 3 2 3 9" xfId="4655" xr:uid="{00000000-0005-0000-0000-0000C90C0000}"/>
    <cellStyle name="Currency 5 3 2 3 9 2" xfId="13981" xr:uid="{3B0A853E-041A-4D95-9878-63CA7DC6596D}"/>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AB771DFC-1E7E-4572-993C-A2531AF644CA}"/>
    <cellStyle name="Currency 5 3 2 4 2 3" xfId="12320" xr:uid="{CFBBD8D2-8B9B-4786-AD53-413446BAFED1}"/>
    <cellStyle name="Currency 5 3 2 4 3" xfId="5066" xr:uid="{00000000-0005-0000-0000-0000CD0C0000}"/>
    <cellStyle name="Currency 5 3 2 4 3 2" xfId="14392" xr:uid="{ACCDC0DE-6B63-4606-BA5D-6995E3D55847}"/>
    <cellStyle name="Currency 5 3 2 4 4" xfId="9235" xr:uid="{F2FD4117-6EF1-4663-964A-AB5B57E6F469}"/>
    <cellStyle name="Currency 5 3 2 4 5" xfId="10175" xr:uid="{78D62F0E-DDC1-4950-8F6B-1078E5368A7C}"/>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D0AD1E4E-B879-467D-80CC-CDA5B4DDC895}"/>
    <cellStyle name="Currency 5 3 2 5 2 3" xfId="12733" xr:uid="{4F41A4E8-E0A9-4D5E-88E4-6197C268A9D8}"/>
    <cellStyle name="Currency 5 3 2 5 3" xfId="5479" xr:uid="{00000000-0005-0000-0000-0000D10C0000}"/>
    <cellStyle name="Currency 5 3 2 5 3 2" xfId="14805" xr:uid="{CD95E1AA-87C9-486C-8396-46246EF5C120}"/>
    <cellStyle name="Currency 5 3 2 5 4" xfId="10588" xr:uid="{87330BC1-3BD1-43B1-94A7-A1071A702243}"/>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A0D94416-DFD7-4E85-BC0F-185DED62708E}"/>
    <cellStyle name="Currency 5 3 2 6 2 3" xfId="13146" xr:uid="{F428F2C0-F62A-4452-A259-8104BA2C1467}"/>
    <cellStyle name="Currency 5 3 2 6 3" xfId="5892" xr:uid="{00000000-0005-0000-0000-0000D50C0000}"/>
    <cellStyle name="Currency 5 3 2 6 3 2" xfId="15218" xr:uid="{064AA2A4-CB25-465B-AD89-B42941EF4284}"/>
    <cellStyle name="Currency 5 3 2 6 4" xfId="11001" xr:uid="{17848C2E-44F2-4031-9B29-D4277AD389AC}"/>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4FFAF6F3-B279-459F-8E95-EFF845B2B13C}"/>
    <cellStyle name="Currency 5 3 2 7 2 3" xfId="13559" xr:uid="{50CECFED-868E-4D90-8156-16AEFA199B03}"/>
    <cellStyle name="Currency 5 3 2 7 3" xfId="6305" xr:uid="{00000000-0005-0000-0000-0000D90C0000}"/>
    <cellStyle name="Currency 5 3 2 7 3 2" xfId="15631" xr:uid="{01EA73BA-D428-4587-9066-6C29DAC6A311}"/>
    <cellStyle name="Currency 5 3 2 7 4" xfId="11414" xr:uid="{BF9726BD-AE88-4524-A917-B7F0F623F8C3}"/>
    <cellStyle name="Currency 5 3 2 8" xfId="2434" xr:uid="{00000000-0005-0000-0000-0000DA0C0000}"/>
    <cellStyle name="Currency 5 3 2 8 2" xfId="6718" xr:uid="{00000000-0005-0000-0000-0000DB0C0000}"/>
    <cellStyle name="Currency 5 3 2 8 2 2" xfId="16044" xr:uid="{0F551380-FCA7-4F46-AF1B-60F359AFEB6B}"/>
    <cellStyle name="Currency 5 3 2 8 3" xfId="11827" xr:uid="{5923D806-0FC5-4679-AD6A-86C3DEE545D5}"/>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71AB3BD2-8145-4F1C-B346-389A7BB74B72}"/>
    <cellStyle name="Currency 5 3 3 11" xfId="8882" xr:uid="{A86B3ED4-B552-42F3-9E77-C6763F86EEE6}"/>
    <cellStyle name="Currency 5 3 3 12" xfId="9765" xr:uid="{7315CE5F-4527-4359-8486-867C32AFE445}"/>
    <cellStyle name="Currency 5 3 3 2" xfId="215" xr:uid="{00000000-0005-0000-0000-0000DF0C0000}"/>
    <cellStyle name="Currency 5 3 3 2 10" xfId="9089" xr:uid="{7CFB8DCC-02AE-4CC5-8E10-3D33399ECECE}"/>
    <cellStyle name="Currency 5 3 3 2 11" xfId="9766" xr:uid="{5A095385-F629-4AB2-AFA1-B48DE2A65957}"/>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AC2E51B9-7D68-463E-9B81-1A9FDFCD0AD3}"/>
    <cellStyle name="Currency 5 3 3 2 2 2 3" xfId="12325" xr:uid="{00C49803-54D5-47B4-9571-0EDA9DE3188A}"/>
    <cellStyle name="Currency 5 3 3 2 2 3" xfId="5071" xr:uid="{00000000-0005-0000-0000-0000E30C0000}"/>
    <cellStyle name="Currency 5 3 3 2 2 3 2" xfId="14397" xr:uid="{070D39AE-CF08-46B7-9B2E-056287BB59D4}"/>
    <cellStyle name="Currency 5 3 3 2 2 4" xfId="9514" xr:uid="{9A504F43-6423-4200-B7AF-F17B65B2005C}"/>
    <cellStyle name="Currency 5 3 3 2 2 5" xfId="10180" xr:uid="{DB540532-F884-4D83-9484-16C3F0803253}"/>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81217394-D1EC-4717-A7E0-582C68F61E5E}"/>
    <cellStyle name="Currency 5 3 3 2 3 2 3" xfId="12738" xr:uid="{66D5E357-2FD2-4C25-BC06-9BAD548CA1D8}"/>
    <cellStyle name="Currency 5 3 3 2 3 3" xfId="5484" xr:uid="{00000000-0005-0000-0000-0000E70C0000}"/>
    <cellStyle name="Currency 5 3 3 2 3 3 2" xfId="14810" xr:uid="{5176773D-C45D-4541-8669-84D40F7C13A0}"/>
    <cellStyle name="Currency 5 3 3 2 3 4" xfId="10593" xr:uid="{A15B527C-DB49-4C9E-934F-D55D74C3C33E}"/>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B984AA17-26E2-4A97-9E78-02311C39BE2B}"/>
    <cellStyle name="Currency 5 3 3 2 4 2 3" xfId="13151" xr:uid="{0F26EB66-8E1F-4139-ABA0-91AE489D6E26}"/>
    <cellStyle name="Currency 5 3 3 2 4 3" xfId="5897" xr:uid="{00000000-0005-0000-0000-0000EB0C0000}"/>
    <cellStyle name="Currency 5 3 3 2 4 3 2" xfId="15223" xr:uid="{28517307-B4CB-4D93-A1CE-D2BE944CDCBF}"/>
    <cellStyle name="Currency 5 3 3 2 4 4" xfId="11006" xr:uid="{DB8572A7-3096-4322-8477-DD783FEBD4EB}"/>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E476FFA9-0F4C-42C5-BB98-90102F6BBD8E}"/>
    <cellStyle name="Currency 5 3 3 2 5 2 3" xfId="13564" xr:uid="{876C9E89-E5E9-46CA-92B6-1177493E0109}"/>
    <cellStyle name="Currency 5 3 3 2 5 3" xfId="6310" xr:uid="{00000000-0005-0000-0000-0000EF0C0000}"/>
    <cellStyle name="Currency 5 3 3 2 5 3 2" xfId="15636" xr:uid="{D606110B-CA28-43C1-BC86-4AAC0B70BB73}"/>
    <cellStyle name="Currency 5 3 3 2 5 4" xfId="11419" xr:uid="{0703B268-7EF4-460E-987F-91A88B9FF7AD}"/>
    <cellStyle name="Currency 5 3 3 2 6" xfId="2439" xr:uid="{00000000-0005-0000-0000-0000F00C0000}"/>
    <cellStyle name="Currency 5 3 3 2 6 2" xfId="6723" xr:uid="{00000000-0005-0000-0000-0000F10C0000}"/>
    <cellStyle name="Currency 5 3 3 2 6 2 2" xfId="16049" xr:uid="{DA865EA8-A8DF-4066-A2AD-7594B88029F3}"/>
    <cellStyle name="Currency 5 3 3 2 6 3" xfId="11832" xr:uid="{78C4147C-6B3E-4756-A5E6-BF46A7C88462}"/>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E82FD644-CBA5-465D-8442-4E08C38538E5}"/>
    <cellStyle name="Currency 5 3 3 2 8 3" xfId="12149" xr:uid="{0D01A7D7-786A-424B-9CC4-C1D0F051B14F}"/>
    <cellStyle name="Currency 5 3 3 2 9" xfId="4657" xr:uid="{00000000-0005-0000-0000-0000F50C0000}"/>
    <cellStyle name="Currency 5 3 3 2 9 2" xfId="13983" xr:uid="{0D12FA3B-EEC3-43D4-820A-C1845965087B}"/>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DAD53C4F-88F7-4374-9D21-33F71C4F07F9}"/>
    <cellStyle name="Currency 5 3 3 3 2 3" xfId="12324" xr:uid="{961B39BD-EBD6-4099-8101-F397E63ADC72}"/>
    <cellStyle name="Currency 5 3 3 3 3" xfId="5070" xr:uid="{00000000-0005-0000-0000-0000F90C0000}"/>
    <cellStyle name="Currency 5 3 3 3 3 2" xfId="14396" xr:uid="{3B22D0E9-37EB-4EBA-BC15-6FCFD990E4E5}"/>
    <cellStyle name="Currency 5 3 3 3 4" xfId="9307" xr:uid="{3F0512A0-B779-46E4-A963-62E327C6AC5F}"/>
    <cellStyle name="Currency 5 3 3 3 5" xfId="10179" xr:uid="{EC7213E7-38B3-402A-9AA3-08A03CF65B2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79765890-3367-4299-8D21-A7CB53FBD895}"/>
    <cellStyle name="Currency 5 3 3 4 2 3" xfId="12737" xr:uid="{8B9E1B0C-2544-4FED-A482-0B8228423BB9}"/>
    <cellStyle name="Currency 5 3 3 4 3" xfId="5483" xr:uid="{00000000-0005-0000-0000-0000FD0C0000}"/>
    <cellStyle name="Currency 5 3 3 4 3 2" xfId="14809" xr:uid="{475A2C84-ED59-4E75-9591-2F71EF2D7116}"/>
    <cellStyle name="Currency 5 3 3 4 4" xfId="10592" xr:uid="{0001801E-C43F-44A2-B256-12B0D2943500}"/>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6348866D-5C12-4330-865A-89CE82EDBDDD}"/>
    <cellStyle name="Currency 5 3 3 5 2 3" xfId="13150" xr:uid="{50EE2F04-B1D7-4F92-9F20-2413D27A56AF}"/>
    <cellStyle name="Currency 5 3 3 5 3" xfId="5896" xr:uid="{00000000-0005-0000-0000-0000010D0000}"/>
    <cellStyle name="Currency 5 3 3 5 3 2" xfId="15222" xr:uid="{16CEF984-A26E-44F5-8545-87400E5EFA10}"/>
    <cellStyle name="Currency 5 3 3 5 4" xfId="11005" xr:uid="{98AEC5BF-C4A6-410E-A081-E8EED6E41F19}"/>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82D1C70F-4A98-41C2-849F-63B4E2077C7B}"/>
    <cellStyle name="Currency 5 3 3 6 2 3" xfId="13563" xr:uid="{1C8E9B40-1754-467F-A2B1-AFC2F22E18C3}"/>
    <cellStyle name="Currency 5 3 3 6 3" xfId="6309" xr:uid="{00000000-0005-0000-0000-0000050D0000}"/>
    <cellStyle name="Currency 5 3 3 6 3 2" xfId="15635" xr:uid="{B62A1232-FFC9-4439-A605-FAB288D0EADE}"/>
    <cellStyle name="Currency 5 3 3 6 4" xfId="11418" xr:uid="{EE12F7C5-1B9A-4F4E-8E45-4F997E74B901}"/>
    <cellStyle name="Currency 5 3 3 7" xfId="2438" xr:uid="{00000000-0005-0000-0000-0000060D0000}"/>
    <cellStyle name="Currency 5 3 3 7 2" xfId="6722" xr:uid="{00000000-0005-0000-0000-0000070D0000}"/>
    <cellStyle name="Currency 5 3 3 7 2 2" xfId="16048" xr:uid="{979DB30F-6453-4BC4-8C67-7580B03CD0D3}"/>
    <cellStyle name="Currency 5 3 3 7 3" xfId="11831" xr:uid="{2F95161E-3ED0-4CBD-9CFD-A6EF93929938}"/>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78DB86A4-8F38-4DBF-B09E-2A42127AD162}"/>
    <cellStyle name="Currency 5 3 3 9 3" xfId="12148" xr:uid="{F1DF04BF-E4B7-41C2-9C1C-8972C0B85841}"/>
    <cellStyle name="Currency 5 3 4" xfId="216" xr:uid="{00000000-0005-0000-0000-00000B0D0000}"/>
    <cellStyle name="Currency 5 3 4 10" xfId="8986" xr:uid="{4F6CFA4A-F10A-4043-AD92-C0A3F7F06459}"/>
    <cellStyle name="Currency 5 3 4 11" xfId="9767" xr:uid="{B4668EB1-63DE-4888-A20D-7BAA1F2022B8}"/>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00904F6B-5D25-4F17-A37D-169A9CCC69E4}"/>
    <cellStyle name="Currency 5 3 4 2 2 3" xfId="12326" xr:uid="{1EAFC736-F3CA-4380-B0C5-E77947E9B827}"/>
    <cellStyle name="Currency 5 3 4 2 3" xfId="5072" xr:uid="{00000000-0005-0000-0000-00000F0D0000}"/>
    <cellStyle name="Currency 5 3 4 2 3 2" xfId="14398" xr:uid="{C6ADD965-9E7E-4CF9-8A24-A98910C0CC2B}"/>
    <cellStyle name="Currency 5 3 4 2 4" xfId="9411" xr:uid="{2729DEB6-408B-463E-B468-91D932C31FD7}"/>
    <cellStyle name="Currency 5 3 4 2 5" xfId="10181" xr:uid="{53165BB4-58B6-4739-B0E6-CD8D8101D18B}"/>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89367BFB-DD76-4223-8DF7-D96D13DB2A2F}"/>
    <cellStyle name="Currency 5 3 4 3 2 3" xfId="12739" xr:uid="{430FBEEC-3AEB-4B73-B2A2-D311BB31BE05}"/>
    <cellStyle name="Currency 5 3 4 3 3" xfId="5485" xr:uid="{00000000-0005-0000-0000-0000130D0000}"/>
    <cellStyle name="Currency 5 3 4 3 3 2" xfId="14811" xr:uid="{A55F605C-7E10-426C-B47F-7766F2A90038}"/>
    <cellStyle name="Currency 5 3 4 3 4" xfId="10594" xr:uid="{9DB23900-7A3F-43CC-B3A2-13918024E228}"/>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ACC52A13-F2C4-4FBB-B564-CA9B5B66BE39}"/>
    <cellStyle name="Currency 5 3 4 4 2 3" xfId="13152" xr:uid="{1A0D8597-8289-43DA-8D4B-DED50BEFB328}"/>
    <cellStyle name="Currency 5 3 4 4 3" xfId="5898" xr:uid="{00000000-0005-0000-0000-0000170D0000}"/>
    <cellStyle name="Currency 5 3 4 4 3 2" xfId="15224" xr:uid="{0E4C5CFB-16CA-4EF5-A133-A580E15D92CA}"/>
    <cellStyle name="Currency 5 3 4 4 4" xfId="11007" xr:uid="{80AAB766-2B04-442F-91C2-80325DFFFE0A}"/>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B7CC60E7-1822-4050-BD4D-3EEB2202A2E6}"/>
    <cellStyle name="Currency 5 3 4 5 2 3" xfId="13565" xr:uid="{246B3A73-D560-4FEB-AB9C-FF07F4D01A77}"/>
    <cellStyle name="Currency 5 3 4 5 3" xfId="6311" xr:uid="{00000000-0005-0000-0000-00001B0D0000}"/>
    <cellStyle name="Currency 5 3 4 5 3 2" xfId="15637" xr:uid="{BBDF9F7D-E8E9-418B-8DFE-8F13A97E5AA4}"/>
    <cellStyle name="Currency 5 3 4 5 4" xfId="11420" xr:uid="{86CC420E-8EFF-4862-B425-85E51FCC3DDE}"/>
    <cellStyle name="Currency 5 3 4 6" xfId="2440" xr:uid="{00000000-0005-0000-0000-00001C0D0000}"/>
    <cellStyle name="Currency 5 3 4 6 2" xfId="6724" xr:uid="{00000000-0005-0000-0000-00001D0D0000}"/>
    <cellStyle name="Currency 5 3 4 6 2 2" xfId="16050" xr:uid="{62ACA49C-38B8-4DFE-997C-37F5794AA8A6}"/>
    <cellStyle name="Currency 5 3 4 6 3" xfId="11833" xr:uid="{5AE9075B-EA09-4266-8DDA-5D24EDA79B87}"/>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14F2A798-869A-4E3E-BCF4-D2F4DDF2EA36}"/>
    <cellStyle name="Currency 5 3 4 8 3" xfId="12150" xr:uid="{99B8F767-18FA-4140-BE11-9D1063574990}"/>
    <cellStyle name="Currency 5 3 4 9" xfId="4658" xr:uid="{00000000-0005-0000-0000-0000210D0000}"/>
    <cellStyle name="Currency 5 3 4 9 2" xfId="13984" xr:uid="{38CC3FCD-D910-4AFB-B365-A6F1F459FB75}"/>
    <cellStyle name="Currency 5 3 5" xfId="217" xr:uid="{00000000-0005-0000-0000-0000220D0000}"/>
    <cellStyle name="Currency 5 3 5 10" xfId="9203" xr:uid="{6167CBBD-227C-4457-B6B6-18EF5C089771}"/>
    <cellStyle name="Currency 5 3 5 11" xfId="9768" xr:uid="{E71579EE-46E8-4B7B-99BD-3FDCBD10B283}"/>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C6DECDF7-F108-4FD8-AD87-676A1A6F7DFE}"/>
    <cellStyle name="Currency 5 3 5 2 2 3" xfId="12327" xr:uid="{99525D97-17B2-47F1-B092-1B186E486B2D}"/>
    <cellStyle name="Currency 5 3 5 2 3" xfId="5073" xr:uid="{00000000-0005-0000-0000-0000260D0000}"/>
    <cellStyle name="Currency 5 3 5 2 3 2" xfId="14399" xr:uid="{F0F8D392-34EE-46C7-B4D8-79082AEBC055}"/>
    <cellStyle name="Currency 5 3 5 2 4" xfId="9600" xr:uid="{650A4058-48FE-4F3E-8845-8F52DF332026}"/>
    <cellStyle name="Currency 5 3 5 2 5" xfId="10182" xr:uid="{CC6283AE-81D7-4ECE-B4FA-1CDF84D5B3BB}"/>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66AB8AA0-4441-4B63-B3CF-A70101728EBD}"/>
    <cellStyle name="Currency 5 3 5 3 2 3" xfId="12740" xr:uid="{97F2227E-A2B6-45D6-8202-A27BD7592FA3}"/>
    <cellStyle name="Currency 5 3 5 3 3" xfId="5486" xr:uid="{00000000-0005-0000-0000-00002A0D0000}"/>
    <cellStyle name="Currency 5 3 5 3 3 2" xfId="14812" xr:uid="{F684F6EF-7DE6-4539-882F-1C24E57D1F33}"/>
    <cellStyle name="Currency 5 3 5 3 4" xfId="10595" xr:uid="{EFE8EB45-A6EF-4083-9D1B-7D8E0B547E21}"/>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3176E454-D1DF-45AD-BCCE-E40749F622A6}"/>
    <cellStyle name="Currency 5 3 5 4 2 3" xfId="13153" xr:uid="{F3C6C705-B983-4131-91C1-C0C6CFBDB4B7}"/>
    <cellStyle name="Currency 5 3 5 4 3" xfId="5899" xr:uid="{00000000-0005-0000-0000-00002E0D0000}"/>
    <cellStyle name="Currency 5 3 5 4 3 2" xfId="15225" xr:uid="{5E5AC3B1-B6A4-47AB-9609-A0AECB429F1A}"/>
    <cellStyle name="Currency 5 3 5 4 4" xfId="11008" xr:uid="{BF041CC8-D68E-40A9-BB43-B5840FF36046}"/>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724BE017-4F6A-4BB3-93DA-25274BD9677E}"/>
    <cellStyle name="Currency 5 3 5 5 2 3" xfId="13566" xr:uid="{3C41526D-FD06-403B-81F5-48CCC4A2BCE3}"/>
    <cellStyle name="Currency 5 3 5 5 3" xfId="6312" xr:uid="{00000000-0005-0000-0000-0000320D0000}"/>
    <cellStyle name="Currency 5 3 5 5 3 2" xfId="15638" xr:uid="{D45080CC-F890-4217-88B6-9AE721D5D481}"/>
    <cellStyle name="Currency 5 3 5 5 4" xfId="11421" xr:uid="{D7FAEB03-8034-4BD8-9E23-989D07422D93}"/>
    <cellStyle name="Currency 5 3 5 6" xfId="2441" xr:uid="{00000000-0005-0000-0000-0000330D0000}"/>
    <cellStyle name="Currency 5 3 5 6 2" xfId="6725" xr:uid="{00000000-0005-0000-0000-0000340D0000}"/>
    <cellStyle name="Currency 5 3 5 6 2 2" xfId="16051" xr:uid="{EEAAA331-5397-45B5-9572-ACECE012D212}"/>
    <cellStyle name="Currency 5 3 5 6 3" xfId="11834" xr:uid="{20189F2E-1537-453F-A09A-226176D237DD}"/>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1647F58A-9F9E-4CAB-A728-E6D775B09439}"/>
    <cellStyle name="Currency 5 3 5 8 3" xfId="12151" xr:uid="{A1201E52-FFF3-4F66-A207-F948E632642E}"/>
    <cellStyle name="Currency 5 3 5 9" xfId="4659" xr:uid="{00000000-0005-0000-0000-0000380D0000}"/>
    <cellStyle name="Currency 5 3 5 9 2" xfId="13985" xr:uid="{C3393886-C56D-406B-8FC0-AF761D158684}"/>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98AEE0FC-D185-4BC1-89FE-984D4E1AC8EA}"/>
    <cellStyle name="Currency 5 5 11" xfId="8850" xr:uid="{8F129173-F323-478F-8B06-1E2599EB26C1}"/>
    <cellStyle name="Currency 5 5 12" xfId="9769" xr:uid="{434CF79B-D058-424A-9AB7-2AA5EF2527C7}"/>
    <cellStyle name="Currency 5 5 2" xfId="220" xr:uid="{00000000-0005-0000-0000-00003D0D0000}"/>
    <cellStyle name="Currency 5 5 2 10" xfId="9057" xr:uid="{90E61E49-0971-4EC1-90D8-E015846E4FB2}"/>
    <cellStyle name="Currency 5 5 2 11" xfId="9770" xr:uid="{6F94F43C-57C9-41D5-A2B4-2DF945C07687}"/>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E5EBD941-43A0-4E76-9947-B0CE46109C56}"/>
    <cellStyle name="Currency 5 5 2 2 2 3" xfId="12329" xr:uid="{31EB915D-3AD8-414D-9FFA-2A26C7618BEA}"/>
    <cellStyle name="Currency 5 5 2 2 3" xfId="5075" xr:uid="{00000000-0005-0000-0000-0000410D0000}"/>
    <cellStyle name="Currency 5 5 2 2 3 2" xfId="14401" xr:uid="{B7820949-1D95-4B10-9B41-A242DD01EEDA}"/>
    <cellStyle name="Currency 5 5 2 2 4" xfId="9482" xr:uid="{ECEE3E7C-42CD-4A2D-A90F-D54FFBA7E41F}"/>
    <cellStyle name="Currency 5 5 2 2 5" xfId="10184" xr:uid="{EB889454-CC9F-4967-A173-F42BD0DE2173}"/>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54683E34-CF16-4A60-B000-286DA7269917}"/>
    <cellStyle name="Currency 5 5 2 3 2 3" xfId="12742" xr:uid="{B22B9718-54A0-4795-8712-DA7585B9B16E}"/>
    <cellStyle name="Currency 5 5 2 3 3" xfId="5488" xr:uid="{00000000-0005-0000-0000-0000450D0000}"/>
    <cellStyle name="Currency 5 5 2 3 3 2" xfId="14814" xr:uid="{E225D2A2-9740-452F-8FC7-5B3A19F004A0}"/>
    <cellStyle name="Currency 5 5 2 3 4" xfId="10597" xr:uid="{6D239870-D158-4183-BFE1-33B4EEC0B3EB}"/>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FDC96A91-6083-4FA2-ABB1-3F84389100D7}"/>
    <cellStyle name="Currency 5 5 2 4 2 3" xfId="13155" xr:uid="{0BF04112-DA68-47B2-96C1-DBD0642BF321}"/>
    <cellStyle name="Currency 5 5 2 4 3" xfId="5901" xr:uid="{00000000-0005-0000-0000-0000490D0000}"/>
    <cellStyle name="Currency 5 5 2 4 3 2" xfId="15227" xr:uid="{5D16E177-779A-4917-8F0B-30607C096BC6}"/>
    <cellStyle name="Currency 5 5 2 4 4" xfId="11010" xr:uid="{99003E69-32E2-47F8-9896-5DF502404985}"/>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9F243775-6F56-4117-8FCE-5EC2AC033389}"/>
    <cellStyle name="Currency 5 5 2 5 2 3" xfId="13568" xr:uid="{079A63C4-6E1C-4332-BDF1-CD062D283C25}"/>
    <cellStyle name="Currency 5 5 2 5 3" xfId="6314" xr:uid="{00000000-0005-0000-0000-00004D0D0000}"/>
    <cellStyle name="Currency 5 5 2 5 3 2" xfId="15640" xr:uid="{4CF100AD-81CA-49CE-A90B-DA14FF6D4A82}"/>
    <cellStyle name="Currency 5 5 2 5 4" xfId="11423" xr:uid="{279219B1-3A9D-4FCD-85EF-5D090D80F3E5}"/>
    <cellStyle name="Currency 5 5 2 6" xfId="2443" xr:uid="{00000000-0005-0000-0000-00004E0D0000}"/>
    <cellStyle name="Currency 5 5 2 6 2" xfId="6727" xr:uid="{00000000-0005-0000-0000-00004F0D0000}"/>
    <cellStyle name="Currency 5 5 2 6 2 2" xfId="16053" xr:uid="{CAE6F811-5CEB-4B89-A70B-ED0876F50E98}"/>
    <cellStyle name="Currency 5 5 2 6 3" xfId="11836" xr:uid="{799A84D4-8AE7-453A-AF88-8A4A1DF43016}"/>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0A799F91-969B-4B00-83B5-EE41E8F8E6A9}"/>
    <cellStyle name="Currency 5 5 2 8 3" xfId="12153" xr:uid="{1AF1AD11-A084-4B85-A297-F5B662ED3771}"/>
    <cellStyle name="Currency 5 5 2 9" xfId="4661" xr:uid="{00000000-0005-0000-0000-0000530D0000}"/>
    <cellStyle name="Currency 5 5 2 9 2" xfId="13987" xr:uid="{CFC7329C-2E95-4EF6-ADCF-635790C87FF1}"/>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1C384DAE-5A79-4E22-9AE1-F7EC8853925D}"/>
    <cellStyle name="Currency 5 5 3 2 3" xfId="12328" xr:uid="{4B153690-7BAE-4747-BDCA-0DB56EE323B3}"/>
    <cellStyle name="Currency 5 5 3 3" xfId="5074" xr:uid="{00000000-0005-0000-0000-0000570D0000}"/>
    <cellStyle name="Currency 5 5 3 3 2" xfId="14400" xr:uid="{E88E8CFA-DB52-46FB-A7EF-DE24A271483C}"/>
    <cellStyle name="Currency 5 5 3 4" xfId="9275" xr:uid="{54783F20-34E5-4A58-80AE-EC7CC69A89C9}"/>
    <cellStyle name="Currency 5 5 3 5" xfId="10183" xr:uid="{CA31FC0B-49F4-4DFE-9317-693FED32177C}"/>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F1FD81CF-9F19-438F-B396-76696B666544}"/>
    <cellStyle name="Currency 5 5 4 2 3" xfId="12741" xr:uid="{29206094-C287-41F2-8369-F9E79048A8E7}"/>
    <cellStyle name="Currency 5 5 4 3" xfId="5487" xr:uid="{00000000-0005-0000-0000-00005B0D0000}"/>
    <cellStyle name="Currency 5 5 4 3 2" xfId="14813" xr:uid="{9C480192-3AF5-421A-81D3-365E2AE47D52}"/>
    <cellStyle name="Currency 5 5 4 4" xfId="10596" xr:uid="{A0A55543-F7C5-46AF-8425-2750AA318D19}"/>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9F81E73C-8FD6-4A8A-8068-9ED22EC8DD6E}"/>
    <cellStyle name="Currency 5 5 5 2 3" xfId="13154" xr:uid="{69498798-40A1-4846-BBE2-50B294E90F0B}"/>
    <cellStyle name="Currency 5 5 5 3" xfId="5900" xr:uid="{00000000-0005-0000-0000-00005F0D0000}"/>
    <cellStyle name="Currency 5 5 5 3 2" xfId="15226" xr:uid="{1F9A47DA-6E85-444D-B477-C89747F72E7E}"/>
    <cellStyle name="Currency 5 5 5 4" xfId="11009" xr:uid="{23C1E6DC-F80D-4570-96EF-835313A69E53}"/>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165F9D1A-D6EB-432B-A054-206FD7428314}"/>
    <cellStyle name="Currency 5 5 6 2 3" xfId="13567" xr:uid="{3C258A1B-09A6-472C-8A4C-26EE6A97067C}"/>
    <cellStyle name="Currency 5 5 6 3" xfId="6313" xr:uid="{00000000-0005-0000-0000-0000630D0000}"/>
    <cellStyle name="Currency 5 5 6 3 2" xfId="15639" xr:uid="{0F550A70-2EE9-4A83-8B1A-A6D19EBF8CCA}"/>
    <cellStyle name="Currency 5 5 6 4" xfId="11422" xr:uid="{74292CAC-1350-4A02-8107-2C47EB865A06}"/>
    <cellStyle name="Currency 5 5 7" xfId="2442" xr:uid="{00000000-0005-0000-0000-0000640D0000}"/>
    <cellStyle name="Currency 5 5 7 2" xfId="6726" xr:uid="{00000000-0005-0000-0000-0000650D0000}"/>
    <cellStyle name="Currency 5 5 7 2 2" xfId="16052" xr:uid="{F8871EDD-92EB-4C04-870A-B3883E1C3BC6}"/>
    <cellStyle name="Currency 5 5 7 3" xfId="11835" xr:uid="{7F02A00C-5C03-49F6-9C47-EC741AC3AE77}"/>
    <cellStyle name="Currency 5 5 8" xfId="2739" xr:uid="{00000000-0005-0000-0000-0000660D0000}"/>
    <cellStyle name="Currency 5 5 9" xfId="2820" xr:uid="{00000000-0005-0000-0000-0000670D0000}"/>
    <cellStyle name="Currency 5 5 9 2" xfId="7043" xr:uid="{00000000-0005-0000-0000-0000680D0000}"/>
    <cellStyle name="Currency 5 5 9 2 2" xfId="16369" xr:uid="{3034CFB0-4959-424F-A8E5-A5D9C2AE725D}"/>
    <cellStyle name="Currency 5 5 9 3" xfId="12152" xr:uid="{9E9BD8A2-4C90-4B53-9235-AFD7945578B3}"/>
    <cellStyle name="Currency 5 6" xfId="221" xr:uid="{00000000-0005-0000-0000-0000690D0000}"/>
    <cellStyle name="Currency 5 6 10" xfId="8966" xr:uid="{EC95BD1E-EAA8-4043-BDA7-06F3BBDBC3D5}"/>
    <cellStyle name="Currency 5 6 11" xfId="9771" xr:uid="{B3F3B970-092B-455E-8C0D-CDFA50518CEA}"/>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2600249C-84B7-47B8-A29D-359C4E7D51E3}"/>
    <cellStyle name="Currency 5 6 2 2 3" xfId="12330" xr:uid="{C5D32B75-3E8F-446A-A00C-8919A1C6A4A7}"/>
    <cellStyle name="Currency 5 6 2 3" xfId="5076" xr:uid="{00000000-0005-0000-0000-00006D0D0000}"/>
    <cellStyle name="Currency 5 6 2 3 2" xfId="14402" xr:uid="{1056B144-B9F9-4DCA-A6FB-45ABE197D62D}"/>
    <cellStyle name="Currency 5 6 2 4" xfId="9391" xr:uid="{8CBF3F74-51EC-4402-B96A-0759E6537FC7}"/>
    <cellStyle name="Currency 5 6 2 5" xfId="10185" xr:uid="{5FDCCEFF-EC41-4F9F-AF2E-5AF9C4D19C25}"/>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CFF9E0B9-E9B8-4758-90AF-484E8C12F454}"/>
    <cellStyle name="Currency 5 6 3 2 3" xfId="12743" xr:uid="{3BC93FED-C179-4CB1-BFD3-CF71DAF68704}"/>
    <cellStyle name="Currency 5 6 3 3" xfId="5489" xr:uid="{00000000-0005-0000-0000-0000710D0000}"/>
    <cellStyle name="Currency 5 6 3 3 2" xfId="14815" xr:uid="{1234FDC6-9D23-4F98-BD58-F732DC51193C}"/>
    <cellStyle name="Currency 5 6 3 4" xfId="10598" xr:uid="{ED1B95A0-CA09-4087-8C1A-E808370261F9}"/>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27941085-BE6C-424D-892E-FFB6289B5B4A}"/>
    <cellStyle name="Currency 5 6 4 2 3" xfId="13156" xr:uid="{76E43FAC-0606-4B82-B868-CC065C7AFF37}"/>
    <cellStyle name="Currency 5 6 4 3" xfId="5902" xr:uid="{00000000-0005-0000-0000-0000750D0000}"/>
    <cellStyle name="Currency 5 6 4 3 2" xfId="15228" xr:uid="{3E6E9019-CF9A-416F-9787-3A4234BAF64B}"/>
    <cellStyle name="Currency 5 6 4 4" xfId="11011" xr:uid="{D4B272B3-6AB8-4344-946F-A42719A53DE2}"/>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3712D054-EFC3-410F-8096-4956588F7DBB}"/>
    <cellStyle name="Currency 5 6 5 2 3" xfId="13569" xr:uid="{BB458FCF-D1C2-4438-B059-9595C0EE06FE}"/>
    <cellStyle name="Currency 5 6 5 3" xfId="6315" xr:uid="{00000000-0005-0000-0000-0000790D0000}"/>
    <cellStyle name="Currency 5 6 5 3 2" xfId="15641" xr:uid="{A696421B-E99C-4D45-BB3A-05B4ED49A50E}"/>
    <cellStyle name="Currency 5 6 5 4" xfId="11424" xr:uid="{BE47B784-7FF5-46E5-B1C0-D19A044AE137}"/>
    <cellStyle name="Currency 5 6 6" xfId="2444" xr:uid="{00000000-0005-0000-0000-00007A0D0000}"/>
    <cellStyle name="Currency 5 6 6 2" xfId="6728" xr:uid="{00000000-0005-0000-0000-00007B0D0000}"/>
    <cellStyle name="Currency 5 6 6 2 2" xfId="16054" xr:uid="{39C39C4F-E2F7-45FA-A2CB-5B59554E9553}"/>
    <cellStyle name="Currency 5 6 6 3" xfId="11837" xr:uid="{8B081818-7F07-4542-AFD1-AF784DB34516}"/>
    <cellStyle name="Currency 5 6 7" xfId="2741" xr:uid="{00000000-0005-0000-0000-00007C0D0000}"/>
    <cellStyle name="Currency 5 6 8" xfId="2822" xr:uid="{00000000-0005-0000-0000-00007D0D0000}"/>
    <cellStyle name="Currency 5 6 8 2" xfId="7045" xr:uid="{00000000-0005-0000-0000-00007E0D0000}"/>
    <cellStyle name="Currency 5 6 8 2 2" xfId="16371" xr:uid="{A877D3D9-99F8-4C3A-A66B-EE1DC10E82D0}"/>
    <cellStyle name="Currency 5 6 8 3" xfId="12154" xr:uid="{D623AADA-A185-44C0-8373-4C9A9102D1C9}"/>
    <cellStyle name="Currency 5 6 9" xfId="4662" xr:uid="{00000000-0005-0000-0000-00007F0D0000}"/>
    <cellStyle name="Currency 5 6 9 2" xfId="13988" xr:uid="{550F8C91-F9D0-44C5-942B-89029AE9DD8A}"/>
    <cellStyle name="Currency 5 7" xfId="222" xr:uid="{00000000-0005-0000-0000-0000800D0000}"/>
    <cellStyle name="Currency 5 7 10" xfId="9169" xr:uid="{7A886DE7-136A-429E-90E2-A7C712D111D8}"/>
    <cellStyle name="Currency 5 7 11" xfId="9772" xr:uid="{9F108AD0-DA59-4FF0-8581-AB427AF1DCB3}"/>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117F9169-0CA9-4F5A-A54F-3EDC118215F4}"/>
    <cellStyle name="Currency 5 7 2 2 3" xfId="12331" xr:uid="{18163482-FD37-48A5-904F-0E335F4A83F0}"/>
    <cellStyle name="Currency 5 7 2 3" xfId="5077" xr:uid="{00000000-0005-0000-0000-0000840D0000}"/>
    <cellStyle name="Currency 5 7 2 3 2" xfId="14403" xr:uid="{BD3717DC-B2B1-4656-AFF9-294B2EC1BCA3}"/>
    <cellStyle name="Currency 5 7 2 4" xfId="9601" xr:uid="{DC93A830-0AF1-4EC4-B764-C728922F3FEF}"/>
    <cellStyle name="Currency 5 7 2 5" xfId="10186" xr:uid="{7A3F610C-794F-4809-9C58-B145927B2EC5}"/>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7ED0A3F9-0B36-43BB-B935-DC31DD259FD4}"/>
    <cellStyle name="Currency 5 7 3 2 3" xfId="12744" xr:uid="{9BB04F57-EF41-462C-878C-5667F31D98F5}"/>
    <cellStyle name="Currency 5 7 3 3" xfId="5490" xr:uid="{00000000-0005-0000-0000-0000880D0000}"/>
    <cellStyle name="Currency 5 7 3 3 2" xfId="14816" xr:uid="{E989CE55-110E-4E99-B41C-90F117ADC80E}"/>
    <cellStyle name="Currency 5 7 3 4" xfId="10599" xr:uid="{30E77D99-C64B-4D55-9563-7259B3043B3A}"/>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62E1990C-2AED-4B3B-BA99-61E004C3DDFA}"/>
    <cellStyle name="Currency 5 7 4 2 3" xfId="13157" xr:uid="{09A09D20-2B6C-46EB-A394-60C4DBFF6ECC}"/>
    <cellStyle name="Currency 5 7 4 3" xfId="5903" xr:uid="{00000000-0005-0000-0000-00008C0D0000}"/>
    <cellStyle name="Currency 5 7 4 3 2" xfId="15229" xr:uid="{4C1E40DB-FD61-498D-9231-34DF10640DAB}"/>
    <cellStyle name="Currency 5 7 4 4" xfId="11012" xr:uid="{B77F2A99-9566-4E3E-B85E-CAD0D17B9F88}"/>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B69C822F-DCC9-4FFB-90A9-02676B0F2C67}"/>
    <cellStyle name="Currency 5 7 5 2 3" xfId="13570" xr:uid="{27387593-4A88-4BE2-ACD4-CAF87489CF77}"/>
    <cellStyle name="Currency 5 7 5 3" xfId="6316" xr:uid="{00000000-0005-0000-0000-0000900D0000}"/>
    <cellStyle name="Currency 5 7 5 3 2" xfId="15642" xr:uid="{72A123C6-EDC4-49F1-B861-BC2593A67ECF}"/>
    <cellStyle name="Currency 5 7 5 4" xfId="11425" xr:uid="{E2D9231D-036D-4084-9B16-78C1CB47A9AB}"/>
    <cellStyle name="Currency 5 7 6" xfId="2445" xr:uid="{00000000-0005-0000-0000-0000910D0000}"/>
    <cellStyle name="Currency 5 7 6 2" xfId="6729" xr:uid="{00000000-0005-0000-0000-0000920D0000}"/>
    <cellStyle name="Currency 5 7 6 2 2" xfId="16055" xr:uid="{C7F27A0B-D078-4D77-8155-929D62FB5E78}"/>
    <cellStyle name="Currency 5 7 6 3" xfId="11838" xr:uid="{AD115D87-82F1-42F7-8375-20C157A709EF}"/>
    <cellStyle name="Currency 5 7 7" xfId="2742" xr:uid="{00000000-0005-0000-0000-0000930D0000}"/>
    <cellStyle name="Currency 5 7 8" xfId="2823" xr:uid="{00000000-0005-0000-0000-0000940D0000}"/>
    <cellStyle name="Currency 5 7 8 2" xfId="7046" xr:uid="{00000000-0005-0000-0000-0000950D0000}"/>
    <cellStyle name="Currency 5 7 8 2 2" xfId="16372" xr:uid="{435D54FC-3AD4-4660-BA03-6EDA32662240}"/>
    <cellStyle name="Currency 5 7 8 3" xfId="12155" xr:uid="{53B2549A-7E13-4CF2-85D3-49FEBB1255A3}"/>
    <cellStyle name="Currency 5 7 9" xfId="4663" xr:uid="{00000000-0005-0000-0000-0000960D0000}"/>
    <cellStyle name="Currency 5 7 9 2" xfId="13989" xr:uid="{72070F6D-D7C5-46AD-A9BB-A2FF3CB003B1}"/>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6293F297-34EA-478B-8B89-76D591BF1B95}"/>
    <cellStyle name="Normal 12 10 3" xfId="11839" xr:uid="{9FB21979-909F-4379-AF9C-6E64A587E1E1}"/>
    <cellStyle name="Normal 12 11" xfId="4664" xr:uid="{00000000-0005-0000-0000-0000CC0D0000}"/>
    <cellStyle name="Normal 12 11 2" xfId="13990" xr:uid="{9FC919A6-E1D2-42BE-BFF6-A2753843E709}"/>
    <cellStyle name="Normal 12 12" xfId="8770" xr:uid="{16E7F001-A88D-4413-825E-78352A31064A}"/>
    <cellStyle name="Normal 12 13" xfId="9773" xr:uid="{9AFB32C5-552E-49AB-94A7-E86688472F50}"/>
    <cellStyle name="Normal 12 2" xfId="260" xr:uid="{00000000-0005-0000-0000-0000CD0D0000}"/>
    <cellStyle name="Normal 12 2 10" xfId="8811" xr:uid="{C610EFA7-DF28-475D-A7AA-61B6675A083B}"/>
    <cellStyle name="Normal 12 2 11" xfId="9774" xr:uid="{BCD7792D-1F80-46E8-B2A4-6980F10A0083}"/>
    <cellStyle name="Normal 12 2 2" xfId="261" xr:uid="{00000000-0005-0000-0000-0000CE0D0000}"/>
    <cellStyle name="Normal 12 2 2 10" xfId="9775" xr:uid="{962ABBDB-45B7-4479-BF2C-0094129D32CC}"/>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9DA2BD29-3244-4F07-A6DB-F1DF1F4E3222}"/>
    <cellStyle name="Normal 12 2 2 2 2 2 3" xfId="12335" xr:uid="{E0446F7D-67D6-437D-AC79-2ED9DBF42A01}"/>
    <cellStyle name="Normal 12 2 2 2 2 3" xfId="5081" xr:uid="{00000000-0005-0000-0000-0000D30D0000}"/>
    <cellStyle name="Normal 12 2 2 2 2 3 2" xfId="14407" xr:uid="{B465D05C-1205-404A-AD8E-8381A061691D}"/>
    <cellStyle name="Normal 12 2 2 2 2 4" xfId="9546" xr:uid="{609DE280-4DA3-4355-9F1C-9E01708347EA}"/>
    <cellStyle name="Normal 12 2 2 2 2 5" xfId="10190" xr:uid="{BCDF4260-34BB-4138-A8E1-417D0678921F}"/>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62D05734-4635-4BB5-803E-5EEA963B11D2}"/>
    <cellStyle name="Normal 12 2 2 2 3 2 3" xfId="12748" xr:uid="{2DAA0141-53FB-44A5-AD5D-C34899FBD338}"/>
    <cellStyle name="Normal 12 2 2 2 3 3" xfId="5494" xr:uid="{00000000-0005-0000-0000-0000D70D0000}"/>
    <cellStyle name="Normal 12 2 2 2 3 3 2" xfId="14820" xr:uid="{86E75C1D-9D03-4345-A0E0-E93FC5FDD317}"/>
    <cellStyle name="Normal 12 2 2 2 3 4" xfId="10603" xr:uid="{6E47E95E-3901-4CD7-BBB7-DFDEBBAA7A7B}"/>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6FDB7091-5AB9-448B-BFAA-43748797592A}"/>
    <cellStyle name="Normal 12 2 2 2 4 2 3" xfId="13161" xr:uid="{CDC370DC-3FB3-46EB-A0DB-E09E5FAB0CAC}"/>
    <cellStyle name="Normal 12 2 2 2 4 3" xfId="5907" xr:uid="{00000000-0005-0000-0000-0000DB0D0000}"/>
    <cellStyle name="Normal 12 2 2 2 4 3 2" xfId="15233" xr:uid="{A396BEBE-7DE5-4C76-86B7-7EC7537F185F}"/>
    <cellStyle name="Normal 12 2 2 2 4 4" xfId="11016" xr:uid="{F4531B34-087E-4272-A3F0-5240E256D15E}"/>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600200E1-EE6B-4862-82E0-746082BADD36}"/>
    <cellStyle name="Normal 12 2 2 2 5 2 3" xfId="13574" xr:uid="{6FA2D309-7140-491F-92BD-A4997146CA9A}"/>
    <cellStyle name="Normal 12 2 2 2 5 3" xfId="6320" xr:uid="{00000000-0005-0000-0000-0000DF0D0000}"/>
    <cellStyle name="Normal 12 2 2 2 5 3 2" xfId="15646" xr:uid="{4BF85FB7-9105-4172-A14D-791BDEB030D3}"/>
    <cellStyle name="Normal 12 2 2 2 5 4" xfId="11429" xr:uid="{1B1D314B-1CC4-4270-B9E9-C201D709C996}"/>
    <cellStyle name="Normal 12 2 2 2 6" xfId="2450" xr:uid="{00000000-0005-0000-0000-0000E00D0000}"/>
    <cellStyle name="Normal 12 2 2 2 6 2" xfId="6733" xr:uid="{00000000-0005-0000-0000-0000E10D0000}"/>
    <cellStyle name="Normal 12 2 2 2 6 2 2" xfId="16059" xr:uid="{E2BF4FD6-57C3-43C2-851A-8406B0C9D7F4}"/>
    <cellStyle name="Normal 12 2 2 2 6 3" xfId="11842" xr:uid="{E13A4A3E-AA25-4FB6-A13E-CF6BCD0E66DA}"/>
    <cellStyle name="Normal 12 2 2 2 7" xfId="4667" xr:uid="{00000000-0005-0000-0000-0000E20D0000}"/>
    <cellStyle name="Normal 12 2 2 2 7 2" xfId="13993" xr:uid="{6C1DEE6A-AB1E-43BF-8AAF-A32E3FABE8CD}"/>
    <cellStyle name="Normal 12 2 2 2 8" xfId="9121" xr:uid="{527C15BB-BE4D-46AB-9317-CC8E6838C91D}"/>
    <cellStyle name="Normal 12 2 2 2 9" xfId="9776" xr:uid="{F2722896-E929-4B30-B90A-DF4BDDEFC45A}"/>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26DA6EC2-CFF1-4BF6-BA88-DDF71EA72073}"/>
    <cellStyle name="Normal 12 2 2 3 2 3" xfId="12334" xr:uid="{8A82EF14-A623-4C26-9DAC-F3E2BFD63B1B}"/>
    <cellStyle name="Normal 12 2 2 3 3" xfId="5080" xr:uid="{00000000-0005-0000-0000-0000E60D0000}"/>
    <cellStyle name="Normal 12 2 2 3 3 2" xfId="14406" xr:uid="{410B2A7A-A783-4798-A378-FEAAA3E67436}"/>
    <cellStyle name="Normal 12 2 2 3 4" xfId="9339" xr:uid="{F3F800C1-92DF-4F1F-A561-C3F3C7F8BAD1}"/>
    <cellStyle name="Normal 12 2 2 3 5" xfId="10189" xr:uid="{B1489121-1742-47F5-A74D-D9A1E12708CC}"/>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D6EA2714-AD75-46B1-BE06-E36331720B07}"/>
    <cellStyle name="Normal 12 2 2 4 2 3" xfId="12747" xr:uid="{EB141814-9599-4485-ACF4-F56DA6D0FE5F}"/>
    <cellStyle name="Normal 12 2 2 4 3" xfId="5493" xr:uid="{00000000-0005-0000-0000-0000EA0D0000}"/>
    <cellStyle name="Normal 12 2 2 4 3 2" xfId="14819" xr:uid="{39C9401A-4742-4912-8AB5-8BB899EEA6E3}"/>
    <cellStyle name="Normal 12 2 2 4 4" xfId="10602" xr:uid="{3F6693C1-1863-40A0-8580-86D329837606}"/>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94F67BE3-870E-4382-A1AE-F4127FBC4A85}"/>
    <cellStyle name="Normal 12 2 2 5 2 3" xfId="13160" xr:uid="{4D8EB555-7310-48B4-9A7D-E4843F8B0411}"/>
    <cellStyle name="Normal 12 2 2 5 3" xfId="5906" xr:uid="{00000000-0005-0000-0000-0000EE0D0000}"/>
    <cellStyle name="Normal 12 2 2 5 3 2" xfId="15232" xr:uid="{E6E016EF-2E58-4401-8FB0-FDDA13844030}"/>
    <cellStyle name="Normal 12 2 2 5 4" xfId="11015" xr:uid="{EF3917ED-B1D3-41C6-8E05-15B72436B9C9}"/>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0847B72A-002A-43C6-B7B2-6CB49F93D9CF}"/>
    <cellStyle name="Normal 12 2 2 6 2 3" xfId="13573" xr:uid="{265A14CB-B80D-4338-939D-08F7574642C9}"/>
    <cellStyle name="Normal 12 2 2 6 3" xfId="6319" xr:uid="{00000000-0005-0000-0000-0000F20D0000}"/>
    <cellStyle name="Normal 12 2 2 6 3 2" xfId="15645" xr:uid="{2A8CC3E8-8DD3-433D-9E48-BDEBFA7D8BB2}"/>
    <cellStyle name="Normal 12 2 2 6 4" xfId="11428" xr:uid="{9AF1B970-4714-4B93-81F4-0D8114439A70}"/>
    <cellStyle name="Normal 12 2 2 7" xfId="2449" xr:uid="{00000000-0005-0000-0000-0000F30D0000}"/>
    <cellStyle name="Normal 12 2 2 7 2" xfId="6732" xr:uid="{00000000-0005-0000-0000-0000F40D0000}"/>
    <cellStyle name="Normal 12 2 2 7 2 2" xfId="16058" xr:uid="{80DA3F96-016F-4D34-922A-AA8AD1ECA793}"/>
    <cellStyle name="Normal 12 2 2 7 3" xfId="11841" xr:uid="{6836024C-7D40-418B-A38A-ECE7181AF354}"/>
    <cellStyle name="Normal 12 2 2 8" xfId="4666" xr:uid="{00000000-0005-0000-0000-0000F50D0000}"/>
    <cellStyle name="Normal 12 2 2 8 2" xfId="13992" xr:uid="{87CE8E51-7FFE-470D-B7F6-E7BC6834401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150D6859-64F1-4213-9BEB-1010680D6FE0}"/>
    <cellStyle name="Normal 12 2 3 2 2 3" xfId="12336" xr:uid="{9B8D62F0-25D6-43BF-A123-9D9C367EDC14}"/>
    <cellStyle name="Normal 12 2 3 2 3" xfId="5082" xr:uid="{00000000-0005-0000-0000-0000FA0D0000}"/>
    <cellStyle name="Normal 12 2 3 2 3 2" xfId="14408" xr:uid="{8014E96D-FDE3-4221-952E-0BEF281D94C5}"/>
    <cellStyle name="Normal 12 2 3 2 4" xfId="9443" xr:uid="{61F0A971-1285-4215-8170-49D07520551A}"/>
    <cellStyle name="Normal 12 2 3 2 5" xfId="10191" xr:uid="{4C950F5B-7EC6-4BEC-96AA-D7BFA26B5BF8}"/>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1694A035-40BC-4F0A-89A4-CB36CFDF80A2}"/>
    <cellStyle name="Normal 12 2 3 3 2 3" xfId="12749" xr:uid="{8B35F14B-1CFB-4BD3-8A5C-26570B9CB06B}"/>
    <cellStyle name="Normal 12 2 3 3 3" xfId="5495" xr:uid="{00000000-0005-0000-0000-0000FE0D0000}"/>
    <cellStyle name="Normal 12 2 3 3 3 2" xfId="14821" xr:uid="{DCC6B1A8-D6AE-4041-8EDE-4075D1E39779}"/>
    <cellStyle name="Normal 12 2 3 3 4" xfId="10604" xr:uid="{19BA89CB-2251-4372-81E6-D22091A19786}"/>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E6193546-720D-4237-95A7-661B0C9808C8}"/>
    <cellStyle name="Normal 12 2 3 4 2 3" xfId="13162" xr:uid="{D6285A3F-9F1B-4BD2-B038-CFD21BB423ED}"/>
    <cellStyle name="Normal 12 2 3 4 3" xfId="5908" xr:uid="{00000000-0005-0000-0000-0000020E0000}"/>
    <cellStyle name="Normal 12 2 3 4 3 2" xfId="15234" xr:uid="{AB500BC7-F95F-4EAB-8213-841F1BD3AC7A}"/>
    <cellStyle name="Normal 12 2 3 4 4" xfId="11017" xr:uid="{5116E447-07A2-48FE-AF59-C92E9E5F95F7}"/>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508B0520-977B-401E-87F4-034D16FCC8A1}"/>
    <cellStyle name="Normal 12 2 3 5 2 3" xfId="13575" xr:uid="{75EB1F65-183F-42E5-AD48-C88918F3110B}"/>
    <cellStyle name="Normal 12 2 3 5 3" xfId="6321" xr:uid="{00000000-0005-0000-0000-0000060E0000}"/>
    <cellStyle name="Normal 12 2 3 5 3 2" xfId="15647" xr:uid="{6EDFE6A1-263E-47F9-9D25-874FE6AA7B51}"/>
    <cellStyle name="Normal 12 2 3 5 4" xfId="11430" xr:uid="{19B42E2A-E71F-43E4-9057-CEBA5F485F8A}"/>
    <cellStyle name="Normal 12 2 3 6" xfId="2451" xr:uid="{00000000-0005-0000-0000-0000070E0000}"/>
    <cellStyle name="Normal 12 2 3 6 2" xfId="6734" xr:uid="{00000000-0005-0000-0000-0000080E0000}"/>
    <cellStyle name="Normal 12 2 3 6 2 2" xfId="16060" xr:uid="{F793C035-0A57-4A9C-B191-4057272441DB}"/>
    <cellStyle name="Normal 12 2 3 6 3" xfId="11843" xr:uid="{C082BB5C-F343-469B-9FD0-D393C5B7666B}"/>
    <cellStyle name="Normal 12 2 3 7" xfId="4668" xr:uid="{00000000-0005-0000-0000-0000090E0000}"/>
    <cellStyle name="Normal 12 2 3 7 2" xfId="13994" xr:uid="{C43A44E7-7158-44CB-8F2B-6D62B412AC1A}"/>
    <cellStyle name="Normal 12 2 3 8" xfId="9018" xr:uid="{C3F41DC6-3A80-4145-A68D-169ABB54B6D0}"/>
    <cellStyle name="Normal 12 2 3 9" xfId="9777" xr:uid="{B77D41B9-3DBB-436F-A2A9-BE2231C4F221}"/>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12E776EB-93DD-44CB-BF32-695A967EA089}"/>
    <cellStyle name="Normal 12 2 4 2 3" xfId="12333" xr:uid="{2E748C61-D7E9-4A1D-87AF-585510E8241D}"/>
    <cellStyle name="Normal 12 2 4 3" xfId="5079" xr:uid="{00000000-0005-0000-0000-00000D0E0000}"/>
    <cellStyle name="Normal 12 2 4 3 2" xfId="14405" xr:uid="{0EAD31CC-4C05-4598-AFCC-2BA9A2A259C8}"/>
    <cellStyle name="Normal 12 2 4 4" xfId="9236" xr:uid="{C3D0196D-4BB3-4870-9762-A3CF40E5B45B}"/>
    <cellStyle name="Normal 12 2 4 5" xfId="10188" xr:uid="{A6E7832C-C2C3-484B-BF4C-A4C619558184}"/>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2BB638A4-B181-4FBA-9D01-0A969EF2340D}"/>
    <cellStyle name="Normal 12 2 5 2 3" xfId="12746" xr:uid="{4510B961-A15B-4062-ACAD-71CD0E3BA387}"/>
    <cellStyle name="Normal 12 2 5 3" xfId="5492" xr:uid="{00000000-0005-0000-0000-0000110E0000}"/>
    <cellStyle name="Normal 12 2 5 3 2" xfId="14818" xr:uid="{B07A132E-C6BB-4672-B646-F60BB2D46F40}"/>
    <cellStyle name="Normal 12 2 5 4" xfId="10601" xr:uid="{C2ACA83A-D59D-457F-B7BA-E4CE2FD090F9}"/>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F1551CE0-9E38-428A-9064-2E8E7236C123}"/>
    <cellStyle name="Normal 12 2 6 2 3" xfId="13159" xr:uid="{1EF0D8E8-1470-45F4-A92B-C4726AAAA652}"/>
    <cellStyle name="Normal 12 2 6 3" xfId="5905" xr:uid="{00000000-0005-0000-0000-0000150E0000}"/>
    <cellStyle name="Normal 12 2 6 3 2" xfId="15231" xr:uid="{2128367A-7E57-4715-9797-FBEE7FBA9763}"/>
    <cellStyle name="Normal 12 2 6 4" xfId="11014" xr:uid="{A18379FC-EDDF-4974-A44C-24707A874F5D}"/>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45352825-8D13-4A9B-B263-5EAAB9FCC009}"/>
    <cellStyle name="Normal 12 2 7 2 3" xfId="13572" xr:uid="{12CCF787-2105-41A2-AF45-90ED37EA6C1A}"/>
    <cellStyle name="Normal 12 2 7 3" xfId="6318" xr:uid="{00000000-0005-0000-0000-0000190E0000}"/>
    <cellStyle name="Normal 12 2 7 3 2" xfId="15644" xr:uid="{0764CCD7-298B-40AC-B52D-9A111D2798FA}"/>
    <cellStyle name="Normal 12 2 7 4" xfId="11427" xr:uid="{11FD34C3-558A-4A10-BA9D-12314679F2DD}"/>
    <cellStyle name="Normal 12 2 8" xfId="2448" xr:uid="{00000000-0005-0000-0000-00001A0E0000}"/>
    <cellStyle name="Normal 12 2 8 2" xfId="6731" xr:uid="{00000000-0005-0000-0000-00001B0E0000}"/>
    <cellStyle name="Normal 12 2 8 2 2" xfId="16057" xr:uid="{6CBD6774-CE21-4A9C-8BD4-C27E7C7623A6}"/>
    <cellStyle name="Normal 12 2 8 3" xfId="11840" xr:uid="{420E61FA-DA23-4C6B-A3C0-0BF6B74C2ABB}"/>
    <cellStyle name="Normal 12 2 9" xfId="4665" xr:uid="{00000000-0005-0000-0000-00001C0E0000}"/>
    <cellStyle name="Normal 12 2 9 2" xfId="13991" xr:uid="{B781BF37-5A32-4DAE-AD9C-A19EA879A67B}"/>
    <cellStyle name="Normal 12 3" xfId="264" xr:uid="{00000000-0005-0000-0000-00001D0E0000}"/>
    <cellStyle name="Normal 12 3 10" xfId="9778" xr:uid="{21004091-F9A7-47D1-8848-B12B22D2D103}"/>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88E7A464-C0C3-498E-B9AA-FCBFD8AB4859}"/>
    <cellStyle name="Normal 12 3 2 2 2 3" xfId="12338" xr:uid="{CA2314D0-3B41-46D3-9C1D-9E4BADDB8D69}"/>
    <cellStyle name="Normal 12 3 2 2 3" xfId="5084" xr:uid="{00000000-0005-0000-0000-0000220E0000}"/>
    <cellStyle name="Normal 12 3 2 2 3 2" xfId="14410" xr:uid="{299ABCB2-4E3E-4091-B377-1815EE9A2E20}"/>
    <cellStyle name="Normal 12 3 2 2 4" xfId="9505" xr:uid="{B127619B-367D-40AD-851E-01DDBB2DCD13}"/>
    <cellStyle name="Normal 12 3 2 2 5" xfId="10193" xr:uid="{FC83657B-F99F-4503-A57B-2689F9E1282D}"/>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752BC6C3-BDEA-4249-8914-89F4680F34EB}"/>
    <cellStyle name="Normal 12 3 2 3 2 3" xfId="12751" xr:uid="{F0683DFB-43B2-4753-AF02-11CB6014B27D}"/>
    <cellStyle name="Normal 12 3 2 3 3" xfId="5497" xr:uid="{00000000-0005-0000-0000-0000260E0000}"/>
    <cellStyle name="Normal 12 3 2 3 3 2" xfId="14823" xr:uid="{DF695E1F-916E-4F15-93F9-6D0825A56BC0}"/>
    <cellStyle name="Normal 12 3 2 3 4" xfId="10606" xr:uid="{B91520B5-E68A-45F8-ABC1-02BE4282FDC2}"/>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CECFBD8E-18EF-4A9A-925F-DFE2C0ED1BB0}"/>
    <cellStyle name="Normal 12 3 2 4 2 3" xfId="13164" xr:uid="{B698D000-AC00-4CAE-9BBC-824A2B14FC95}"/>
    <cellStyle name="Normal 12 3 2 4 3" xfId="5910" xr:uid="{00000000-0005-0000-0000-00002A0E0000}"/>
    <cellStyle name="Normal 12 3 2 4 3 2" xfId="15236" xr:uid="{4FEEC3C2-8209-4CE1-864C-3D98382CB929}"/>
    <cellStyle name="Normal 12 3 2 4 4" xfId="11019" xr:uid="{DB7E2CD3-8E6F-42A4-AD62-46AC4E6E748C}"/>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DC81AD51-48BE-4666-8D51-3BFE3F9EF3D8}"/>
    <cellStyle name="Normal 12 3 2 5 2 3" xfId="13577" xr:uid="{33338217-691A-4B82-8DA1-1C511D44A780}"/>
    <cellStyle name="Normal 12 3 2 5 3" xfId="6323" xr:uid="{00000000-0005-0000-0000-00002E0E0000}"/>
    <cellStyle name="Normal 12 3 2 5 3 2" xfId="15649" xr:uid="{6E054F01-7C58-4725-A846-D5ECE3D37A62}"/>
    <cellStyle name="Normal 12 3 2 5 4" xfId="11432" xr:uid="{A8463C1F-1959-47D0-94BC-FDFB52CE4F16}"/>
    <cellStyle name="Normal 12 3 2 6" xfId="2453" xr:uid="{00000000-0005-0000-0000-00002F0E0000}"/>
    <cellStyle name="Normal 12 3 2 6 2" xfId="6736" xr:uid="{00000000-0005-0000-0000-0000300E0000}"/>
    <cellStyle name="Normal 12 3 2 6 2 2" xfId="16062" xr:uid="{B214EE6A-D7DD-4267-9D7E-37B7C8DDBD65}"/>
    <cellStyle name="Normal 12 3 2 6 3" xfId="11845" xr:uid="{723BCBF1-5F79-4666-BAF1-2B0B5BC008E1}"/>
    <cellStyle name="Normal 12 3 2 7" xfId="4670" xr:uid="{00000000-0005-0000-0000-0000310E0000}"/>
    <cellStyle name="Normal 12 3 2 7 2" xfId="13996" xr:uid="{788CAE00-8692-449D-9CF7-58AA78668CCA}"/>
    <cellStyle name="Normal 12 3 2 8" xfId="9080" xr:uid="{403F3083-4A9F-4295-B676-C31241B8936E}"/>
    <cellStyle name="Normal 12 3 2 9" xfId="9779" xr:uid="{2A6E79B1-D015-4B83-B490-8A265FE2A004}"/>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F890D959-9875-468B-862E-611401593735}"/>
    <cellStyle name="Normal 12 3 3 2 3" xfId="12337" xr:uid="{C6D04C66-E774-4156-86CC-B0AEB256098A}"/>
    <cellStyle name="Normal 12 3 3 3" xfId="5083" xr:uid="{00000000-0005-0000-0000-0000350E0000}"/>
    <cellStyle name="Normal 12 3 3 3 2" xfId="14409" xr:uid="{59E3B925-6681-4CF0-A28A-40BCDCF7CDC0}"/>
    <cellStyle name="Normal 12 3 3 4" xfId="9298" xr:uid="{A6F9D711-F86A-406D-B160-91678C261745}"/>
    <cellStyle name="Normal 12 3 3 5" xfId="10192" xr:uid="{4E924F3A-07C5-46D4-82FC-6B950452823A}"/>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4DCE7CC0-04B4-41B2-94C8-0E63B84EA405}"/>
    <cellStyle name="Normal 12 3 4 2 3" xfId="12750" xr:uid="{719B7401-20C0-4D29-AE91-96395187E661}"/>
    <cellStyle name="Normal 12 3 4 3" xfId="5496" xr:uid="{00000000-0005-0000-0000-0000390E0000}"/>
    <cellStyle name="Normal 12 3 4 3 2" xfId="14822" xr:uid="{CF79BE1C-147F-4582-9BD6-D9BE9AB2F5AE}"/>
    <cellStyle name="Normal 12 3 4 4" xfId="10605" xr:uid="{18FF7385-35F2-4E43-9498-518281149E46}"/>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F0208C06-6D66-45C9-8BEB-5A7146050A68}"/>
    <cellStyle name="Normal 12 3 5 2 3" xfId="13163" xr:uid="{2D19D154-6C06-4F8F-9C5B-1C7E0AB28B58}"/>
    <cellStyle name="Normal 12 3 5 3" xfId="5909" xr:uid="{00000000-0005-0000-0000-00003D0E0000}"/>
    <cellStyle name="Normal 12 3 5 3 2" xfId="15235" xr:uid="{4C3AA6F5-64A1-47FE-B6D4-9DCCC4159F4B}"/>
    <cellStyle name="Normal 12 3 5 4" xfId="11018" xr:uid="{E1F45D70-C6F7-4D96-8F03-9D65694D8C42}"/>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61B4CA8C-CFB3-430C-93F1-D262C0150154}"/>
    <cellStyle name="Normal 12 3 6 2 3" xfId="13576" xr:uid="{4FF63F5E-4DC8-4725-8F05-480A084C08CF}"/>
    <cellStyle name="Normal 12 3 6 3" xfId="6322" xr:uid="{00000000-0005-0000-0000-0000410E0000}"/>
    <cellStyle name="Normal 12 3 6 3 2" xfId="15648" xr:uid="{A09D23D1-A4D5-41A7-A4D7-91F3EAD600B8}"/>
    <cellStyle name="Normal 12 3 6 4" xfId="11431" xr:uid="{ED9A3D6E-A5F6-457D-96AC-14526BBBDD16}"/>
    <cellStyle name="Normal 12 3 7" xfId="2452" xr:uid="{00000000-0005-0000-0000-0000420E0000}"/>
    <cellStyle name="Normal 12 3 7 2" xfId="6735" xr:uid="{00000000-0005-0000-0000-0000430E0000}"/>
    <cellStyle name="Normal 12 3 7 2 2" xfId="16061" xr:uid="{F66E69CE-E77D-49B1-A7F5-F11A09BC6BCD}"/>
    <cellStyle name="Normal 12 3 7 3" xfId="11844" xr:uid="{4A045401-E0DF-485B-BA1E-9B5C8C77F2E9}"/>
    <cellStyle name="Normal 12 3 8" xfId="4669" xr:uid="{00000000-0005-0000-0000-0000440E0000}"/>
    <cellStyle name="Normal 12 3 8 2" xfId="13995" xr:uid="{DC18B16B-1AAF-4266-ABBD-E46B197AB746}"/>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149498A1-C47F-402C-818A-1E4A616F10FC}"/>
    <cellStyle name="Normal 12 4 2 2 3" xfId="12339" xr:uid="{8E654312-DDD8-4280-9DB7-818C010552AA}"/>
    <cellStyle name="Normal 12 4 2 3" xfId="5085" xr:uid="{00000000-0005-0000-0000-0000490E0000}"/>
    <cellStyle name="Normal 12 4 2 3 2" xfId="14411" xr:uid="{90B40C79-6A7A-4ECB-B418-5F618D9D1941}"/>
    <cellStyle name="Normal 12 4 2 4" xfId="9402" xr:uid="{F40C9AB7-F4D0-4A65-BBAA-FF5409160FE5}"/>
    <cellStyle name="Normal 12 4 2 5" xfId="10194" xr:uid="{3C7A14A0-42FA-483D-8A45-F0B20B5FFD24}"/>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59927589-1211-4471-AC31-10551069EDBA}"/>
    <cellStyle name="Normal 12 4 3 2 3" xfId="12752" xr:uid="{2FEFEC22-A91C-4928-BF4C-78D662B4E1B4}"/>
    <cellStyle name="Normal 12 4 3 3" xfId="5498" xr:uid="{00000000-0005-0000-0000-00004D0E0000}"/>
    <cellStyle name="Normal 12 4 3 3 2" xfId="14824" xr:uid="{67F9B7A3-4307-4C85-B928-2F3B1CE9F7DE}"/>
    <cellStyle name="Normal 12 4 3 4" xfId="10607" xr:uid="{0D47C0FC-6F85-46CC-94A0-192EE11A5358}"/>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2054F3D6-581C-4D8F-97FE-1A4C047FC1DF}"/>
    <cellStyle name="Normal 12 4 4 2 3" xfId="13165" xr:uid="{033A3F6C-A52C-49B6-B1DC-830BE3E9B15E}"/>
    <cellStyle name="Normal 12 4 4 3" xfId="5911" xr:uid="{00000000-0005-0000-0000-0000510E0000}"/>
    <cellStyle name="Normal 12 4 4 3 2" xfId="15237" xr:uid="{D6BE836C-70C8-4C25-ADE3-AA866D6D1539}"/>
    <cellStyle name="Normal 12 4 4 4" xfId="11020" xr:uid="{9A01CB18-D968-4497-9A30-8413DDE556E2}"/>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10B4D6BB-5C84-4300-B8EF-2A6AB8E322E0}"/>
    <cellStyle name="Normal 12 4 5 2 3" xfId="13578" xr:uid="{13A2A30A-EDB2-4E00-8B7C-D8214C592208}"/>
    <cellStyle name="Normal 12 4 5 3" xfId="6324" xr:uid="{00000000-0005-0000-0000-0000550E0000}"/>
    <cellStyle name="Normal 12 4 5 3 2" xfId="15650" xr:uid="{DC91595A-7148-42E9-8F9E-8130E69E1CA3}"/>
    <cellStyle name="Normal 12 4 5 4" xfId="11433" xr:uid="{5C144743-7DC9-477F-90D5-A259D58257D0}"/>
    <cellStyle name="Normal 12 4 6" xfId="2454" xr:uid="{00000000-0005-0000-0000-0000560E0000}"/>
    <cellStyle name="Normal 12 4 6 2" xfId="6737" xr:uid="{00000000-0005-0000-0000-0000570E0000}"/>
    <cellStyle name="Normal 12 4 6 2 2" xfId="16063" xr:uid="{2549D013-90C4-4B9C-906C-D9E2031B1643}"/>
    <cellStyle name="Normal 12 4 6 3" xfId="11846" xr:uid="{11142626-FEFC-4E92-A4C3-8E9C0DA4E809}"/>
    <cellStyle name="Normal 12 4 7" xfId="4671" xr:uid="{00000000-0005-0000-0000-0000580E0000}"/>
    <cellStyle name="Normal 12 4 7 2" xfId="13997" xr:uid="{0F28D8C5-5046-4F23-B260-F41A6EFA119C}"/>
    <cellStyle name="Normal 12 4 8" xfId="8977" xr:uid="{5BFFE5F3-99F6-4DA1-A3EF-BF749B3B7ACB}"/>
    <cellStyle name="Normal 12 4 9" xfId="9780" xr:uid="{0A6F8DA5-6506-4289-AF3E-C9F8BD375793}"/>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21BCC873-BD7E-4DBB-BECB-5123FB1FC61D}"/>
    <cellStyle name="Normal 12 6 2 3" xfId="12332" xr:uid="{E0484D84-C8BB-4D9E-A030-22E3A40BEA3C}"/>
    <cellStyle name="Normal 12 6 3" xfId="5078" xr:uid="{00000000-0005-0000-0000-00005D0E0000}"/>
    <cellStyle name="Normal 12 6 3 2" xfId="14404" xr:uid="{D6CD9CE5-7B3D-4FF6-B89A-A50461045155}"/>
    <cellStyle name="Normal 12 6 4" xfId="9194" xr:uid="{92D32932-3865-4F6F-A551-9A99EC116A43}"/>
    <cellStyle name="Normal 12 6 5" xfId="10187" xr:uid="{86A93A56-FFE4-4177-BF92-6255EF0DE5A4}"/>
    <cellStyle name="Normal 12 7" xfId="1183" xr:uid="{00000000-0005-0000-0000-00005E0E0000}"/>
    <cellStyle name="Normal 12 7 2" xfId="3414" xr:uid="{00000000-0005-0000-0000-00005F0E0000}"/>
    <cellStyle name="Normal 12 7 2 2" xfId="7636" xr:uid="{00000000-0005-0000-0000-0000600E0000}"/>
    <cellStyle name="Normal 12 7 2 2 2" xfId="16962" xr:uid="{D6F913AF-1B52-4FB6-BD85-02C5B1CF05E8}"/>
    <cellStyle name="Normal 12 7 2 3" xfId="12745" xr:uid="{BD717EFF-9543-4FF8-B4AC-C7A493CE510F}"/>
    <cellStyle name="Normal 12 7 3" xfId="5491" xr:uid="{00000000-0005-0000-0000-0000610E0000}"/>
    <cellStyle name="Normal 12 7 3 2" xfId="14817" xr:uid="{256F3E68-58AE-4E00-9BD7-0D60776FC069}"/>
    <cellStyle name="Normal 12 7 4" xfId="10600" xr:uid="{FD9CE5FE-71FD-4F1D-8658-44D422D5FBCE}"/>
    <cellStyle name="Normal 12 8" xfId="1597" xr:uid="{00000000-0005-0000-0000-0000620E0000}"/>
    <cellStyle name="Normal 12 8 2" xfId="3827" xr:uid="{00000000-0005-0000-0000-0000630E0000}"/>
    <cellStyle name="Normal 12 8 2 2" xfId="8049" xr:uid="{00000000-0005-0000-0000-0000640E0000}"/>
    <cellStyle name="Normal 12 8 2 2 2" xfId="17375" xr:uid="{C93EB0EA-4E5D-415F-B7FA-F28635999E8A}"/>
    <cellStyle name="Normal 12 8 2 3" xfId="13158" xr:uid="{ECA16639-7B72-4FFB-A7D7-4D2C767CE47A}"/>
    <cellStyle name="Normal 12 8 3" xfId="5904" xr:uid="{00000000-0005-0000-0000-0000650E0000}"/>
    <cellStyle name="Normal 12 8 3 2" xfId="15230" xr:uid="{40C44C69-13AE-4D9B-B79E-09B753A2BBDE}"/>
    <cellStyle name="Normal 12 8 4" xfId="11013" xr:uid="{F8042479-8837-45EB-8410-95707E3AF71C}"/>
    <cellStyle name="Normal 12 9" xfId="2011" xr:uid="{00000000-0005-0000-0000-0000660E0000}"/>
    <cellStyle name="Normal 12 9 2" xfId="4240" xr:uid="{00000000-0005-0000-0000-0000670E0000}"/>
    <cellStyle name="Normal 12 9 2 2" xfId="8462" xr:uid="{00000000-0005-0000-0000-0000680E0000}"/>
    <cellStyle name="Normal 12 9 2 2 2" xfId="17788" xr:uid="{8D2745D2-8B83-4CC2-85AE-83F76A314490}"/>
    <cellStyle name="Normal 12 9 2 3" xfId="13571" xr:uid="{6F605A01-D558-493C-94A3-0C06B4B1F055}"/>
    <cellStyle name="Normal 12 9 3" xfId="6317" xr:uid="{00000000-0005-0000-0000-0000690E0000}"/>
    <cellStyle name="Normal 12 9 3 2" xfId="15643" xr:uid="{5C65A5D4-6D84-4094-841C-1FE4DE991C5B}"/>
    <cellStyle name="Normal 12 9 4" xfId="11426" xr:uid="{A40DB76C-768B-4D6D-85B3-FD140497E8F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9859E14C-58A2-4A33-9572-F8C9767861E2}"/>
    <cellStyle name="Normal 14 2 2 3" xfId="12340" xr:uid="{00850222-4DAA-4F02-AD12-70D7D80D85D2}"/>
    <cellStyle name="Normal 14 2 3" xfId="5086" xr:uid="{00000000-0005-0000-0000-0000700E0000}"/>
    <cellStyle name="Normal 14 2 3 2" xfId="14412" xr:uid="{34DD1615-BF24-4EF5-A823-39785FACDDC3}"/>
    <cellStyle name="Normal 14 2 4" xfId="9371" xr:uid="{E1AFB5B4-F468-480A-B09F-3374B2F03BDA}"/>
    <cellStyle name="Normal 14 2 5" xfId="10195" xr:uid="{C8A9FCBE-C5F4-4536-A11A-10A701493B30}"/>
    <cellStyle name="Normal 14 3" xfId="1191" xr:uid="{00000000-0005-0000-0000-0000710E0000}"/>
    <cellStyle name="Normal 14 3 2" xfId="3422" xr:uid="{00000000-0005-0000-0000-0000720E0000}"/>
    <cellStyle name="Normal 14 3 2 2" xfId="7644" xr:uid="{00000000-0005-0000-0000-0000730E0000}"/>
    <cellStyle name="Normal 14 3 2 2 2" xfId="16970" xr:uid="{A75D9E2D-53D4-4310-8D27-F53DC4A1DF60}"/>
    <cellStyle name="Normal 14 3 2 3" xfId="12753" xr:uid="{965B61BA-3543-4BE6-80D8-FF35E0DE2BD0}"/>
    <cellStyle name="Normal 14 3 3" xfId="5499" xr:uid="{00000000-0005-0000-0000-0000740E0000}"/>
    <cellStyle name="Normal 14 3 3 2" xfId="14825" xr:uid="{1B03BD4A-C932-455C-B39D-0E2113BB35EA}"/>
    <cellStyle name="Normal 14 3 4" xfId="10608" xr:uid="{9E4B601B-F5E1-4F20-84CE-EFFE08B78AFE}"/>
    <cellStyle name="Normal 14 4" xfId="1605" xr:uid="{00000000-0005-0000-0000-0000750E0000}"/>
    <cellStyle name="Normal 14 4 2" xfId="3835" xr:uid="{00000000-0005-0000-0000-0000760E0000}"/>
    <cellStyle name="Normal 14 4 2 2" xfId="8057" xr:uid="{00000000-0005-0000-0000-0000770E0000}"/>
    <cellStyle name="Normal 14 4 2 2 2" xfId="17383" xr:uid="{FA9EA3FE-F323-4920-B842-05D9B691D5E6}"/>
    <cellStyle name="Normal 14 4 2 3" xfId="13166" xr:uid="{A3C21D22-49C4-473F-A556-DDCFCC85B2A0}"/>
    <cellStyle name="Normal 14 4 3" xfId="5912" xr:uid="{00000000-0005-0000-0000-0000780E0000}"/>
    <cellStyle name="Normal 14 4 3 2" xfId="15238" xr:uid="{CDC70DAB-0C60-410C-9877-E3ED9D58C63C}"/>
    <cellStyle name="Normal 14 4 4" xfId="11021" xr:uid="{AA108CF4-6CC4-425C-AAAD-0B2129DC94CD}"/>
    <cellStyle name="Normal 14 5" xfId="2019" xr:uid="{00000000-0005-0000-0000-0000790E0000}"/>
    <cellStyle name="Normal 14 5 2" xfId="4248" xr:uid="{00000000-0005-0000-0000-00007A0E0000}"/>
    <cellStyle name="Normal 14 5 2 2" xfId="8470" xr:uid="{00000000-0005-0000-0000-00007B0E0000}"/>
    <cellStyle name="Normal 14 5 2 2 2" xfId="17796" xr:uid="{D327A29B-8F31-4A69-A78C-1B67C8DC832B}"/>
    <cellStyle name="Normal 14 5 2 3" xfId="13579" xr:uid="{3B48F338-AB94-46A7-8D0A-8916A59DD825}"/>
    <cellStyle name="Normal 14 5 3" xfId="6325" xr:uid="{00000000-0005-0000-0000-00007C0E0000}"/>
    <cellStyle name="Normal 14 5 3 2" xfId="15651" xr:uid="{FF939DE8-940C-43C6-A545-828B94115864}"/>
    <cellStyle name="Normal 14 5 4" xfId="11434" xr:uid="{92C2C74C-AF84-4658-A18D-C679C3EA2173}"/>
    <cellStyle name="Normal 14 6" xfId="2455" xr:uid="{00000000-0005-0000-0000-00007D0E0000}"/>
    <cellStyle name="Normal 14 6 2" xfId="6738" xr:uid="{00000000-0005-0000-0000-00007E0E0000}"/>
    <cellStyle name="Normal 14 6 2 2" xfId="16064" xr:uid="{ECE18A3D-3842-4679-9E34-9D05835909C1}"/>
    <cellStyle name="Normal 14 6 3" xfId="11847" xr:uid="{6B309F28-D86D-4DF6-BD16-4208EEF43991}"/>
    <cellStyle name="Normal 14 7" xfId="4672" xr:uid="{00000000-0005-0000-0000-00007F0E0000}"/>
    <cellStyle name="Normal 14 7 2" xfId="13998" xr:uid="{2E2F1AEB-AD92-435E-A683-93A79CE77086}"/>
    <cellStyle name="Normal 14 8" xfId="8946" xr:uid="{DD997A1C-6669-41AA-8AC1-78121AFC796C}"/>
    <cellStyle name="Normal 14 9" xfId="9781" xr:uid="{CC35D7E6-BBC6-488C-9953-4F325590D0CF}"/>
    <cellStyle name="Normal 15" xfId="4496" xr:uid="{00000000-0005-0000-0000-0000800E0000}"/>
    <cellStyle name="Normal 15 2" xfId="9578" xr:uid="{99513E76-E7E2-49D8-ADC5-F882C61FFC79}"/>
    <cellStyle name="Normal 15 3" xfId="9155" xr:uid="{47700DD8-A88A-4CB4-BFAD-BA75A2D4FC8E}"/>
    <cellStyle name="Normal 15 4" xfId="13824" xr:uid="{859E81ED-FEFD-4883-83F5-035E1A1FE5DC}"/>
    <cellStyle name="Normal 16" xfId="4500" xr:uid="{00000000-0005-0000-0000-0000810E0000}"/>
    <cellStyle name="Normal 16 2" xfId="8715" xr:uid="{00000000-0005-0000-0000-0000820E0000}"/>
    <cellStyle name="Normal 16 2 2" xfId="18041" xr:uid="{A1602115-7CB4-4B16-9728-F9FC10A664A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8057" xr:uid="{8120F3CD-0640-4946-924E-93E97EE69490}"/>
    <cellStyle name="Normal 16 3 2 2 2 3" xfId="18054" xr:uid="{3D0C5D9B-14A9-41D2-979E-830A624C3E64}"/>
    <cellStyle name="Normal 16 3 2 2 3" xfId="18050" xr:uid="{1134F23F-0D76-4DEB-8614-32692B146729}"/>
    <cellStyle name="Normal 16 3 2 3" xfId="18047" xr:uid="{5BF489BE-7C4E-483A-B59E-4A2E69FBFA43}"/>
    <cellStyle name="Normal 16 3 3" xfId="18044" xr:uid="{59634A25-1843-4670-B5B8-1547ACDC1D1D}"/>
    <cellStyle name="Normal 16 4" xfId="9612" xr:uid="{8729F6E8-3534-4DAE-B0B2-B2AF3CDCD313}"/>
    <cellStyle name="Normal 16 5" xfId="13827" xr:uid="{A61A77C6-3BC5-4D19-860D-201F73FADD42}"/>
    <cellStyle name="Normal 17" xfId="8728" xr:uid="{3FF0972C-833B-4475-99D8-1A6907499E71}"/>
    <cellStyle name="Normal 17 2" xfId="9157" xr:uid="{6C872296-5E17-4821-9139-E52AD113B06C}"/>
    <cellStyle name="Normal 17 3" xfId="9154" xr:uid="{DC3FF210-EC1F-47CE-8CCE-F8F5460671B1}"/>
    <cellStyle name="Normal 17 4" xfId="18053" xr:uid="{D541B644-6E23-4934-8D4D-AA665A196973}"/>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77DBDFA2-7096-41B7-B969-2C5484BD0BA5}"/>
    <cellStyle name="Normal 2 4 2 10 2 3" xfId="13580" xr:uid="{040ABF07-EB76-4D33-BB4C-17FE3A373C46}"/>
    <cellStyle name="Normal 2 4 2 10 3" xfId="6326" xr:uid="{00000000-0005-0000-0000-0000910E0000}"/>
    <cellStyle name="Normal 2 4 2 10 3 2" xfId="15652" xr:uid="{9386BFAD-08E3-4BB1-82E6-D2A7D920F3B1}"/>
    <cellStyle name="Normal 2 4 2 10 4" xfId="11435" xr:uid="{BE6FD89D-281A-4AE7-A821-153A842BABDB}"/>
    <cellStyle name="Normal 2 4 2 11" xfId="2456" xr:uid="{00000000-0005-0000-0000-0000920E0000}"/>
    <cellStyle name="Normal 2 4 2 11 2" xfId="6739" xr:uid="{00000000-0005-0000-0000-0000930E0000}"/>
    <cellStyle name="Normal 2 4 2 11 2 2" xfId="16065" xr:uid="{35F397A1-D4A6-434F-ACA6-08954F974E8F}"/>
    <cellStyle name="Normal 2 4 2 11 3" xfId="11848" xr:uid="{E47FDD57-2B6F-4B17-9DB5-06D50E47AE25}"/>
    <cellStyle name="Normal 2 4 2 12" xfId="4673" xr:uid="{00000000-0005-0000-0000-0000940E0000}"/>
    <cellStyle name="Normal 2 4 2 12 2" xfId="13999" xr:uid="{35C6047C-EEE9-4F4E-81BE-FBD1B22F7D69}"/>
    <cellStyle name="Normal 2 4 2 13" xfId="8757" xr:uid="{563A76DD-F7DD-49F0-A61E-0419F4C31301}"/>
    <cellStyle name="Normal 2 4 2 14" xfId="9782" xr:uid="{1AA58482-4973-41FF-9679-0F704F9A09AE}"/>
    <cellStyle name="Normal 2 4 2 2" xfId="280" xr:uid="{00000000-0005-0000-0000-0000950E0000}"/>
    <cellStyle name="Normal 2 4 2 3" xfId="281" xr:uid="{00000000-0005-0000-0000-0000960E0000}"/>
    <cellStyle name="Normal 2 4 2 3 10" xfId="4674" xr:uid="{00000000-0005-0000-0000-0000970E0000}"/>
    <cellStyle name="Normal 2 4 2 3 10 2" xfId="14000" xr:uid="{58B1B71F-8698-4A5E-BBE8-3185D03C053E}"/>
    <cellStyle name="Normal 2 4 2 3 11" xfId="8788" xr:uid="{EAD3D227-C8EF-4F54-8D24-EE1EA1F017BB}"/>
    <cellStyle name="Normal 2 4 2 3 12" xfId="9783" xr:uid="{8E181E10-9EF9-414B-A6E9-A126E4879890}"/>
    <cellStyle name="Normal 2 4 2 3 2" xfId="282" xr:uid="{00000000-0005-0000-0000-0000980E0000}"/>
    <cellStyle name="Normal 2 4 2 3 2 10" xfId="8813" xr:uid="{C03AE35D-2438-4E07-AE9C-6D04EC6DA2B7}"/>
    <cellStyle name="Normal 2 4 2 3 2 11" xfId="9784" xr:uid="{AE72E35B-D7C9-4F19-8E47-5D2E46958453}"/>
    <cellStyle name="Normal 2 4 2 3 2 2" xfId="283" xr:uid="{00000000-0005-0000-0000-0000990E0000}"/>
    <cellStyle name="Normal 2 4 2 3 2 2 10" xfId="9785" xr:uid="{3068A9C5-DCFD-43FB-817E-9A8BDA0FE52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2CED37B0-9560-49F8-9D9E-9FEE28EB25C5}"/>
    <cellStyle name="Normal 2 4 2 3 2 2 2 2 2 3" xfId="12345" xr:uid="{106386E6-7247-4A97-B4AC-ECF08BF1D9F5}"/>
    <cellStyle name="Normal 2 4 2 3 2 2 2 2 3" xfId="5091" xr:uid="{00000000-0005-0000-0000-00009E0E0000}"/>
    <cellStyle name="Normal 2 4 2 3 2 2 2 2 3 2" xfId="14417" xr:uid="{72ED7585-2F84-4151-B7C3-BC4129B860FC}"/>
    <cellStyle name="Normal 2 4 2 3 2 2 2 2 4" xfId="9548" xr:uid="{29E7289E-B3F4-4F63-9B9C-B531B0E50CEB}"/>
    <cellStyle name="Normal 2 4 2 3 2 2 2 2 5" xfId="10200" xr:uid="{E8980232-91ED-4598-8BA8-391C286A5F1F}"/>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544CD246-8426-4265-B74E-40625F59186C}"/>
    <cellStyle name="Normal 2 4 2 3 2 2 2 3 2 3" xfId="12758" xr:uid="{A8085A22-CD06-4079-B99F-DDD07C903E82}"/>
    <cellStyle name="Normal 2 4 2 3 2 2 2 3 3" xfId="5504" xr:uid="{00000000-0005-0000-0000-0000A20E0000}"/>
    <cellStyle name="Normal 2 4 2 3 2 2 2 3 3 2" xfId="14830" xr:uid="{0692788E-843C-4CC0-9087-D162D0DD7E7A}"/>
    <cellStyle name="Normal 2 4 2 3 2 2 2 3 4" xfId="10613" xr:uid="{5B733ADD-B37B-427F-9CFE-CF02399CA0D7}"/>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56C1F92A-D279-41A9-B246-C5DF98A02766}"/>
    <cellStyle name="Normal 2 4 2 3 2 2 2 4 2 3" xfId="13171" xr:uid="{49D9869C-3EC0-4A25-A494-F96FBCA64DC7}"/>
    <cellStyle name="Normal 2 4 2 3 2 2 2 4 3" xfId="5917" xr:uid="{00000000-0005-0000-0000-0000A60E0000}"/>
    <cellStyle name="Normal 2 4 2 3 2 2 2 4 3 2" xfId="15243" xr:uid="{9A6B0A48-4338-44D1-8596-8A2115D50A9F}"/>
    <cellStyle name="Normal 2 4 2 3 2 2 2 4 4" xfId="11026" xr:uid="{D80D2DD9-EBA1-4B26-A8B0-02960040EB56}"/>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167CBB4D-6063-40AE-94A9-6480975EF49B}"/>
    <cellStyle name="Normal 2 4 2 3 2 2 2 5 2 3" xfId="13584" xr:uid="{8155F80B-65DE-4730-8B0D-BE8955719E44}"/>
    <cellStyle name="Normal 2 4 2 3 2 2 2 5 3" xfId="6330" xr:uid="{00000000-0005-0000-0000-0000AA0E0000}"/>
    <cellStyle name="Normal 2 4 2 3 2 2 2 5 3 2" xfId="15656" xr:uid="{14B605F9-79FC-4BC0-9895-E621366D5A51}"/>
    <cellStyle name="Normal 2 4 2 3 2 2 2 5 4" xfId="11439" xr:uid="{7F3AE5AC-346F-4412-8634-42A016EED7C0}"/>
    <cellStyle name="Normal 2 4 2 3 2 2 2 6" xfId="2460" xr:uid="{00000000-0005-0000-0000-0000AB0E0000}"/>
    <cellStyle name="Normal 2 4 2 3 2 2 2 6 2" xfId="6743" xr:uid="{00000000-0005-0000-0000-0000AC0E0000}"/>
    <cellStyle name="Normal 2 4 2 3 2 2 2 6 2 2" xfId="16069" xr:uid="{0EBD9BE7-BAAB-464D-BE16-0010484B6E02}"/>
    <cellStyle name="Normal 2 4 2 3 2 2 2 6 3" xfId="11852" xr:uid="{C0F84808-0C03-4368-B551-8CE5D740C7FD}"/>
    <cellStyle name="Normal 2 4 2 3 2 2 2 7" xfId="4677" xr:uid="{00000000-0005-0000-0000-0000AD0E0000}"/>
    <cellStyle name="Normal 2 4 2 3 2 2 2 7 2" xfId="14003" xr:uid="{21F6DA68-411A-427A-9A17-564C030C2470}"/>
    <cellStyle name="Normal 2 4 2 3 2 2 2 8" xfId="9123" xr:uid="{9F0183A9-880D-46D9-BB7D-5696E4723F5F}"/>
    <cellStyle name="Normal 2 4 2 3 2 2 2 9" xfId="9786" xr:uid="{6CBD221E-5D54-4639-AF27-7D7F55AE8DF7}"/>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BCBE7B88-D30D-4783-BFF8-091731564048}"/>
    <cellStyle name="Normal 2 4 2 3 2 2 3 2 3" xfId="12344" xr:uid="{63E73434-93C2-42F9-B7DB-3D7D78053D28}"/>
    <cellStyle name="Normal 2 4 2 3 2 2 3 3" xfId="5090" xr:uid="{00000000-0005-0000-0000-0000B10E0000}"/>
    <cellStyle name="Normal 2 4 2 3 2 2 3 3 2" xfId="14416" xr:uid="{B8E6C18A-0C35-46E0-9E13-D3C850840DBF}"/>
    <cellStyle name="Normal 2 4 2 3 2 2 3 4" xfId="9341" xr:uid="{4F113FF5-050D-47D1-A7D5-F829C93D993D}"/>
    <cellStyle name="Normal 2 4 2 3 2 2 3 5" xfId="10199" xr:uid="{AF3442E9-44C7-4B1D-A50F-028BDA91001F}"/>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DE6BA150-F023-4C0E-B629-6357FFE1814A}"/>
    <cellStyle name="Normal 2 4 2 3 2 2 4 2 3" xfId="12757" xr:uid="{55D15491-EFFF-4A4F-B0D8-031974A67A9B}"/>
    <cellStyle name="Normal 2 4 2 3 2 2 4 3" xfId="5503" xr:uid="{00000000-0005-0000-0000-0000B50E0000}"/>
    <cellStyle name="Normal 2 4 2 3 2 2 4 3 2" xfId="14829" xr:uid="{941CD687-AA58-4588-98C1-34055221F4E9}"/>
    <cellStyle name="Normal 2 4 2 3 2 2 4 4" xfId="10612" xr:uid="{16FA8DEE-70DD-404F-BAD5-39DBB9B7AC5F}"/>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FB2A2249-4A05-435F-AB1D-E6DDCBC2D1B6}"/>
    <cellStyle name="Normal 2 4 2 3 2 2 5 2 3" xfId="13170" xr:uid="{A57B7516-1CA6-48D8-A82B-4151D89D083F}"/>
    <cellStyle name="Normal 2 4 2 3 2 2 5 3" xfId="5916" xr:uid="{00000000-0005-0000-0000-0000B90E0000}"/>
    <cellStyle name="Normal 2 4 2 3 2 2 5 3 2" xfId="15242" xr:uid="{274D2A2A-2721-45E4-B7AB-104F2C6136AF}"/>
    <cellStyle name="Normal 2 4 2 3 2 2 5 4" xfId="11025" xr:uid="{755C3E68-A59C-46A0-A4C1-5D9C61DCBC33}"/>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A78F57C6-C979-4824-8CB5-71CEB9215816}"/>
    <cellStyle name="Normal 2 4 2 3 2 2 6 2 3" xfId="13583" xr:uid="{490981F3-BE46-443A-AF92-ACACFA41CB86}"/>
    <cellStyle name="Normal 2 4 2 3 2 2 6 3" xfId="6329" xr:uid="{00000000-0005-0000-0000-0000BD0E0000}"/>
    <cellStyle name="Normal 2 4 2 3 2 2 6 3 2" xfId="15655" xr:uid="{2D4CBA02-ADD9-49D2-ADA0-E8C7B5BDCEBD}"/>
    <cellStyle name="Normal 2 4 2 3 2 2 6 4" xfId="11438" xr:uid="{D429E50B-060F-4116-8940-EF8CBD5B85A4}"/>
    <cellStyle name="Normal 2 4 2 3 2 2 7" xfId="2459" xr:uid="{00000000-0005-0000-0000-0000BE0E0000}"/>
    <cellStyle name="Normal 2 4 2 3 2 2 7 2" xfId="6742" xr:uid="{00000000-0005-0000-0000-0000BF0E0000}"/>
    <cellStyle name="Normal 2 4 2 3 2 2 7 2 2" xfId="16068" xr:uid="{5EA176E2-9ED8-4B26-836B-74488610CEB0}"/>
    <cellStyle name="Normal 2 4 2 3 2 2 7 3" xfId="11851" xr:uid="{F9C6EB6B-DDB6-45BF-8CB3-12391AC5F858}"/>
    <cellStyle name="Normal 2 4 2 3 2 2 8" xfId="4676" xr:uid="{00000000-0005-0000-0000-0000C00E0000}"/>
    <cellStyle name="Normal 2 4 2 3 2 2 8 2" xfId="14002" xr:uid="{F915AC55-6282-4714-9902-A3F732E80BED}"/>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A3A37789-062A-4FFB-9F50-1B3C6ED9CBE8}"/>
    <cellStyle name="Normal 2 4 2 3 2 3 2 2 3" xfId="12346" xr:uid="{7C116F5E-F39F-4992-83C7-68638A55D3B3}"/>
    <cellStyle name="Normal 2 4 2 3 2 3 2 3" xfId="5092" xr:uid="{00000000-0005-0000-0000-0000C50E0000}"/>
    <cellStyle name="Normal 2 4 2 3 2 3 2 3 2" xfId="14418" xr:uid="{65BE895C-D696-447D-9608-9BF28F052729}"/>
    <cellStyle name="Normal 2 4 2 3 2 3 2 4" xfId="9445" xr:uid="{67F9E33C-8554-469D-8D7A-1147F632F3B0}"/>
    <cellStyle name="Normal 2 4 2 3 2 3 2 5" xfId="10201" xr:uid="{FB222799-13E2-4442-BC2A-94780DCF1CA1}"/>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4357FB05-BDE7-4F30-8F75-495D77D8F79D}"/>
    <cellStyle name="Normal 2 4 2 3 2 3 3 2 3" xfId="12759" xr:uid="{319915D8-2661-4F4F-9C1C-59B6806C6F2D}"/>
    <cellStyle name="Normal 2 4 2 3 2 3 3 3" xfId="5505" xr:uid="{00000000-0005-0000-0000-0000C90E0000}"/>
    <cellStyle name="Normal 2 4 2 3 2 3 3 3 2" xfId="14831" xr:uid="{9823649A-9305-4229-B8E2-3C8C812D602A}"/>
    <cellStyle name="Normal 2 4 2 3 2 3 3 4" xfId="10614" xr:uid="{AF0842EB-D29F-46E7-BB36-FFE463F47717}"/>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360ED05B-EE1B-4CCF-829E-EFAFCEB5E7FC}"/>
    <cellStyle name="Normal 2 4 2 3 2 3 4 2 3" xfId="13172" xr:uid="{13A6F85B-C1BD-4FC1-B912-1586C1DC0DCB}"/>
    <cellStyle name="Normal 2 4 2 3 2 3 4 3" xfId="5918" xr:uid="{00000000-0005-0000-0000-0000CD0E0000}"/>
    <cellStyle name="Normal 2 4 2 3 2 3 4 3 2" xfId="15244" xr:uid="{9D49528C-C35D-416C-A89D-456717D2A30D}"/>
    <cellStyle name="Normal 2 4 2 3 2 3 4 4" xfId="11027" xr:uid="{A7547FDE-C0F2-4771-8F11-E139ACA38FCF}"/>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D437AF0E-F686-4C17-9BBA-DFF6520B4B5B}"/>
    <cellStyle name="Normal 2 4 2 3 2 3 5 2 3" xfId="13585" xr:uid="{62E3997A-1141-4CC3-A4B6-8263BC90C650}"/>
    <cellStyle name="Normal 2 4 2 3 2 3 5 3" xfId="6331" xr:uid="{00000000-0005-0000-0000-0000D10E0000}"/>
    <cellStyle name="Normal 2 4 2 3 2 3 5 3 2" xfId="15657" xr:uid="{5FBA6169-8DEC-4A06-9229-7E7B654CEBB5}"/>
    <cellStyle name="Normal 2 4 2 3 2 3 5 4" xfId="11440" xr:uid="{89EA88DC-D60A-4F5E-8C92-EC8AF3A706B1}"/>
    <cellStyle name="Normal 2 4 2 3 2 3 6" xfId="2461" xr:uid="{00000000-0005-0000-0000-0000D20E0000}"/>
    <cellStyle name="Normal 2 4 2 3 2 3 6 2" xfId="6744" xr:uid="{00000000-0005-0000-0000-0000D30E0000}"/>
    <cellStyle name="Normal 2 4 2 3 2 3 6 2 2" xfId="16070" xr:uid="{5462B853-7998-4645-9C6F-D3C2CC259A47}"/>
    <cellStyle name="Normal 2 4 2 3 2 3 6 3" xfId="11853" xr:uid="{4B5D6525-F4AD-4829-83A3-6239816A4F32}"/>
    <cellStyle name="Normal 2 4 2 3 2 3 7" xfId="4678" xr:uid="{00000000-0005-0000-0000-0000D40E0000}"/>
    <cellStyle name="Normal 2 4 2 3 2 3 7 2" xfId="14004" xr:uid="{C08E5F58-B2B1-4823-A20F-CF93CD9218D9}"/>
    <cellStyle name="Normal 2 4 2 3 2 3 8" xfId="9020" xr:uid="{5718F785-8E2C-4B45-91D1-4597173D90A6}"/>
    <cellStyle name="Normal 2 4 2 3 2 3 9" xfId="9787" xr:uid="{50810CE1-D6C1-4AB6-981E-55DBDD110FFC}"/>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47B0CFCA-E3F9-4C93-AD3F-600AA084FEEE}"/>
    <cellStyle name="Normal 2 4 2 3 2 4 2 3" xfId="12343" xr:uid="{22FB9021-9DCD-44BC-9674-058540D2C35F}"/>
    <cellStyle name="Normal 2 4 2 3 2 4 3" xfId="5089" xr:uid="{00000000-0005-0000-0000-0000D80E0000}"/>
    <cellStyle name="Normal 2 4 2 3 2 4 3 2" xfId="14415" xr:uid="{4DABB8C7-7350-48A4-AED1-E5FEBD527DD4}"/>
    <cellStyle name="Normal 2 4 2 3 2 4 4" xfId="9238" xr:uid="{BC6E5A3D-C256-46E9-A109-D643C24AA206}"/>
    <cellStyle name="Normal 2 4 2 3 2 4 5" xfId="10198" xr:uid="{94CC7411-19AD-4162-AC00-EB40C21D39F8}"/>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42B92A96-C410-4ABF-BC22-AA0F0478D8CA}"/>
    <cellStyle name="Normal 2 4 2 3 2 5 2 3" xfId="12756" xr:uid="{1E589D61-4A3D-45EC-9A61-B3B908A6CBED}"/>
    <cellStyle name="Normal 2 4 2 3 2 5 3" xfId="5502" xr:uid="{00000000-0005-0000-0000-0000DC0E0000}"/>
    <cellStyle name="Normal 2 4 2 3 2 5 3 2" xfId="14828" xr:uid="{F30DDEBA-19A2-4A19-8485-E930327B132C}"/>
    <cellStyle name="Normal 2 4 2 3 2 5 4" xfId="10611" xr:uid="{87DBB514-4283-4972-921D-1EC5F1E84159}"/>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DE9B0E7B-60DE-49A4-8F88-8501B08B0481}"/>
    <cellStyle name="Normal 2 4 2 3 2 6 2 3" xfId="13169" xr:uid="{EB422D46-1BA6-4C76-B96A-7E7E038894B9}"/>
    <cellStyle name="Normal 2 4 2 3 2 6 3" xfId="5915" xr:uid="{00000000-0005-0000-0000-0000E00E0000}"/>
    <cellStyle name="Normal 2 4 2 3 2 6 3 2" xfId="15241" xr:uid="{DBE50F27-7F33-4360-9532-FF4F893C8E2C}"/>
    <cellStyle name="Normal 2 4 2 3 2 6 4" xfId="11024" xr:uid="{CAEAC370-0EC0-421D-8532-15CEC20F786C}"/>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2BBB3693-5314-4065-9F3F-E99C048736F2}"/>
    <cellStyle name="Normal 2 4 2 3 2 7 2 3" xfId="13582" xr:uid="{A8BCFF63-DA9A-4448-9DDF-13A192A0BE9F}"/>
    <cellStyle name="Normal 2 4 2 3 2 7 3" xfId="6328" xr:uid="{00000000-0005-0000-0000-0000E40E0000}"/>
    <cellStyle name="Normal 2 4 2 3 2 7 3 2" xfId="15654" xr:uid="{AEB8FE91-CF2E-49D7-B90B-C39E0BC67F47}"/>
    <cellStyle name="Normal 2 4 2 3 2 7 4" xfId="11437" xr:uid="{FE71B482-B0BB-43DC-8063-65B12FB29702}"/>
    <cellStyle name="Normal 2 4 2 3 2 8" xfId="2458" xr:uid="{00000000-0005-0000-0000-0000E50E0000}"/>
    <cellStyle name="Normal 2 4 2 3 2 8 2" xfId="6741" xr:uid="{00000000-0005-0000-0000-0000E60E0000}"/>
    <cellStyle name="Normal 2 4 2 3 2 8 2 2" xfId="16067" xr:uid="{30ADBC90-55BD-4837-8585-2BCF441DB987}"/>
    <cellStyle name="Normal 2 4 2 3 2 8 3" xfId="11850" xr:uid="{D7802C89-BD2D-4D10-AE6A-C69F1344B919}"/>
    <cellStyle name="Normal 2 4 2 3 2 9" xfId="4675" xr:uid="{00000000-0005-0000-0000-0000E70E0000}"/>
    <cellStyle name="Normal 2 4 2 3 2 9 2" xfId="14001" xr:uid="{6B00C6C8-F1C3-40A9-87E4-5063706CD213}"/>
    <cellStyle name="Normal 2 4 2 3 3" xfId="286" xr:uid="{00000000-0005-0000-0000-0000E80E0000}"/>
    <cellStyle name="Normal 2 4 2 3 3 10" xfId="9788" xr:uid="{3DC9F61B-DB6E-4423-8B25-0E8011D404C2}"/>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4981DF9B-942D-4268-B924-FDFF82F7799D}"/>
    <cellStyle name="Normal 2 4 2 3 3 2 2 2 3" xfId="12348" xr:uid="{2C9CBFAC-7E98-4272-AEB3-2CF76B70F675}"/>
    <cellStyle name="Normal 2 4 2 3 3 2 2 3" xfId="5094" xr:uid="{00000000-0005-0000-0000-0000ED0E0000}"/>
    <cellStyle name="Normal 2 4 2 3 3 2 2 3 2" xfId="14420" xr:uid="{290A14D0-59ED-4846-A134-298493536F2E}"/>
    <cellStyle name="Normal 2 4 2 3 3 2 2 4" xfId="9523" xr:uid="{49BCB42B-3FEB-4D87-8E20-52FE775F87DD}"/>
    <cellStyle name="Normal 2 4 2 3 3 2 2 5" xfId="10203" xr:uid="{45F2E362-A7B9-4318-808B-28020506C37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C20C7512-4FE7-4FD5-9827-81020252F068}"/>
    <cellStyle name="Normal 2 4 2 3 3 2 3 2 3" xfId="12761" xr:uid="{5AF4BF86-CA4E-4D45-8302-3C1874269E84}"/>
    <cellStyle name="Normal 2 4 2 3 3 2 3 3" xfId="5507" xr:uid="{00000000-0005-0000-0000-0000F10E0000}"/>
    <cellStyle name="Normal 2 4 2 3 3 2 3 3 2" xfId="14833" xr:uid="{E87C2E25-ABC9-4319-A83E-878E448DAC36}"/>
    <cellStyle name="Normal 2 4 2 3 3 2 3 4" xfId="10616" xr:uid="{FBF852A3-637C-4E4B-A809-B6C4251E1ECC}"/>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BACC259F-1C25-45B1-8D7F-A27D1650B801}"/>
    <cellStyle name="Normal 2 4 2 3 3 2 4 2 3" xfId="13174" xr:uid="{DE94C73D-77B4-4249-84BD-1E77861E6380}"/>
    <cellStyle name="Normal 2 4 2 3 3 2 4 3" xfId="5920" xr:uid="{00000000-0005-0000-0000-0000F50E0000}"/>
    <cellStyle name="Normal 2 4 2 3 3 2 4 3 2" xfId="15246" xr:uid="{41CE7036-27AB-4BB5-883A-BDCA9EBBF246}"/>
    <cellStyle name="Normal 2 4 2 3 3 2 4 4" xfId="11029" xr:uid="{0E420053-429B-46AF-8266-7F16A67FD434}"/>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A19CD9EA-9E47-4F59-A31D-630E65F9CC70}"/>
    <cellStyle name="Normal 2 4 2 3 3 2 5 2 3" xfId="13587" xr:uid="{22A4C26C-8F7C-4A6B-BE3E-ABA956F75DBF}"/>
    <cellStyle name="Normal 2 4 2 3 3 2 5 3" xfId="6333" xr:uid="{00000000-0005-0000-0000-0000F90E0000}"/>
    <cellStyle name="Normal 2 4 2 3 3 2 5 3 2" xfId="15659" xr:uid="{DE613BFA-F42B-4AA3-9BE7-1EE2281207AE}"/>
    <cellStyle name="Normal 2 4 2 3 3 2 5 4" xfId="11442" xr:uid="{7B574D64-64AA-4DA1-9D33-2F9277C09104}"/>
    <cellStyle name="Normal 2 4 2 3 3 2 6" xfId="2463" xr:uid="{00000000-0005-0000-0000-0000FA0E0000}"/>
    <cellStyle name="Normal 2 4 2 3 3 2 6 2" xfId="6746" xr:uid="{00000000-0005-0000-0000-0000FB0E0000}"/>
    <cellStyle name="Normal 2 4 2 3 3 2 6 2 2" xfId="16072" xr:uid="{DDDC3F34-D390-4492-B7D6-6CD64A4586A3}"/>
    <cellStyle name="Normal 2 4 2 3 3 2 6 3" xfId="11855" xr:uid="{6EE492D0-3393-4998-AC6B-C0CD7769E21C}"/>
    <cellStyle name="Normal 2 4 2 3 3 2 7" xfId="4680" xr:uid="{00000000-0005-0000-0000-0000FC0E0000}"/>
    <cellStyle name="Normal 2 4 2 3 3 2 7 2" xfId="14006" xr:uid="{96A65363-3B72-49C1-9F46-95EF16FFAD8D}"/>
    <cellStyle name="Normal 2 4 2 3 3 2 8" xfId="9098" xr:uid="{15335B31-FFDD-479D-88EC-FAB83DC4E6EC}"/>
    <cellStyle name="Normal 2 4 2 3 3 2 9" xfId="9789" xr:uid="{16D0D5FF-2B79-4BA9-A5C6-E293DA23C10F}"/>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CDB3B59F-20B3-4B1E-BF97-A6BE7B4DDFBF}"/>
    <cellStyle name="Normal 2 4 2 3 3 3 2 3" xfId="12347" xr:uid="{8B30D617-F63C-41DE-9D2D-3794CCB5E118}"/>
    <cellStyle name="Normal 2 4 2 3 3 3 3" xfId="5093" xr:uid="{00000000-0005-0000-0000-0000000F0000}"/>
    <cellStyle name="Normal 2 4 2 3 3 3 3 2" xfId="14419" xr:uid="{794EBC97-4215-48C6-BC50-78846622D348}"/>
    <cellStyle name="Normal 2 4 2 3 3 3 4" xfId="9316" xr:uid="{C8C83D09-5A3A-4C90-8A04-9D7CD8C85B11}"/>
    <cellStyle name="Normal 2 4 2 3 3 3 5" xfId="10202" xr:uid="{6EC2E42A-95CF-472B-9099-F890D11EE2B7}"/>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C7CEC47C-3679-4C1D-A7D2-2B5CC07EC891}"/>
    <cellStyle name="Normal 2 4 2 3 3 4 2 3" xfId="12760" xr:uid="{DF118303-D5E3-486A-821E-026FBB7556EF}"/>
    <cellStyle name="Normal 2 4 2 3 3 4 3" xfId="5506" xr:uid="{00000000-0005-0000-0000-0000040F0000}"/>
    <cellStyle name="Normal 2 4 2 3 3 4 3 2" xfId="14832" xr:uid="{C5B6A012-1084-46A6-B9E8-4799A148D4F7}"/>
    <cellStyle name="Normal 2 4 2 3 3 4 4" xfId="10615" xr:uid="{9FA881AF-7C3E-4706-9B32-BB4026E6AFD8}"/>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601D0A31-DC29-4F8B-AB0E-80A298BA1F62}"/>
    <cellStyle name="Normal 2 4 2 3 3 5 2 3" xfId="13173" xr:uid="{FF2F42D6-C19B-4D57-8C93-7D3D3986AC4C}"/>
    <cellStyle name="Normal 2 4 2 3 3 5 3" xfId="5919" xr:uid="{00000000-0005-0000-0000-0000080F0000}"/>
    <cellStyle name="Normal 2 4 2 3 3 5 3 2" xfId="15245" xr:uid="{9A90E984-B79A-45D2-B592-00D1B47D56FB}"/>
    <cellStyle name="Normal 2 4 2 3 3 5 4" xfId="11028" xr:uid="{37A44110-5BDA-4B24-A594-9F31213E854D}"/>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07D7121A-37BE-4659-AA53-8DEC70A75B4A}"/>
    <cellStyle name="Normal 2 4 2 3 3 6 2 3" xfId="13586" xr:uid="{21286E91-361F-4437-817D-52AA9DFD776F}"/>
    <cellStyle name="Normal 2 4 2 3 3 6 3" xfId="6332" xr:uid="{00000000-0005-0000-0000-00000C0F0000}"/>
    <cellStyle name="Normal 2 4 2 3 3 6 3 2" xfId="15658" xr:uid="{8A42D2F8-E1D9-44CE-821A-F9B3AFBEAD03}"/>
    <cellStyle name="Normal 2 4 2 3 3 6 4" xfId="11441" xr:uid="{5A8B5F03-CDD9-403F-9CE2-DE3D85BDFF52}"/>
    <cellStyle name="Normal 2 4 2 3 3 7" xfId="2462" xr:uid="{00000000-0005-0000-0000-00000D0F0000}"/>
    <cellStyle name="Normal 2 4 2 3 3 7 2" xfId="6745" xr:uid="{00000000-0005-0000-0000-00000E0F0000}"/>
    <cellStyle name="Normal 2 4 2 3 3 7 2 2" xfId="16071" xr:uid="{E09B6D8F-9734-431B-B253-4CC1D50134BD}"/>
    <cellStyle name="Normal 2 4 2 3 3 7 3" xfId="11854" xr:uid="{98881CBF-DA92-4572-ADBA-E8CE7D404FCF}"/>
    <cellStyle name="Normal 2 4 2 3 3 8" xfId="4679" xr:uid="{00000000-0005-0000-0000-00000F0F0000}"/>
    <cellStyle name="Normal 2 4 2 3 3 8 2" xfId="14005" xr:uid="{24F167ED-A292-4B6C-A4E9-957A41247DF6}"/>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41A663C6-A620-4E21-B039-0D51DC4BA1FE}"/>
    <cellStyle name="Normal 2 4 2 3 4 2 2 3" xfId="12349" xr:uid="{330FE5EA-5408-46D0-BCE6-DDF46FDD9D9E}"/>
    <cellStyle name="Normal 2 4 2 3 4 2 3" xfId="5095" xr:uid="{00000000-0005-0000-0000-0000140F0000}"/>
    <cellStyle name="Normal 2 4 2 3 4 2 3 2" xfId="14421" xr:uid="{15A51B98-3A06-4B30-B61B-B7E06B2681FE}"/>
    <cellStyle name="Normal 2 4 2 3 4 2 4" xfId="9420" xr:uid="{49E252B3-99BC-416A-A0CB-FE2641ECFDE3}"/>
    <cellStyle name="Normal 2 4 2 3 4 2 5" xfId="10204" xr:uid="{28AD1FDD-2FC4-4943-AB80-2F5A3DE22F25}"/>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95978DD0-5DCE-4542-9F8C-44F54708ADA9}"/>
    <cellStyle name="Normal 2 4 2 3 4 3 2 3" xfId="12762" xr:uid="{5416B335-A4CC-4EC8-A89F-F0101F5BA72F}"/>
    <cellStyle name="Normal 2 4 2 3 4 3 3" xfId="5508" xr:uid="{00000000-0005-0000-0000-0000180F0000}"/>
    <cellStyle name="Normal 2 4 2 3 4 3 3 2" xfId="14834" xr:uid="{7FDE436E-1F01-4D5C-ACC8-C7AADF6FA199}"/>
    <cellStyle name="Normal 2 4 2 3 4 3 4" xfId="10617" xr:uid="{48E64B9C-F112-4930-A1F4-FE7C654DC3D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B211ABC1-8D23-45DB-AC0C-541EFB92EC26}"/>
    <cellStyle name="Normal 2 4 2 3 4 4 2 3" xfId="13175" xr:uid="{C45426EF-DBFC-4EFB-A706-50171F6D6A52}"/>
    <cellStyle name="Normal 2 4 2 3 4 4 3" xfId="5921" xr:uid="{00000000-0005-0000-0000-00001C0F0000}"/>
    <cellStyle name="Normal 2 4 2 3 4 4 3 2" xfId="15247" xr:uid="{957ADE9D-DBE0-4C30-A2E2-51A294617653}"/>
    <cellStyle name="Normal 2 4 2 3 4 4 4" xfId="11030" xr:uid="{D470109F-A91D-44B3-8638-269971EB3B1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765A7193-1240-48DE-9CDC-0D0535A8CF97}"/>
    <cellStyle name="Normal 2 4 2 3 4 5 2 3" xfId="13588" xr:uid="{D5B146F8-47AE-48F3-BD8C-F1373C05D69A}"/>
    <cellStyle name="Normal 2 4 2 3 4 5 3" xfId="6334" xr:uid="{00000000-0005-0000-0000-0000200F0000}"/>
    <cellStyle name="Normal 2 4 2 3 4 5 3 2" xfId="15660" xr:uid="{80536981-9269-489B-B1DF-905AD343140D}"/>
    <cellStyle name="Normal 2 4 2 3 4 5 4" xfId="11443" xr:uid="{9DAE9861-ED72-421A-8A4B-884CACDBF2ED}"/>
    <cellStyle name="Normal 2 4 2 3 4 6" xfId="2464" xr:uid="{00000000-0005-0000-0000-0000210F0000}"/>
    <cellStyle name="Normal 2 4 2 3 4 6 2" xfId="6747" xr:uid="{00000000-0005-0000-0000-0000220F0000}"/>
    <cellStyle name="Normal 2 4 2 3 4 6 2 2" xfId="16073" xr:uid="{BE5EF30F-F485-443F-96D3-40D19DC0F806}"/>
    <cellStyle name="Normal 2 4 2 3 4 6 3" xfId="11856" xr:uid="{B9A37414-6290-4F76-935A-826364337DD8}"/>
    <cellStyle name="Normal 2 4 2 3 4 7" xfId="4681" xr:uid="{00000000-0005-0000-0000-0000230F0000}"/>
    <cellStyle name="Normal 2 4 2 3 4 7 2" xfId="14007" xr:uid="{71E7F567-01F5-4B03-8301-03EA8940951B}"/>
    <cellStyle name="Normal 2 4 2 3 4 8" xfId="8995" xr:uid="{EEE25A27-4C18-4948-8341-FF27707A7A86}"/>
    <cellStyle name="Normal 2 4 2 3 4 9" xfId="9790" xr:uid="{CCC5FD6D-04BA-4A8B-8EF6-A4ED69B86698}"/>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DC587CFC-4B98-4AFE-BB00-782C8E580151}"/>
    <cellStyle name="Normal 2 4 2 3 5 2 3" xfId="12342" xr:uid="{25DC37E9-114E-49B8-A474-8C5A69ACE5E6}"/>
    <cellStyle name="Normal 2 4 2 3 5 3" xfId="5088" xr:uid="{00000000-0005-0000-0000-0000270F0000}"/>
    <cellStyle name="Normal 2 4 2 3 5 3 2" xfId="14414" xr:uid="{733AE5B9-6068-427B-BFB7-F25F863A7016}"/>
    <cellStyle name="Normal 2 4 2 3 5 4" xfId="9212" xr:uid="{39F1BF9F-C79C-4226-B2D8-665EAA6F3686}"/>
    <cellStyle name="Normal 2 4 2 3 5 5" xfId="10197" xr:uid="{B67D01B4-49E2-4E0B-A2B1-9EF5E0359BAF}"/>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3780997D-CE63-48C9-80D5-239646AA6ECE}"/>
    <cellStyle name="Normal 2 4 2 3 6 2 3" xfId="12755" xr:uid="{08CA07B2-4C90-433B-BD53-200C18F0D942}"/>
    <cellStyle name="Normal 2 4 2 3 6 3" xfId="5501" xr:uid="{00000000-0005-0000-0000-00002B0F0000}"/>
    <cellStyle name="Normal 2 4 2 3 6 3 2" xfId="14827" xr:uid="{EFFB5221-42A9-480E-B131-BBFA1E8BA594}"/>
    <cellStyle name="Normal 2 4 2 3 6 4" xfId="10610" xr:uid="{24F7BE0E-9BFC-47D1-A671-B5341F83055B}"/>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D9479F11-60EB-45AC-AB3E-240533CD59D5}"/>
    <cellStyle name="Normal 2 4 2 3 7 2 3" xfId="13168" xr:uid="{14BED4CD-D47D-49DF-8197-920D58EDBBA3}"/>
    <cellStyle name="Normal 2 4 2 3 7 3" xfId="5914" xr:uid="{00000000-0005-0000-0000-00002F0F0000}"/>
    <cellStyle name="Normal 2 4 2 3 7 3 2" xfId="15240" xr:uid="{67472494-BC95-4128-A6C0-AF0F31C53DA5}"/>
    <cellStyle name="Normal 2 4 2 3 7 4" xfId="11023" xr:uid="{A7229D25-4B57-4ECA-9F4A-16CEE17DB356}"/>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7CE59C70-9B2C-441F-8426-BB74D16E3EE0}"/>
    <cellStyle name="Normal 2 4 2 3 8 2 3" xfId="13581" xr:uid="{FC86C84E-4F1C-4668-AF73-88E17567AD78}"/>
    <cellStyle name="Normal 2 4 2 3 8 3" xfId="6327" xr:uid="{00000000-0005-0000-0000-0000330F0000}"/>
    <cellStyle name="Normal 2 4 2 3 8 3 2" xfId="15653" xr:uid="{83F891B8-8443-4855-B331-CFDC07F38F84}"/>
    <cellStyle name="Normal 2 4 2 3 8 4" xfId="11436" xr:uid="{BAF0B212-A579-4710-91AA-EC8462B7EEA2}"/>
    <cellStyle name="Normal 2 4 2 3 9" xfId="2457" xr:uid="{00000000-0005-0000-0000-0000340F0000}"/>
    <cellStyle name="Normal 2 4 2 3 9 2" xfId="6740" xr:uid="{00000000-0005-0000-0000-0000350F0000}"/>
    <cellStyle name="Normal 2 4 2 3 9 2 2" xfId="16066" xr:uid="{B66E91DA-1777-405D-951C-79F0401F0091}"/>
    <cellStyle name="Normal 2 4 2 3 9 3" xfId="11849" xr:uid="{494944F0-9B42-493D-BE23-2AD97DD86BAE}"/>
    <cellStyle name="Normal 2 4 2 4" xfId="289" xr:uid="{00000000-0005-0000-0000-0000360F0000}"/>
    <cellStyle name="Normal 2 4 2 4 10" xfId="8812" xr:uid="{C2E08BA7-2068-4F74-AFE2-E0AED0B82FE2}"/>
    <cellStyle name="Normal 2 4 2 4 11" xfId="9791" xr:uid="{A543F0CA-0F74-4B52-B499-918387CE4EBB}"/>
    <cellStyle name="Normal 2 4 2 4 2" xfId="290" xr:uid="{00000000-0005-0000-0000-0000370F0000}"/>
    <cellStyle name="Normal 2 4 2 4 2 10" xfId="9792" xr:uid="{F0A2D24F-2775-44B4-B5D8-D48BC53F4566}"/>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D2846D72-57C3-4CDA-840B-250D675D609B}"/>
    <cellStyle name="Normal 2 4 2 4 2 2 2 2 3" xfId="12352" xr:uid="{8FCAA0CD-DAA4-4209-BC7C-C8FBF7954885}"/>
    <cellStyle name="Normal 2 4 2 4 2 2 2 3" xfId="5098" xr:uid="{00000000-0005-0000-0000-00003C0F0000}"/>
    <cellStyle name="Normal 2 4 2 4 2 2 2 3 2" xfId="14424" xr:uid="{ED717EAD-4691-4123-BD30-2EA9FF80E948}"/>
    <cellStyle name="Normal 2 4 2 4 2 2 2 4" xfId="9547" xr:uid="{F8909421-8B16-4168-8B85-A5523C430C3C}"/>
    <cellStyle name="Normal 2 4 2 4 2 2 2 5" xfId="10207" xr:uid="{8232BC91-872B-4657-8E1A-6191144FC132}"/>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01BC08D4-4B63-4667-B926-8C8BA51DBB39}"/>
    <cellStyle name="Normal 2 4 2 4 2 2 3 2 3" xfId="12765" xr:uid="{6908B7FE-70DD-45A9-BE20-0D0704FC985A}"/>
    <cellStyle name="Normal 2 4 2 4 2 2 3 3" xfId="5511" xr:uid="{00000000-0005-0000-0000-0000400F0000}"/>
    <cellStyle name="Normal 2 4 2 4 2 2 3 3 2" xfId="14837" xr:uid="{483CE21A-FCF1-4191-8F0B-5F4BDF7AC55A}"/>
    <cellStyle name="Normal 2 4 2 4 2 2 3 4" xfId="10620" xr:uid="{6CC05F69-8D4B-433E-9138-90C0E640AD69}"/>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2B6C5991-6DE5-469C-80EF-7302F3EF77D8}"/>
    <cellStyle name="Normal 2 4 2 4 2 2 4 2 3" xfId="13178" xr:uid="{84344CAE-4A04-4A4D-9F0E-A27933FC7A26}"/>
    <cellStyle name="Normal 2 4 2 4 2 2 4 3" xfId="5924" xr:uid="{00000000-0005-0000-0000-0000440F0000}"/>
    <cellStyle name="Normal 2 4 2 4 2 2 4 3 2" xfId="15250" xr:uid="{8DB8BFFB-0DDD-4E29-BF87-C112E9A424FA}"/>
    <cellStyle name="Normal 2 4 2 4 2 2 4 4" xfId="11033" xr:uid="{62AB29CA-EB04-42EF-8242-282E0B688353}"/>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FF8EE614-E879-4FC7-A4CD-9515D634A560}"/>
    <cellStyle name="Normal 2 4 2 4 2 2 5 2 3" xfId="13591" xr:uid="{42E181AF-7DA2-4763-ACCC-8F5E80B7DC40}"/>
    <cellStyle name="Normal 2 4 2 4 2 2 5 3" xfId="6337" xr:uid="{00000000-0005-0000-0000-0000480F0000}"/>
    <cellStyle name="Normal 2 4 2 4 2 2 5 3 2" xfId="15663" xr:uid="{80018B0F-0913-405B-9256-6E0AD59ADD70}"/>
    <cellStyle name="Normal 2 4 2 4 2 2 5 4" xfId="11446" xr:uid="{B0A39EF4-28EF-4AF5-AFC3-2A764CED2A54}"/>
    <cellStyle name="Normal 2 4 2 4 2 2 6" xfId="2467" xr:uid="{00000000-0005-0000-0000-0000490F0000}"/>
    <cellStyle name="Normal 2 4 2 4 2 2 6 2" xfId="6750" xr:uid="{00000000-0005-0000-0000-00004A0F0000}"/>
    <cellStyle name="Normal 2 4 2 4 2 2 6 2 2" xfId="16076" xr:uid="{DEBBF3A8-7730-4A57-83A0-92018474AA9E}"/>
    <cellStyle name="Normal 2 4 2 4 2 2 6 3" xfId="11859" xr:uid="{CD2972EB-82BD-4586-A74A-32495239CB2E}"/>
    <cellStyle name="Normal 2 4 2 4 2 2 7" xfId="4684" xr:uid="{00000000-0005-0000-0000-00004B0F0000}"/>
    <cellStyle name="Normal 2 4 2 4 2 2 7 2" xfId="14010" xr:uid="{DD4A20C3-7E52-42AC-BACB-2D42B10CFAAA}"/>
    <cellStyle name="Normal 2 4 2 4 2 2 8" xfId="9122" xr:uid="{861CB008-611F-4F3F-9D09-5BCA5A4CB255}"/>
    <cellStyle name="Normal 2 4 2 4 2 2 9" xfId="9793" xr:uid="{E479FE4C-50C2-4E92-885F-3583ED27A157}"/>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3CB7D5E8-462E-4D62-912F-DA5EDFBE1081}"/>
    <cellStyle name="Normal 2 4 2 4 2 3 2 3" xfId="12351" xr:uid="{7B97DECD-88E2-4A85-B505-F34C890CD96E}"/>
    <cellStyle name="Normal 2 4 2 4 2 3 3" xfId="5097" xr:uid="{00000000-0005-0000-0000-00004F0F0000}"/>
    <cellStyle name="Normal 2 4 2 4 2 3 3 2" xfId="14423" xr:uid="{ED9F7000-FD84-4A15-BE56-9B4719C3CAEE}"/>
    <cellStyle name="Normal 2 4 2 4 2 3 4" xfId="9340" xr:uid="{2D1F2F91-F6E8-42AC-98D0-B8667E0ECE37}"/>
    <cellStyle name="Normal 2 4 2 4 2 3 5" xfId="10206" xr:uid="{0BB0CEEE-C94D-49FA-B68F-FF9DC64B7CCE}"/>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B3D32856-5CE0-4C2A-8329-AB24AD131F74}"/>
    <cellStyle name="Normal 2 4 2 4 2 4 2 3" xfId="12764" xr:uid="{C34056E1-9D7A-45A5-8C2E-B45F9D4D0FEF}"/>
    <cellStyle name="Normal 2 4 2 4 2 4 3" xfId="5510" xr:uid="{00000000-0005-0000-0000-0000530F0000}"/>
    <cellStyle name="Normal 2 4 2 4 2 4 3 2" xfId="14836" xr:uid="{0105FCB3-013A-40BC-B3DA-BEDC615D2752}"/>
    <cellStyle name="Normal 2 4 2 4 2 4 4" xfId="10619" xr:uid="{2696D0CB-308C-45EE-805A-1ED4DFC5C993}"/>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DC560672-E1F0-45EE-8412-A7D547304D61}"/>
    <cellStyle name="Normal 2 4 2 4 2 5 2 3" xfId="13177" xr:uid="{E284B699-160D-4B4C-B2B2-94AABD74661A}"/>
    <cellStyle name="Normal 2 4 2 4 2 5 3" xfId="5923" xr:uid="{00000000-0005-0000-0000-0000570F0000}"/>
    <cellStyle name="Normal 2 4 2 4 2 5 3 2" xfId="15249" xr:uid="{768144F7-7D18-4F6B-8969-121976789FBE}"/>
    <cellStyle name="Normal 2 4 2 4 2 5 4" xfId="11032" xr:uid="{DFF0F9A8-4A22-4EC5-95C7-22F98C5C3B76}"/>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AA08B110-6CDB-45DA-A061-B5DDAE45BBB7}"/>
    <cellStyle name="Normal 2 4 2 4 2 6 2 3" xfId="13590" xr:uid="{E0896322-8D2A-4F44-95E6-B637DA324376}"/>
    <cellStyle name="Normal 2 4 2 4 2 6 3" xfId="6336" xr:uid="{00000000-0005-0000-0000-00005B0F0000}"/>
    <cellStyle name="Normal 2 4 2 4 2 6 3 2" xfId="15662" xr:uid="{1D82FB78-27D6-4561-BDA5-9578707C8934}"/>
    <cellStyle name="Normal 2 4 2 4 2 6 4" xfId="11445" xr:uid="{1E987296-F4E2-4F1C-8B6B-4F29D43A4CB1}"/>
    <cellStyle name="Normal 2 4 2 4 2 7" xfId="2466" xr:uid="{00000000-0005-0000-0000-00005C0F0000}"/>
    <cellStyle name="Normal 2 4 2 4 2 7 2" xfId="6749" xr:uid="{00000000-0005-0000-0000-00005D0F0000}"/>
    <cellStyle name="Normal 2 4 2 4 2 7 2 2" xfId="16075" xr:uid="{68069B0F-2646-4560-8A99-0864128F0B16}"/>
    <cellStyle name="Normal 2 4 2 4 2 7 3" xfId="11858" xr:uid="{254F81D4-BEED-4720-BDE0-FC62FDB1A7FF}"/>
    <cellStyle name="Normal 2 4 2 4 2 8" xfId="4683" xr:uid="{00000000-0005-0000-0000-00005E0F0000}"/>
    <cellStyle name="Normal 2 4 2 4 2 8 2" xfId="14009" xr:uid="{7158A7FA-49F6-4B75-ADBD-85ADB7C02899}"/>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B47D60A5-1876-468E-B7AF-FD0C467EDA6C}"/>
    <cellStyle name="Normal 2 4 2 4 3 2 2 3" xfId="12353" xr:uid="{A40E8D3F-FC01-45C5-B257-888654371E5A}"/>
    <cellStyle name="Normal 2 4 2 4 3 2 3" xfId="5099" xr:uid="{00000000-0005-0000-0000-0000630F0000}"/>
    <cellStyle name="Normal 2 4 2 4 3 2 3 2" xfId="14425" xr:uid="{B82514BE-51CD-48A8-828D-770EA2673196}"/>
    <cellStyle name="Normal 2 4 2 4 3 2 4" xfId="9444" xr:uid="{807939DF-E7C0-4015-A3D8-AE9E56020172}"/>
    <cellStyle name="Normal 2 4 2 4 3 2 5" xfId="10208" xr:uid="{79B5017E-8BDC-49AB-BED9-BECB9F619465}"/>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E8933100-F0B8-40A6-B119-3BA18B3A8007}"/>
    <cellStyle name="Normal 2 4 2 4 3 3 2 3" xfId="12766" xr:uid="{A581B78B-71A7-4E14-9D45-6D1DCB975FDB}"/>
    <cellStyle name="Normal 2 4 2 4 3 3 3" xfId="5512" xr:uid="{00000000-0005-0000-0000-0000670F0000}"/>
    <cellStyle name="Normal 2 4 2 4 3 3 3 2" xfId="14838" xr:uid="{71723AED-1281-4E76-83BC-A11789ACE8E1}"/>
    <cellStyle name="Normal 2 4 2 4 3 3 4" xfId="10621" xr:uid="{F23780FE-CB9B-42F7-87DC-C54F1CAC20A5}"/>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94398626-1335-4254-B7F9-68BECE1D5204}"/>
    <cellStyle name="Normal 2 4 2 4 3 4 2 3" xfId="13179" xr:uid="{F98D7950-1107-44BD-BAC5-0EAA65B89E3A}"/>
    <cellStyle name="Normal 2 4 2 4 3 4 3" xfId="5925" xr:uid="{00000000-0005-0000-0000-00006B0F0000}"/>
    <cellStyle name="Normal 2 4 2 4 3 4 3 2" xfId="15251" xr:uid="{4CD6B571-9D45-4EDA-804B-8A982E43E6ED}"/>
    <cellStyle name="Normal 2 4 2 4 3 4 4" xfId="11034" xr:uid="{A50CBEF5-61D0-4A45-86B7-9406CC63CBE7}"/>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B3557D7D-892D-473E-A0E2-DC4DEE7D12BD}"/>
    <cellStyle name="Normal 2 4 2 4 3 5 2 3" xfId="13592" xr:uid="{C75624D1-8851-4DDF-8B72-7B5FCD72A490}"/>
    <cellStyle name="Normal 2 4 2 4 3 5 3" xfId="6338" xr:uid="{00000000-0005-0000-0000-00006F0F0000}"/>
    <cellStyle name="Normal 2 4 2 4 3 5 3 2" xfId="15664" xr:uid="{5555B029-C662-429F-AF2E-95117DBFEF43}"/>
    <cellStyle name="Normal 2 4 2 4 3 5 4" xfId="11447" xr:uid="{695E18D9-2E83-44C9-98D3-35BCE9947A72}"/>
    <cellStyle name="Normal 2 4 2 4 3 6" xfId="2468" xr:uid="{00000000-0005-0000-0000-0000700F0000}"/>
    <cellStyle name="Normal 2 4 2 4 3 6 2" xfId="6751" xr:uid="{00000000-0005-0000-0000-0000710F0000}"/>
    <cellStyle name="Normal 2 4 2 4 3 6 2 2" xfId="16077" xr:uid="{D106B098-C050-4C4E-BD1F-157610EB942D}"/>
    <cellStyle name="Normal 2 4 2 4 3 6 3" xfId="11860" xr:uid="{B35348DF-A3C8-4D4E-BAED-14FE13DC466A}"/>
    <cellStyle name="Normal 2 4 2 4 3 7" xfId="4685" xr:uid="{00000000-0005-0000-0000-0000720F0000}"/>
    <cellStyle name="Normal 2 4 2 4 3 7 2" xfId="14011" xr:uid="{D608F092-A862-4510-9263-ECC56D788973}"/>
    <cellStyle name="Normal 2 4 2 4 3 8" xfId="9019" xr:uid="{1F22810F-FF7D-4FF4-861A-F2BA8F253428}"/>
    <cellStyle name="Normal 2 4 2 4 3 9" xfId="9794" xr:uid="{7225BF58-9912-4792-849B-7C7C9488E9B2}"/>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74085A09-6892-4D10-ACDF-3CAB22E4B9D9}"/>
    <cellStyle name="Normal 2 4 2 4 4 2 3" xfId="12350" xr:uid="{51F0D29D-E704-435D-8266-4AEE97BBCC23}"/>
    <cellStyle name="Normal 2 4 2 4 4 3" xfId="5096" xr:uid="{00000000-0005-0000-0000-0000760F0000}"/>
    <cellStyle name="Normal 2 4 2 4 4 3 2" xfId="14422" xr:uid="{BBA90F84-DA7A-4F26-9ECD-3AA3885C58B4}"/>
    <cellStyle name="Normal 2 4 2 4 4 4" xfId="9237" xr:uid="{FF4B133D-A40B-4895-9E3D-E727B18E66C8}"/>
    <cellStyle name="Normal 2 4 2 4 4 5" xfId="10205" xr:uid="{12838FF7-CE3B-4231-AE06-72292CCC1259}"/>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509D5077-8C35-427C-BB29-2A560C848124}"/>
    <cellStyle name="Normal 2 4 2 4 5 2 3" xfId="12763" xr:uid="{D6C75DC5-8D62-4DE1-8BFC-BD49ED721C16}"/>
    <cellStyle name="Normal 2 4 2 4 5 3" xfId="5509" xr:uid="{00000000-0005-0000-0000-00007A0F0000}"/>
    <cellStyle name="Normal 2 4 2 4 5 3 2" xfId="14835" xr:uid="{85E1FCC4-0D3D-46B9-BFCB-F393B2C61A8E}"/>
    <cellStyle name="Normal 2 4 2 4 5 4" xfId="10618" xr:uid="{936FD3AC-A369-44A0-B22C-3BA449B271A4}"/>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6DA7E388-1BBF-407B-9910-53A6F514EE5B}"/>
    <cellStyle name="Normal 2 4 2 4 6 2 3" xfId="13176" xr:uid="{8CB53449-B03D-41B6-A778-09B029156CF1}"/>
    <cellStyle name="Normal 2 4 2 4 6 3" xfId="5922" xr:uid="{00000000-0005-0000-0000-00007E0F0000}"/>
    <cellStyle name="Normal 2 4 2 4 6 3 2" xfId="15248" xr:uid="{414D50BE-D318-4FA3-AB12-5AD369B6246E}"/>
    <cellStyle name="Normal 2 4 2 4 6 4" xfId="11031" xr:uid="{C8EC70ED-0B27-489D-A5CF-03D75AB92D04}"/>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6BDE9851-2562-4362-B3BB-D8522FA49BEB}"/>
    <cellStyle name="Normal 2 4 2 4 7 2 3" xfId="13589" xr:uid="{EBE56D7E-A9E0-4F88-9742-A947E729003C}"/>
    <cellStyle name="Normal 2 4 2 4 7 3" xfId="6335" xr:uid="{00000000-0005-0000-0000-0000820F0000}"/>
    <cellStyle name="Normal 2 4 2 4 7 3 2" xfId="15661" xr:uid="{1F5A3B91-EFCA-47A6-93A9-69E5BE124E00}"/>
    <cellStyle name="Normal 2 4 2 4 7 4" xfId="11444" xr:uid="{882AD097-96B6-46F6-847F-B807FB7C6E24}"/>
    <cellStyle name="Normal 2 4 2 4 8" xfId="2465" xr:uid="{00000000-0005-0000-0000-0000830F0000}"/>
    <cellStyle name="Normal 2 4 2 4 8 2" xfId="6748" xr:uid="{00000000-0005-0000-0000-0000840F0000}"/>
    <cellStyle name="Normal 2 4 2 4 8 2 2" xfId="16074" xr:uid="{33BBE0B5-3DA1-4B00-A2AB-4B168B1F2E8F}"/>
    <cellStyle name="Normal 2 4 2 4 8 3" xfId="11857" xr:uid="{6C51E769-33A5-4530-85F8-12D9022D7AF2}"/>
    <cellStyle name="Normal 2 4 2 4 9" xfId="4682" xr:uid="{00000000-0005-0000-0000-0000850F0000}"/>
    <cellStyle name="Normal 2 4 2 4 9 2" xfId="14008" xr:uid="{BF9C2785-FD3D-4F63-A6B2-40E0CBBBE8A2}"/>
    <cellStyle name="Normal 2 4 2 5" xfId="293" xr:uid="{00000000-0005-0000-0000-0000860F0000}"/>
    <cellStyle name="Normal 2 4 2 5 10" xfId="9795" xr:uid="{72C06CCF-2FB5-42B9-8AE1-24CD1CBAC504}"/>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EBE3C1B5-D4E0-4E20-8559-C1F1288A5DE5}"/>
    <cellStyle name="Normal 2 4 2 5 2 2 2 3" xfId="12355" xr:uid="{0659F432-621B-4F08-A163-10D664A86947}"/>
    <cellStyle name="Normal 2 4 2 5 2 2 3" xfId="5101" xr:uid="{00000000-0005-0000-0000-00008B0F0000}"/>
    <cellStyle name="Normal 2 4 2 5 2 2 3 2" xfId="14427" xr:uid="{6CCDC7D4-AE1E-487E-B678-941F3C6D8D52}"/>
    <cellStyle name="Normal 2 4 2 5 2 2 4" xfId="9492" xr:uid="{07DC9204-2F52-408E-80EE-617A106DD9FD}"/>
    <cellStyle name="Normal 2 4 2 5 2 2 5" xfId="10210" xr:uid="{CB9A3A01-C518-4E55-B543-11D636AE1768}"/>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5292BC86-311B-414E-AFCB-24FAAE5DB0D0}"/>
    <cellStyle name="Normal 2 4 2 5 2 3 2 3" xfId="12768" xr:uid="{228B2275-98C5-498B-8274-2ADECE5F48EC}"/>
    <cellStyle name="Normal 2 4 2 5 2 3 3" xfId="5514" xr:uid="{00000000-0005-0000-0000-00008F0F0000}"/>
    <cellStyle name="Normal 2 4 2 5 2 3 3 2" xfId="14840" xr:uid="{6C3057D0-5974-4003-BBE9-CF7036AF637F}"/>
    <cellStyle name="Normal 2 4 2 5 2 3 4" xfId="10623" xr:uid="{E213998C-ED77-4F04-A79F-A90985D1B3D6}"/>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E26734B7-A72B-4D88-8164-83B567B6A9D9}"/>
    <cellStyle name="Normal 2 4 2 5 2 4 2 3" xfId="13181" xr:uid="{E102ACBA-E05E-4A25-AB3A-872A612BF792}"/>
    <cellStyle name="Normal 2 4 2 5 2 4 3" xfId="5927" xr:uid="{00000000-0005-0000-0000-0000930F0000}"/>
    <cellStyle name="Normal 2 4 2 5 2 4 3 2" xfId="15253" xr:uid="{8D9FDBEE-6FBF-456D-A3CE-A0CC58A2A1D4}"/>
    <cellStyle name="Normal 2 4 2 5 2 4 4" xfId="11036" xr:uid="{3B68B727-EEBB-4F9D-A500-4612D40C6433}"/>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CD7430EF-6C36-4963-9A92-6D54EC41A770}"/>
    <cellStyle name="Normal 2 4 2 5 2 5 2 3" xfId="13594" xr:uid="{62BC9089-6B97-446C-A866-1BED8DEA0988}"/>
    <cellStyle name="Normal 2 4 2 5 2 5 3" xfId="6340" xr:uid="{00000000-0005-0000-0000-0000970F0000}"/>
    <cellStyle name="Normal 2 4 2 5 2 5 3 2" xfId="15666" xr:uid="{A6220ADD-1622-4692-A84D-12DCD95BA514}"/>
    <cellStyle name="Normal 2 4 2 5 2 5 4" xfId="11449" xr:uid="{09684C47-C687-4AC7-9E1A-A0667FFBDE3D}"/>
    <cellStyle name="Normal 2 4 2 5 2 6" xfId="2470" xr:uid="{00000000-0005-0000-0000-0000980F0000}"/>
    <cellStyle name="Normal 2 4 2 5 2 6 2" xfId="6753" xr:uid="{00000000-0005-0000-0000-0000990F0000}"/>
    <cellStyle name="Normal 2 4 2 5 2 6 2 2" xfId="16079" xr:uid="{EC5314B0-4E72-48CA-A428-0F871E68257A}"/>
    <cellStyle name="Normal 2 4 2 5 2 6 3" xfId="11862" xr:uid="{F079CB5C-480D-4303-8027-ED7F8A6A1EFB}"/>
    <cellStyle name="Normal 2 4 2 5 2 7" xfId="4687" xr:uid="{00000000-0005-0000-0000-00009A0F0000}"/>
    <cellStyle name="Normal 2 4 2 5 2 7 2" xfId="14013" xr:uid="{2D718EB3-EA12-4492-9313-C4FD58573341}"/>
    <cellStyle name="Normal 2 4 2 5 2 8" xfId="9067" xr:uid="{89D5CB5A-ADE0-44B8-BC1E-FDE984B579C9}"/>
    <cellStyle name="Normal 2 4 2 5 2 9" xfId="9796" xr:uid="{D3573503-FFCA-454F-A489-00AF64E83A3A}"/>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DC8F5E74-D343-4983-88DC-188E9CAA4C08}"/>
    <cellStyle name="Normal 2 4 2 5 3 2 3" xfId="12354" xr:uid="{687C5890-A329-4963-BD84-5AA25B4584BE}"/>
    <cellStyle name="Normal 2 4 2 5 3 3" xfId="5100" xr:uid="{00000000-0005-0000-0000-00009E0F0000}"/>
    <cellStyle name="Normal 2 4 2 5 3 3 2" xfId="14426" xr:uid="{4B7EDF7C-5081-441F-B5B9-46FF471D8FCB}"/>
    <cellStyle name="Normal 2 4 2 5 3 4" xfId="9285" xr:uid="{5DA39FB9-904E-46D3-8E24-58BF2F19DA5B}"/>
    <cellStyle name="Normal 2 4 2 5 3 5" xfId="10209" xr:uid="{303BF130-4C79-4941-9982-3E4072FF7DE0}"/>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FE6F2D3A-8DEC-4359-AA14-F716337D04F4}"/>
    <cellStyle name="Normal 2 4 2 5 4 2 3" xfId="12767" xr:uid="{7DEE5901-31BA-4422-A814-020926BAD572}"/>
    <cellStyle name="Normal 2 4 2 5 4 3" xfId="5513" xr:uid="{00000000-0005-0000-0000-0000A20F0000}"/>
    <cellStyle name="Normal 2 4 2 5 4 3 2" xfId="14839" xr:uid="{229E27CF-C41B-4D45-9715-41DAAAB930F3}"/>
    <cellStyle name="Normal 2 4 2 5 4 4" xfId="10622" xr:uid="{05DBF471-A382-4C52-80A9-A455F4FE0431}"/>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14205443-07E6-4962-96F1-BDB84EF5167D}"/>
    <cellStyle name="Normal 2 4 2 5 5 2 3" xfId="13180" xr:uid="{F47CB206-BA71-47C3-887D-1DF8E1D8BC64}"/>
    <cellStyle name="Normal 2 4 2 5 5 3" xfId="5926" xr:uid="{00000000-0005-0000-0000-0000A60F0000}"/>
    <cellStyle name="Normal 2 4 2 5 5 3 2" xfId="15252" xr:uid="{3A3D473E-0400-4EC0-9DAC-AF648E1F19E7}"/>
    <cellStyle name="Normal 2 4 2 5 5 4" xfId="11035" xr:uid="{6EB2BF0B-5E7E-4F27-A6C2-90DA1E1D7A4A}"/>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BA2BBEA1-7DFC-4146-BF4E-1C62A9EAB93A}"/>
    <cellStyle name="Normal 2 4 2 5 6 2 3" xfId="13593" xr:uid="{321AC423-FF7B-4F3E-A641-0711B1029B5B}"/>
    <cellStyle name="Normal 2 4 2 5 6 3" xfId="6339" xr:uid="{00000000-0005-0000-0000-0000AA0F0000}"/>
    <cellStyle name="Normal 2 4 2 5 6 3 2" xfId="15665" xr:uid="{BB74DD56-BBF2-4EF3-B983-AC2778F39111}"/>
    <cellStyle name="Normal 2 4 2 5 6 4" xfId="11448" xr:uid="{1C432BBD-13AC-43D2-83CC-4A51A0F56861}"/>
    <cellStyle name="Normal 2 4 2 5 7" xfId="2469" xr:uid="{00000000-0005-0000-0000-0000AB0F0000}"/>
    <cellStyle name="Normal 2 4 2 5 7 2" xfId="6752" xr:uid="{00000000-0005-0000-0000-0000AC0F0000}"/>
    <cellStyle name="Normal 2 4 2 5 7 2 2" xfId="16078" xr:uid="{85446FC7-1635-4F6E-9CDE-E2D7D5BF7081}"/>
    <cellStyle name="Normal 2 4 2 5 7 3" xfId="11861" xr:uid="{D1F406BA-C186-41A2-807B-2024AA486A05}"/>
    <cellStyle name="Normal 2 4 2 5 8" xfId="4686" xr:uid="{00000000-0005-0000-0000-0000AD0F0000}"/>
    <cellStyle name="Normal 2 4 2 5 8 2" xfId="14012" xr:uid="{880D7B23-B503-4B7B-A800-840224DF436A}"/>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2D93AF36-58B6-4CE3-AF53-F445A1BA3B36}"/>
    <cellStyle name="Normal 2 4 2 6 2 2 3" xfId="12356" xr:uid="{C3E227D7-DE91-40D4-B091-F3085A207D84}"/>
    <cellStyle name="Normal 2 4 2 6 2 3" xfId="5102" xr:uid="{00000000-0005-0000-0000-0000B20F0000}"/>
    <cellStyle name="Normal 2 4 2 6 2 3 2" xfId="14428" xr:uid="{C8A2D356-C08D-4E16-8E9A-20F065459DE3}"/>
    <cellStyle name="Normal 2 4 2 6 2 4" xfId="9401" xr:uid="{C89DD342-23DD-474B-84C5-F9DED42F169B}"/>
    <cellStyle name="Normal 2 4 2 6 2 5" xfId="10211" xr:uid="{0B45182A-C280-4938-A737-80AB5D706E16}"/>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01C92F8F-4251-43BA-8C27-022AC6E15C0B}"/>
    <cellStyle name="Normal 2 4 2 6 3 2 3" xfId="12769" xr:uid="{712D769A-7B7A-45B5-9EE9-05D6943F2F52}"/>
    <cellStyle name="Normal 2 4 2 6 3 3" xfId="5515" xr:uid="{00000000-0005-0000-0000-0000B60F0000}"/>
    <cellStyle name="Normal 2 4 2 6 3 3 2" xfId="14841" xr:uid="{5B91DB54-CAAA-484F-BFC2-984955E8249D}"/>
    <cellStyle name="Normal 2 4 2 6 3 4" xfId="10624" xr:uid="{3921098E-157E-45BC-9372-8C18CF1ECC1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ABEF67ED-AD14-497A-8E65-8191D43FB7D5}"/>
    <cellStyle name="Normal 2 4 2 6 4 2 3" xfId="13182" xr:uid="{09D47D58-178C-4AB4-8446-0A3DF96C4E8E}"/>
    <cellStyle name="Normal 2 4 2 6 4 3" xfId="5928" xr:uid="{00000000-0005-0000-0000-0000BA0F0000}"/>
    <cellStyle name="Normal 2 4 2 6 4 3 2" xfId="15254" xr:uid="{42E14AF7-0728-4DA4-BCDD-1B306C162636}"/>
    <cellStyle name="Normal 2 4 2 6 4 4" xfId="11037" xr:uid="{F9873A5D-97F9-49D5-BFE7-87B1B842AA7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B7EA5F42-0DA8-4B9E-9C71-6991EF68B087}"/>
    <cellStyle name="Normal 2 4 2 6 5 2 3" xfId="13595" xr:uid="{9550731F-6726-4F1D-8F1A-F56B19CE3494}"/>
    <cellStyle name="Normal 2 4 2 6 5 3" xfId="6341" xr:uid="{00000000-0005-0000-0000-0000BE0F0000}"/>
    <cellStyle name="Normal 2 4 2 6 5 3 2" xfId="15667" xr:uid="{930CDF9E-F36A-497C-A9F8-AE3EFF1BEC83}"/>
    <cellStyle name="Normal 2 4 2 6 5 4" xfId="11450" xr:uid="{D6D692D3-A5D4-4BE2-A145-2F961FF6D498}"/>
    <cellStyle name="Normal 2 4 2 6 6" xfId="2471" xr:uid="{00000000-0005-0000-0000-0000BF0F0000}"/>
    <cellStyle name="Normal 2 4 2 6 6 2" xfId="6754" xr:uid="{00000000-0005-0000-0000-0000C00F0000}"/>
    <cellStyle name="Normal 2 4 2 6 6 2 2" xfId="16080" xr:uid="{FA09C068-44C1-4FFA-8D77-522931068751}"/>
    <cellStyle name="Normal 2 4 2 6 6 3" xfId="11863" xr:uid="{D0E03664-1EBD-4391-9B10-46BB8F0B48AB}"/>
    <cellStyle name="Normal 2 4 2 6 7" xfId="4688" xr:uid="{00000000-0005-0000-0000-0000C10F0000}"/>
    <cellStyle name="Normal 2 4 2 6 7 2" xfId="14014" xr:uid="{FCADB1A6-F07E-47EC-9A83-287760D39783}"/>
    <cellStyle name="Normal 2 4 2 6 8" xfId="8976" xr:uid="{6DEAFF8C-68CB-4364-A161-479509F453AE}"/>
    <cellStyle name="Normal 2 4 2 6 9" xfId="9797" xr:uid="{26FC2152-7E3F-45FF-BBB2-AAB3966E3F9E}"/>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BB4C77CA-E6B5-433D-9CDD-4FBE4F6F684B}"/>
    <cellStyle name="Normal 2 4 2 7 2 3" xfId="12341" xr:uid="{35583A0E-4C97-48E4-BE1E-A7E000FACB2A}"/>
    <cellStyle name="Normal 2 4 2 7 3" xfId="5087" xr:uid="{00000000-0005-0000-0000-0000C50F0000}"/>
    <cellStyle name="Normal 2 4 2 7 3 2" xfId="14413" xr:uid="{1DC78627-DC58-4BC6-A0E3-6582D0A28433}"/>
    <cellStyle name="Normal 2 4 2 7 4" xfId="9179" xr:uid="{D1C44CED-398E-43B3-AFA3-1E7DC60C5D92}"/>
    <cellStyle name="Normal 2 4 2 7 5" xfId="10196" xr:uid="{6DF907FD-8435-440E-B7BA-94187C68CBBA}"/>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3EAFD567-C211-4C5E-B42A-D9F7BE18B223}"/>
    <cellStyle name="Normal 2 4 2 8 2 3" xfId="12754" xr:uid="{AD09F102-8C41-4DB2-A62E-12039F9971FE}"/>
    <cellStyle name="Normal 2 4 2 8 3" xfId="5500" xr:uid="{00000000-0005-0000-0000-0000C90F0000}"/>
    <cellStyle name="Normal 2 4 2 8 3 2" xfId="14826" xr:uid="{8D91C688-7863-4389-A612-EE23924968A2}"/>
    <cellStyle name="Normal 2 4 2 8 4" xfId="10609" xr:uid="{3F7898A4-E528-4FB8-9A3F-BB534509D641}"/>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F593D814-D4B1-4C0B-ABD5-6A5F4A0E01C2}"/>
    <cellStyle name="Normal 2 4 2 9 2 3" xfId="13167" xr:uid="{4B2F3AFB-7850-47B7-948F-C629F55C4FCD}"/>
    <cellStyle name="Normal 2 4 2 9 3" xfId="5913" xr:uid="{00000000-0005-0000-0000-0000CD0F0000}"/>
    <cellStyle name="Normal 2 4 2 9 3 2" xfId="15239" xr:uid="{4C0A5BF4-A528-4BAD-A720-B40077C8D037}"/>
    <cellStyle name="Normal 2 4 2 9 4" xfId="11022" xr:uid="{C57BDFC0-2218-4193-905B-52039F6A0316}"/>
    <cellStyle name="Normal 2 4 3" xfId="296" xr:uid="{00000000-0005-0000-0000-0000CE0F0000}"/>
    <cellStyle name="Normal 2 4 3 10" xfId="9798" xr:uid="{C838EBC2-0FA1-4CF4-9721-A774F333E0EB}"/>
    <cellStyle name="Normal 2 4 3 2" xfId="297" xr:uid="{00000000-0005-0000-0000-0000CF0F0000}"/>
    <cellStyle name="Normal 2 4 3 3" xfId="298" xr:uid="{00000000-0005-0000-0000-0000D00F0000}"/>
    <cellStyle name="Normal 2 4 3 3 10" xfId="8814" xr:uid="{F78EFD99-FCC5-4915-ACA3-DFC3FC0D45A5}"/>
    <cellStyle name="Normal 2 4 3 3 11" xfId="9799" xr:uid="{F84B4476-11D1-4599-A984-8E31DD23EC2E}"/>
    <cellStyle name="Normal 2 4 3 3 2" xfId="299" xr:uid="{00000000-0005-0000-0000-0000D10F0000}"/>
    <cellStyle name="Normal 2 4 3 3 2 10" xfId="9800" xr:uid="{B0B5D286-F956-46B6-96E6-74618B5A8727}"/>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BBB35FA5-F4BA-4C9A-9B43-A160E0A4B1AE}"/>
    <cellStyle name="Normal 2 4 3 3 2 2 2 2 3" xfId="12360" xr:uid="{01B37D29-7070-4A7F-BEA3-9EB561DDAF68}"/>
    <cellStyle name="Normal 2 4 3 3 2 2 2 3" xfId="5106" xr:uid="{00000000-0005-0000-0000-0000D60F0000}"/>
    <cellStyle name="Normal 2 4 3 3 2 2 2 3 2" xfId="14432" xr:uid="{E00EE3C9-D5D5-4399-AC0B-B1B79586B6EC}"/>
    <cellStyle name="Normal 2 4 3 3 2 2 2 4" xfId="9549" xr:uid="{EA88B7BC-E37D-4688-A768-0D7FE5EF9F42}"/>
    <cellStyle name="Normal 2 4 3 3 2 2 2 5" xfId="10215" xr:uid="{1EB2F310-4B9A-4F71-BD31-DC48B8F55D85}"/>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0D7476DD-E6DC-45E4-829E-7104A32C47C3}"/>
    <cellStyle name="Normal 2 4 3 3 2 2 3 2 3" xfId="12773" xr:uid="{20C9C609-0426-4441-BFBD-E8D8489F7389}"/>
    <cellStyle name="Normal 2 4 3 3 2 2 3 3" xfId="5519" xr:uid="{00000000-0005-0000-0000-0000DA0F0000}"/>
    <cellStyle name="Normal 2 4 3 3 2 2 3 3 2" xfId="14845" xr:uid="{446DEE80-2771-4D0B-9E0C-70A3FB8D8058}"/>
    <cellStyle name="Normal 2 4 3 3 2 2 3 4" xfId="10628" xr:uid="{D2912171-83AF-4B89-8350-301CA407FC51}"/>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021A526A-B198-467C-AD7A-7621353E76A6}"/>
    <cellStyle name="Normal 2 4 3 3 2 2 4 2 3" xfId="13186" xr:uid="{1DF28459-32FE-463A-A203-9B6E7F8B3382}"/>
    <cellStyle name="Normal 2 4 3 3 2 2 4 3" xfId="5932" xr:uid="{00000000-0005-0000-0000-0000DE0F0000}"/>
    <cellStyle name="Normal 2 4 3 3 2 2 4 3 2" xfId="15258" xr:uid="{034F85DA-66AE-411C-93F7-08DC648B18E4}"/>
    <cellStyle name="Normal 2 4 3 3 2 2 4 4" xfId="11041" xr:uid="{B09F246A-374B-47A7-9502-DD34766FBF3A}"/>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ED08AC7E-9C2E-4576-A6F2-9BAA65DF12C3}"/>
    <cellStyle name="Normal 2 4 3 3 2 2 5 2 3" xfId="13599" xr:uid="{F70D140D-5B43-4EAB-A430-37C61B7FCBB8}"/>
    <cellStyle name="Normal 2 4 3 3 2 2 5 3" xfId="6345" xr:uid="{00000000-0005-0000-0000-0000E20F0000}"/>
    <cellStyle name="Normal 2 4 3 3 2 2 5 3 2" xfId="15671" xr:uid="{10EB0C3C-915A-4D0B-88A7-77562D1AC097}"/>
    <cellStyle name="Normal 2 4 3 3 2 2 5 4" xfId="11454" xr:uid="{BDB797AF-3F4E-4AF2-B832-55CFF23F1BBD}"/>
    <cellStyle name="Normal 2 4 3 3 2 2 6" xfId="2475" xr:uid="{00000000-0005-0000-0000-0000E30F0000}"/>
    <cellStyle name="Normal 2 4 3 3 2 2 6 2" xfId="6758" xr:uid="{00000000-0005-0000-0000-0000E40F0000}"/>
    <cellStyle name="Normal 2 4 3 3 2 2 6 2 2" xfId="16084" xr:uid="{D0226B5E-654D-4B50-A81E-31E63F6881DC}"/>
    <cellStyle name="Normal 2 4 3 3 2 2 6 3" xfId="11867" xr:uid="{D632FC87-BCC3-4576-9926-3E0C7288745A}"/>
    <cellStyle name="Normal 2 4 3 3 2 2 7" xfId="4692" xr:uid="{00000000-0005-0000-0000-0000E50F0000}"/>
    <cellStyle name="Normal 2 4 3 3 2 2 7 2" xfId="14018" xr:uid="{F7DC2BF3-469F-427B-A19C-EC8854FFC50B}"/>
    <cellStyle name="Normal 2 4 3 3 2 2 8" xfId="9124" xr:uid="{1FF2B195-09C8-4D7B-A363-E8AF809A669B}"/>
    <cellStyle name="Normal 2 4 3 3 2 2 9" xfId="9801" xr:uid="{128DDB21-B2FB-4B0F-B6FA-1D2FFE72E959}"/>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1F2A58C1-104F-4CFC-A3FA-558ADA050D1C}"/>
    <cellStyle name="Normal 2 4 3 3 2 3 2 3" xfId="12359" xr:uid="{8D7BED43-6F35-427F-B28D-83BF8F503824}"/>
    <cellStyle name="Normal 2 4 3 3 2 3 3" xfId="5105" xr:uid="{00000000-0005-0000-0000-0000E90F0000}"/>
    <cellStyle name="Normal 2 4 3 3 2 3 3 2" xfId="14431" xr:uid="{6B3A0C35-DE9A-41FC-BC80-4CA8E7051A13}"/>
    <cellStyle name="Normal 2 4 3 3 2 3 4" xfId="9342" xr:uid="{41454CF9-47C1-4E8A-868A-8F39341308EB}"/>
    <cellStyle name="Normal 2 4 3 3 2 3 5" xfId="10214" xr:uid="{D02A02A4-6EAA-4E50-BC34-BCA30080C97C}"/>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5DA7CDF4-754F-41A1-AAA2-B4F03D48F4DD}"/>
    <cellStyle name="Normal 2 4 3 3 2 4 2 3" xfId="12772" xr:uid="{F36CF6F9-B3D1-47FB-B2BC-2F7FC24B570C}"/>
    <cellStyle name="Normal 2 4 3 3 2 4 3" xfId="5518" xr:uid="{00000000-0005-0000-0000-0000ED0F0000}"/>
    <cellStyle name="Normal 2 4 3 3 2 4 3 2" xfId="14844" xr:uid="{DEC940DA-E67D-4058-AFE4-34347AF4430A}"/>
    <cellStyle name="Normal 2 4 3 3 2 4 4" xfId="10627" xr:uid="{58236570-8E32-43EB-9F95-286D3C8B8F5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BE0D1405-46F5-4F51-92C9-FA9F6B4B476D}"/>
    <cellStyle name="Normal 2 4 3 3 2 5 2 3" xfId="13185" xr:uid="{48DD8E89-0B29-4CBA-BA30-E3521A2F2DCD}"/>
    <cellStyle name="Normal 2 4 3 3 2 5 3" xfId="5931" xr:uid="{00000000-0005-0000-0000-0000F10F0000}"/>
    <cellStyle name="Normal 2 4 3 3 2 5 3 2" xfId="15257" xr:uid="{5B474030-2245-485D-AA94-217A57B24C0D}"/>
    <cellStyle name="Normal 2 4 3 3 2 5 4" xfId="11040" xr:uid="{84F1F8D0-057D-40DC-8D16-B187809ACD03}"/>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7CC08794-0428-4209-9EC7-6DD8863407CA}"/>
    <cellStyle name="Normal 2 4 3 3 2 6 2 3" xfId="13598" xr:uid="{DD725BEC-D332-4B8F-B92C-75A4AED6A467}"/>
    <cellStyle name="Normal 2 4 3 3 2 6 3" xfId="6344" xr:uid="{00000000-0005-0000-0000-0000F50F0000}"/>
    <cellStyle name="Normal 2 4 3 3 2 6 3 2" xfId="15670" xr:uid="{B209309B-4388-4EE9-8C63-D3BE4DB61996}"/>
    <cellStyle name="Normal 2 4 3 3 2 6 4" xfId="11453" xr:uid="{61D3A1D4-5A74-4952-BA44-47DB8BC3A0D0}"/>
    <cellStyle name="Normal 2 4 3 3 2 7" xfId="2474" xr:uid="{00000000-0005-0000-0000-0000F60F0000}"/>
    <cellStyle name="Normal 2 4 3 3 2 7 2" xfId="6757" xr:uid="{00000000-0005-0000-0000-0000F70F0000}"/>
    <cellStyle name="Normal 2 4 3 3 2 7 2 2" xfId="16083" xr:uid="{AD1E05C8-6A9A-4491-BC11-042B2BA127B7}"/>
    <cellStyle name="Normal 2 4 3 3 2 7 3" xfId="11866" xr:uid="{0E5883F6-E43D-4E55-8FAB-51491DAC8DE7}"/>
    <cellStyle name="Normal 2 4 3 3 2 8" xfId="4691" xr:uid="{00000000-0005-0000-0000-0000F80F0000}"/>
    <cellStyle name="Normal 2 4 3 3 2 8 2" xfId="14017" xr:uid="{3A8C49AA-A2A1-4FAB-9265-6A40B52F17DE}"/>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D7B4F1AD-4123-44E7-A69F-4F3E522CDC5D}"/>
    <cellStyle name="Normal 2 4 3 3 3 2 2 3" xfId="12361" xr:uid="{8847441C-8BBF-42F0-ABD9-0398CFB9D7DC}"/>
    <cellStyle name="Normal 2 4 3 3 3 2 3" xfId="5107" xr:uid="{00000000-0005-0000-0000-0000FD0F0000}"/>
    <cellStyle name="Normal 2 4 3 3 3 2 3 2" xfId="14433" xr:uid="{E66BC436-DD3C-4752-A6A9-747914F02C27}"/>
    <cellStyle name="Normal 2 4 3 3 3 2 4" xfId="9446" xr:uid="{7ACDBBC8-943F-41CF-9832-96F56BCB3985}"/>
    <cellStyle name="Normal 2 4 3 3 3 2 5" xfId="10216" xr:uid="{37FB2B15-9083-4E8F-887C-053F94FE9143}"/>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B93FC5BA-3140-4E2F-BDF6-EF4F2797999D}"/>
    <cellStyle name="Normal 2 4 3 3 3 3 2 3" xfId="12774" xr:uid="{F088BAED-8668-492D-AEE9-C3AFB88C030C}"/>
    <cellStyle name="Normal 2 4 3 3 3 3 3" xfId="5520" xr:uid="{00000000-0005-0000-0000-000001100000}"/>
    <cellStyle name="Normal 2 4 3 3 3 3 3 2" xfId="14846" xr:uid="{17427E27-C8E5-41DA-B414-CAE90B3C578B}"/>
    <cellStyle name="Normal 2 4 3 3 3 3 4" xfId="10629" xr:uid="{BAD981CE-D8B4-4FAD-8FAC-B2851B6F2AC5}"/>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CE157339-7886-4F3E-BEE6-200A1B3B91A8}"/>
    <cellStyle name="Normal 2 4 3 3 3 4 2 3" xfId="13187" xr:uid="{A0F6A4E6-5882-41EE-9D52-0CB0B4E308B6}"/>
    <cellStyle name="Normal 2 4 3 3 3 4 3" xfId="5933" xr:uid="{00000000-0005-0000-0000-000005100000}"/>
    <cellStyle name="Normal 2 4 3 3 3 4 3 2" xfId="15259" xr:uid="{3E70FD54-1111-4A47-8AF1-C469C2E8D8F9}"/>
    <cellStyle name="Normal 2 4 3 3 3 4 4" xfId="11042" xr:uid="{E48C30F0-D860-4D97-83B1-5781C4445BF9}"/>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71A6F49F-BC9B-4614-8E88-B6908EA494C4}"/>
    <cellStyle name="Normal 2 4 3 3 3 5 2 3" xfId="13600" xr:uid="{F0D9925A-A455-4643-81D1-0D5BBAD3AA00}"/>
    <cellStyle name="Normal 2 4 3 3 3 5 3" xfId="6346" xr:uid="{00000000-0005-0000-0000-000009100000}"/>
    <cellStyle name="Normal 2 4 3 3 3 5 3 2" xfId="15672" xr:uid="{59D0189F-834E-422A-BC33-EE58473FAA3D}"/>
    <cellStyle name="Normal 2 4 3 3 3 5 4" xfId="11455" xr:uid="{7B3C91E6-9D62-4B7B-BA81-56DDECE67190}"/>
    <cellStyle name="Normal 2 4 3 3 3 6" xfId="2476" xr:uid="{00000000-0005-0000-0000-00000A100000}"/>
    <cellStyle name="Normal 2 4 3 3 3 6 2" xfId="6759" xr:uid="{00000000-0005-0000-0000-00000B100000}"/>
    <cellStyle name="Normal 2 4 3 3 3 6 2 2" xfId="16085" xr:uid="{A66BE345-298C-4583-BCFC-6D03CFE50B73}"/>
    <cellStyle name="Normal 2 4 3 3 3 6 3" xfId="11868" xr:uid="{13E01B6A-0C15-4D58-8E34-1D5D6CD2C4AB}"/>
    <cellStyle name="Normal 2 4 3 3 3 7" xfId="4693" xr:uid="{00000000-0005-0000-0000-00000C100000}"/>
    <cellStyle name="Normal 2 4 3 3 3 7 2" xfId="14019" xr:uid="{99315A2C-3240-49CF-8203-64B0EF12934C}"/>
    <cellStyle name="Normal 2 4 3 3 3 8" xfId="9021" xr:uid="{4EC0F035-DC07-4262-9C58-7142AC357944}"/>
    <cellStyle name="Normal 2 4 3 3 3 9" xfId="9802" xr:uid="{96BDA6EA-1522-4C4C-A8DE-60D28337FFBE}"/>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CE5E53C7-A553-4EEB-9653-D992DB2BF994}"/>
    <cellStyle name="Normal 2 4 3 3 4 2 3" xfId="12358" xr:uid="{EED25247-E715-40A6-A746-0F216F51BC4B}"/>
    <cellStyle name="Normal 2 4 3 3 4 3" xfId="5104" xr:uid="{00000000-0005-0000-0000-000010100000}"/>
    <cellStyle name="Normal 2 4 3 3 4 3 2" xfId="14430" xr:uid="{BEBD9AE3-D0B4-4944-9230-19ACF34A3E00}"/>
    <cellStyle name="Normal 2 4 3 3 4 4" xfId="9239" xr:uid="{3DCBA9AF-C63D-4CA9-81B6-AC7CB7B67292}"/>
    <cellStyle name="Normal 2 4 3 3 4 5" xfId="10213" xr:uid="{5A4805EC-693D-4AE5-8B05-9FEA645CE38F}"/>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D761E8E9-5538-43E0-A926-5283337B20B6}"/>
    <cellStyle name="Normal 2 4 3 3 5 2 3" xfId="12771" xr:uid="{DC16295B-0DEA-4B85-B274-EB3C36B26991}"/>
    <cellStyle name="Normal 2 4 3 3 5 3" xfId="5517" xr:uid="{00000000-0005-0000-0000-000014100000}"/>
    <cellStyle name="Normal 2 4 3 3 5 3 2" xfId="14843" xr:uid="{E62C17BF-513C-494D-9274-DE8D45807E1F}"/>
    <cellStyle name="Normal 2 4 3 3 5 4" xfId="10626" xr:uid="{116A577D-B32B-4037-BCE1-1E0D42620410}"/>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024954BD-0C82-477E-8339-36BB3E32A6A2}"/>
    <cellStyle name="Normal 2 4 3 3 6 2 3" xfId="13184" xr:uid="{B91183B0-DA30-4301-B76C-2B3FB5550358}"/>
    <cellStyle name="Normal 2 4 3 3 6 3" xfId="5930" xr:uid="{00000000-0005-0000-0000-000018100000}"/>
    <cellStyle name="Normal 2 4 3 3 6 3 2" xfId="15256" xr:uid="{E86071A3-21B1-462E-8E56-27999DED42F0}"/>
    <cellStyle name="Normal 2 4 3 3 6 4" xfId="11039" xr:uid="{B74DBEC8-0770-46C8-9FDE-A23157C72D97}"/>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3D37D822-BC5A-41BD-8CE9-D130A8E8E2E2}"/>
    <cellStyle name="Normal 2 4 3 3 7 2 3" xfId="13597" xr:uid="{51D9A2A5-F372-41BB-974A-2BC45288087B}"/>
    <cellStyle name="Normal 2 4 3 3 7 3" xfId="6343" xr:uid="{00000000-0005-0000-0000-00001C100000}"/>
    <cellStyle name="Normal 2 4 3 3 7 3 2" xfId="15669" xr:uid="{FB5284D8-3C8E-431D-989E-08308615D443}"/>
    <cellStyle name="Normal 2 4 3 3 7 4" xfId="11452" xr:uid="{1DBDBB25-72F1-4DB2-BB33-A7BE75A2D492}"/>
    <cellStyle name="Normal 2 4 3 3 8" xfId="2473" xr:uid="{00000000-0005-0000-0000-00001D100000}"/>
    <cellStyle name="Normal 2 4 3 3 8 2" xfId="6756" xr:uid="{00000000-0005-0000-0000-00001E100000}"/>
    <cellStyle name="Normal 2 4 3 3 8 2 2" xfId="16082" xr:uid="{AE7372AC-7C7A-4691-BF67-717CA4934136}"/>
    <cellStyle name="Normal 2 4 3 3 8 3" xfId="11865" xr:uid="{488EED4F-3E01-46BD-BED2-0C2B9AE06207}"/>
    <cellStyle name="Normal 2 4 3 3 9" xfId="4690" xr:uid="{00000000-0005-0000-0000-00001F100000}"/>
    <cellStyle name="Normal 2 4 3 3 9 2" xfId="14016" xr:uid="{068BEF34-632B-4260-99D8-CF3694BFF07A}"/>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B6DA4211-E728-4622-ADF9-69F636B242E7}"/>
    <cellStyle name="Normal 2 4 3 4 2 3" xfId="12357" xr:uid="{0762DDB4-FF7B-4624-B743-49F88C75F563}"/>
    <cellStyle name="Normal 2 4 3 4 3" xfId="5103" xr:uid="{00000000-0005-0000-0000-000023100000}"/>
    <cellStyle name="Normal 2 4 3 4 3 2" xfId="14429" xr:uid="{D656D9AD-FABA-4C60-9BD3-DDD930B10606}"/>
    <cellStyle name="Normal 2 4 3 4 4" xfId="9605" xr:uid="{31B075F0-6828-4EC6-AC77-4B4B0626A722}"/>
    <cellStyle name="Normal 2 4 3 4 5" xfId="10212" xr:uid="{860C0654-57BC-443F-987E-A04584D5CB3C}"/>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8174F43A-8F7D-4C67-AB02-250F15B5EAE6}"/>
    <cellStyle name="Normal 2 4 3 5 2 3" xfId="12770" xr:uid="{9497638D-B65E-49DC-ABC0-6C40A550B7B6}"/>
    <cellStyle name="Normal 2 4 3 5 3" xfId="5516" xr:uid="{00000000-0005-0000-0000-000027100000}"/>
    <cellStyle name="Normal 2 4 3 5 3 2" xfId="14842" xr:uid="{7A80BBCD-035C-4A1F-A2C7-9987A3F99CB7}"/>
    <cellStyle name="Normal 2 4 3 5 4" xfId="10625" xr:uid="{D1E1CA61-9192-4FF8-AA2C-7C94647B9523}"/>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FBB13B6D-D6D1-4389-8B30-2CEA068463A3}"/>
    <cellStyle name="Normal 2 4 3 6 2 3" xfId="13183" xr:uid="{B6B2C4F6-1028-4E4B-B471-1E131ABF956B}"/>
    <cellStyle name="Normal 2 4 3 6 3" xfId="5929" xr:uid="{00000000-0005-0000-0000-00002B100000}"/>
    <cellStyle name="Normal 2 4 3 6 3 2" xfId="15255" xr:uid="{6F48AFFC-A8FC-4853-8E08-EC364E6B0CB1}"/>
    <cellStyle name="Normal 2 4 3 6 4" xfId="11038" xr:uid="{AA987B31-DE16-4B51-91F3-806BEC139A6D}"/>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722532F3-CFCA-4D97-B33C-AE622F6DAE83}"/>
    <cellStyle name="Normal 2 4 3 7 2 3" xfId="13596" xr:uid="{914B93C4-4027-4E8A-BA37-4388A61B9FF2}"/>
    <cellStyle name="Normal 2 4 3 7 3" xfId="6342" xr:uid="{00000000-0005-0000-0000-00002F100000}"/>
    <cellStyle name="Normal 2 4 3 7 3 2" xfId="15668" xr:uid="{43E60767-0F29-432D-A287-A2E3AA78EBCA}"/>
    <cellStyle name="Normal 2 4 3 7 4" xfId="11451" xr:uid="{CABDDD9B-E0E2-47C3-A913-E96B8D245775}"/>
    <cellStyle name="Normal 2 4 3 8" xfId="2472" xr:uid="{00000000-0005-0000-0000-000030100000}"/>
    <cellStyle name="Normal 2 4 3 8 2" xfId="6755" xr:uid="{00000000-0005-0000-0000-000031100000}"/>
    <cellStyle name="Normal 2 4 3 8 2 2" xfId="16081" xr:uid="{E12B23A7-A717-4ADE-8843-08EDB76BAA60}"/>
    <cellStyle name="Normal 2 4 3 8 3" xfId="11864" xr:uid="{08419DA4-C5CF-4573-BDC9-DCC5AFD3164B}"/>
    <cellStyle name="Normal 2 4 3 9" xfId="4689" xr:uid="{00000000-0005-0000-0000-000032100000}"/>
    <cellStyle name="Normal 2 4 3 9 2" xfId="14015" xr:uid="{A13B3B0B-B564-47E4-86C4-0920C938F3AE}"/>
    <cellStyle name="Normal 2 4 4" xfId="302" xr:uid="{00000000-0005-0000-0000-000033100000}"/>
    <cellStyle name="Normal 2 4 5" xfId="303" xr:uid="{00000000-0005-0000-0000-000034100000}"/>
    <cellStyle name="Normal 2 4 5 10" xfId="4694" xr:uid="{00000000-0005-0000-0000-000035100000}"/>
    <cellStyle name="Normal 2 4 5 10 2" xfId="14020" xr:uid="{C4698F58-DB8F-47B2-A169-04277B36C6E9}"/>
    <cellStyle name="Normal 2 4 5 11" xfId="8780" xr:uid="{7650B30D-5C17-47F0-B17B-A5E27258C29E}"/>
    <cellStyle name="Normal 2 4 5 12" xfId="9803" xr:uid="{6C1E7405-8E4B-47C8-8274-9DA5BBDB88F7}"/>
    <cellStyle name="Normal 2 4 5 2" xfId="304" xr:uid="{00000000-0005-0000-0000-000036100000}"/>
    <cellStyle name="Normal 2 4 5 2 10" xfId="8815" xr:uid="{40A5EFE5-2EC9-4F25-B9EC-CAF9321E00F7}"/>
    <cellStyle name="Normal 2 4 5 2 11" xfId="9804" xr:uid="{5AE73127-093F-4AD3-88E7-636C22CB6DCD}"/>
    <cellStyle name="Normal 2 4 5 2 2" xfId="305" xr:uid="{00000000-0005-0000-0000-000037100000}"/>
    <cellStyle name="Normal 2 4 5 2 2 10" xfId="9805" xr:uid="{19B162BA-097A-422E-952B-B34430D7E031}"/>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20E1734D-97ED-4F40-906F-5A49E5E05C7B}"/>
    <cellStyle name="Normal 2 4 5 2 2 2 2 2 3" xfId="12365" xr:uid="{CDD1B3FD-6DCB-4839-BAEC-29FDF0978D25}"/>
    <cellStyle name="Normal 2 4 5 2 2 2 2 3" xfId="5111" xr:uid="{00000000-0005-0000-0000-00003C100000}"/>
    <cellStyle name="Normal 2 4 5 2 2 2 2 3 2" xfId="14437" xr:uid="{D7259B21-DCA0-4124-BBA5-E99B71DDD770}"/>
    <cellStyle name="Normal 2 4 5 2 2 2 2 4" xfId="9550" xr:uid="{8A7671EC-AB7E-4F51-9B1B-FE1F0FDC42A9}"/>
    <cellStyle name="Normal 2 4 5 2 2 2 2 5" xfId="10220" xr:uid="{52EE5471-99FC-46A2-BCB8-77F0B2F1D63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EE4A6EF8-BA37-4329-B1CF-8346C2154221}"/>
    <cellStyle name="Normal 2 4 5 2 2 2 3 2 3" xfId="12778" xr:uid="{8A52944C-3456-4925-94DF-83C05F7A0B23}"/>
    <cellStyle name="Normal 2 4 5 2 2 2 3 3" xfId="5524" xr:uid="{00000000-0005-0000-0000-000040100000}"/>
    <cellStyle name="Normal 2 4 5 2 2 2 3 3 2" xfId="14850" xr:uid="{B42EC574-5F4D-4034-9A92-B7B1A1E7FE53}"/>
    <cellStyle name="Normal 2 4 5 2 2 2 3 4" xfId="10633" xr:uid="{736AE8F9-FDF3-4CF1-9756-62FE15D5871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F2520959-E715-4223-86F6-D6BC373FB8B3}"/>
    <cellStyle name="Normal 2 4 5 2 2 2 4 2 3" xfId="13191" xr:uid="{756B8E16-3E83-446B-B57E-E3BDB240B26D}"/>
    <cellStyle name="Normal 2 4 5 2 2 2 4 3" xfId="5937" xr:uid="{00000000-0005-0000-0000-000044100000}"/>
    <cellStyle name="Normal 2 4 5 2 2 2 4 3 2" xfId="15263" xr:uid="{FC8ACE29-4BCF-45E6-B46D-39FE3AE43DCD}"/>
    <cellStyle name="Normal 2 4 5 2 2 2 4 4" xfId="11046" xr:uid="{80E73833-E011-476B-9B4E-83F95A36BF17}"/>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DDE896C4-E35F-46BC-B6E1-A9D938E7715A}"/>
    <cellStyle name="Normal 2 4 5 2 2 2 5 2 3" xfId="13604" xr:uid="{088517C9-37AD-4546-8EA5-DCAFC74BDD5C}"/>
    <cellStyle name="Normal 2 4 5 2 2 2 5 3" xfId="6350" xr:uid="{00000000-0005-0000-0000-000048100000}"/>
    <cellStyle name="Normal 2 4 5 2 2 2 5 3 2" xfId="15676" xr:uid="{2BBF1152-183B-460B-AAA8-1D2481EE9228}"/>
    <cellStyle name="Normal 2 4 5 2 2 2 5 4" xfId="11459" xr:uid="{D9AE510B-06A1-4D61-AE8D-FFCF7B854841}"/>
    <cellStyle name="Normal 2 4 5 2 2 2 6" xfId="2480" xr:uid="{00000000-0005-0000-0000-000049100000}"/>
    <cellStyle name="Normal 2 4 5 2 2 2 6 2" xfId="6763" xr:uid="{00000000-0005-0000-0000-00004A100000}"/>
    <cellStyle name="Normal 2 4 5 2 2 2 6 2 2" xfId="16089" xr:uid="{5E242AD9-7310-4B46-848B-04DE607640C9}"/>
    <cellStyle name="Normal 2 4 5 2 2 2 6 3" xfId="11872" xr:uid="{F2335759-AEC3-48AB-87B7-B902ED33C39A}"/>
    <cellStyle name="Normal 2 4 5 2 2 2 7" xfId="4697" xr:uid="{00000000-0005-0000-0000-00004B100000}"/>
    <cellStyle name="Normal 2 4 5 2 2 2 7 2" xfId="14023" xr:uid="{6297A333-7C66-4A6E-8E8B-3452E4243A6E}"/>
    <cellStyle name="Normal 2 4 5 2 2 2 8" xfId="9125" xr:uid="{AE6B93A1-5C0B-49F1-AF15-6FC3FAFFE3B2}"/>
    <cellStyle name="Normal 2 4 5 2 2 2 9" xfId="9806" xr:uid="{A996F441-2C91-4664-8E25-991A099C33F4}"/>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E6DA7EAD-167C-4E86-BB29-C3C26F40AA82}"/>
    <cellStyle name="Normal 2 4 5 2 2 3 2 3" xfId="12364" xr:uid="{1B57EA16-5986-4BFF-9927-DC3D26EAAA18}"/>
    <cellStyle name="Normal 2 4 5 2 2 3 3" xfId="5110" xr:uid="{00000000-0005-0000-0000-00004F100000}"/>
    <cellStyle name="Normal 2 4 5 2 2 3 3 2" xfId="14436" xr:uid="{E980DF09-2A07-4767-B89E-4AC39E8BB157}"/>
    <cellStyle name="Normal 2 4 5 2 2 3 4" xfId="9343" xr:uid="{FC4CD386-4202-45E2-8021-2A85CACF4E8B}"/>
    <cellStyle name="Normal 2 4 5 2 2 3 5" xfId="10219" xr:uid="{C0B85447-104F-4742-89FC-1F6C2039C7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8736D8E5-4F29-4D9B-9294-DC453681DC95}"/>
    <cellStyle name="Normal 2 4 5 2 2 4 2 3" xfId="12777" xr:uid="{CD83D9C6-1F54-4587-8ACA-36057B685FEF}"/>
    <cellStyle name="Normal 2 4 5 2 2 4 3" xfId="5523" xr:uid="{00000000-0005-0000-0000-000053100000}"/>
    <cellStyle name="Normal 2 4 5 2 2 4 3 2" xfId="14849" xr:uid="{C190269B-F67E-49C0-8636-E21B881DD633}"/>
    <cellStyle name="Normal 2 4 5 2 2 4 4" xfId="10632" xr:uid="{286496DE-E8F5-4658-B9EC-45B7B14D4EB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2625AF8B-A6D9-4031-8D3E-457963BBD521}"/>
    <cellStyle name="Normal 2 4 5 2 2 5 2 3" xfId="13190" xr:uid="{CBE497DB-2C56-448B-9A65-BBAB9C807091}"/>
    <cellStyle name="Normal 2 4 5 2 2 5 3" xfId="5936" xr:uid="{00000000-0005-0000-0000-000057100000}"/>
    <cellStyle name="Normal 2 4 5 2 2 5 3 2" xfId="15262" xr:uid="{46619FC3-9613-4B4D-BE1C-8A8F67751677}"/>
    <cellStyle name="Normal 2 4 5 2 2 5 4" xfId="11045" xr:uid="{21AF1561-2206-4FC1-9675-F49C6A84572E}"/>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B9D5CD59-12D0-474D-B2BC-E24A9D2DE9E9}"/>
    <cellStyle name="Normal 2 4 5 2 2 6 2 3" xfId="13603" xr:uid="{49D2C713-9238-4C94-91C7-ABD885EC1D0F}"/>
    <cellStyle name="Normal 2 4 5 2 2 6 3" xfId="6349" xr:uid="{00000000-0005-0000-0000-00005B100000}"/>
    <cellStyle name="Normal 2 4 5 2 2 6 3 2" xfId="15675" xr:uid="{37FDF795-2470-414D-AF04-3D00441C906D}"/>
    <cellStyle name="Normal 2 4 5 2 2 6 4" xfId="11458" xr:uid="{3C1D865D-1176-4831-ADC9-5CE7CFB3D00B}"/>
    <cellStyle name="Normal 2 4 5 2 2 7" xfId="2479" xr:uid="{00000000-0005-0000-0000-00005C100000}"/>
    <cellStyle name="Normal 2 4 5 2 2 7 2" xfId="6762" xr:uid="{00000000-0005-0000-0000-00005D100000}"/>
    <cellStyle name="Normal 2 4 5 2 2 7 2 2" xfId="16088" xr:uid="{2612B3BE-53E9-4050-A2DE-8B8A8636BF21}"/>
    <cellStyle name="Normal 2 4 5 2 2 7 3" xfId="11871" xr:uid="{53CAFBBE-569F-4961-B714-6FAB800346AF}"/>
    <cellStyle name="Normal 2 4 5 2 2 8" xfId="4696" xr:uid="{00000000-0005-0000-0000-00005E100000}"/>
    <cellStyle name="Normal 2 4 5 2 2 8 2" xfId="14022" xr:uid="{ABD054A3-5369-4CEC-AADB-CF06403E3E66}"/>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78BA79E5-70CC-46B3-B730-D3A66D12EEEB}"/>
    <cellStyle name="Normal 2 4 5 2 3 2 2 3" xfId="12366" xr:uid="{AD502A84-2728-403C-A2E4-FF43D6903348}"/>
    <cellStyle name="Normal 2 4 5 2 3 2 3" xfId="5112" xr:uid="{00000000-0005-0000-0000-000063100000}"/>
    <cellStyle name="Normal 2 4 5 2 3 2 3 2" xfId="14438" xr:uid="{07AC6AE7-BBD9-43CA-A13B-5E72B79A86AE}"/>
    <cellStyle name="Normal 2 4 5 2 3 2 4" xfId="9447" xr:uid="{5DAE67B2-15F6-4C7F-9310-B9C816D42F72}"/>
    <cellStyle name="Normal 2 4 5 2 3 2 5" xfId="10221" xr:uid="{4FDC4BF3-E68C-4C0B-BDB8-C45922215161}"/>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CD4C660F-1916-4136-AE33-B04C1077E5AB}"/>
    <cellStyle name="Normal 2 4 5 2 3 3 2 3" xfId="12779" xr:uid="{F4D6FE18-5899-4C43-937F-8E6F44C7C328}"/>
    <cellStyle name="Normal 2 4 5 2 3 3 3" xfId="5525" xr:uid="{00000000-0005-0000-0000-000067100000}"/>
    <cellStyle name="Normal 2 4 5 2 3 3 3 2" xfId="14851" xr:uid="{61CEDA97-1C75-4E11-87E0-C147E62BD6B9}"/>
    <cellStyle name="Normal 2 4 5 2 3 3 4" xfId="10634" xr:uid="{F72BB7FA-0BB9-4E24-8954-A0E561BB9E83}"/>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8B6AD35E-8829-4AE0-9A47-C415043BC59E}"/>
    <cellStyle name="Normal 2 4 5 2 3 4 2 3" xfId="13192" xr:uid="{0E76FB63-1DA8-42A0-A9BD-7FE18A191360}"/>
    <cellStyle name="Normal 2 4 5 2 3 4 3" xfId="5938" xr:uid="{00000000-0005-0000-0000-00006B100000}"/>
    <cellStyle name="Normal 2 4 5 2 3 4 3 2" xfId="15264" xr:uid="{17407332-E628-4D66-95A4-220B46C5306B}"/>
    <cellStyle name="Normal 2 4 5 2 3 4 4" xfId="11047" xr:uid="{4C1C5351-7D83-482A-978A-B12C5A1F58A1}"/>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2238DA40-D774-4FDD-80FF-237451084EA5}"/>
    <cellStyle name="Normal 2 4 5 2 3 5 2 3" xfId="13605" xr:uid="{79C6A8C3-2DB8-47D1-BB2E-34DE55760FA8}"/>
    <cellStyle name="Normal 2 4 5 2 3 5 3" xfId="6351" xr:uid="{00000000-0005-0000-0000-00006F100000}"/>
    <cellStyle name="Normal 2 4 5 2 3 5 3 2" xfId="15677" xr:uid="{079409B8-F3C2-4CE0-AE29-9C4D8AF1C9F6}"/>
    <cellStyle name="Normal 2 4 5 2 3 5 4" xfId="11460" xr:uid="{D35393FA-8017-4EEE-9229-605F9765E94B}"/>
    <cellStyle name="Normal 2 4 5 2 3 6" xfId="2481" xr:uid="{00000000-0005-0000-0000-000070100000}"/>
    <cellStyle name="Normal 2 4 5 2 3 6 2" xfId="6764" xr:uid="{00000000-0005-0000-0000-000071100000}"/>
    <cellStyle name="Normal 2 4 5 2 3 6 2 2" xfId="16090" xr:uid="{90D1AC87-6722-4BAC-825A-1CB2055B8641}"/>
    <cellStyle name="Normal 2 4 5 2 3 6 3" xfId="11873" xr:uid="{4A370953-BE62-48F1-96B3-E152DE9918F8}"/>
    <cellStyle name="Normal 2 4 5 2 3 7" xfId="4698" xr:uid="{00000000-0005-0000-0000-000072100000}"/>
    <cellStyle name="Normal 2 4 5 2 3 7 2" xfId="14024" xr:uid="{DA774B48-3433-4844-BFC6-542759272B70}"/>
    <cellStyle name="Normal 2 4 5 2 3 8" xfId="9022" xr:uid="{B979F5DF-A88B-437D-B1B4-B92D08856DC7}"/>
    <cellStyle name="Normal 2 4 5 2 3 9" xfId="9807" xr:uid="{56228052-304D-448C-B6D4-7C91B18A8101}"/>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E528C938-563D-484B-8409-CF58F1D0B29D}"/>
    <cellStyle name="Normal 2 4 5 2 4 2 3" xfId="12363" xr:uid="{A4EC0193-274D-42ED-A071-A62B74F86FF7}"/>
    <cellStyle name="Normal 2 4 5 2 4 3" xfId="5109" xr:uid="{00000000-0005-0000-0000-000076100000}"/>
    <cellStyle name="Normal 2 4 5 2 4 3 2" xfId="14435" xr:uid="{A933DD0A-A766-4FDD-9BFD-2C99BDF2AAAB}"/>
    <cellStyle name="Normal 2 4 5 2 4 4" xfId="9240" xr:uid="{16FBE981-4867-4157-8C0D-9C1339DB5B3F}"/>
    <cellStyle name="Normal 2 4 5 2 4 5" xfId="10218" xr:uid="{B63D08E9-F035-47C8-8512-4A42BFA3A0F2}"/>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25CA97E7-DEE5-4E3A-942E-15167E7E8854}"/>
    <cellStyle name="Normal 2 4 5 2 5 2 3" xfId="12776" xr:uid="{E640E35C-2419-4F69-A2D8-36CDF6B2E6FD}"/>
    <cellStyle name="Normal 2 4 5 2 5 3" xfId="5522" xr:uid="{00000000-0005-0000-0000-00007A100000}"/>
    <cellStyle name="Normal 2 4 5 2 5 3 2" xfId="14848" xr:uid="{6981CE2A-9402-477B-B51D-D89963451F52}"/>
    <cellStyle name="Normal 2 4 5 2 5 4" xfId="10631" xr:uid="{445D3819-8A59-4515-A433-B3ECC5E12E7D}"/>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CBEE049B-91AA-43FB-9ADA-7C48ADA144FD}"/>
    <cellStyle name="Normal 2 4 5 2 6 2 3" xfId="13189" xr:uid="{A1698C76-FCFA-4629-ABD6-4801AFFBECD3}"/>
    <cellStyle name="Normal 2 4 5 2 6 3" xfId="5935" xr:uid="{00000000-0005-0000-0000-00007E100000}"/>
    <cellStyle name="Normal 2 4 5 2 6 3 2" xfId="15261" xr:uid="{0144FD88-D55C-48E0-9B78-60E7F643F5B6}"/>
    <cellStyle name="Normal 2 4 5 2 6 4" xfId="11044" xr:uid="{3930C0D0-6985-4F8C-A31A-E461C6796FF2}"/>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57AE7436-1845-4E2E-A95C-DCD37AD95798}"/>
    <cellStyle name="Normal 2 4 5 2 7 2 3" xfId="13602" xr:uid="{6B84C1C0-6044-4E54-B176-40D43830D80C}"/>
    <cellStyle name="Normal 2 4 5 2 7 3" xfId="6348" xr:uid="{00000000-0005-0000-0000-000082100000}"/>
    <cellStyle name="Normal 2 4 5 2 7 3 2" xfId="15674" xr:uid="{28D9D530-AA5D-4701-8B1C-F04860E82DF2}"/>
    <cellStyle name="Normal 2 4 5 2 7 4" xfId="11457" xr:uid="{D00FBF80-5F32-4817-97CA-038F93187D70}"/>
    <cellStyle name="Normal 2 4 5 2 8" xfId="2478" xr:uid="{00000000-0005-0000-0000-000083100000}"/>
    <cellStyle name="Normal 2 4 5 2 8 2" xfId="6761" xr:uid="{00000000-0005-0000-0000-000084100000}"/>
    <cellStyle name="Normal 2 4 5 2 8 2 2" xfId="16087" xr:uid="{09CF860B-4063-4FD6-B421-2E0B3AB468DC}"/>
    <cellStyle name="Normal 2 4 5 2 8 3" xfId="11870" xr:uid="{43B73397-7C49-42E1-B443-99916C6B6A10}"/>
    <cellStyle name="Normal 2 4 5 2 9" xfId="4695" xr:uid="{00000000-0005-0000-0000-000085100000}"/>
    <cellStyle name="Normal 2 4 5 2 9 2" xfId="14021" xr:uid="{54F02010-CDE4-4B9F-A270-6143B958A859}"/>
    <cellStyle name="Normal 2 4 5 3" xfId="308" xr:uid="{00000000-0005-0000-0000-000086100000}"/>
    <cellStyle name="Normal 2 4 5 3 10" xfId="9808" xr:uid="{07061E04-9EF7-41AD-A0AF-5B3F247D1FAF}"/>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AAB616B6-B5C7-402B-B49F-9D75FE690773}"/>
    <cellStyle name="Normal 2 4 5 3 2 2 2 3" xfId="12368" xr:uid="{6BBA8E37-9720-45C1-AA0F-C94381F54112}"/>
    <cellStyle name="Normal 2 4 5 3 2 2 3" xfId="5114" xr:uid="{00000000-0005-0000-0000-00008B100000}"/>
    <cellStyle name="Normal 2 4 5 3 2 2 3 2" xfId="14440" xr:uid="{14C57710-F627-4342-A5A8-5EA7B726AD0C}"/>
    <cellStyle name="Normal 2 4 5 3 2 2 4" xfId="9515" xr:uid="{A1D6949C-773D-44DB-B26F-4DD01D24FF00}"/>
    <cellStyle name="Normal 2 4 5 3 2 2 5" xfId="10223" xr:uid="{3D5276FB-2970-4105-9909-905432B667BA}"/>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6FB13019-D798-4CCF-989B-F67F04B08636}"/>
    <cellStyle name="Normal 2 4 5 3 2 3 2 3" xfId="12781" xr:uid="{A77CF2D1-E797-41C4-9D8B-ACAFA8A01DC8}"/>
    <cellStyle name="Normal 2 4 5 3 2 3 3" xfId="5527" xr:uid="{00000000-0005-0000-0000-00008F100000}"/>
    <cellStyle name="Normal 2 4 5 3 2 3 3 2" xfId="14853" xr:uid="{07238814-3704-4EF1-BEB8-E018F9472F7D}"/>
    <cellStyle name="Normal 2 4 5 3 2 3 4" xfId="10636" xr:uid="{50DCB686-0FDA-4FA3-B209-21B68C77FBA1}"/>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ACD31661-E58F-41B1-8F47-E26B5926BBB4}"/>
    <cellStyle name="Normal 2 4 5 3 2 4 2 3" xfId="13194" xr:uid="{D762B750-3C88-4405-AD81-8F497B885E49}"/>
    <cellStyle name="Normal 2 4 5 3 2 4 3" xfId="5940" xr:uid="{00000000-0005-0000-0000-000093100000}"/>
    <cellStyle name="Normal 2 4 5 3 2 4 3 2" xfId="15266" xr:uid="{754BC507-1ACB-4848-8D24-3A2C8DD93825}"/>
    <cellStyle name="Normal 2 4 5 3 2 4 4" xfId="11049" xr:uid="{EDBD8A89-8837-4A09-BFE3-8D450F80D989}"/>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88A46FAC-5E21-4FC4-8F0B-76754ADC8061}"/>
    <cellStyle name="Normal 2 4 5 3 2 5 2 3" xfId="13607" xr:uid="{C89E47C2-8E61-4646-B2B1-277ABA3A40BF}"/>
    <cellStyle name="Normal 2 4 5 3 2 5 3" xfId="6353" xr:uid="{00000000-0005-0000-0000-000097100000}"/>
    <cellStyle name="Normal 2 4 5 3 2 5 3 2" xfId="15679" xr:uid="{CBE53962-5285-441E-B4DB-CA761C28C7AB}"/>
    <cellStyle name="Normal 2 4 5 3 2 5 4" xfId="11462" xr:uid="{56CD848C-B107-4A74-9B46-D683C65362F1}"/>
    <cellStyle name="Normal 2 4 5 3 2 6" xfId="2483" xr:uid="{00000000-0005-0000-0000-000098100000}"/>
    <cellStyle name="Normal 2 4 5 3 2 6 2" xfId="6766" xr:uid="{00000000-0005-0000-0000-000099100000}"/>
    <cellStyle name="Normal 2 4 5 3 2 6 2 2" xfId="16092" xr:uid="{8F891D57-64F2-4A0F-9AC2-682DED9FFF8A}"/>
    <cellStyle name="Normal 2 4 5 3 2 6 3" xfId="11875" xr:uid="{8A7679E4-7B39-486D-8223-3B1C3D6D2740}"/>
    <cellStyle name="Normal 2 4 5 3 2 7" xfId="4700" xr:uid="{00000000-0005-0000-0000-00009A100000}"/>
    <cellStyle name="Normal 2 4 5 3 2 7 2" xfId="14026" xr:uid="{D9F88FFC-CEC2-4868-9F37-6D7E64AC52E2}"/>
    <cellStyle name="Normal 2 4 5 3 2 8" xfId="9090" xr:uid="{4B64C5F8-5AC3-43D3-B94A-46850BBF79A5}"/>
    <cellStyle name="Normal 2 4 5 3 2 9" xfId="9809" xr:uid="{8E7192B3-5D59-46DD-9F09-CB85FEC45D69}"/>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169DAEB9-4DA0-4E25-891F-4876690723B1}"/>
    <cellStyle name="Normal 2 4 5 3 3 2 3" xfId="12367" xr:uid="{9E05EF74-ECBA-4BA6-B00A-A3576BA141FC}"/>
    <cellStyle name="Normal 2 4 5 3 3 3" xfId="5113" xr:uid="{00000000-0005-0000-0000-00009E100000}"/>
    <cellStyle name="Normal 2 4 5 3 3 3 2" xfId="14439" xr:uid="{112B4E0A-5387-456D-BABE-FE4B4A4F9269}"/>
    <cellStyle name="Normal 2 4 5 3 3 4" xfId="9308" xr:uid="{40198FFA-4C90-42BE-90C8-42459F1A2A1C}"/>
    <cellStyle name="Normal 2 4 5 3 3 5" xfId="10222" xr:uid="{9613AE69-8DC8-4255-8846-5F94D02D0FA9}"/>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7EA5387B-BD13-46C3-A7A6-81AE54FC8A54}"/>
    <cellStyle name="Normal 2 4 5 3 4 2 3" xfId="12780" xr:uid="{694DF19F-19E1-4AFE-9942-992A90045D60}"/>
    <cellStyle name="Normal 2 4 5 3 4 3" xfId="5526" xr:uid="{00000000-0005-0000-0000-0000A2100000}"/>
    <cellStyle name="Normal 2 4 5 3 4 3 2" xfId="14852" xr:uid="{B5FB4B28-4DA1-4011-A294-85FEDA14E0B0}"/>
    <cellStyle name="Normal 2 4 5 3 4 4" xfId="10635" xr:uid="{249FA4A0-2793-4C4B-935B-2095BD376A1B}"/>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545391CE-651C-4D92-86F5-38B7ECFA000A}"/>
    <cellStyle name="Normal 2 4 5 3 5 2 3" xfId="13193" xr:uid="{AD1D598D-5014-41EC-885D-D62D5DA5A3C2}"/>
    <cellStyle name="Normal 2 4 5 3 5 3" xfId="5939" xr:uid="{00000000-0005-0000-0000-0000A6100000}"/>
    <cellStyle name="Normal 2 4 5 3 5 3 2" xfId="15265" xr:uid="{A4C812E6-1BD3-4C5E-8700-518C29AA4D7F}"/>
    <cellStyle name="Normal 2 4 5 3 5 4" xfId="11048" xr:uid="{3FF4BCF6-9ABB-4031-9BD2-94AD4574086F}"/>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BF2361B7-DC8A-4720-BDEE-B9932E7AEB04}"/>
    <cellStyle name="Normal 2 4 5 3 6 2 3" xfId="13606" xr:uid="{B39D0CDC-F3B4-4C34-92B1-6C1BDEFEF435}"/>
    <cellStyle name="Normal 2 4 5 3 6 3" xfId="6352" xr:uid="{00000000-0005-0000-0000-0000AA100000}"/>
    <cellStyle name="Normal 2 4 5 3 6 3 2" xfId="15678" xr:uid="{804B87D7-E1F9-434C-90A7-07BDE3F1DEF0}"/>
    <cellStyle name="Normal 2 4 5 3 6 4" xfId="11461" xr:uid="{DA300EAF-923D-4ED6-BC53-2C3FDA3EEE50}"/>
    <cellStyle name="Normal 2 4 5 3 7" xfId="2482" xr:uid="{00000000-0005-0000-0000-0000AB100000}"/>
    <cellStyle name="Normal 2 4 5 3 7 2" xfId="6765" xr:uid="{00000000-0005-0000-0000-0000AC100000}"/>
    <cellStyle name="Normal 2 4 5 3 7 2 2" xfId="16091" xr:uid="{0F80851B-9B63-4792-A165-2E0337FE4AD7}"/>
    <cellStyle name="Normal 2 4 5 3 7 3" xfId="11874" xr:uid="{3E7251E9-784B-4594-B960-917E967B486F}"/>
    <cellStyle name="Normal 2 4 5 3 8" xfId="4699" xr:uid="{00000000-0005-0000-0000-0000AD100000}"/>
    <cellStyle name="Normal 2 4 5 3 8 2" xfId="14025" xr:uid="{CD651154-C75B-4575-83CE-2B97657645CE}"/>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132ED792-FAB2-4EE0-A6BC-5353059CBE51}"/>
    <cellStyle name="Normal 2 4 5 4 2 2 3" xfId="12369" xr:uid="{9F598A9C-EE4E-4A74-9C6D-0B81ACC3F37A}"/>
    <cellStyle name="Normal 2 4 5 4 2 3" xfId="5115" xr:uid="{00000000-0005-0000-0000-0000B2100000}"/>
    <cellStyle name="Normal 2 4 5 4 2 3 2" xfId="14441" xr:uid="{22A765C0-EC03-4EBB-8D8B-1F15A2EE0178}"/>
    <cellStyle name="Normal 2 4 5 4 2 4" xfId="9412" xr:uid="{0ECAC303-3EA0-4623-AA0F-854157CA32E5}"/>
    <cellStyle name="Normal 2 4 5 4 2 5" xfId="10224" xr:uid="{DD037BC4-D8B1-45D5-8635-FDC5FDA12524}"/>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735FA6B5-693F-4B18-AB18-9732E69E967B}"/>
    <cellStyle name="Normal 2 4 5 4 3 2 3" xfId="12782" xr:uid="{22C6D439-0E35-4CA8-A488-EA95820C050C}"/>
    <cellStyle name="Normal 2 4 5 4 3 3" xfId="5528" xr:uid="{00000000-0005-0000-0000-0000B6100000}"/>
    <cellStyle name="Normal 2 4 5 4 3 3 2" xfId="14854" xr:uid="{FD9C49E6-7EE8-43E2-ACE3-0FDDE9EE0EB0}"/>
    <cellStyle name="Normal 2 4 5 4 3 4" xfId="10637" xr:uid="{BB671047-F67A-4680-930C-065D6C854D76}"/>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76A049EC-E59D-4C82-AA33-65DDA2F9B8F2}"/>
    <cellStyle name="Normal 2 4 5 4 4 2 3" xfId="13195" xr:uid="{98410FD8-5D58-428E-BF75-94D5DF92DDB5}"/>
    <cellStyle name="Normal 2 4 5 4 4 3" xfId="5941" xr:uid="{00000000-0005-0000-0000-0000BA100000}"/>
    <cellStyle name="Normal 2 4 5 4 4 3 2" xfId="15267" xr:uid="{C0296901-F31B-49AB-952B-C8DA62F6CFEF}"/>
    <cellStyle name="Normal 2 4 5 4 4 4" xfId="11050" xr:uid="{B94344FB-AF90-422E-9710-B7D99D32FA6A}"/>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2AD2DB6C-CF57-4A3B-A6A0-B0F47078AD8D}"/>
    <cellStyle name="Normal 2 4 5 4 5 2 3" xfId="13608" xr:uid="{9BB72E32-C1E7-41B0-9BE2-4865E6C55D3B}"/>
    <cellStyle name="Normal 2 4 5 4 5 3" xfId="6354" xr:uid="{00000000-0005-0000-0000-0000BE100000}"/>
    <cellStyle name="Normal 2 4 5 4 5 3 2" xfId="15680" xr:uid="{698E52E0-C1B9-445D-8ACF-885CEE4F8248}"/>
    <cellStyle name="Normal 2 4 5 4 5 4" xfId="11463" xr:uid="{C6AC069B-67F0-419D-81B1-914C4387E812}"/>
    <cellStyle name="Normal 2 4 5 4 6" xfId="2484" xr:uid="{00000000-0005-0000-0000-0000BF100000}"/>
    <cellStyle name="Normal 2 4 5 4 6 2" xfId="6767" xr:uid="{00000000-0005-0000-0000-0000C0100000}"/>
    <cellStyle name="Normal 2 4 5 4 6 2 2" xfId="16093" xr:uid="{D0FF63EF-3F4E-4183-8D61-BE1DD75F65C8}"/>
    <cellStyle name="Normal 2 4 5 4 6 3" xfId="11876" xr:uid="{00C5B223-30E7-4FDB-B835-FAC2893812EB}"/>
    <cellStyle name="Normal 2 4 5 4 7" xfId="4701" xr:uid="{00000000-0005-0000-0000-0000C1100000}"/>
    <cellStyle name="Normal 2 4 5 4 7 2" xfId="14027" xr:uid="{3577F388-C5E2-4AD3-B253-BE6BF3E5642B}"/>
    <cellStyle name="Normal 2 4 5 4 8" xfId="8987" xr:uid="{8DC2C01A-3078-41AD-BCFB-AA1CA8EE9C0A}"/>
    <cellStyle name="Normal 2 4 5 4 9" xfId="9810" xr:uid="{0DA9A0FE-9D1A-48C2-8552-2EE02EFD4A32}"/>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48854DF0-BC69-497A-AD08-C0C68F8CB5A8}"/>
    <cellStyle name="Normal 2 4 5 5 2 3" xfId="12362" xr:uid="{A92C212E-6BD1-43ED-9A7D-13EFEBB08139}"/>
    <cellStyle name="Normal 2 4 5 5 3" xfId="5108" xr:uid="{00000000-0005-0000-0000-0000C5100000}"/>
    <cellStyle name="Normal 2 4 5 5 3 2" xfId="14434" xr:uid="{38A0CB65-42D8-412C-923E-B47C48DD9B86}"/>
    <cellStyle name="Normal 2 4 5 5 4" xfId="9204" xr:uid="{BE34B337-03EE-47D8-9E35-2EE6FAB30236}"/>
    <cellStyle name="Normal 2 4 5 5 5" xfId="10217" xr:uid="{4E5AC46B-6E26-4A6F-8C99-C2601C6055FD}"/>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92E596B3-00B3-45F6-A625-C9D937708461}"/>
    <cellStyle name="Normal 2 4 5 6 2 3" xfId="12775" xr:uid="{BAAA17D1-0615-48F3-9C00-84A443CD95BC}"/>
    <cellStyle name="Normal 2 4 5 6 3" xfId="5521" xr:uid="{00000000-0005-0000-0000-0000C9100000}"/>
    <cellStyle name="Normal 2 4 5 6 3 2" xfId="14847" xr:uid="{D9F11CFD-C0F6-4B13-A464-50745AAC9D64}"/>
    <cellStyle name="Normal 2 4 5 6 4" xfId="10630" xr:uid="{9A4940FD-F0B0-4CA6-9CE0-59C49A84B9C5}"/>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B65AF633-7A1B-4D61-BF30-7BA73715D665}"/>
    <cellStyle name="Normal 2 4 5 7 2 3" xfId="13188" xr:uid="{4FA9F074-9965-48C2-BBCA-755870D4618A}"/>
    <cellStyle name="Normal 2 4 5 7 3" xfId="5934" xr:uid="{00000000-0005-0000-0000-0000CD100000}"/>
    <cellStyle name="Normal 2 4 5 7 3 2" xfId="15260" xr:uid="{0799417A-CEEC-4B9A-AA15-8C00EA7F8DF3}"/>
    <cellStyle name="Normal 2 4 5 7 4" xfId="11043" xr:uid="{D76792F5-FB89-43D7-AB9A-08E11D9EB92A}"/>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01D7C6DB-1E2D-4665-8A68-B80E8D03FB54}"/>
    <cellStyle name="Normal 2 4 5 8 2 3" xfId="13601" xr:uid="{B6E194AF-F924-4750-AE33-3C619354D866}"/>
    <cellStyle name="Normal 2 4 5 8 3" xfId="6347" xr:uid="{00000000-0005-0000-0000-0000D1100000}"/>
    <cellStyle name="Normal 2 4 5 8 3 2" xfId="15673" xr:uid="{43F71160-0D9F-4BA7-A295-25DFE704932D}"/>
    <cellStyle name="Normal 2 4 5 8 4" xfId="11456" xr:uid="{19F88360-E6D2-46BE-A9A2-9107976CC761}"/>
    <cellStyle name="Normal 2 4 5 9" xfId="2477" xr:uid="{00000000-0005-0000-0000-0000D2100000}"/>
    <cellStyle name="Normal 2 4 5 9 2" xfId="6760" xr:uid="{00000000-0005-0000-0000-0000D3100000}"/>
    <cellStyle name="Normal 2 4 5 9 2 2" xfId="16086" xr:uid="{A9AE8E1D-30DC-46D5-88C5-007BB44458A2}"/>
    <cellStyle name="Normal 2 4 5 9 3" xfId="11869" xr:uid="{A31C3CC9-4CAC-4BDF-81AE-619F68B2477C}"/>
    <cellStyle name="Normal 2 4 6" xfId="311" xr:uid="{00000000-0005-0000-0000-0000D4100000}"/>
    <cellStyle name="Normal 2 4 7" xfId="312" xr:uid="{00000000-0005-0000-0000-0000D5100000}"/>
    <cellStyle name="Normal 2 4 7 10" xfId="9811" xr:uid="{D7732CBB-EC5C-44CA-B4A3-7096B096F179}"/>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01EAEB14-E8A6-45B0-A07B-CE903719D12B}"/>
    <cellStyle name="Normal 2 4 7 2 2 2 3" xfId="12371" xr:uid="{83B5ABD3-D7F5-4CB3-A62C-23F9FD05FE63}"/>
    <cellStyle name="Normal 2 4 7 2 2 3" xfId="5117" xr:uid="{00000000-0005-0000-0000-0000DA100000}"/>
    <cellStyle name="Normal 2 4 7 2 2 3 2" xfId="14443" xr:uid="{E399B193-62A5-41F8-A5A3-33C595ED7116}"/>
    <cellStyle name="Normal 2 4 7 2 2 4" xfId="9483" xr:uid="{3D7EFF6F-050D-4214-91CB-DF2673F23584}"/>
    <cellStyle name="Normal 2 4 7 2 2 5" xfId="10226" xr:uid="{A129C8E5-22C5-44AB-9F77-0DF82CC98C42}"/>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21FCAF6E-A2C7-4B26-9828-075348E8F38F}"/>
    <cellStyle name="Normal 2 4 7 2 3 2 3" xfId="12784" xr:uid="{BA2905EE-9F6D-4808-AAD0-DFE4E4DBF40E}"/>
    <cellStyle name="Normal 2 4 7 2 3 3" xfId="5530" xr:uid="{00000000-0005-0000-0000-0000DE100000}"/>
    <cellStyle name="Normal 2 4 7 2 3 3 2" xfId="14856" xr:uid="{896C01C3-C984-420C-9650-9A4C39690992}"/>
    <cellStyle name="Normal 2 4 7 2 3 4" xfId="10639" xr:uid="{4FE32D4C-0BDF-4FD4-B5A2-1D365A40E7AD}"/>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B0824D00-C900-4913-8DDA-11F614A495F4}"/>
    <cellStyle name="Normal 2 4 7 2 4 2 3" xfId="13197" xr:uid="{43FBE069-E3CD-4E8B-9AE8-8ACEAB648365}"/>
    <cellStyle name="Normal 2 4 7 2 4 3" xfId="5943" xr:uid="{00000000-0005-0000-0000-0000E2100000}"/>
    <cellStyle name="Normal 2 4 7 2 4 3 2" xfId="15269" xr:uid="{CBD7DB20-B060-435E-A908-8D33FC347B8D}"/>
    <cellStyle name="Normal 2 4 7 2 4 4" xfId="11052" xr:uid="{4BEF4F12-3DA8-4C7A-BC8F-A3C85D87CA7E}"/>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9820D079-C44E-42D9-A1BA-E51BBFA34A0D}"/>
    <cellStyle name="Normal 2 4 7 2 5 2 3" xfId="13610" xr:uid="{0BB8C0B0-83C5-4851-B806-1092FFF14955}"/>
    <cellStyle name="Normal 2 4 7 2 5 3" xfId="6356" xr:uid="{00000000-0005-0000-0000-0000E6100000}"/>
    <cellStyle name="Normal 2 4 7 2 5 3 2" xfId="15682" xr:uid="{F9FFAA0C-AA3E-4DC4-A978-54503638F2CA}"/>
    <cellStyle name="Normal 2 4 7 2 5 4" xfId="11465" xr:uid="{8B9AEBB0-0AAE-424C-A391-79C85B2FFCC7}"/>
    <cellStyle name="Normal 2 4 7 2 6" xfId="2486" xr:uid="{00000000-0005-0000-0000-0000E7100000}"/>
    <cellStyle name="Normal 2 4 7 2 6 2" xfId="6769" xr:uid="{00000000-0005-0000-0000-0000E8100000}"/>
    <cellStyle name="Normal 2 4 7 2 6 2 2" xfId="16095" xr:uid="{0F96B346-F75C-438D-A485-00A6CDC0B5B5}"/>
    <cellStyle name="Normal 2 4 7 2 6 3" xfId="11878" xr:uid="{F398F37C-C831-45D4-A6F9-333259251643}"/>
    <cellStyle name="Normal 2 4 7 2 7" xfId="4703" xr:uid="{00000000-0005-0000-0000-0000E9100000}"/>
    <cellStyle name="Normal 2 4 7 2 7 2" xfId="14029" xr:uid="{9EB0316E-3F7A-430D-A642-CD969E46A426}"/>
    <cellStyle name="Normal 2 4 7 2 8" xfId="9058" xr:uid="{FCEC438E-EF6A-4A00-BFE3-0DA309169A82}"/>
    <cellStyle name="Normal 2 4 7 2 9" xfId="9812" xr:uid="{C0045B2E-0E62-4F52-90C6-AC86F9A3A7D0}"/>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61D2DAAC-6238-4FFD-B5B8-967D67BBB6CF}"/>
    <cellStyle name="Normal 2 4 7 3 2 3" xfId="12370" xr:uid="{FC7B736F-B86F-4EC4-96B9-8C23DB7C1BD4}"/>
    <cellStyle name="Normal 2 4 7 3 3" xfId="5116" xr:uid="{00000000-0005-0000-0000-0000ED100000}"/>
    <cellStyle name="Normal 2 4 7 3 3 2" xfId="14442" xr:uid="{0E62E88A-2D36-4AC2-B705-C780C10FDFE5}"/>
    <cellStyle name="Normal 2 4 7 3 4" xfId="9276" xr:uid="{90A81E61-1719-41E4-8673-7681E805C2E0}"/>
    <cellStyle name="Normal 2 4 7 3 5" xfId="10225" xr:uid="{B602BEB1-8760-4663-8498-E2EF079B24A3}"/>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41488BD7-B046-4074-B5D9-2E9F16C257BA}"/>
    <cellStyle name="Normal 2 4 7 4 2 3" xfId="12783" xr:uid="{EAF689CE-1F44-465F-BA76-F76E5CA092A1}"/>
    <cellStyle name="Normal 2 4 7 4 3" xfId="5529" xr:uid="{00000000-0005-0000-0000-0000F1100000}"/>
    <cellStyle name="Normal 2 4 7 4 3 2" xfId="14855" xr:uid="{E9147C34-F03D-4036-BC40-BB12A3D9D258}"/>
    <cellStyle name="Normal 2 4 7 4 4" xfId="10638" xr:uid="{D15FFE2A-8AC4-46E4-B9C3-937FCCAEFE35}"/>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0923379D-3117-459B-A6B7-039E21F81DC1}"/>
    <cellStyle name="Normal 2 4 7 5 2 3" xfId="13196" xr:uid="{1C6260EC-4431-4788-BF8D-B9EAAC45343E}"/>
    <cellStyle name="Normal 2 4 7 5 3" xfId="5942" xr:uid="{00000000-0005-0000-0000-0000F5100000}"/>
    <cellStyle name="Normal 2 4 7 5 3 2" xfId="15268" xr:uid="{2E0371A7-98DE-4702-B17E-871C493B4BF7}"/>
    <cellStyle name="Normal 2 4 7 5 4" xfId="11051" xr:uid="{5F4DA45A-5E1D-407B-91C8-2BC392E5936B}"/>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DF36C881-96FB-48A1-B756-2ABA78E13EF1}"/>
    <cellStyle name="Normal 2 4 7 6 2 3" xfId="13609" xr:uid="{DF5A7796-772B-42C6-AAC4-012FF22396F3}"/>
    <cellStyle name="Normal 2 4 7 6 3" xfId="6355" xr:uid="{00000000-0005-0000-0000-0000F9100000}"/>
    <cellStyle name="Normal 2 4 7 6 3 2" xfId="15681" xr:uid="{9CEA5BDA-619F-4397-AB24-741524171E86}"/>
    <cellStyle name="Normal 2 4 7 6 4" xfId="11464" xr:uid="{828C8EC7-99A6-4BC2-BA34-3BDB87C388AF}"/>
    <cellStyle name="Normal 2 4 7 7" xfId="2485" xr:uid="{00000000-0005-0000-0000-0000FA100000}"/>
    <cellStyle name="Normal 2 4 7 7 2" xfId="6768" xr:uid="{00000000-0005-0000-0000-0000FB100000}"/>
    <cellStyle name="Normal 2 4 7 7 2 2" xfId="16094" xr:uid="{DB34C984-CD2D-43EC-B7B3-A2489C7AB52A}"/>
    <cellStyle name="Normal 2 4 7 7 3" xfId="11877" xr:uid="{E43603FF-CB85-4664-BEB4-16811E744509}"/>
    <cellStyle name="Normal 2 4 7 8" xfId="4702" xr:uid="{00000000-0005-0000-0000-0000FC100000}"/>
    <cellStyle name="Normal 2 4 7 8 2" xfId="14028" xr:uid="{B714C537-4CD4-49D7-9B62-D4CB01FEFF45}"/>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87A42E2E-614A-4CDE-99A7-DE3E475C6932}"/>
    <cellStyle name="Normal 2 4 8 2 2 3" xfId="12372" xr:uid="{5F005AD3-08BD-432F-9D6D-92314A0D39BA}"/>
    <cellStyle name="Normal 2 4 8 2 3" xfId="5118" xr:uid="{00000000-0005-0000-0000-000001110000}"/>
    <cellStyle name="Normal 2 4 8 2 3 2" xfId="14444" xr:uid="{C40AFC82-874E-43D0-AF87-5A7DB3508817}"/>
    <cellStyle name="Normal 2 4 8 2 4" xfId="9392" xr:uid="{812B973E-E5C9-43CD-85B0-C8CA30BD9BF3}"/>
    <cellStyle name="Normal 2 4 8 2 5" xfId="10227" xr:uid="{148708AD-17BF-4B26-98ED-178A6CE4D941}"/>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6A266836-7B62-432D-8094-0F0FC1ADF33E}"/>
    <cellStyle name="Normal 2 4 8 3 2 3" xfId="12785" xr:uid="{E9FA394C-96ED-41C8-B3C7-A2B23BE33253}"/>
    <cellStyle name="Normal 2 4 8 3 3" xfId="5531" xr:uid="{00000000-0005-0000-0000-000005110000}"/>
    <cellStyle name="Normal 2 4 8 3 3 2" xfId="14857" xr:uid="{03D2E706-904B-4DB6-B2D2-E68F61F90251}"/>
    <cellStyle name="Normal 2 4 8 3 4" xfId="10640" xr:uid="{496B243D-003C-4FDF-AB8A-D0FCCD4647AC}"/>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D44F5486-2722-43F4-B4FD-8DFF6CFD00BD}"/>
    <cellStyle name="Normal 2 4 8 4 2 3" xfId="13198" xr:uid="{FA2C0EE4-06A7-4D2E-9C20-7D913DA9590D}"/>
    <cellStyle name="Normal 2 4 8 4 3" xfId="5944" xr:uid="{00000000-0005-0000-0000-000009110000}"/>
    <cellStyle name="Normal 2 4 8 4 3 2" xfId="15270" xr:uid="{2DB09EE1-FF7D-40C2-8AAA-B05DED904F23}"/>
    <cellStyle name="Normal 2 4 8 4 4" xfId="11053" xr:uid="{8172AFFA-4A16-4088-9901-28F23CA909CA}"/>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0B1C387F-4865-4BEE-A0A9-684D550B09A9}"/>
    <cellStyle name="Normal 2 4 8 5 2 3" xfId="13611" xr:uid="{A1FD5627-7048-4E18-8823-DFC31C25E488}"/>
    <cellStyle name="Normal 2 4 8 5 3" xfId="6357" xr:uid="{00000000-0005-0000-0000-00000D110000}"/>
    <cellStyle name="Normal 2 4 8 5 3 2" xfId="15683" xr:uid="{3FB9AE61-C4B7-457B-8F4E-F3EC15087EE3}"/>
    <cellStyle name="Normal 2 4 8 5 4" xfId="11466" xr:uid="{AF48F21C-045B-4888-AB2E-AA642F0AC087}"/>
    <cellStyle name="Normal 2 4 8 6" xfId="2487" xr:uid="{00000000-0005-0000-0000-00000E110000}"/>
    <cellStyle name="Normal 2 4 8 6 2" xfId="6770" xr:uid="{00000000-0005-0000-0000-00000F110000}"/>
    <cellStyle name="Normal 2 4 8 6 2 2" xfId="16096" xr:uid="{EDD3BED5-0E5E-47B9-A11C-409058FC1CE2}"/>
    <cellStyle name="Normal 2 4 8 6 3" xfId="11879" xr:uid="{DF93E588-1754-44D7-818E-CBA2E3125E07}"/>
    <cellStyle name="Normal 2 4 8 7" xfId="4704" xr:uid="{00000000-0005-0000-0000-000010110000}"/>
    <cellStyle name="Normal 2 4 8 7 2" xfId="14030" xr:uid="{8D15B454-B0D0-404C-B8E0-78A2CE140191}"/>
    <cellStyle name="Normal 2 4 8 8" xfId="8967" xr:uid="{32AC97CD-D3FD-4AE1-A8B2-07BEA9D5DE52}"/>
    <cellStyle name="Normal 2 4 8 9" xfId="9813" xr:uid="{52C3F64A-0F92-483A-BC6C-D14A5FAD24B3}"/>
    <cellStyle name="Normal 2 4 9" xfId="9170" xr:uid="{5569C060-E090-4551-A44D-517EC3FD1834}"/>
    <cellStyle name="Normal 2 5" xfId="315" xr:uid="{00000000-0005-0000-0000-000011110000}"/>
    <cellStyle name="Normal 2 5 10" xfId="4705" xr:uid="{00000000-0005-0000-0000-000012110000}"/>
    <cellStyle name="Normal 2 5 10 2" xfId="14031" xr:uid="{198B07EB-A01C-40B8-9EBD-9B6BEB05B234}"/>
    <cellStyle name="Normal 2 5 11" xfId="9814" xr:uid="{F7E11BB2-3918-4D6A-B444-69790169D3CB}"/>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FFC9935A-345A-4089-A3D6-8FA46B0DE0E9}"/>
    <cellStyle name="Normal 2 5 4 2" xfId="319" xr:uid="{00000000-0005-0000-0000-000016110000}"/>
    <cellStyle name="Normal 2 5 4 2 10" xfId="9816" xr:uid="{52886557-D4CC-466A-876A-345092822992}"/>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BCB56DBC-4CA3-444B-81E3-0C5F3D13630B}"/>
    <cellStyle name="Normal 2 5 4 2 2 2 2 3" xfId="12376" xr:uid="{B35C523F-4E48-4D97-BA59-093771454040}"/>
    <cellStyle name="Normal 2 5 4 2 2 2 3" xfId="5122" xr:uid="{00000000-0005-0000-0000-00001B110000}"/>
    <cellStyle name="Normal 2 5 4 2 2 2 3 2" xfId="14448" xr:uid="{40AF5A71-E93F-4A31-BF67-3423B47C99B4}"/>
    <cellStyle name="Normal 2 5 4 2 2 2 4" xfId="9551" xr:uid="{392D7741-6781-4EA5-9C28-040053C1B05B}"/>
    <cellStyle name="Normal 2 5 4 2 2 2 5" xfId="10231" xr:uid="{1AEE9A9C-2F0D-4D68-A73C-1CE6A7DD367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D62BD162-05F1-4129-99B9-E08728EF4DF6}"/>
    <cellStyle name="Normal 2 5 4 2 2 3 2 3" xfId="12789" xr:uid="{4ED7961C-228E-44C9-B53F-A217F267658C}"/>
    <cellStyle name="Normal 2 5 4 2 2 3 3" xfId="5535" xr:uid="{00000000-0005-0000-0000-00001F110000}"/>
    <cellStyle name="Normal 2 5 4 2 2 3 3 2" xfId="14861" xr:uid="{EE414B71-7468-4D2A-8E3A-8DFED22A298F}"/>
    <cellStyle name="Normal 2 5 4 2 2 3 4" xfId="10644" xr:uid="{AE6F7547-5E4C-44CC-BA0A-37173D6ADE47}"/>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E5F3A1DC-1D4E-4051-A541-46A8144CB803}"/>
    <cellStyle name="Normal 2 5 4 2 2 4 2 3" xfId="13202" xr:uid="{54AC1810-3F38-4CBB-92F9-50B9304E7AD4}"/>
    <cellStyle name="Normal 2 5 4 2 2 4 3" xfId="5948" xr:uid="{00000000-0005-0000-0000-000023110000}"/>
    <cellStyle name="Normal 2 5 4 2 2 4 3 2" xfId="15274" xr:uid="{E5D552A5-01C5-4A79-969A-5BBC4AF76D2C}"/>
    <cellStyle name="Normal 2 5 4 2 2 4 4" xfId="11057" xr:uid="{2B684AE0-0AA3-49EC-ACF2-C45B74A3D66F}"/>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A68D5211-E47E-4E34-9BEC-DEB206ACC2A1}"/>
    <cellStyle name="Normal 2 5 4 2 2 5 2 3" xfId="13615" xr:uid="{1C2B0A40-5089-46F9-95AE-7A306DA0EF83}"/>
    <cellStyle name="Normal 2 5 4 2 2 5 3" xfId="6361" xr:uid="{00000000-0005-0000-0000-000027110000}"/>
    <cellStyle name="Normal 2 5 4 2 2 5 3 2" xfId="15687" xr:uid="{7AAABC6A-43E6-46C0-967B-2145375732B4}"/>
    <cellStyle name="Normal 2 5 4 2 2 5 4" xfId="11470" xr:uid="{2AE33B11-2CC2-4C4A-B0DC-7C39B3DA087A}"/>
    <cellStyle name="Normal 2 5 4 2 2 6" xfId="2491" xr:uid="{00000000-0005-0000-0000-000028110000}"/>
    <cellStyle name="Normal 2 5 4 2 2 6 2" xfId="6774" xr:uid="{00000000-0005-0000-0000-000029110000}"/>
    <cellStyle name="Normal 2 5 4 2 2 6 2 2" xfId="16100" xr:uid="{356572FE-748D-42D0-AA73-8F95778F7954}"/>
    <cellStyle name="Normal 2 5 4 2 2 6 3" xfId="11883" xr:uid="{0E06FE67-6938-4ADB-B684-95F7B9DD949D}"/>
    <cellStyle name="Normal 2 5 4 2 2 7" xfId="4708" xr:uid="{00000000-0005-0000-0000-00002A110000}"/>
    <cellStyle name="Normal 2 5 4 2 2 7 2" xfId="14034" xr:uid="{0E86E531-2E16-42E8-9149-5F87E4D8FB95}"/>
    <cellStyle name="Normal 2 5 4 2 2 8" xfId="9126" xr:uid="{C2CF4AFD-4082-4555-941B-6E9759C32D63}"/>
    <cellStyle name="Normal 2 5 4 2 2 9" xfId="9817" xr:uid="{6C959135-E4BC-4C63-BB9C-0DECCE08CC0F}"/>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7773A8D5-5413-4B07-A54D-F7C531A34FCF}"/>
    <cellStyle name="Normal 2 5 4 2 3 2 3" xfId="12375" xr:uid="{DD37D871-C965-42FF-9AB9-002265CDD08F}"/>
    <cellStyle name="Normal 2 5 4 2 3 3" xfId="5121" xr:uid="{00000000-0005-0000-0000-00002E110000}"/>
    <cellStyle name="Normal 2 5 4 2 3 3 2" xfId="14447" xr:uid="{A1945BEE-7822-4A7A-8B94-35CCCDF9729C}"/>
    <cellStyle name="Normal 2 5 4 2 3 4" xfId="9344" xr:uid="{207B8A34-09D9-4349-A9C7-5A5A998C6B6F}"/>
    <cellStyle name="Normal 2 5 4 2 3 5" xfId="10230" xr:uid="{D6AE35DE-A425-403C-8857-9AF3E41F851B}"/>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BEF0FF78-15C2-4ACD-BFD7-65E15723B959}"/>
    <cellStyle name="Normal 2 5 4 2 4 2 3" xfId="12788" xr:uid="{1DB45AD7-2A52-4A78-9B5C-0F2BFD11B51D}"/>
    <cellStyle name="Normal 2 5 4 2 4 3" xfId="5534" xr:uid="{00000000-0005-0000-0000-000032110000}"/>
    <cellStyle name="Normal 2 5 4 2 4 3 2" xfId="14860" xr:uid="{0CA3667B-AC32-4F2A-BCA9-6952525DE1C2}"/>
    <cellStyle name="Normal 2 5 4 2 4 4" xfId="10643" xr:uid="{083D4828-B9C7-4E04-80EF-1EBEDCF25D91}"/>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8010175E-FAD7-497D-BCE1-751A0C4C3C87}"/>
    <cellStyle name="Normal 2 5 4 2 5 2 3" xfId="13201" xr:uid="{1F8E51C6-78E9-4AFA-9410-F7B2EDB6C3AA}"/>
    <cellStyle name="Normal 2 5 4 2 5 3" xfId="5947" xr:uid="{00000000-0005-0000-0000-000036110000}"/>
    <cellStyle name="Normal 2 5 4 2 5 3 2" xfId="15273" xr:uid="{E3F63FBC-B64F-4EF1-9D1D-F109C94D198D}"/>
    <cellStyle name="Normal 2 5 4 2 5 4" xfId="11056" xr:uid="{57CC5F8E-6241-446B-89AF-608AF4839EA8}"/>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35DAFEAC-6E8C-45C6-AC4E-59EEEFAE296F}"/>
    <cellStyle name="Normal 2 5 4 2 6 2 3" xfId="13614" xr:uid="{A462B2A6-C852-48F7-8299-951535BDD4C1}"/>
    <cellStyle name="Normal 2 5 4 2 6 3" xfId="6360" xr:uid="{00000000-0005-0000-0000-00003A110000}"/>
    <cellStyle name="Normal 2 5 4 2 6 3 2" xfId="15686" xr:uid="{34F0D0DB-9294-47B2-B3F3-D48915E5F148}"/>
    <cellStyle name="Normal 2 5 4 2 6 4" xfId="11469" xr:uid="{42E53A7B-4016-4D92-B39D-2DC40BE51D37}"/>
    <cellStyle name="Normal 2 5 4 2 7" xfId="2490" xr:uid="{00000000-0005-0000-0000-00003B110000}"/>
    <cellStyle name="Normal 2 5 4 2 7 2" xfId="6773" xr:uid="{00000000-0005-0000-0000-00003C110000}"/>
    <cellStyle name="Normal 2 5 4 2 7 2 2" xfId="16099" xr:uid="{4924DCD0-C689-4901-9086-D17238585D51}"/>
    <cellStyle name="Normal 2 5 4 2 7 3" xfId="11882" xr:uid="{862231C0-EDC9-4A97-BF08-912E2C951F89}"/>
    <cellStyle name="Normal 2 5 4 2 8" xfId="4707" xr:uid="{00000000-0005-0000-0000-00003D110000}"/>
    <cellStyle name="Normal 2 5 4 2 8 2" xfId="14033" xr:uid="{E6401F17-FD6F-483B-9164-818691608F31}"/>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953CBBAD-4488-4601-8A7A-F521F26C684C}"/>
    <cellStyle name="Normal 2 5 4 3 2 2 3" xfId="12377" xr:uid="{52A2FABE-81BE-4AFF-8823-FD0CD51FC9E7}"/>
    <cellStyle name="Normal 2 5 4 3 2 3" xfId="5123" xr:uid="{00000000-0005-0000-0000-000042110000}"/>
    <cellStyle name="Normal 2 5 4 3 2 3 2" xfId="14449" xr:uid="{839A66E1-D84A-46BA-BF21-534E64903253}"/>
    <cellStyle name="Normal 2 5 4 3 2 4" xfId="9448" xr:uid="{0C1738F2-697E-4430-8A3F-E67747B3EDB0}"/>
    <cellStyle name="Normal 2 5 4 3 2 5" xfId="10232" xr:uid="{861AAEE1-3FF5-4027-A630-38C9670F9076}"/>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9599D083-1230-4133-862F-AF675BAC468B}"/>
    <cellStyle name="Normal 2 5 4 3 3 2 3" xfId="12790" xr:uid="{D750E886-EFB1-4B92-B4D4-D49761A3752D}"/>
    <cellStyle name="Normal 2 5 4 3 3 3" xfId="5536" xr:uid="{00000000-0005-0000-0000-000046110000}"/>
    <cellStyle name="Normal 2 5 4 3 3 3 2" xfId="14862" xr:uid="{56800F5F-4AA3-4C7C-9E60-689438B256B4}"/>
    <cellStyle name="Normal 2 5 4 3 3 4" xfId="10645" xr:uid="{ECE08040-CAC9-4308-833B-AB89E36BB59B}"/>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74FBAD57-23AD-492A-8EA0-8667EEA8C2E6}"/>
    <cellStyle name="Normal 2 5 4 3 4 2 3" xfId="13203" xr:uid="{4F647C45-8F50-4D6D-A32B-024D1EDE8A60}"/>
    <cellStyle name="Normal 2 5 4 3 4 3" xfId="5949" xr:uid="{00000000-0005-0000-0000-00004A110000}"/>
    <cellStyle name="Normal 2 5 4 3 4 3 2" xfId="15275" xr:uid="{2E78F318-CF0D-4400-A85D-41EBBDDDA893}"/>
    <cellStyle name="Normal 2 5 4 3 4 4" xfId="11058" xr:uid="{BCCFFF82-AA79-47A4-BBD5-35B00CF084E5}"/>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41EA659F-075E-444C-9E7A-E5EC6846443B}"/>
    <cellStyle name="Normal 2 5 4 3 5 2 3" xfId="13616" xr:uid="{6CCB2BA7-AA51-4639-B7B2-3033784CEF8D}"/>
    <cellStyle name="Normal 2 5 4 3 5 3" xfId="6362" xr:uid="{00000000-0005-0000-0000-00004E110000}"/>
    <cellStyle name="Normal 2 5 4 3 5 3 2" xfId="15688" xr:uid="{40EA9B01-3E2C-4152-A032-2F0590551B01}"/>
    <cellStyle name="Normal 2 5 4 3 5 4" xfId="11471" xr:uid="{12C22BB9-A386-4F96-83FF-3D27337DD81F}"/>
    <cellStyle name="Normal 2 5 4 3 6" xfId="2492" xr:uid="{00000000-0005-0000-0000-00004F110000}"/>
    <cellStyle name="Normal 2 5 4 3 6 2" xfId="6775" xr:uid="{00000000-0005-0000-0000-000050110000}"/>
    <cellStyle name="Normal 2 5 4 3 6 2 2" xfId="16101" xr:uid="{BA053AC9-1316-405F-95E6-0C229F8E10B8}"/>
    <cellStyle name="Normal 2 5 4 3 6 3" xfId="11884" xr:uid="{D3B6433F-9D3B-4F5B-93BB-B893B49D1DBC}"/>
    <cellStyle name="Normal 2 5 4 3 7" xfId="4709" xr:uid="{00000000-0005-0000-0000-000051110000}"/>
    <cellStyle name="Normal 2 5 4 3 7 2" xfId="14035" xr:uid="{76322574-2228-439C-8CD4-F3677F25675C}"/>
    <cellStyle name="Normal 2 5 4 3 8" xfId="9023" xr:uid="{9B869639-3DD4-4511-AD70-D5125D34938F}"/>
    <cellStyle name="Normal 2 5 4 3 9" xfId="9818" xr:uid="{4F6F73A3-CE3A-4599-BB57-560B1C2A284B}"/>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4132111E-844E-4CA1-A090-48477EE8F873}"/>
    <cellStyle name="Normal 2 5 4 4 2 3" xfId="12374" xr:uid="{76BDCA83-624E-4782-B714-082EBEE2B87F}"/>
    <cellStyle name="Normal 2 5 4 4 3" xfId="5120" xr:uid="{00000000-0005-0000-0000-000055110000}"/>
    <cellStyle name="Normal 2 5 4 4 3 2" xfId="14446" xr:uid="{388B6528-8F1A-47CC-9E02-2D0898C51D34}"/>
    <cellStyle name="Normal 2 5 4 4 4" xfId="9241" xr:uid="{2BD2F05F-E4C9-46B4-B3C9-F0D081C1F38F}"/>
    <cellStyle name="Normal 2 5 4 4 5" xfId="10229" xr:uid="{AFB31128-9715-4724-AEF7-17109BA01C62}"/>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903E6043-8CF4-46C6-83DB-1818094D0A7F}"/>
    <cellStyle name="Normal 2 5 4 5 2 3" xfId="12787" xr:uid="{D87A2659-C0CC-47C4-B3C0-752307BCEB8F}"/>
    <cellStyle name="Normal 2 5 4 5 3" xfId="5533" xr:uid="{00000000-0005-0000-0000-000059110000}"/>
    <cellStyle name="Normal 2 5 4 5 3 2" xfId="14859" xr:uid="{C6ECD047-FBF2-42E8-9069-01039D36D4B9}"/>
    <cellStyle name="Normal 2 5 4 5 4" xfId="10642" xr:uid="{6D35B08E-4888-4AE9-AA61-D00173D7BEA6}"/>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778095B2-1C14-4580-B86F-1AC9362F34F7}"/>
    <cellStyle name="Normal 2 5 4 6 2 3" xfId="13200" xr:uid="{0B4D0677-3A7B-48DA-9FDC-2A73E0B3218E}"/>
    <cellStyle name="Normal 2 5 4 6 3" xfId="5946" xr:uid="{00000000-0005-0000-0000-00005D110000}"/>
    <cellStyle name="Normal 2 5 4 6 3 2" xfId="15272" xr:uid="{BF48BDEE-C1CF-44B5-8FF1-255FBB03B225}"/>
    <cellStyle name="Normal 2 5 4 6 4" xfId="11055" xr:uid="{3C24A13B-0503-4478-8B1D-BD791D7EAD1C}"/>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44A25FED-423D-4486-B68A-8BA241172469}"/>
    <cellStyle name="Normal 2 5 4 7 2 3" xfId="13613" xr:uid="{3830DD84-0EED-4D7A-BA5A-B6E5E5269077}"/>
    <cellStyle name="Normal 2 5 4 7 3" xfId="6359" xr:uid="{00000000-0005-0000-0000-000061110000}"/>
    <cellStyle name="Normal 2 5 4 7 3 2" xfId="15685" xr:uid="{B460AB5D-D4FB-4BF5-BD62-42075EBCD930}"/>
    <cellStyle name="Normal 2 5 4 7 4" xfId="11468" xr:uid="{DB21D0F7-2FE9-4786-96CB-CB6A46C10DE8}"/>
    <cellStyle name="Normal 2 5 4 8" xfId="2489" xr:uid="{00000000-0005-0000-0000-000062110000}"/>
    <cellStyle name="Normal 2 5 4 8 2" xfId="6772" xr:uid="{00000000-0005-0000-0000-000063110000}"/>
    <cellStyle name="Normal 2 5 4 8 2 2" xfId="16098" xr:uid="{AA34BC84-7313-4E46-B6E8-3EB1F9AB219E}"/>
    <cellStyle name="Normal 2 5 4 8 3" xfId="11881" xr:uid="{D799399E-3B31-42C2-80F8-F4C8B6A6F1ED}"/>
    <cellStyle name="Normal 2 5 4 9" xfId="4706" xr:uid="{00000000-0005-0000-0000-000064110000}"/>
    <cellStyle name="Normal 2 5 4 9 2" xfId="14032" xr:uid="{5FC30982-AB2B-45DD-8B3D-15F84147F55C}"/>
    <cellStyle name="Normal 2 5 5" xfId="803" xr:uid="{00000000-0005-0000-0000-000065110000}"/>
    <cellStyle name="Normal 2 5 5 2" xfId="3042" xr:uid="{00000000-0005-0000-0000-000066110000}"/>
    <cellStyle name="Normal 2 5 5 2 2" xfId="7264" xr:uid="{00000000-0005-0000-0000-000067110000}"/>
    <cellStyle name="Normal 2 5 5 2 2 2" xfId="16590" xr:uid="{2522C3A5-99BE-4744-BADC-3E067AA7E755}"/>
    <cellStyle name="Normal 2 5 5 2 3" xfId="12373" xr:uid="{4FCD18E9-1EA4-47F7-9F37-210C63E80228}"/>
    <cellStyle name="Normal 2 5 5 3" xfId="5119" xr:uid="{00000000-0005-0000-0000-000068110000}"/>
    <cellStyle name="Normal 2 5 5 3 2" xfId="14445" xr:uid="{7AF4F21A-F252-4BD9-934F-4EB8D9873DB4}"/>
    <cellStyle name="Normal 2 5 5 4" xfId="9606" xr:uid="{3AE4D77A-44EE-40C2-9F71-05FBDE2746B2}"/>
    <cellStyle name="Normal 2 5 5 5" xfId="10228" xr:uid="{AB5E2FBE-D4CE-4818-A9EA-BF4DEC0F348C}"/>
    <cellStyle name="Normal 2 5 6" xfId="1225" xr:uid="{00000000-0005-0000-0000-000069110000}"/>
    <cellStyle name="Normal 2 5 6 2" xfId="3455" xr:uid="{00000000-0005-0000-0000-00006A110000}"/>
    <cellStyle name="Normal 2 5 6 2 2" xfId="7677" xr:uid="{00000000-0005-0000-0000-00006B110000}"/>
    <cellStyle name="Normal 2 5 6 2 2 2" xfId="17003" xr:uid="{9A17F3CD-BEE9-4923-92CF-E95B510943BF}"/>
    <cellStyle name="Normal 2 5 6 2 3" xfId="12786" xr:uid="{221497D3-C9F8-4387-A59B-B098091E1E99}"/>
    <cellStyle name="Normal 2 5 6 3" xfId="5532" xr:uid="{00000000-0005-0000-0000-00006C110000}"/>
    <cellStyle name="Normal 2 5 6 3 2" xfId="14858" xr:uid="{E8697AA8-1405-4897-AA54-12CD74B822A1}"/>
    <cellStyle name="Normal 2 5 6 4" xfId="10641" xr:uid="{39001A34-B741-4DB8-98CA-416C283E77F9}"/>
    <cellStyle name="Normal 2 5 7" xfId="1638" xr:uid="{00000000-0005-0000-0000-00006D110000}"/>
    <cellStyle name="Normal 2 5 7 2" xfId="3868" xr:uid="{00000000-0005-0000-0000-00006E110000}"/>
    <cellStyle name="Normal 2 5 7 2 2" xfId="8090" xr:uid="{00000000-0005-0000-0000-00006F110000}"/>
    <cellStyle name="Normal 2 5 7 2 2 2" xfId="17416" xr:uid="{D5B2C8F5-E908-41F1-8499-4D3BFE123B89}"/>
    <cellStyle name="Normal 2 5 7 2 3" xfId="13199" xr:uid="{4DEB17EA-E664-4EC8-803E-2549BC259863}"/>
    <cellStyle name="Normal 2 5 7 3" xfId="5945" xr:uid="{00000000-0005-0000-0000-000070110000}"/>
    <cellStyle name="Normal 2 5 7 3 2" xfId="15271" xr:uid="{3308239F-8559-41CD-8D22-EA8B73EE9F04}"/>
    <cellStyle name="Normal 2 5 7 4" xfId="11054" xr:uid="{79411C81-5777-4769-85AD-B580D4023B4F}"/>
    <cellStyle name="Normal 2 5 8" xfId="2052" xr:uid="{00000000-0005-0000-0000-000071110000}"/>
    <cellStyle name="Normal 2 5 8 2" xfId="4281" xr:uid="{00000000-0005-0000-0000-000072110000}"/>
    <cellStyle name="Normal 2 5 8 2 2" xfId="8503" xr:uid="{00000000-0005-0000-0000-000073110000}"/>
    <cellStyle name="Normal 2 5 8 2 2 2" xfId="17829" xr:uid="{85330940-119F-40D2-9086-8BF6A410D00C}"/>
    <cellStyle name="Normal 2 5 8 2 3" xfId="13612" xr:uid="{044AC033-EB64-4B3B-AD1B-F08697231F9A}"/>
    <cellStyle name="Normal 2 5 8 3" xfId="6358" xr:uid="{00000000-0005-0000-0000-000074110000}"/>
    <cellStyle name="Normal 2 5 8 3 2" xfId="15684" xr:uid="{41909BE9-BF02-4993-8E75-B6ACBC66FB29}"/>
    <cellStyle name="Normal 2 5 8 4" xfId="11467" xr:uid="{A5B93C0E-FAAC-4472-A79C-5DB27FA0257C}"/>
    <cellStyle name="Normal 2 5 9" xfId="2488" xr:uid="{00000000-0005-0000-0000-000075110000}"/>
    <cellStyle name="Normal 2 5 9 2" xfId="6771" xr:uid="{00000000-0005-0000-0000-000076110000}"/>
    <cellStyle name="Normal 2 5 9 2 2" xfId="16097" xr:uid="{5A3944E1-6F8F-4F10-9124-DBA2E3B8D631}"/>
    <cellStyle name="Normal 2 5 9 3" xfId="11880" xr:uid="{74FA5ADF-EF33-40B5-8063-9A065CEF85B3}"/>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9483CB63-ACCB-4DF0-A9C5-747C13E59F1F}"/>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BCCF21E3-F02F-48EB-A277-03736C6B8F3D}"/>
    <cellStyle name="Normal 3 2 3 2" xfId="327" xr:uid="{00000000-0005-0000-0000-00007F110000}"/>
    <cellStyle name="Normal 3 2 3 2 10" xfId="9821" xr:uid="{13C5EC44-8E64-4225-B090-912B65672846}"/>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5F61F085-E05F-4A25-81B4-8706621290F9}"/>
    <cellStyle name="Normal 3 2 3 2 2 2 2 3" xfId="12381" xr:uid="{F282BEAF-EFC1-4BE7-BD29-A02469F5485C}"/>
    <cellStyle name="Normal 3 2 3 2 2 2 3" xfId="5127" xr:uid="{00000000-0005-0000-0000-000084110000}"/>
    <cellStyle name="Normal 3 2 3 2 2 2 3 2" xfId="14453" xr:uid="{2B061648-8BAE-49EF-900B-53027D1574DB}"/>
    <cellStyle name="Normal 3 2 3 2 2 2 4" xfId="9552" xr:uid="{54198C1B-8B77-4C07-BFED-28C4D4E00A0C}"/>
    <cellStyle name="Normal 3 2 3 2 2 2 5" xfId="10236" xr:uid="{B4B94284-11ED-4642-BEFF-A4DF86C110BF}"/>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93786954-C4B8-4135-A4E0-413EEC106774}"/>
    <cellStyle name="Normal 3 2 3 2 2 3 2 3" xfId="12794" xr:uid="{EFC7F794-B5C0-4EE2-A1CF-B713C01EE490}"/>
    <cellStyle name="Normal 3 2 3 2 2 3 3" xfId="5540" xr:uid="{00000000-0005-0000-0000-000088110000}"/>
    <cellStyle name="Normal 3 2 3 2 2 3 3 2" xfId="14866" xr:uid="{24E51CAD-1BDA-4D27-833A-2AE7D24C71A4}"/>
    <cellStyle name="Normal 3 2 3 2 2 3 4" xfId="10649" xr:uid="{A98D63F3-DF0B-4623-9260-37616945CF02}"/>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2E259EC4-5D8A-4688-864D-BE9804C7124C}"/>
    <cellStyle name="Normal 3 2 3 2 2 4 2 3" xfId="13207" xr:uid="{7C8761EA-5BEA-47BF-828D-CF8A58FF2DE4}"/>
    <cellStyle name="Normal 3 2 3 2 2 4 3" xfId="5953" xr:uid="{00000000-0005-0000-0000-00008C110000}"/>
    <cellStyle name="Normal 3 2 3 2 2 4 3 2" xfId="15279" xr:uid="{32DD9CEC-E169-4486-8E51-E304B0DB566E}"/>
    <cellStyle name="Normal 3 2 3 2 2 4 4" xfId="11062" xr:uid="{23133E26-C5C7-4A6F-A2A9-041E496D9F93}"/>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35C2B030-A330-4E1A-BE77-12BADFCCAD3E}"/>
    <cellStyle name="Normal 3 2 3 2 2 5 2 3" xfId="13620" xr:uid="{6CBDF599-DF4F-4270-AEA3-12BF5E857BF8}"/>
    <cellStyle name="Normal 3 2 3 2 2 5 3" xfId="6366" xr:uid="{00000000-0005-0000-0000-000090110000}"/>
    <cellStyle name="Normal 3 2 3 2 2 5 3 2" xfId="15692" xr:uid="{5CC79376-4A25-4050-96A6-24B9B4FC09FD}"/>
    <cellStyle name="Normal 3 2 3 2 2 5 4" xfId="11475" xr:uid="{806D74B3-68D8-401F-913D-4A56D8D7E989}"/>
    <cellStyle name="Normal 3 2 3 2 2 6" xfId="2496" xr:uid="{00000000-0005-0000-0000-000091110000}"/>
    <cellStyle name="Normal 3 2 3 2 2 6 2" xfId="6779" xr:uid="{00000000-0005-0000-0000-000092110000}"/>
    <cellStyle name="Normal 3 2 3 2 2 6 2 2" xfId="16105" xr:uid="{A2AF2169-B2BE-4D2D-B6CB-54F30CDE4634}"/>
    <cellStyle name="Normal 3 2 3 2 2 6 3" xfId="11888" xr:uid="{22FBF003-B81B-4C1A-837C-0000FE9115D5}"/>
    <cellStyle name="Normal 3 2 3 2 2 7" xfId="4713" xr:uid="{00000000-0005-0000-0000-000093110000}"/>
    <cellStyle name="Normal 3 2 3 2 2 7 2" xfId="14039" xr:uid="{095D9E09-5495-47C2-886F-0E0F7F8646AA}"/>
    <cellStyle name="Normal 3 2 3 2 2 8" xfId="9127" xr:uid="{0583B12A-AAD6-4358-9C0C-42D6EBC3DFD8}"/>
    <cellStyle name="Normal 3 2 3 2 2 9" xfId="9822" xr:uid="{E1280A9F-6E3C-486F-B366-CBA4E5B53994}"/>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965247E3-10CB-4873-AB5D-93EB2435AD6C}"/>
    <cellStyle name="Normal 3 2 3 2 3 2 3" xfId="12380" xr:uid="{C9AF209C-F21D-4A9B-8262-9F82BD5B36AF}"/>
    <cellStyle name="Normal 3 2 3 2 3 3" xfId="5126" xr:uid="{00000000-0005-0000-0000-000097110000}"/>
    <cellStyle name="Normal 3 2 3 2 3 3 2" xfId="14452" xr:uid="{D1F0C955-2535-42F3-B88D-EF669398C16F}"/>
    <cellStyle name="Normal 3 2 3 2 3 4" xfId="9345" xr:uid="{C34A3811-3C7F-4E99-A17A-CCF74A426C86}"/>
    <cellStyle name="Normal 3 2 3 2 3 5" xfId="10235" xr:uid="{564F580E-7222-4597-9FBE-9B1D218DDB70}"/>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8F802286-E298-43C5-9195-AF54BE1B72C2}"/>
    <cellStyle name="Normal 3 2 3 2 4 2 3" xfId="12793" xr:uid="{769BC751-2E22-4552-897A-40166C595DDE}"/>
    <cellStyle name="Normal 3 2 3 2 4 3" xfId="5539" xr:uid="{00000000-0005-0000-0000-00009B110000}"/>
    <cellStyle name="Normal 3 2 3 2 4 3 2" xfId="14865" xr:uid="{6D499BF5-6014-4488-96B1-6A1CD074EC25}"/>
    <cellStyle name="Normal 3 2 3 2 4 4" xfId="10648" xr:uid="{1B2FF144-7D9F-4316-90ED-8E11383C62B2}"/>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BDB1EC66-63F4-487A-8F82-7A8DC4010DDD}"/>
    <cellStyle name="Normal 3 2 3 2 5 2 3" xfId="13206" xr:uid="{68C8598E-CDDC-45EA-97F3-C42A29FC23EE}"/>
    <cellStyle name="Normal 3 2 3 2 5 3" xfId="5952" xr:uid="{00000000-0005-0000-0000-00009F110000}"/>
    <cellStyle name="Normal 3 2 3 2 5 3 2" xfId="15278" xr:uid="{F090A8AF-624F-47B2-9FB5-A8EEF9E011CA}"/>
    <cellStyle name="Normal 3 2 3 2 5 4" xfId="11061" xr:uid="{2AD2F1F0-5C52-440C-B316-88178ECD6A57}"/>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6F8E54CD-FC5C-46C6-A185-A120E72FB54F}"/>
    <cellStyle name="Normal 3 2 3 2 6 2 3" xfId="13619" xr:uid="{02AA50DA-8B85-46DA-A0C3-445B4AAFC3EF}"/>
    <cellStyle name="Normal 3 2 3 2 6 3" xfId="6365" xr:uid="{00000000-0005-0000-0000-0000A3110000}"/>
    <cellStyle name="Normal 3 2 3 2 6 3 2" xfId="15691" xr:uid="{77238D13-B8F2-4DEE-9D13-3B3223B1FDFB}"/>
    <cellStyle name="Normal 3 2 3 2 6 4" xfId="11474" xr:uid="{D70DA903-8413-4478-98CC-BCB7B27E82AF}"/>
    <cellStyle name="Normal 3 2 3 2 7" xfId="2495" xr:uid="{00000000-0005-0000-0000-0000A4110000}"/>
    <cellStyle name="Normal 3 2 3 2 7 2" xfId="6778" xr:uid="{00000000-0005-0000-0000-0000A5110000}"/>
    <cellStyle name="Normal 3 2 3 2 7 2 2" xfId="16104" xr:uid="{67D59E00-A980-4D86-A8CD-ECD657B3C4E5}"/>
    <cellStyle name="Normal 3 2 3 2 7 3" xfId="11887" xr:uid="{C6EE7943-83E1-4772-8A36-C06CE246395A}"/>
    <cellStyle name="Normal 3 2 3 2 8" xfId="4712" xr:uid="{00000000-0005-0000-0000-0000A6110000}"/>
    <cellStyle name="Normal 3 2 3 2 8 2" xfId="14038" xr:uid="{047DD8FD-69B7-429C-98D0-C446322493F2}"/>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162EF183-162F-4FF2-8451-C07B1957B7A0}"/>
    <cellStyle name="Normal 3 2 3 3 2 2 3" xfId="12382" xr:uid="{589BE589-1DD0-49D6-BF73-3B33FB239F79}"/>
    <cellStyle name="Normal 3 2 3 3 2 3" xfId="5128" xr:uid="{00000000-0005-0000-0000-0000AB110000}"/>
    <cellStyle name="Normal 3 2 3 3 2 3 2" xfId="14454" xr:uid="{A239C476-96B1-43C8-BE63-028640A7A283}"/>
    <cellStyle name="Normal 3 2 3 3 2 4" xfId="9449" xr:uid="{7F58A2DC-DF16-44D1-8D09-04DD41EF4468}"/>
    <cellStyle name="Normal 3 2 3 3 2 5" xfId="10237" xr:uid="{7AE1EDB8-3107-4285-A563-C1110306BC0D}"/>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AB2D4254-A4A9-4646-AF87-C07B84649B69}"/>
    <cellStyle name="Normal 3 2 3 3 3 2 3" xfId="12795" xr:uid="{A24E0D8E-6003-4E43-BD07-D0830C4ACB0A}"/>
    <cellStyle name="Normal 3 2 3 3 3 3" xfId="5541" xr:uid="{00000000-0005-0000-0000-0000AF110000}"/>
    <cellStyle name="Normal 3 2 3 3 3 3 2" xfId="14867" xr:uid="{F76C97A4-BFFB-479D-BE7A-13CF98BAF181}"/>
    <cellStyle name="Normal 3 2 3 3 3 4" xfId="10650" xr:uid="{32B28B34-9D0D-4AFB-8370-F415274DBC1A}"/>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EE6D33D7-CA1A-4727-B2AB-1E3D262B16D6}"/>
    <cellStyle name="Normal 3 2 3 3 4 2 3" xfId="13208" xr:uid="{0FE048CB-8E4E-4E01-961F-5BB46D363C23}"/>
    <cellStyle name="Normal 3 2 3 3 4 3" xfId="5954" xr:uid="{00000000-0005-0000-0000-0000B3110000}"/>
    <cellStyle name="Normal 3 2 3 3 4 3 2" xfId="15280" xr:uid="{ABE7AFBD-4524-4104-8DAE-871799D08DEB}"/>
    <cellStyle name="Normal 3 2 3 3 4 4" xfId="11063" xr:uid="{DED7FA34-C26E-4D34-87FF-DF79C519E4B5}"/>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C47D231D-84AE-466F-9DAF-9DAD41678E97}"/>
    <cellStyle name="Normal 3 2 3 3 5 2 3" xfId="13621" xr:uid="{034CBF18-0E19-4A99-A9F2-8D1E503F4308}"/>
    <cellStyle name="Normal 3 2 3 3 5 3" xfId="6367" xr:uid="{00000000-0005-0000-0000-0000B7110000}"/>
    <cellStyle name="Normal 3 2 3 3 5 3 2" xfId="15693" xr:uid="{ABE9BE15-8CBF-4866-86A5-EDD5ED0CEE5A}"/>
    <cellStyle name="Normal 3 2 3 3 5 4" xfId="11476" xr:uid="{8D654BFA-0357-42B0-8927-62DD21A1013B}"/>
    <cellStyle name="Normal 3 2 3 3 6" xfId="2497" xr:uid="{00000000-0005-0000-0000-0000B8110000}"/>
    <cellStyle name="Normal 3 2 3 3 6 2" xfId="6780" xr:uid="{00000000-0005-0000-0000-0000B9110000}"/>
    <cellStyle name="Normal 3 2 3 3 6 2 2" xfId="16106" xr:uid="{72188E39-3DE1-461B-871E-D888E54AAA74}"/>
    <cellStyle name="Normal 3 2 3 3 6 3" xfId="11889" xr:uid="{5AF47C28-79E8-478A-A1D5-071C5893C814}"/>
    <cellStyle name="Normal 3 2 3 3 7" xfId="4714" xr:uid="{00000000-0005-0000-0000-0000BA110000}"/>
    <cellStyle name="Normal 3 2 3 3 7 2" xfId="14040" xr:uid="{44508F10-5C3C-4437-BC21-BADCC5A2933A}"/>
    <cellStyle name="Normal 3 2 3 3 8" xfId="9024" xr:uid="{AE2F680F-18A3-47B5-ADCF-6BEAD71D50CE}"/>
    <cellStyle name="Normal 3 2 3 3 9" xfId="9823" xr:uid="{126B58DD-47EC-4230-82C6-56558B3F03CD}"/>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E3C82218-6EDA-43D2-9082-3E8F40F25E40}"/>
    <cellStyle name="Normal 3 2 3 4 2 3" xfId="12379" xr:uid="{F4CC96F0-61DA-447C-B5EF-31A07B08B46A}"/>
    <cellStyle name="Normal 3 2 3 4 3" xfId="5125" xr:uid="{00000000-0005-0000-0000-0000BE110000}"/>
    <cellStyle name="Normal 3 2 3 4 3 2" xfId="14451" xr:uid="{19C8BD72-BEB9-4352-9BD2-F589D77B3815}"/>
    <cellStyle name="Normal 3 2 3 4 4" xfId="9242" xr:uid="{05AEEDFF-7EEB-40DB-B13D-145C971A771B}"/>
    <cellStyle name="Normal 3 2 3 4 5" xfId="10234" xr:uid="{14F7A067-1CDB-4413-9BB3-6D965E5D5675}"/>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8E55BA41-EE3A-415D-91CB-E109DCE515E4}"/>
    <cellStyle name="Normal 3 2 3 5 2 3" xfId="12792" xr:uid="{154CADA1-B115-47E6-A007-F96272F5EA24}"/>
    <cellStyle name="Normal 3 2 3 5 3" xfId="5538" xr:uid="{00000000-0005-0000-0000-0000C2110000}"/>
    <cellStyle name="Normal 3 2 3 5 3 2" xfId="14864" xr:uid="{A0D89109-2A78-45CC-A782-FB8B6E7210CA}"/>
    <cellStyle name="Normal 3 2 3 5 4" xfId="10647" xr:uid="{1769BF1F-49FC-4EC6-9F26-CBC59C04B03E}"/>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81F2B0FF-FC33-4F0E-8204-B9CCA51FE87A}"/>
    <cellStyle name="Normal 3 2 3 6 2 3" xfId="13205" xr:uid="{C5B9AD5C-2FE5-4770-8638-A94F4AF4351C}"/>
    <cellStyle name="Normal 3 2 3 6 3" xfId="5951" xr:uid="{00000000-0005-0000-0000-0000C6110000}"/>
    <cellStyle name="Normal 3 2 3 6 3 2" xfId="15277" xr:uid="{4996AE8A-76F1-4D58-9F88-2E3FA0D951B2}"/>
    <cellStyle name="Normal 3 2 3 6 4" xfId="11060" xr:uid="{6E1F850E-AD0F-4439-B141-ADC6BA4C5626}"/>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A7B2D07D-5B4F-4284-8559-5C962721768D}"/>
    <cellStyle name="Normal 3 2 3 7 2 3" xfId="13618" xr:uid="{A5CC2A12-6319-49CE-B4DA-5E2F72F33563}"/>
    <cellStyle name="Normal 3 2 3 7 3" xfId="6364" xr:uid="{00000000-0005-0000-0000-0000CA110000}"/>
    <cellStyle name="Normal 3 2 3 7 3 2" xfId="15690" xr:uid="{29225C0F-399B-47E1-A48A-509CF727B558}"/>
    <cellStyle name="Normal 3 2 3 7 4" xfId="11473" xr:uid="{2C26AE78-797A-4441-9FA6-27AA259A140E}"/>
    <cellStyle name="Normal 3 2 3 8" xfId="2494" xr:uid="{00000000-0005-0000-0000-0000CB110000}"/>
    <cellStyle name="Normal 3 2 3 8 2" xfId="6777" xr:uid="{00000000-0005-0000-0000-0000CC110000}"/>
    <cellStyle name="Normal 3 2 3 8 2 2" xfId="16103" xr:uid="{09E042C6-D096-4DEB-9EB6-24A35BC768A2}"/>
    <cellStyle name="Normal 3 2 3 8 3" xfId="11886" xr:uid="{98385C38-24CB-4E2C-AD24-E9B4C32817E3}"/>
    <cellStyle name="Normal 3 2 3 9" xfId="4711" xr:uid="{00000000-0005-0000-0000-0000CD110000}"/>
    <cellStyle name="Normal 3 2 3 9 2" xfId="14037" xr:uid="{593259B6-F110-4036-8DAC-879FF66D73B7}"/>
    <cellStyle name="Normal 3 2 4" xfId="809" xr:uid="{00000000-0005-0000-0000-0000CE110000}"/>
    <cellStyle name="Normal 3 2 4 2" xfId="3047" xr:uid="{00000000-0005-0000-0000-0000CF110000}"/>
    <cellStyle name="Normal 3 2 4 2 2" xfId="7269" xr:uid="{00000000-0005-0000-0000-0000D0110000}"/>
    <cellStyle name="Normal 3 2 4 2 2 2" xfId="16595" xr:uid="{73EABB5C-6152-481D-A1E2-7125DA2FAB24}"/>
    <cellStyle name="Normal 3 2 4 2 3" xfId="12378" xr:uid="{3C2A782D-FC2B-4CDF-833E-85449F9D7BB5}"/>
    <cellStyle name="Normal 3 2 4 3" xfId="5124" xr:uid="{00000000-0005-0000-0000-0000D1110000}"/>
    <cellStyle name="Normal 3 2 4 3 2" xfId="14450" xr:uid="{48178E6C-B164-46D3-A922-8A0198C11187}"/>
    <cellStyle name="Normal 3 2 4 4" xfId="9607" xr:uid="{7D769806-7069-4B8D-8CAC-B3B91BBA8D64}"/>
    <cellStyle name="Normal 3 2 4 5" xfId="10233" xr:uid="{543D2760-BD4A-4B47-8D82-2DC24AA0C21A}"/>
    <cellStyle name="Normal 3 2 5" xfId="1230" xr:uid="{00000000-0005-0000-0000-0000D2110000}"/>
    <cellStyle name="Normal 3 2 5 2" xfId="3460" xr:uid="{00000000-0005-0000-0000-0000D3110000}"/>
    <cellStyle name="Normal 3 2 5 2 2" xfId="7682" xr:uid="{00000000-0005-0000-0000-0000D4110000}"/>
    <cellStyle name="Normal 3 2 5 2 2 2" xfId="17008" xr:uid="{BEEB768C-28C1-4E8B-BF8C-38F45F41B567}"/>
    <cellStyle name="Normal 3 2 5 2 3" xfId="12791" xr:uid="{87B1A85A-CDE3-4AD4-81A1-C39850F89B5C}"/>
    <cellStyle name="Normal 3 2 5 3" xfId="5537" xr:uid="{00000000-0005-0000-0000-0000D5110000}"/>
    <cellStyle name="Normal 3 2 5 3 2" xfId="14863" xr:uid="{BFC8B984-6EAD-4C6D-8514-495E11F4944A}"/>
    <cellStyle name="Normal 3 2 5 4" xfId="10646" xr:uid="{2BBC0BE3-E8F4-4738-B31C-C276A5482D98}"/>
    <cellStyle name="Normal 3 2 6" xfId="1643" xr:uid="{00000000-0005-0000-0000-0000D6110000}"/>
    <cellStyle name="Normal 3 2 6 2" xfId="3873" xr:uid="{00000000-0005-0000-0000-0000D7110000}"/>
    <cellStyle name="Normal 3 2 6 2 2" xfId="8095" xr:uid="{00000000-0005-0000-0000-0000D8110000}"/>
    <cellStyle name="Normal 3 2 6 2 2 2" xfId="17421" xr:uid="{7D8511E2-C593-43C6-896D-D258110020E1}"/>
    <cellStyle name="Normal 3 2 6 2 3" xfId="13204" xr:uid="{0D726940-E982-4E5C-9F97-FF7DF3647C46}"/>
    <cellStyle name="Normal 3 2 6 3" xfId="5950" xr:uid="{00000000-0005-0000-0000-0000D9110000}"/>
    <cellStyle name="Normal 3 2 6 3 2" xfId="15276" xr:uid="{695586E4-9B26-4051-9F2F-74ACC5FC526B}"/>
    <cellStyle name="Normal 3 2 6 4" xfId="11059" xr:uid="{EE89209A-2A31-4457-9FF5-87DFBC30F97D}"/>
    <cellStyle name="Normal 3 2 7" xfId="2057" xr:uid="{00000000-0005-0000-0000-0000DA110000}"/>
    <cellStyle name="Normal 3 2 7 2" xfId="4286" xr:uid="{00000000-0005-0000-0000-0000DB110000}"/>
    <cellStyle name="Normal 3 2 7 2 2" xfId="8508" xr:uid="{00000000-0005-0000-0000-0000DC110000}"/>
    <cellStyle name="Normal 3 2 7 2 2 2" xfId="17834" xr:uid="{AC19CF3C-E6EE-444D-8C78-D63AF9D6B6D0}"/>
    <cellStyle name="Normal 3 2 7 2 3" xfId="13617" xr:uid="{C2D6FC86-EE8A-4206-91FC-C174E691E37E}"/>
    <cellStyle name="Normal 3 2 7 3" xfId="6363" xr:uid="{00000000-0005-0000-0000-0000DD110000}"/>
    <cellStyle name="Normal 3 2 7 3 2" xfId="15689" xr:uid="{D4B90B26-7399-47FA-8E44-9E5E58CC4401}"/>
    <cellStyle name="Normal 3 2 7 4" xfId="11472" xr:uid="{5B6EB8D5-E308-49E1-92D0-A300CEDE2B12}"/>
    <cellStyle name="Normal 3 2 8" xfId="2493" xr:uid="{00000000-0005-0000-0000-0000DE110000}"/>
    <cellStyle name="Normal 3 2 8 2" xfId="6776" xr:uid="{00000000-0005-0000-0000-0000DF110000}"/>
    <cellStyle name="Normal 3 2 8 2 2" xfId="16102" xr:uid="{D2ED034D-862E-451F-A27A-1FAAF6461999}"/>
    <cellStyle name="Normal 3 2 8 3" xfId="11885" xr:uid="{E89067E6-4FE0-4D7E-89B8-CBD1848C5B2E}"/>
    <cellStyle name="Normal 3 2 9" xfId="4710" xr:uid="{00000000-0005-0000-0000-0000E0110000}"/>
    <cellStyle name="Normal 3 2 9 2" xfId="14036" xr:uid="{6A44301B-BDF2-4840-AB62-5270073E2ED8}"/>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8C6762BE-E04E-486B-A85E-C2172DF5D0DE}"/>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7790304B-9C6A-4633-9326-2ACB3F690036}"/>
    <cellStyle name="Normal 4 2 2 10 2 3" xfId="13622" xr:uid="{5CC5DFC0-21E6-4CFC-B00D-D1DDFEB4BF74}"/>
    <cellStyle name="Normal 4 2 2 10 3" xfId="6368" xr:uid="{00000000-0005-0000-0000-0000ED110000}"/>
    <cellStyle name="Normal 4 2 2 10 3 2" xfId="15694" xr:uid="{5C2D4747-A999-413B-9FDF-00958AA7FEFD}"/>
    <cellStyle name="Normal 4 2 2 10 4" xfId="11477" xr:uid="{CE9EDD19-88EB-4D4C-A21C-5137443F5CA1}"/>
    <cellStyle name="Normal 4 2 2 11" xfId="2498" xr:uid="{00000000-0005-0000-0000-0000EE110000}"/>
    <cellStyle name="Normal 4 2 2 11 2" xfId="6781" xr:uid="{00000000-0005-0000-0000-0000EF110000}"/>
    <cellStyle name="Normal 4 2 2 11 2 2" xfId="16107" xr:uid="{BE280764-4FB3-4208-B0BA-A7A00E2D862B}"/>
    <cellStyle name="Normal 4 2 2 11 3" xfId="11890" xr:uid="{227AC649-27A9-4FD3-AA41-F8C9B07709A0}"/>
    <cellStyle name="Normal 4 2 2 12" xfId="4716" xr:uid="{00000000-0005-0000-0000-0000F0110000}"/>
    <cellStyle name="Normal 4 2 2 12 2" xfId="14042" xr:uid="{57DC2FBA-832C-45A9-BFB3-99BFA60E4D6A}"/>
    <cellStyle name="Normal 4 2 2 13" xfId="8752" xr:uid="{7B61EFAC-4165-4615-9A47-7AF5DAE027C9}"/>
    <cellStyle name="Normal 4 2 2 14" xfId="9825" xr:uid="{A1FBCBF8-A669-49CB-9EE6-A4696E5AAECF}"/>
    <cellStyle name="Normal 4 2 2 2" xfId="338" xr:uid="{00000000-0005-0000-0000-0000F1110000}"/>
    <cellStyle name="Normal 4 2 2 3" xfId="339" xr:uid="{00000000-0005-0000-0000-0000F2110000}"/>
    <cellStyle name="Normal 4 2 2 3 10" xfId="4717" xr:uid="{00000000-0005-0000-0000-0000F3110000}"/>
    <cellStyle name="Normal 4 2 2 3 10 2" xfId="14043" xr:uid="{3854BFA8-143F-4A28-A17B-F3C965DCADA2}"/>
    <cellStyle name="Normal 4 2 2 3 11" xfId="8784" xr:uid="{8AA3A883-811C-4C4A-AFFF-9AAED56BF228}"/>
    <cellStyle name="Normal 4 2 2 3 12" xfId="9826" xr:uid="{DEA2A7B2-F71F-4CAB-850E-3B9938B01C42}"/>
    <cellStyle name="Normal 4 2 2 3 2" xfId="340" xr:uid="{00000000-0005-0000-0000-0000F4110000}"/>
    <cellStyle name="Normal 4 2 2 3 2 10" xfId="8819" xr:uid="{16629302-3759-4242-B07E-BB5D034B10E8}"/>
    <cellStyle name="Normal 4 2 2 3 2 11" xfId="9827" xr:uid="{D0F8B411-67EB-4A61-B226-1DAB50D869FD}"/>
    <cellStyle name="Normal 4 2 2 3 2 2" xfId="341" xr:uid="{00000000-0005-0000-0000-0000F5110000}"/>
    <cellStyle name="Normal 4 2 2 3 2 2 10" xfId="9828" xr:uid="{B8CFEF3A-CA9D-42A6-A011-B61FE25A2415}"/>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B2CDC931-60DE-4979-BE9B-5C925C5455E3}"/>
    <cellStyle name="Normal 4 2 2 3 2 2 2 2 2 3" xfId="12387" xr:uid="{B023FCD7-D060-4CFD-9315-4522E2C96BD2}"/>
    <cellStyle name="Normal 4 2 2 3 2 2 2 2 3" xfId="5133" xr:uid="{00000000-0005-0000-0000-0000FA110000}"/>
    <cellStyle name="Normal 4 2 2 3 2 2 2 2 3 2" xfId="14459" xr:uid="{77D6906F-E5A4-4F79-A4DE-E88462A6896C}"/>
    <cellStyle name="Normal 4 2 2 3 2 2 2 2 4" xfId="9554" xr:uid="{BAC669EC-8948-4716-90C3-0688F03300CE}"/>
    <cellStyle name="Normal 4 2 2 3 2 2 2 2 5" xfId="10242" xr:uid="{1B14111F-11DA-4147-9FD6-BBC2DA7548D8}"/>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331A4217-B95F-4A35-A202-E643370F8DAA}"/>
    <cellStyle name="Normal 4 2 2 3 2 2 2 3 2 3" xfId="12800" xr:uid="{075A8E0E-5C8E-4305-B118-91B4BB7FAF9A}"/>
    <cellStyle name="Normal 4 2 2 3 2 2 2 3 3" xfId="5546" xr:uid="{00000000-0005-0000-0000-0000FE110000}"/>
    <cellStyle name="Normal 4 2 2 3 2 2 2 3 3 2" xfId="14872" xr:uid="{3CDB0C21-C466-4BEF-BC7D-0539BD41E3D0}"/>
    <cellStyle name="Normal 4 2 2 3 2 2 2 3 4" xfId="10655" xr:uid="{28CE880D-6D3A-4F6E-9133-33B7AD2B236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10DC9C3B-2419-4986-A2DE-7D8017C4526A}"/>
    <cellStyle name="Normal 4 2 2 3 2 2 2 4 2 3" xfId="13213" xr:uid="{9AD86454-8870-4EBE-8B70-4265F599EAA7}"/>
    <cellStyle name="Normal 4 2 2 3 2 2 2 4 3" xfId="5959" xr:uid="{00000000-0005-0000-0000-000002120000}"/>
    <cellStyle name="Normal 4 2 2 3 2 2 2 4 3 2" xfId="15285" xr:uid="{D6443D89-680D-4DA1-B254-F1BB1D9C04E4}"/>
    <cellStyle name="Normal 4 2 2 3 2 2 2 4 4" xfId="11068" xr:uid="{9938C609-B511-4532-93EC-DD10451345A7}"/>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CB604E2F-EC54-4825-BCD2-07321A221319}"/>
    <cellStyle name="Normal 4 2 2 3 2 2 2 5 2 3" xfId="13626" xr:uid="{4DB5D97F-F2B4-4377-8E4B-639885017B30}"/>
    <cellStyle name="Normal 4 2 2 3 2 2 2 5 3" xfId="6372" xr:uid="{00000000-0005-0000-0000-000006120000}"/>
    <cellStyle name="Normal 4 2 2 3 2 2 2 5 3 2" xfId="15698" xr:uid="{40036660-3FD7-4A7C-863B-B90B827CCE5A}"/>
    <cellStyle name="Normal 4 2 2 3 2 2 2 5 4" xfId="11481" xr:uid="{808B5E81-15EA-422B-BE8E-A1A415F75790}"/>
    <cellStyle name="Normal 4 2 2 3 2 2 2 6" xfId="2502" xr:uid="{00000000-0005-0000-0000-000007120000}"/>
    <cellStyle name="Normal 4 2 2 3 2 2 2 6 2" xfId="6785" xr:uid="{00000000-0005-0000-0000-000008120000}"/>
    <cellStyle name="Normal 4 2 2 3 2 2 2 6 2 2" xfId="16111" xr:uid="{A2A5E9D0-1F3E-4F2E-98EF-86D87ECADCF3}"/>
    <cellStyle name="Normal 4 2 2 3 2 2 2 6 3" xfId="11894" xr:uid="{F3B3B919-997A-4963-A3AA-16B61B971F8D}"/>
    <cellStyle name="Normal 4 2 2 3 2 2 2 7" xfId="4720" xr:uid="{00000000-0005-0000-0000-000009120000}"/>
    <cellStyle name="Normal 4 2 2 3 2 2 2 7 2" xfId="14046" xr:uid="{C804E403-BA35-4A42-B249-9F076752F049}"/>
    <cellStyle name="Normal 4 2 2 3 2 2 2 8" xfId="9129" xr:uid="{970F8072-C8D6-4D17-95D6-EBF431EAD262}"/>
    <cellStyle name="Normal 4 2 2 3 2 2 2 9" xfId="9829" xr:uid="{1ED2C5B8-A782-47AE-97DE-C60BD3A178CB}"/>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9206E831-F883-44BE-893A-55B8F1CCCB06}"/>
    <cellStyle name="Normal 4 2 2 3 2 2 3 2 3" xfId="12386" xr:uid="{49619837-20D0-4E4F-A656-CF87E14B4369}"/>
    <cellStyle name="Normal 4 2 2 3 2 2 3 3" xfId="5132" xr:uid="{00000000-0005-0000-0000-00000D120000}"/>
    <cellStyle name="Normal 4 2 2 3 2 2 3 3 2" xfId="14458" xr:uid="{68918ACC-F1A8-48FC-8062-35EAA840B6ED}"/>
    <cellStyle name="Normal 4 2 2 3 2 2 3 4" xfId="9347" xr:uid="{8C9012CB-19BB-4242-9F43-373358B13B52}"/>
    <cellStyle name="Normal 4 2 2 3 2 2 3 5" xfId="10241" xr:uid="{CF25A4B4-2F45-404F-BA9F-0BA8371F8368}"/>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F2CCE40A-F378-44BE-955D-265AA853BA20}"/>
    <cellStyle name="Normal 4 2 2 3 2 2 4 2 3" xfId="12799" xr:uid="{FD32942A-74E7-4728-B7B9-329D0BE3B908}"/>
    <cellStyle name="Normal 4 2 2 3 2 2 4 3" xfId="5545" xr:uid="{00000000-0005-0000-0000-000011120000}"/>
    <cellStyle name="Normal 4 2 2 3 2 2 4 3 2" xfId="14871" xr:uid="{664F9D86-9CD5-4E09-A550-FDDB76AB5C33}"/>
    <cellStyle name="Normal 4 2 2 3 2 2 4 4" xfId="10654" xr:uid="{C42EFBB7-BA4F-490D-86EA-2AD7978ECE4E}"/>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24FA6E66-E5D4-4090-BA93-2F210F004879}"/>
    <cellStyle name="Normal 4 2 2 3 2 2 5 2 3" xfId="13212" xr:uid="{96BBE1D5-9AC8-438D-BED3-5E7E6E09DE56}"/>
    <cellStyle name="Normal 4 2 2 3 2 2 5 3" xfId="5958" xr:uid="{00000000-0005-0000-0000-000015120000}"/>
    <cellStyle name="Normal 4 2 2 3 2 2 5 3 2" xfId="15284" xr:uid="{A63F8B89-DE3C-4A7B-B516-4017DD410DBC}"/>
    <cellStyle name="Normal 4 2 2 3 2 2 5 4" xfId="11067" xr:uid="{3E005A69-7771-4905-A496-88C779467203}"/>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52BBDE33-E0BF-4EBF-95E7-94B7BBF11948}"/>
    <cellStyle name="Normal 4 2 2 3 2 2 6 2 3" xfId="13625" xr:uid="{B247DD0D-7D52-47B7-8594-A71CC2AEEEFB}"/>
    <cellStyle name="Normal 4 2 2 3 2 2 6 3" xfId="6371" xr:uid="{00000000-0005-0000-0000-000019120000}"/>
    <cellStyle name="Normal 4 2 2 3 2 2 6 3 2" xfId="15697" xr:uid="{EACEA263-6916-43FB-8E97-1E408EABAD17}"/>
    <cellStyle name="Normal 4 2 2 3 2 2 6 4" xfId="11480" xr:uid="{D974BF5F-5F1E-4FD9-AFCA-7AD361C763B3}"/>
    <cellStyle name="Normal 4 2 2 3 2 2 7" xfId="2501" xr:uid="{00000000-0005-0000-0000-00001A120000}"/>
    <cellStyle name="Normal 4 2 2 3 2 2 7 2" xfId="6784" xr:uid="{00000000-0005-0000-0000-00001B120000}"/>
    <cellStyle name="Normal 4 2 2 3 2 2 7 2 2" xfId="16110" xr:uid="{20FA5ECD-F3BA-4707-B965-291F2ED890A3}"/>
    <cellStyle name="Normal 4 2 2 3 2 2 7 3" xfId="11893" xr:uid="{43BD7E3A-BA12-40E7-8891-AE1FB36B1257}"/>
    <cellStyle name="Normal 4 2 2 3 2 2 8" xfId="4719" xr:uid="{00000000-0005-0000-0000-00001C120000}"/>
    <cellStyle name="Normal 4 2 2 3 2 2 8 2" xfId="14045" xr:uid="{1C0CBA8B-223A-47C6-9276-09F398886197}"/>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1B78D22E-24A7-4EF7-A340-40ADA38E43EC}"/>
    <cellStyle name="Normal 4 2 2 3 2 3 2 2 3" xfId="12388" xr:uid="{610C722E-EF02-4D24-A32F-678E00128A43}"/>
    <cellStyle name="Normal 4 2 2 3 2 3 2 3" xfId="5134" xr:uid="{00000000-0005-0000-0000-000021120000}"/>
    <cellStyle name="Normal 4 2 2 3 2 3 2 3 2" xfId="14460" xr:uid="{238482E9-1312-439D-981E-6C43DA4D1B19}"/>
    <cellStyle name="Normal 4 2 2 3 2 3 2 4" xfId="9451" xr:uid="{85AA9164-95F1-48F2-907A-54AD445D074F}"/>
    <cellStyle name="Normal 4 2 2 3 2 3 2 5" xfId="10243" xr:uid="{1BA1C140-39B1-4D8D-A356-2ACED4CE710D}"/>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E5A688A1-FEAF-40D5-AB32-2C783B5E4B12}"/>
    <cellStyle name="Normal 4 2 2 3 2 3 3 2 3" xfId="12801" xr:uid="{49930F26-B074-4EC4-BC00-37EFD6684180}"/>
    <cellStyle name="Normal 4 2 2 3 2 3 3 3" xfId="5547" xr:uid="{00000000-0005-0000-0000-000025120000}"/>
    <cellStyle name="Normal 4 2 2 3 2 3 3 3 2" xfId="14873" xr:uid="{F002D333-4A39-4476-9052-E148073982C9}"/>
    <cellStyle name="Normal 4 2 2 3 2 3 3 4" xfId="10656" xr:uid="{49E7AA14-CEFB-4F83-A78C-7476E0A0094F}"/>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D048352B-50D5-45FC-B0B7-E471486CF7FB}"/>
    <cellStyle name="Normal 4 2 2 3 2 3 4 2 3" xfId="13214" xr:uid="{341CF867-2EE9-498A-B197-EE1091BF7F19}"/>
    <cellStyle name="Normal 4 2 2 3 2 3 4 3" xfId="5960" xr:uid="{00000000-0005-0000-0000-000029120000}"/>
    <cellStyle name="Normal 4 2 2 3 2 3 4 3 2" xfId="15286" xr:uid="{F1D2BB46-BDA3-427B-A6C0-F6142AEE1AB1}"/>
    <cellStyle name="Normal 4 2 2 3 2 3 4 4" xfId="11069" xr:uid="{73D67BC8-63F7-4EB2-BD60-EA71164C93B8}"/>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0CF03869-29A5-4378-8B0A-115A49AB95F6}"/>
    <cellStyle name="Normal 4 2 2 3 2 3 5 2 3" xfId="13627" xr:uid="{ACBA5E4C-DCAB-452A-80E6-C7422E8E3684}"/>
    <cellStyle name="Normal 4 2 2 3 2 3 5 3" xfId="6373" xr:uid="{00000000-0005-0000-0000-00002D120000}"/>
    <cellStyle name="Normal 4 2 2 3 2 3 5 3 2" xfId="15699" xr:uid="{9920448A-B9A0-4130-A638-0D173A10B6BD}"/>
    <cellStyle name="Normal 4 2 2 3 2 3 5 4" xfId="11482" xr:uid="{83C66509-0F3E-4386-A55F-5D4ADB216003}"/>
    <cellStyle name="Normal 4 2 2 3 2 3 6" xfId="2503" xr:uid="{00000000-0005-0000-0000-00002E120000}"/>
    <cellStyle name="Normal 4 2 2 3 2 3 6 2" xfId="6786" xr:uid="{00000000-0005-0000-0000-00002F120000}"/>
    <cellStyle name="Normal 4 2 2 3 2 3 6 2 2" xfId="16112" xr:uid="{1D4716B2-17E5-43CE-8870-61E5AAA59B69}"/>
    <cellStyle name="Normal 4 2 2 3 2 3 6 3" xfId="11895" xr:uid="{E85F7006-F21C-45E8-8CE5-E373BBBA8FFC}"/>
    <cellStyle name="Normal 4 2 2 3 2 3 7" xfId="4721" xr:uid="{00000000-0005-0000-0000-000030120000}"/>
    <cellStyle name="Normal 4 2 2 3 2 3 7 2" xfId="14047" xr:uid="{DFF78326-790F-4A7C-9CF8-D32DAF8F9529}"/>
    <cellStyle name="Normal 4 2 2 3 2 3 8" xfId="9026" xr:uid="{319D63D3-F71C-4F99-9FD1-E3D0665567E8}"/>
    <cellStyle name="Normal 4 2 2 3 2 3 9" xfId="9830" xr:uid="{53553108-25E6-45A1-AAD2-8ACF9F494322}"/>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9A9F400A-395F-4862-A17F-9F2C6F21EB2A}"/>
    <cellStyle name="Normal 4 2 2 3 2 4 2 3" xfId="12385" xr:uid="{08F857FD-5065-4C05-A0B8-F8A9C3BFC310}"/>
    <cellStyle name="Normal 4 2 2 3 2 4 3" xfId="5131" xr:uid="{00000000-0005-0000-0000-000034120000}"/>
    <cellStyle name="Normal 4 2 2 3 2 4 3 2" xfId="14457" xr:uid="{73F4AC8C-C50C-470B-8CC4-098D1A706D28}"/>
    <cellStyle name="Normal 4 2 2 3 2 4 4" xfId="9244" xr:uid="{98623F27-324A-40DE-AA2B-56E1FCE087EE}"/>
    <cellStyle name="Normal 4 2 2 3 2 4 5" xfId="10240" xr:uid="{59625830-3680-408E-AE09-6DB6A207991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F6CF234C-56DF-4242-9475-6C249EA7D1E1}"/>
    <cellStyle name="Normal 4 2 2 3 2 5 2 3" xfId="12798" xr:uid="{29631B12-CF65-4BC0-8F2E-ADBB996029A2}"/>
    <cellStyle name="Normal 4 2 2 3 2 5 3" xfId="5544" xr:uid="{00000000-0005-0000-0000-000038120000}"/>
    <cellStyle name="Normal 4 2 2 3 2 5 3 2" xfId="14870" xr:uid="{B70086E8-F212-41E5-ABF6-DC91C02CAA8F}"/>
    <cellStyle name="Normal 4 2 2 3 2 5 4" xfId="10653" xr:uid="{EDFD9627-E84F-48AF-B9B0-C6287E952FC7}"/>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2C6D697D-F3DE-4F8B-B6EB-3A259BBF6966}"/>
    <cellStyle name="Normal 4 2 2 3 2 6 2 3" xfId="13211" xr:uid="{6881A54D-9BA5-456A-8105-8EEADA477A55}"/>
    <cellStyle name="Normal 4 2 2 3 2 6 3" xfId="5957" xr:uid="{00000000-0005-0000-0000-00003C120000}"/>
    <cellStyle name="Normal 4 2 2 3 2 6 3 2" xfId="15283" xr:uid="{5BA5C847-0CE5-4CB8-A2F5-D520446ED012}"/>
    <cellStyle name="Normal 4 2 2 3 2 6 4" xfId="11066" xr:uid="{292F7DE9-D8B8-436F-B68B-D59A483D2753}"/>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20A73637-FAEA-46CC-A147-77749B68B985}"/>
    <cellStyle name="Normal 4 2 2 3 2 7 2 3" xfId="13624" xr:uid="{A6433988-6048-49B2-9149-A209B528F74F}"/>
    <cellStyle name="Normal 4 2 2 3 2 7 3" xfId="6370" xr:uid="{00000000-0005-0000-0000-000040120000}"/>
    <cellStyle name="Normal 4 2 2 3 2 7 3 2" xfId="15696" xr:uid="{E21B216C-E0DC-4239-A9AE-5DA8AD401AF6}"/>
    <cellStyle name="Normal 4 2 2 3 2 7 4" xfId="11479" xr:uid="{3F617480-5930-4768-B1F8-9432B7B6C8AE}"/>
    <cellStyle name="Normal 4 2 2 3 2 8" xfId="2500" xr:uid="{00000000-0005-0000-0000-000041120000}"/>
    <cellStyle name="Normal 4 2 2 3 2 8 2" xfId="6783" xr:uid="{00000000-0005-0000-0000-000042120000}"/>
    <cellStyle name="Normal 4 2 2 3 2 8 2 2" xfId="16109" xr:uid="{84436C2B-AE1D-4BEA-ABB4-D820F0242C25}"/>
    <cellStyle name="Normal 4 2 2 3 2 8 3" xfId="11892" xr:uid="{827DE832-512E-4D49-8316-6D60F6611B09}"/>
    <cellStyle name="Normal 4 2 2 3 2 9" xfId="4718" xr:uid="{00000000-0005-0000-0000-000043120000}"/>
    <cellStyle name="Normal 4 2 2 3 2 9 2" xfId="14044" xr:uid="{552D7AC8-BD81-4711-95BD-508C0B730735}"/>
    <cellStyle name="Normal 4 2 2 3 3" xfId="344" xr:uid="{00000000-0005-0000-0000-000044120000}"/>
    <cellStyle name="Normal 4 2 2 3 3 10" xfId="9831" xr:uid="{CA119B2E-8E16-402C-8374-62C783E93EC8}"/>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B25E08F2-515B-4378-9334-45BDF9CD9FB2}"/>
    <cellStyle name="Normal 4 2 2 3 3 2 2 2 3" xfId="12390" xr:uid="{05883FE2-887B-41A3-BB40-759E4585FC89}"/>
    <cellStyle name="Normal 4 2 2 3 3 2 2 3" xfId="5136" xr:uid="{00000000-0005-0000-0000-000049120000}"/>
    <cellStyle name="Normal 4 2 2 3 3 2 2 3 2" xfId="14462" xr:uid="{9F04A5AA-7D16-4B41-B3F4-DEEEFA2F2006}"/>
    <cellStyle name="Normal 4 2 2 3 3 2 2 4" xfId="9519" xr:uid="{FB4BBD6E-D73B-4ABD-8656-6C15D7932E02}"/>
    <cellStyle name="Normal 4 2 2 3 3 2 2 5" xfId="10245" xr:uid="{0BE07355-86BA-44D2-B503-925714CE59E1}"/>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7AA6E648-ED18-4419-9091-78FD0E249D17}"/>
    <cellStyle name="Normal 4 2 2 3 3 2 3 2 3" xfId="12803" xr:uid="{D82C9DBE-63A7-418D-9920-70EA9403E38E}"/>
    <cellStyle name="Normal 4 2 2 3 3 2 3 3" xfId="5549" xr:uid="{00000000-0005-0000-0000-00004D120000}"/>
    <cellStyle name="Normal 4 2 2 3 3 2 3 3 2" xfId="14875" xr:uid="{EFA1300F-AC81-4D9A-9AD2-8406C46F33AC}"/>
    <cellStyle name="Normal 4 2 2 3 3 2 3 4" xfId="10658" xr:uid="{3CC083FD-9666-4F1C-B8AE-1FB702B5A516}"/>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F41C69E6-AC13-462A-9466-6DA88BDE7789}"/>
    <cellStyle name="Normal 4 2 2 3 3 2 4 2 3" xfId="13216" xr:uid="{E3DDC135-E295-4E1D-9FBA-86A538699D2E}"/>
    <cellStyle name="Normal 4 2 2 3 3 2 4 3" xfId="5962" xr:uid="{00000000-0005-0000-0000-000051120000}"/>
    <cellStyle name="Normal 4 2 2 3 3 2 4 3 2" xfId="15288" xr:uid="{0AA34B0B-0572-4021-8075-EE825EA2D1AF}"/>
    <cellStyle name="Normal 4 2 2 3 3 2 4 4" xfId="11071" xr:uid="{00FF2C78-B16D-46A4-A9C6-B4DFEB19D84A}"/>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54EBE1B3-C5CE-4C7C-9111-73D04B04BA88}"/>
    <cellStyle name="Normal 4 2 2 3 3 2 5 2 3" xfId="13629" xr:uid="{85285ADD-54D6-4776-A7B8-719AAD428B29}"/>
    <cellStyle name="Normal 4 2 2 3 3 2 5 3" xfId="6375" xr:uid="{00000000-0005-0000-0000-000055120000}"/>
    <cellStyle name="Normal 4 2 2 3 3 2 5 3 2" xfId="15701" xr:uid="{F040BFB7-B4F5-46D3-922E-DFE249AFE38A}"/>
    <cellStyle name="Normal 4 2 2 3 3 2 5 4" xfId="11484" xr:uid="{2402B46D-B663-4D46-93F4-12348EC6AB93}"/>
    <cellStyle name="Normal 4 2 2 3 3 2 6" xfId="2505" xr:uid="{00000000-0005-0000-0000-000056120000}"/>
    <cellStyle name="Normal 4 2 2 3 3 2 6 2" xfId="6788" xr:uid="{00000000-0005-0000-0000-000057120000}"/>
    <cellStyle name="Normal 4 2 2 3 3 2 6 2 2" xfId="16114" xr:uid="{F6718CA1-EF33-471B-A3EB-E137B6A726DA}"/>
    <cellStyle name="Normal 4 2 2 3 3 2 6 3" xfId="11897" xr:uid="{EC10AD23-7924-4061-ACC7-09127BD78933}"/>
    <cellStyle name="Normal 4 2 2 3 3 2 7" xfId="4723" xr:uid="{00000000-0005-0000-0000-000058120000}"/>
    <cellStyle name="Normal 4 2 2 3 3 2 7 2" xfId="14049" xr:uid="{3053A1B4-DF47-4E28-AF25-586B2132A8C3}"/>
    <cellStyle name="Normal 4 2 2 3 3 2 8" xfId="9094" xr:uid="{1333D468-E252-4686-88C1-38A56B910A8E}"/>
    <cellStyle name="Normal 4 2 2 3 3 2 9" xfId="9832" xr:uid="{9BCA7CA8-2C52-42E1-A3B6-2216F8A8D77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342C952E-F448-4F6B-BE7B-79F2D3B99F43}"/>
    <cellStyle name="Normal 4 2 2 3 3 3 2 3" xfId="12389" xr:uid="{E842E8EB-7B2C-44B5-9658-006A4A21DA7F}"/>
    <cellStyle name="Normal 4 2 2 3 3 3 3" xfId="5135" xr:uid="{00000000-0005-0000-0000-00005C120000}"/>
    <cellStyle name="Normal 4 2 2 3 3 3 3 2" xfId="14461" xr:uid="{44DC80FC-A224-43DB-84C3-F09DF0659F15}"/>
    <cellStyle name="Normal 4 2 2 3 3 3 4" xfId="9312" xr:uid="{0065946C-778C-4913-8F8B-68BBB1A30769}"/>
    <cellStyle name="Normal 4 2 2 3 3 3 5" xfId="10244" xr:uid="{A8A2AC56-FF6B-44EC-B264-28B47AC1B9E7}"/>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E2BD5D66-7EF6-4FB5-9618-6538C89E0FE7}"/>
    <cellStyle name="Normal 4 2 2 3 3 4 2 3" xfId="12802" xr:uid="{17F1C081-8844-41D5-A036-33E0CFD3955D}"/>
    <cellStyle name="Normal 4 2 2 3 3 4 3" xfId="5548" xr:uid="{00000000-0005-0000-0000-000060120000}"/>
    <cellStyle name="Normal 4 2 2 3 3 4 3 2" xfId="14874" xr:uid="{ECCA0888-AFA0-4B48-9598-C8F9D3C5C76F}"/>
    <cellStyle name="Normal 4 2 2 3 3 4 4" xfId="10657" xr:uid="{6869281D-68EC-4ABC-B4A6-400E8EA86E3E}"/>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23CFBB71-5CAB-42DE-9ECF-CD0BC8061A8B}"/>
    <cellStyle name="Normal 4 2 2 3 3 5 2 3" xfId="13215" xr:uid="{19C5A86E-EFAD-49CC-BA04-0870AFCDADD3}"/>
    <cellStyle name="Normal 4 2 2 3 3 5 3" xfId="5961" xr:uid="{00000000-0005-0000-0000-000064120000}"/>
    <cellStyle name="Normal 4 2 2 3 3 5 3 2" xfId="15287" xr:uid="{1475EFD9-748C-489D-9111-FF430EED1EDE}"/>
    <cellStyle name="Normal 4 2 2 3 3 5 4" xfId="11070" xr:uid="{EA10F0BE-927B-42EB-B69C-6CC739A3370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BCA3D9DC-6D7B-4053-94C0-663B38F615BD}"/>
    <cellStyle name="Normal 4 2 2 3 3 6 2 3" xfId="13628" xr:uid="{94677C84-080D-4C0E-BCCE-8F2345A4F14C}"/>
    <cellStyle name="Normal 4 2 2 3 3 6 3" xfId="6374" xr:uid="{00000000-0005-0000-0000-000068120000}"/>
    <cellStyle name="Normal 4 2 2 3 3 6 3 2" xfId="15700" xr:uid="{D2D0A243-84C3-4ABC-8690-834EA9CE7FAF}"/>
    <cellStyle name="Normal 4 2 2 3 3 6 4" xfId="11483" xr:uid="{87A6A021-5B51-4F47-9FB1-D410C5023DD2}"/>
    <cellStyle name="Normal 4 2 2 3 3 7" xfId="2504" xr:uid="{00000000-0005-0000-0000-000069120000}"/>
    <cellStyle name="Normal 4 2 2 3 3 7 2" xfId="6787" xr:uid="{00000000-0005-0000-0000-00006A120000}"/>
    <cellStyle name="Normal 4 2 2 3 3 7 2 2" xfId="16113" xr:uid="{9BDD6863-09F3-4EF9-994B-57C4325846FF}"/>
    <cellStyle name="Normal 4 2 2 3 3 7 3" xfId="11896" xr:uid="{7990A7A2-C589-487A-8FC0-A6E3B579C685}"/>
    <cellStyle name="Normal 4 2 2 3 3 8" xfId="4722" xr:uid="{00000000-0005-0000-0000-00006B120000}"/>
    <cellStyle name="Normal 4 2 2 3 3 8 2" xfId="14048" xr:uid="{B7644DCB-B72B-4E3C-AC50-73E76339F359}"/>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E6B8AAC2-2B17-44B3-B9BA-3466F6FAD531}"/>
    <cellStyle name="Normal 4 2 2 3 4 2 2 3" xfId="12391" xr:uid="{BB09D506-62EB-477F-92C4-3D1467888299}"/>
    <cellStyle name="Normal 4 2 2 3 4 2 3" xfId="5137" xr:uid="{00000000-0005-0000-0000-000070120000}"/>
    <cellStyle name="Normal 4 2 2 3 4 2 3 2" xfId="14463" xr:uid="{CE7F623E-2B3E-4BCC-A55A-FEFC0A2A13A5}"/>
    <cellStyle name="Normal 4 2 2 3 4 2 4" xfId="9416" xr:uid="{B0F1A5CD-0EDE-48A7-9669-6902681F696C}"/>
    <cellStyle name="Normal 4 2 2 3 4 2 5" xfId="10246" xr:uid="{FC633D27-57E8-4B13-A21C-9E988D956B1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F141A241-0B13-44E1-8E7F-B00783B9D40F}"/>
    <cellStyle name="Normal 4 2 2 3 4 3 2 3" xfId="12804" xr:uid="{9C8BA48F-A899-4520-9901-0A6FCDF5FAF6}"/>
    <cellStyle name="Normal 4 2 2 3 4 3 3" xfId="5550" xr:uid="{00000000-0005-0000-0000-000074120000}"/>
    <cellStyle name="Normal 4 2 2 3 4 3 3 2" xfId="14876" xr:uid="{98F601B1-8A39-46A0-8AA2-4EF80B447F5A}"/>
    <cellStyle name="Normal 4 2 2 3 4 3 4" xfId="10659" xr:uid="{B2B20B59-AE44-484A-A4AE-C23CDCE77B89}"/>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DAE59F12-9A0F-4654-A4D7-347C23FE5942}"/>
    <cellStyle name="Normal 4 2 2 3 4 4 2 3" xfId="13217" xr:uid="{C7DDA04B-E625-4B4F-B908-1FFD2717B570}"/>
    <cellStyle name="Normal 4 2 2 3 4 4 3" xfId="5963" xr:uid="{00000000-0005-0000-0000-000078120000}"/>
    <cellStyle name="Normal 4 2 2 3 4 4 3 2" xfId="15289" xr:uid="{D2E6F386-8BA0-4ED1-83BE-89223D9CC87B}"/>
    <cellStyle name="Normal 4 2 2 3 4 4 4" xfId="11072" xr:uid="{A8C484DF-C0F4-44E5-94F9-CAB0427A30FD}"/>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CFB58F09-C340-477A-89FA-4F778D7C342A}"/>
    <cellStyle name="Normal 4 2 2 3 4 5 2 3" xfId="13630" xr:uid="{765ACE51-233A-4E41-B461-1A477328E5BB}"/>
    <cellStyle name="Normal 4 2 2 3 4 5 3" xfId="6376" xr:uid="{00000000-0005-0000-0000-00007C120000}"/>
    <cellStyle name="Normal 4 2 2 3 4 5 3 2" xfId="15702" xr:uid="{B7092586-D778-4C5E-A018-3595AA581136}"/>
    <cellStyle name="Normal 4 2 2 3 4 5 4" xfId="11485" xr:uid="{431670FA-478F-4870-9C11-5E5756E69EBE}"/>
    <cellStyle name="Normal 4 2 2 3 4 6" xfId="2506" xr:uid="{00000000-0005-0000-0000-00007D120000}"/>
    <cellStyle name="Normal 4 2 2 3 4 6 2" xfId="6789" xr:uid="{00000000-0005-0000-0000-00007E120000}"/>
    <cellStyle name="Normal 4 2 2 3 4 6 2 2" xfId="16115" xr:uid="{831049B9-4DCE-4F1C-9349-45B300B66655}"/>
    <cellStyle name="Normal 4 2 2 3 4 6 3" xfId="11898" xr:uid="{856ED065-902A-41AA-AFDB-FD8911FA32AC}"/>
    <cellStyle name="Normal 4 2 2 3 4 7" xfId="4724" xr:uid="{00000000-0005-0000-0000-00007F120000}"/>
    <cellStyle name="Normal 4 2 2 3 4 7 2" xfId="14050" xr:uid="{B5C051BE-58FD-4BE3-9732-A2E6E37BD46C}"/>
    <cellStyle name="Normal 4 2 2 3 4 8" xfId="8991" xr:uid="{84464EC3-90C2-4B18-8399-135C935528F7}"/>
    <cellStyle name="Normal 4 2 2 3 4 9" xfId="9833" xr:uid="{9A035795-2BE5-4549-9BE5-B4C1FD3179CE}"/>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71D4DB09-6EB5-4EC2-AA78-8963407440A5}"/>
    <cellStyle name="Normal 4 2 2 3 5 2 3" xfId="12384" xr:uid="{6F1EC83E-2DA1-4F38-9442-15276633EA08}"/>
    <cellStyle name="Normal 4 2 2 3 5 3" xfId="5130" xr:uid="{00000000-0005-0000-0000-000083120000}"/>
    <cellStyle name="Normal 4 2 2 3 5 3 2" xfId="14456" xr:uid="{9236CEB8-F53C-4A38-8164-8E92A2F5CA72}"/>
    <cellStyle name="Normal 4 2 2 3 5 4" xfId="9208" xr:uid="{7BF9CD11-B90D-42F2-928D-A8BE344C6F46}"/>
    <cellStyle name="Normal 4 2 2 3 5 5" xfId="10239" xr:uid="{F675807E-1A76-4114-A4DA-616FF87FEB00}"/>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F256E4BD-55FA-4076-B4D1-60348AB380B5}"/>
    <cellStyle name="Normal 4 2 2 3 6 2 3" xfId="12797" xr:uid="{6DB8F8AF-65B7-413F-863B-2FF7A52C0880}"/>
    <cellStyle name="Normal 4 2 2 3 6 3" xfId="5543" xr:uid="{00000000-0005-0000-0000-000087120000}"/>
    <cellStyle name="Normal 4 2 2 3 6 3 2" xfId="14869" xr:uid="{1026BF51-84D4-4D45-9D60-A0175FC87433}"/>
    <cellStyle name="Normal 4 2 2 3 6 4" xfId="10652" xr:uid="{5B9A8A75-1E43-440F-B506-9EF12DF3AD9E}"/>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5335D041-026D-44ED-A4CD-FE5ADEE620CB}"/>
    <cellStyle name="Normal 4 2 2 3 7 2 3" xfId="13210" xr:uid="{FB8E3D91-885F-40F3-A999-D8D13EB183FA}"/>
    <cellStyle name="Normal 4 2 2 3 7 3" xfId="5956" xr:uid="{00000000-0005-0000-0000-00008B120000}"/>
    <cellStyle name="Normal 4 2 2 3 7 3 2" xfId="15282" xr:uid="{92B28536-743B-43BA-AFE3-59FAF0CB3E72}"/>
    <cellStyle name="Normal 4 2 2 3 7 4" xfId="11065" xr:uid="{B1FCBE8F-89D7-4590-ACC9-D34E4257154F}"/>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D33DFEE2-A29C-4441-9B48-47C8DB7019D3}"/>
    <cellStyle name="Normal 4 2 2 3 8 2 3" xfId="13623" xr:uid="{D5B7B07B-675E-411C-A64A-56EE2E15C726}"/>
    <cellStyle name="Normal 4 2 2 3 8 3" xfId="6369" xr:uid="{00000000-0005-0000-0000-00008F120000}"/>
    <cellStyle name="Normal 4 2 2 3 8 3 2" xfId="15695" xr:uid="{28ECCA87-E92D-4F77-A48D-31A99B9606F0}"/>
    <cellStyle name="Normal 4 2 2 3 8 4" xfId="11478" xr:uid="{1DB702E4-D47B-484A-95D6-EB60AFAEF7E1}"/>
    <cellStyle name="Normal 4 2 2 3 9" xfId="2499" xr:uid="{00000000-0005-0000-0000-000090120000}"/>
    <cellStyle name="Normal 4 2 2 3 9 2" xfId="6782" xr:uid="{00000000-0005-0000-0000-000091120000}"/>
    <cellStyle name="Normal 4 2 2 3 9 2 2" xfId="16108" xr:uid="{310C1CA4-FF97-4021-B3FC-994C4F955E0E}"/>
    <cellStyle name="Normal 4 2 2 3 9 3" xfId="11891" xr:uid="{CD4A0836-F0FE-4B71-94D4-60AA99EF2FD3}"/>
    <cellStyle name="Normal 4 2 2 4" xfId="347" xr:uid="{00000000-0005-0000-0000-000092120000}"/>
    <cellStyle name="Normal 4 2 2 4 10" xfId="8818" xr:uid="{A73977A7-52C6-4368-9F59-166E1B99BBDE}"/>
    <cellStyle name="Normal 4 2 2 4 11" xfId="9834" xr:uid="{69026090-22BD-4172-9847-4E4DB0D0E5B4}"/>
    <cellStyle name="Normal 4 2 2 4 2" xfId="348" xr:uid="{00000000-0005-0000-0000-000093120000}"/>
    <cellStyle name="Normal 4 2 2 4 2 10" xfId="9835" xr:uid="{DF7A28D4-8C90-439A-BCDD-F51C4AE095DE}"/>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550461F4-AABA-4B3E-B8B4-44AAF59CA353}"/>
    <cellStyle name="Normal 4 2 2 4 2 2 2 2 3" xfId="12394" xr:uid="{BBFC5815-5621-4136-924A-B4110AFD5FDC}"/>
    <cellStyle name="Normal 4 2 2 4 2 2 2 3" xfId="5140" xr:uid="{00000000-0005-0000-0000-000098120000}"/>
    <cellStyle name="Normal 4 2 2 4 2 2 2 3 2" xfId="14466" xr:uid="{3CDBBC5E-D2C2-49AC-9BE4-4FD82AFD86A0}"/>
    <cellStyle name="Normal 4 2 2 4 2 2 2 4" xfId="9553" xr:uid="{7FCAF883-2374-4470-BA95-AD8EB054639C}"/>
    <cellStyle name="Normal 4 2 2 4 2 2 2 5" xfId="10249" xr:uid="{E63193DB-5A45-4A38-8794-CA3005B42FE8}"/>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C21E6A6E-6B7A-4095-B0B3-80C17A307E8E}"/>
    <cellStyle name="Normal 4 2 2 4 2 2 3 2 3" xfId="12807" xr:uid="{178CEDF4-30EC-4A11-BB71-BA48025B5354}"/>
    <cellStyle name="Normal 4 2 2 4 2 2 3 3" xfId="5553" xr:uid="{00000000-0005-0000-0000-00009C120000}"/>
    <cellStyle name="Normal 4 2 2 4 2 2 3 3 2" xfId="14879" xr:uid="{3E2C4FB3-9983-495E-9C83-D2B20D84ED63}"/>
    <cellStyle name="Normal 4 2 2 4 2 2 3 4" xfId="10662" xr:uid="{95468383-AD5C-4FAB-80BB-EFB59A067FF6}"/>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3250E137-4EE3-45A4-8579-0910DDDD4E3B}"/>
    <cellStyle name="Normal 4 2 2 4 2 2 4 2 3" xfId="13220" xr:uid="{0CAAF0D5-5BAA-419B-BEAD-B831F8A4C0B6}"/>
    <cellStyle name="Normal 4 2 2 4 2 2 4 3" xfId="5966" xr:uid="{00000000-0005-0000-0000-0000A0120000}"/>
    <cellStyle name="Normal 4 2 2 4 2 2 4 3 2" xfId="15292" xr:uid="{3EC4A2F3-8B7E-4499-8B4D-E9EF29A9C590}"/>
    <cellStyle name="Normal 4 2 2 4 2 2 4 4" xfId="11075" xr:uid="{E64E8AEC-7F83-41F2-A5CE-93CA4852D9E7}"/>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A33E017F-C4B7-4315-9756-4FB452D1CE6C}"/>
    <cellStyle name="Normal 4 2 2 4 2 2 5 2 3" xfId="13633" xr:uid="{72FC0FC5-4F71-4DEA-BF9E-33C21EAF01C5}"/>
    <cellStyle name="Normal 4 2 2 4 2 2 5 3" xfId="6379" xr:uid="{00000000-0005-0000-0000-0000A4120000}"/>
    <cellStyle name="Normal 4 2 2 4 2 2 5 3 2" xfId="15705" xr:uid="{64DC0850-E2CA-4719-A870-5C2C358AE8EC}"/>
    <cellStyle name="Normal 4 2 2 4 2 2 5 4" xfId="11488" xr:uid="{B2E66850-2F4D-486E-A50B-F972EBF25F36}"/>
    <cellStyle name="Normal 4 2 2 4 2 2 6" xfId="2509" xr:uid="{00000000-0005-0000-0000-0000A5120000}"/>
    <cellStyle name="Normal 4 2 2 4 2 2 6 2" xfId="6792" xr:uid="{00000000-0005-0000-0000-0000A6120000}"/>
    <cellStyle name="Normal 4 2 2 4 2 2 6 2 2" xfId="16118" xr:uid="{D0241844-6B6C-4255-AA73-6F065922A32D}"/>
    <cellStyle name="Normal 4 2 2 4 2 2 6 3" xfId="11901" xr:uid="{FB7E727F-E2E2-4B77-A202-6A6CA6E4F3D0}"/>
    <cellStyle name="Normal 4 2 2 4 2 2 7" xfId="4727" xr:uid="{00000000-0005-0000-0000-0000A7120000}"/>
    <cellStyle name="Normal 4 2 2 4 2 2 7 2" xfId="14053" xr:uid="{26AFA885-C35D-49CE-B92C-BE7ECBF0BD39}"/>
    <cellStyle name="Normal 4 2 2 4 2 2 8" xfId="9128" xr:uid="{3D9AD2A4-E3D1-4BAF-8F43-BFB1FE8E222D}"/>
    <cellStyle name="Normal 4 2 2 4 2 2 9" xfId="9836" xr:uid="{43B27B24-4D51-4E5A-9127-D677B5B75466}"/>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C812A17C-BD81-49A6-98EF-B28C0A81FE80}"/>
    <cellStyle name="Normal 4 2 2 4 2 3 2 3" xfId="12393" xr:uid="{2E369688-1D8C-47D5-8274-3DB895353CFA}"/>
    <cellStyle name="Normal 4 2 2 4 2 3 3" xfId="5139" xr:uid="{00000000-0005-0000-0000-0000AB120000}"/>
    <cellStyle name="Normal 4 2 2 4 2 3 3 2" xfId="14465" xr:uid="{21E5EE63-A27C-4868-85A9-2A56AD120310}"/>
    <cellStyle name="Normal 4 2 2 4 2 3 4" xfId="9346" xr:uid="{11110DEC-01F5-467C-B0F9-3286FF7E57CB}"/>
    <cellStyle name="Normal 4 2 2 4 2 3 5" xfId="10248" xr:uid="{C0CE5778-15B8-4E94-A4E8-D59AF69E53C9}"/>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80DA4B53-919D-401B-9921-8829874E00C4}"/>
    <cellStyle name="Normal 4 2 2 4 2 4 2 3" xfId="12806" xr:uid="{AF8B01EC-9C7D-49BC-9012-F19179A7C6D6}"/>
    <cellStyle name="Normal 4 2 2 4 2 4 3" xfId="5552" xr:uid="{00000000-0005-0000-0000-0000AF120000}"/>
    <cellStyle name="Normal 4 2 2 4 2 4 3 2" xfId="14878" xr:uid="{D0C7AAC6-8CDE-4E38-885F-A37F447BCF17}"/>
    <cellStyle name="Normal 4 2 2 4 2 4 4" xfId="10661" xr:uid="{3899DE8C-2299-40F1-90C3-A0479B1746FE}"/>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9BC0FACE-5E83-47AE-AE07-44366EAAE7D8}"/>
    <cellStyle name="Normal 4 2 2 4 2 5 2 3" xfId="13219" xr:uid="{F8330C23-7DEB-455E-9716-E1B1302E9428}"/>
    <cellStyle name="Normal 4 2 2 4 2 5 3" xfId="5965" xr:uid="{00000000-0005-0000-0000-0000B3120000}"/>
    <cellStyle name="Normal 4 2 2 4 2 5 3 2" xfId="15291" xr:uid="{6FF9A4F2-F585-4BDA-A751-8420FDC5154D}"/>
    <cellStyle name="Normal 4 2 2 4 2 5 4" xfId="11074" xr:uid="{6AED1DD2-01F7-4299-B262-782052800699}"/>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4D01164D-37F5-422B-A12C-8E271D22BCD0}"/>
    <cellStyle name="Normal 4 2 2 4 2 6 2 3" xfId="13632" xr:uid="{6D6C1735-1159-4B2F-9240-D6CF06832509}"/>
    <cellStyle name="Normal 4 2 2 4 2 6 3" xfId="6378" xr:uid="{00000000-0005-0000-0000-0000B7120000}"/>
    <cellStyle name="Normal 4 2 2 4 2 6 3 2" xfId="15704" xr:uid="{FBC85486-7AEA-4BF7-A1CE-A79E3E66DEE7}"/>
    <cellStyle name="Normal 4 2 2 4 2 6 4" xfId="11487" xr:uid="{2C58DEF4-AF4D-4744-AF7F-05A93F7CFEB6}"/>
    <cellStyle name="Normal 4 2 2 4 2 7" xfId="2508" xr:uid="{00000000-0005-0000-0000-0000B8120000}"/>
    <cellStyle name="Normal 4 2 2 4 2 7 2" xfId="6791" xr:uid="{00000000-0005-0000-0000-0000B9120000}"/>
    <cellStyle name="Normal 4 2 2 4 2 7 2 2" xfId="16117" xr:uid="{2EC01C97-A7E1-4C4D-9579-46B0328E5BBA}"/>
    <cellStyle name="Normal 4 2 2 4 2 7 3" xfId="11900" xr:uid="{40BC3A3F-3D24-4ACA-9CBD-CD3C898AB4AD}"/>
    <cellStyle name="Normal 4 2 2 4 2 8" xfId="4726" xr:uid="{00000000-0005-0000-0000-0000BA120000}"/>
    <cellStyle name="Normal 4 2 2 4 2 8 2" xfId="14052" xr:uid="{8817F2F1-5A97-4F22-A635-9F3AC8A01ED2}"/>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AA8F015F-A093-4697-8368-A2C6798C0E2A}"/>
    <cellStyle name="Normal 4 2 2 4 3 2 2 3" xfId="12395" xr:uid="{F6CEF59F-C013-48B4-9E6A-69489C3D749C}"/>
    <cellStyle name="Normal 4 2 2 4 3 2 3" xfId="5141" xr:uid="{00000000-0005-0000-0000-0000BF120000}"/>
    <cellStyle name="Normal 4 2 2 4 3 2 3 2" xfId="14467" xr:uid="{ACA0E93A-7539-4C61-8751-DDC53EC4C5C7}"/>
    <cellStyle name="Normal 4 2 2 4 3 2 4" xfId="9450" xr:uid="{0F54578A-5DA3-4B6E-9E36-71CC7CD6BFE8}"/>
    <cellStyle name="Normal 4 2 2 4 3 2 5" xfId="10250" xr:uid="{A5521981-8832-4223-A799-BAFE5554FE0D}"/>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FF8D4422-0787-44B1-98E1-4B6FAEE6B2E9}"/>
    <cellStyle name="Normal 4 2 2 4 3 3 2 3" xfId="12808" xr:uid="{90F5C161-9C6C-43FD-95AE-1698EE38BC07}"/>
    <cellStyle name="Normal 4 2 2 4 3 3 3" xfId="5554" xr:uid="{00000000-0005-0000-0000-0000C3120000}"/>
    <cellStyle name="Normal 4 2 2 4 3 3 3 2" xfId="14880" xr:uid="{1B0385FB-2940-4AFD-8C66-49A4466B1593}"/>
    <cellStyle name="Normal 4 2 2 4 3 3 4" xfId="10663" xr:uid="{AFCA50C7-FBC0-4123-95C2-C7235E1E9BB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3C1084C3-EA8D-4FA3-A719-0E516672B551}"/>
    <cellStyle name="Normal 4 2 2 4 3 4 2 3" xfId="13221" xr:uid="{9CB6CBE1-7D82-4634-8305-E58639855D52}"/>
    <cellStyle name="Normal 4 2 2 4 3 4 3" xfId="5967" xr:uid="{00000000-0005-0000-0000-0000C7120000}"/>
    <cellStyle name="Normal 4 2 2 4 3 4 3 2" xfId="15293" xr:uid="{52982E6C-B5CA-487C-9009-ADA97E1C2D18}"/>
    <cellStyle name="Normal 4 2 2 4 3 4 4" xfId="11076" xr:uid="{D66EB7A5-F909-4A67-BC8D-77204B232E9A}"/>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2616E2D0-4BAF-4839-978D-CF54B7447EC5}"/>
    <cellStyle name="Normal 4 2 2 4 3 5 2 3" xfId="13634" xr:uid="{CA68B70E-DE6A-48C1-8DD2-FDDA532CFAD9}"/>
    <cellStyle name="Normal 4 2 2 4 3 5 3" xfId="6380" xr:uid="{00000000-0005-0000-0000-0000CB120000}"/>
    <cellStyle name="Normal 4 2 2 4 3 5 3 2" xfId="15706" xr:uid="{F997B456-1214-42DA-8CFF-D0BCD5F371C6}"/>
    <cellStyle name="Normal 4 2 2 4 3 5 4" xfId="11489" xr:uid="{1CE6120B-6213-4200-A338-1E2E80471E6E}"/>
    <cellStyle name="Normal 4 2 2 4 3 6" xfId="2510" xr:uid="{00000000-0005-0000-0000-0000CC120000}"/>
    <cellStyle name="Normal 4 2 2 4 3 6 2" xfId="6793" xr:uid="{00000000-0005-0000-0000-0000CD120000}"/>
    <cellStyle name="Normal 4 2 2 4 3 6 2 2" xfId="16119" xr:uid="{43336998-4310-4261-8CB7-445736E409A9}"/>
    <cellStyle name="Normal 4 2 2 4 3 6 3" xfId="11902" xr:uid="{81C7A466-8850-4E66-9223-E4EC093B398F}"/>
    <cellStyle name="Normal 4 2 2 4 3 7" xfId="4728" xr:uid="{00000000-0005-0000-0000-0000CE120000}"/>
    <cellStyle name="Normal 4 2 2 4 3 7 2" xfId="14054" xr:uid="{A3BEB4EF-D199-463C-9192-71CC2F8C71C9}"/>
    <cellStyle name="Normal 4 2 2 4 3 8" xfId="9025" xr:uid="{436CB353-A916-4AB2-B5E2-8C1BDAEA1182}"/>
    <cellStyle name="Normal 4 2 2 4 3 9" xfId="9837" xr:uid="{2BA1DA94-715C-4D1A-B828-0C8787A24CF4}"/>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33F91BA9-7D9F-480E-8149-F113EFC6F4B5}"/>
    <cellStyle name="Normal 4 2 2 4 4 2 3" xfId="12392" xr:uid="{FB689AA9-C5FB-4F5A-91F5-7EBBA5D3048D}"/>
    <cellStyle name="Normal 4 2 2 4 4 3" xfId="5138" xr:uid="{00000000-0005-0000-0000-0000D2120000}"/>
    <cellStyle name="Normal 4 2 2 4 4 3 2" xfId="14464" xr:uid="{BA9EDC6C-7E14-4A9A-B977-5D2F469C9002}"/>
    <cellStyle name="Normal 4 2 2 4 4 4" xfId="9243" xr:uid="{FD46A281-F5BE-478B-950E-209D1D56FC0E}"/>
    <cellStyle name="Normal 4 2 2 4 4 5" xfId="10247" xr:uid="{7E1AA1E4-580F-4176-B4EE-0559DC61DF85}"/>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CB6ADFC5-96A4-48DA-A499-3F3B91537200}"/>
    <cellStyle name="Normal 4 2 2 4 5 2 3" xfId="12805" xr:uid="{6EB34ED0-F37B-4A2F-A46F-801EF0721D9C}"/>
    <cellStyle name="Normal 4 2 2 4 5 3" xfId="5551" xr:uid="{00000000-0005-0000-0000-0000D6120000}"/>
    <cellStyle name="Normal 4 2 2 4 5 3 2" xfId="14877" xr:uid="{B3443458-3B81-469F-92CA-FCF63FF931C6}"/>
    <cellStyle name="Normal 4 2 2 4 5 4" xfId="10660" xr:uid="{7224375E-AA24-488B-83B7-FD3F4651C7AA}"/>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1DE47664-B217-4A1E-81E3-E9F1CC0A147E}"/>
    <cellStyle name="Normal 4 2 2 4 6 2 3" xfId="13218" xr:uid="{BD723C11-41FB-4CAA-B1F1-94B11D426CA2}"/>
    <cellStyle name="Normal 4 2 2 4 6 3" xfId="5964" xr:uid="{00000000-0005-0000-0000-0000DA120000}"/>
    <cellStyle name="Normal 4 2 2 4 6 3 2" xfId="15290" xr:uid="{0A2D0688-2E31-4244-B985-86CD9FB8EBEF}"/>
    <cellStyle name="Normal 4 2 2 4 6 4" xfId="11073" xr:uid="{69078015-EFBB-4B81-B82E-703C1050EEBE}"/>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7ED8C1C8-E08B-44FE-AA10-B446B08AB16F}"/>
    <cellStyle name="Normal 4 2 2 4 7 2 3" xfId="13631" xr:uid="{1329C485-E82D-4481-8CA2-9DB256D945FB}"/>
    <cellStyle name="Normal 4 2 2 4 7 3" xfId="6377" xr:uid="{00000000-0005-0000-0000-0000DE120000}"/>
    <cellStyle name="Normal 4 2 2 4 7 3 2" xfId="15703" xr:uid="{7F744202-BAA2-4C5C-9A57-159B3AC04229}"/>
    <cellStyle name="Normal 4 2 2 4 7 4" xfId="11486" xr:uid="{0ECB07D5-BD47-473A-BC16-3603FBF6A5A6}"/>
    <cellStyle name="Normal 4 2 2 4 8" xfId="2507" xr:uid="{00000000-0005-0000-0000-0000DF120000}"/>
    <cellStyle name="Normal 4 2 2 4 8 2" xfId="6790" xr:uid="{00000000-0005-0000-0000-0000E0120000}"/>
    <cellStyle name="Normal 4 2 2 4 8 2 2" xfId="16116" xr:uid="{3F002208-4446-4E12-A143-82F254EA78A5}"/>
    <cellStyle name="Normal 4 2 2 4 8 3" xfId="11899" xr:uid="{EE6CE02C-AD83-42DA-BF03-100C61CF685F}"/>
    <cellStyle name="Normal 4 2 2 4 9" xfId="4725" xr:uid="{00000000-0005-0000-0000-0000E1120000}"/>
    <cellStyle name="Normal 4 2 2 4 9 2" xfId="14051" xr:uid="{38FF4B21-773F-4F22-9603-F0605AAEA72B}"/>
    <cellStyle name="Normal 4 2 2 5" xfId="351" xr:uid="{00000000-0005-0000-0000-0000E2120000}"/>
    <cellStyle name="Normal 4 2 2 5 10" xfId="9838" xr:uid="{EF9934D4-C8F8-498B-A37A-264D57FC201B}"/>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4514832C-D9FE-4E4C-845A-092F4519968B}"/>
    <cellStyle name="Normal 4 2 2 5 2 2 2 3" xfId="12397" xr:uid="{0B962A9B-F593-450C-BA50-8E352139D680}"/>
    <cellStyle name="Normal 4 2 2 5 2 2 3" xfId="5143" xr:uid="{00000000-0005-0000-0000-0000E7120000}"/>
    <cellStyle name="Normal 4 2 2 5 2 2 3 2" xfId="14469" xr:uid="{7528671F-46FF-4470-B494-D1AD580C8CA0}"/>
    <cellStyle name="Normal 4 2 2 5 2 2 4" xfId="9487" xr:uid="{83D2756E-B983-4EA9-AB48-FF4D3E821CE4}"/>
    <cellStyle name="Normal 4 2 2 5 2 2 5" xfId="10252" xr:uid="{087F62FC-14F7-49D8-B0D9-BD6AFF826F1E}"/>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EEE84D3B-2EB2-467B-9689-5DA06628EC59}"/>
    <cellStyle name="Normal 4 2 2 5 2 3 2 3" xfId="12810" xr:uid="{839D0291-785E-430D-B4EE-AB48C5E1B54E}"/>
    <cellStyle name="Normal 4 2 2 5 2 3 3" xfId="5556" xr:uid="{00000000-0005-0000-0000-0000EB120000}"/>
    <cellStyle name="Normal 4 2 2 5 2 3 3 2" xfId="14882" xr:uid="{AA366FE7-4A9A-4D5A-AF99-B63B398D7AFE}"/>
    <cellStyle name="Normal 4 2 2 5 2 3 4" xfId="10665" xr:uid="{70D8D102-EE51-462D-91B3-E85946FB6C29}"/>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E3C4FE9B-297C-4212-862A-9AB91CB180DC}"/>
    <cellStyle name="Normal 4 2 2 5 2 4 2 3" xfId="13223" xr:uid="{25D8A352-C116-48E6-9CEF-4717CAC68B10}"/>
    <cellStyle name="Normal 4 2 2 5 2 4 3" xfId="5969" xr:uid="{00000000-0005-0000-0000-0000EF120000}"/>
    <cellStyle name="Normal 4 2 2 5 2 4 3 2" xfId="15295" xr:uid="{4DE2ED9A-0196-4232-A215-5DB189B342A9}"/>
    <cellStyle name="Normal 4 2 2 5 2 4 4" xfId="11078" xr:uid="{7DF01716-4D24-48C9-9769-3E196315D7F3}"/>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6D57B47B-BAE5-4C30-BDB5-90962BBCBF87}"/>
    <cellStyle name="Normal 4 2 2 5 2 5 2 3" xfId="13636" xr:uid="{3452F9A2-10C2-4BD2-985A-A65E73BE0824}"/>
    <cellStyle name="Normal 4 2 2 5 2 5 3" xfId="6382" xr:uid="{00000000-0005-0000-0000-0000F3120000}"/>
    <cellStyle name="Normal 4 2 2 5 2 5 3 2" xfId="15708" xr:uid="{C91E0F55-44D3-4A7E-B598-04365B07AC04}"/>
    <cellStyle name="Normal 4 2 2 5 2 5 4" xfId="11491" xr:uid="{E31A9CDA-5A78-4D10-B1F7-3BD8ED83AA42}"/>
    <cellStyle name="Normal 4 2 2 5 2 6" xfId="2512" xr:uid="{00000000-0005-0000-0000-0000F4120000}"/>
    <cellStyle name="Normal 4 2 2 5 2 6 2" xfId="6795" xr:uid="{00000000-0005-0000-0000-0000F5120000}"/>
    <cellStyle name="Normal 4 2 2 5 2 6 2 2" xfId="16121" xr:uid="{8D5589A8-34EF-4D09-A111-3B2505030B05}"/>
    <cellStyle name="Normal 4 2 2 5 2 6 3" xfId="11904" xr:uid="{84B5F315-97F7-4634-B971-8B629930A2C4}"/>
    <cellStyle name="Normal 4 2 2 5 2 7" xfId="4730" xr:uid="{00000000-0005-0000-0000-0000F6120000}"/>
    <cellStyle name="Normal 4 2 2 5 2 7 2" xfId="14056" xr:uid="{42D9A03F-23E6-426E-827B-7BB37F1B3289}"/>
    <cellStyle name="Normal 4 2 2 5 2 8" xfId="9062" xr:uid="{FED54422-C2E5-44B3-AA7C-C6088F47A385}"/>
    <cellStyle name="Normal 4 2 2 5 2 9" xfId="9839" xr:uid="{BEA13530-DFA6-4F98-97D5-5D112286B82A}"/>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D710037D-8945-4BE5-9DC0-AAA61DEEA07D}"/>
    <cellStyle name="Normal 4 2 2 5 3 2 3" xfId="12396" xr:uid="{A8F73B9F-FFC8-458A-99BF-0702F74AE286}"/>
    <cellStyle name="Normal 4 2 2 5 3 3" xfId="5142" xr:uid="{00000000-0005-0000-0000-0000FA120000}"/>
    <cellStyle name="Normal 4 2 2 5 3 3 2" xfId="14468" xr:uid="{02FB0745-E1A4-49F1-8BE9-01B65CA6FABD}"/>
    <cellStyle name="Normal 4 2 2 5 3 4" xfId="9280" xr:uid="{C70B18D8-E279-4D37-82EF-3177E9FA554F}"/>
    <cellStyle name="Normal 4 2 2 5 3 5" xfId="10251" xr:uid="{CFA0065B-127A-4170-BB4F-60D8A30757B5}"/>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C20A83A0-060A-4F2A-8822-D8AD903CA669}"/>
    <cellStyle name="Normal 4 2 2 5 4 2 3" xfId="12809" xr:uid="{FF321809-97E4-4C9D-AADE-4B2D8EE0B79C}"/>
    <cellStyle name="Normal 4 2 2 5 4 3" xfId="5555" xr:uid="{00000000-0005-0000-0000-0000FE120000}"/>
    <cellStyle name="Normal 4 2 2 5 4 3 2" xfId="14881" xr:uid="{C5F952B9-E847-44FA-9074-B7C218B6EEE0}"/>
    <cellStyle name="Normal 4 2 2 5 4 4" xfId="10664" xr:uid="{721BDD99-48E6-4E97-B4A4-EEF9B37EB158}"/>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D5F68A63-05F2-4EEE-A421-D24F145D4E23}"/>
    <cellStyle name="Normal 4 2 2 5 5 2 3" xfId="13222" xr:uid="{4BF3B4CD-A23D-4A41-A11F-78997EA9F4CE}"/>
    <cellStyle name="Normal 4 2 2 5 5 3" xfId="5968" xr:uid="{00000000-0005-0000-0000-000002130000}"/>
    <cellStyle name="Normal 4 2 2 5 5 3 2" xfId="15294" xr:uid="{86A67112-8445-4645-A485-331F77F3E5A0}"/>
    <cellStyle name="Normal 4 2 2 5 5 4" xfId="11077" xr:uid="{56B986DC-A8D6-429D-80CC-7D796B7D818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9B80CBCE-2DE5-4507-86ED-6F0E6AB551EB}"/>
    <cellStyle name="Normal 4 2 2 5 6 2 3" xfId="13635" xr:uid="{522C1B82-7F24-4CAA-81B1-2CEB7F3F0E79}"/>
    <cellStyle name="Normal 4 2 2 5 6 3" xfId="6381" xr:uid="{00000000-0005-0000-0000-000006130000}"/>
    <cellStyle name="Normal 4 2 2 5 6 3 2" xfId="15707" xr:uid="{AA0E1854-75FF-458E-A917-938C2108844B}"/>
    <cellStyle name="Normal 4 2 2 5 6 4" xfId="11490" xr:uid="{835D0B66-965B-46C2-B548-6DD27AA1D941}"/>
    <cellStyle name="Normal 4 2 2 5 7" xfId="2511" xr:uid="{00000000-0005-0000-0000-000007130000}"/>
    <cellStyle name="Normal 4 2 2 5 7 2" xfId="6794" xr:uid="{00000000-0005-0000-0000-000008130000}"/>
    <cellStyle name="Normal 4 2 2 5 7 2 2" xfId="16120" xr:uid="{6A0FE0BF-986B-4A12-B5FC-E045B830D5B3}"/>
    <cellStyle name="Normal 4 2 2 5 7 3" xfId="11903" xr:uid="{C5EFAF7B-4F46-4BCF-B7E5-4A3AC01C593B}"/>
    <cellStyle name="Normal 4 2 2 5 8" xfId="4729" xr:uid="{00000000-0005-0000-0000-000009130000}"/>
    <cellStyle name="Normal 4 2 2 5 8 2" xfId="14055" xr:uid="{CB385713-75D4-43F0-B69E-9650C8E2187E}"/>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675B86CF-A459-43EC-B839-AD9CC5D2C210}"/>
    <cellStyle name="Normal 4 2 2 6 2 2 3" xfId="12398" xr:uid="{E51F5116-DF8F-4CB0-A8C9-FA842CB5F529}"/>
    <cellStyle name="Normal 4 2 2 6 2 3" xfId="5144" xr:uid="{00000000-0005-0000-0000-00000E130000}"/>
    <cellStyle name="Normal 4 2 2 6 2 3 2" xfId="14470" xr:uid="{CB304009-68F4-4A9D-9441-1AF449831A86}"/>
    <cellStyle name="Normal 4 2 2 6 2 4" xfId="9396" xr:uid="{5B10E6C6-987A-4149-BB81-321A07C7666F}"/>
    <cellStyle name="Normal 4 2 2 6 2 5" xfId="10253" xr:uid="{810F46F6-F0B3-4E1B-A1FB-8FEBE65F57C1}"/>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C3FC32BA-30E2-49E8-89DE-C80CFA7552A8}"/>
    <cellStyle name="Normal 4 2 2 6 3 2 3" xfId="12811" xr:uid="{D37BC5AA-0353-4E6C-B172-E850D1B29177}"/>
    <cellStyle name="Normal 4 2 2 6 3 3" xfId="5557" xr:uid="{00000000-0005-0000-0000-000012130000}"/>
    <cellStyle name="Normal 4 2 2 6 3 3 2" xfId="14883" xr:uid="{67307D29-AFEA-41E5-ACB3-DFB183567C1D}"/>
    <cellStyle name="Normal 4 2 2 6 3 4" xfId="10666" xr:uid="{443FDAA6-EF52-42E1-A8F1-A8D48064E123}"/>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A1809B21-2AB0-4627-BD3D-0B17417182B1}"/>
    <cellStyle name="Normal 4 2 2 6 4 2 3" xfId="13224" xr:uid="{9FA51171-3CD8-4E5C-92FF-BD5E580757A4}"/>
    <cellStyle name="Normal 4 2 2 6 4 3" xfId="5970" xr:uid="{00000000-0005-0000-0000-000016130000}"/>
    <cellStyle name="Normal 4 2 2 6 4 3 2" xfId="15296" xr:uid="{9BEE4DCF-B3AF-46A5-B1EF-995622CC81F4}"/>
    <cellStyle name="Normal 4 2 2 6 4 4" xfId="11079" xr:uid="{7AEF4325-BD8F-4110-BB04-088BD5A7A4E4}"/>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455322DD-F1F7-4BCF-8376-00EE70CA71E3}"/>
    <cellStyle name="Normal 4 2 2 6 5 2 3" xfId="13637" xr:uid="{B89B73C6-C9AE-49D6-949D-8F14D71EF1FC}"/>
    <cellStyle name="Normal 4 2 2 6 5 3" xfId="6383" xr:uid="{00000000-0005-0000-0000-00001A130000}"/>
    <cellStyle name="Normal 4 2 2 6 5 3 2" xfId="15709" xr:uid="{6F17C686-48EB-41FE-9E66-A6EA090C72A3}"/>
    <cellStyle name="Normal 4 2 2 6 5 4" xfId="11492" xr:uid="{1C5A3BC4-EDF7-4E20-A3CC-611FC0C83399}"/>
    <cellStyle name="Normal 4 2 2 6 6" xfId="2513" xr:uid="{00000000-0005-0000-0000-00001B130000}"/>
    <cellStyle name="Normal 4 2 2 6 6 2" xfId="6796" xr:uid="{00000000-0005-0000-0000-00001C130000}"/>
    <cellStyle name="Normal 4 2 2 6 6 2 2" xfId="16122" xr:uid="{72E1240D-D233-4820-88E5-DECA9B0E8C18}"/>
    <cellStyle name="Normal 4 2 2 6 6 3" xfId="11905" xr:uid="{96CEDB9B-C831-40D9-95E2-969F3A6AA360}"/>
    <cellStyle name="Normal 4 2 2 6 7" xfId="4731" xr:uid="{00000000-0005-0000-0000-00001D130000}"/>
    <cellStyle name="Normal 4 2 2 6 7 2" xfId="14057" xr:uid="{7A8B243D-9B0D-47D1-BB3C-536F12099831}"/>
    <cellStyle name="Normal 4 2 2 6 8" xfId="8971" xr:uid="{7BBA3CD4-2D32-439A-A2D5-9F7EB5E5A47E}"/>
    <cellStyle name="Normal 4 2 2 6 9" xfId="9840" xr:uid="{A52D4F47-0BE9-4665-A243-115DDD717056}"/>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A52D278A-6244-4F1E-9955-A42330B7E720}"/>
    <cellStyle name="Normal 4 2 2 7 2 3" xfId="12383" xr:uid="{71EA2305-DC9D-46A9-BD38-815FB6CB5B44}"/>
    <cellStyle name="Normal 4 2 2 7 3" xfId="5129" xr:uid="{00000000-0005-0000-0000-000021130000}"/>
    <cellStyle name="Normal 4 2 2 7 3 2" xfId="14455" xr:uid="{8BF11231-6C93-4FB5-B82E-EEBBF762DCAF}"/>
    <cellStyle name="Normal 4 2 2 7 4" xfId="9174" xr:uid="{5FB177AF-8B2E-4B7E-A1B7-4F6E323AF880}"/>
    <cellStyle name="Normal 4 2 2 7 5" xfId="10238" xr:uid="{54F03879-C49E-4864-A365-68E9DE56F77F}"/>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3903F1C9-EEF5-48E8-9851-A300728DE2DD}"/>
    <cellStyle name="Normal 4 2 2 8 2 3" xfId="12796" xr:uid="{4440F869-362E-40B8-9AD2-E377B1D01FD6}"/>
    <cellStyle name="Normal 4 2 2 8 3" xfId="5542" xr:uid="{00000000-0005-0000-0000-000025130000}"/>
    <cellStyle name="Normal 4 2 2 8 3 2" xfId="14868" xr:uid="{69B1CE2D-D819-4BBB-B54F-E4DF2FF36880}"/>
    <cellStyle name="Normal 4 2 2 8 4" xfId="10651" xr:uid="{AF08BAB9-3B26-4796-BCC1-45FCD37F4EB8}"/>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EE87725A-6039-47CA-BAC4-7B3D6564ED84}"/>
    <cellStyle name="Normal 4 2 2 9 2 3" xfId="13209" xr:uid="{D66AEE92-5A1E-4C15-9629-ECEDAA77A3AF}"/>
    <cellStyle name="Normal 4 2 2 9 3" xfId="5955" xr:uid="{00000000-0005-0000-0000-000029130000}"/>
    <cellStyle name="Normal 4 2 2 9 3 2" xfId="15281" xr:uid="{EBEA9F1F-0AD6-494F-AAF8-A2C551B2A1EA}"/>
    <cellStyle name="Normal 4 2 2 9 4" xfId="11064" xr:uid="{0B0B4F34-DE6A-449B-B48A-EA33FF71D9E1}"/>
    <cellStyle name="Normal 4 2 3" xfId="354" xr:uid="{00000000-0005-0000-0000-00002A130000}"/>
    <cellStyle name="Normal 4 2 4" xfId="355" xr:uid="{00000000-0005-0000-0000-00002B130000}"/>
    <cellStyle name="Normal 4 2 4 10" xfId="4732" xr:uid="{00000000-0005-0000-0000-00002C130000}"/>
    <cellStyle name="Normal 4 2 4 10 2" xfId="14058" xr:uid="{75EED323-1EA9-46CD-99BC-E6359E62BB28}"/>
    <cellStyle name="Normal 4 2 4 11" xfId="8775" xr:uid="{7AC259AB-9C32-4DC1-A787-2E2187A7C2D6}"/>
    <cellStyle name="Normal 4 2 4 12" xfId="9841" xr:uid="{CC8AD1A6-86CB-4C75-9BFC-433C1143CB22}"/>
    <cellStyle name="Normal 4 2 4 2" xfId="356" xr:uid="{00000000-0005-0000-0000-00002D130000}"/>
    <cellStyle name="Normal 4 2 4 2 10" xfId="8820" xr:uid="{8B50D4F4-4786-467C-8322-69D665B73C2B}"/>
    <cellStyle name="Normal 4 2 4 2 11" xfId="9842" xr:uid="{A8AFD431-C2BD-4921-B254-ED52CD7D1727}"/>
    <cellStyle name="Normal 4 2 4 2 2" xfId="357" xr:uid="{00000000-0005-0000-0000-00002E130000}"/>
    <cellStyle name="Normal 4 2 4 2 2 10" xfId="9843" xr:uid="{F83F81F8-8ED0-4FF4-BDC6-70E8699EFD0E}"/>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42E55B81-1740-41E0-A2EE-E6C096A1A604}"/>
    <cellStyle name="Normal 4 2 4 2 2 2 2 2 3" xfId="12402" xr:uid="{CD342AC6-9338-4981-BE9C-AEB1050B109D}"/>
    <cellStyle name="Normal 4 2 4 2 2 2 2 3" xfId="5148" xr:uid="{00000000-0005-0000-0000-000033130000}"/>
    <cellStyle name="Normal 4 2 4 2 2 2 2 3 2" xfId="14474" xr:uid="{8EED1D9C-C3BF-4B5B-B742-A96A8B2A430F}"/>
    <cellStyle name="Normal 4 2 4 2 2 2 2 4" xfId="9555" xr:uid="{31AE7BD4-4F26-4658-9939-15FCE733560E}"/>
    <cellStyle name="Normal 4 2 4 2 2 2 2 5" xfId="10257" xr:uid="{2273A3DB-2470-4011-AAF1-2CDCF3D53BA8}"/>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0CE299AB-8FF3-4B29-91BC-071808EECA32}"/>
    <cellStyle name="Normal 4 2 4 2 2 2 3 2 3" xfId="12815" xr:uid="{A0E5A3B7-6AAE-4811-84B6-CA1BCC481738}"/>
    <cellStyle name="Normal 4 2 4 2 2 2 3 3" xfId="5561" xr:uid="{00000000-0005-0000-0000-000037130000}"/>
    <cellStyle name="Normal 4 2 4 2 2 2 3 3 2" xfId="14887" xr:uid="{A604301A-1D97-4E60-AC84-260A5C6E46DB}"/>
    <cellStyle name="Normal 4 2 4 2 2 2 3 4" xfId="10670" xr:uid="{1E27D668-C29B-42FD-B25B-7F343F7820C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02E3D12D-EE79-447F-A967-0B4A32B2F382}"/>
    <cellStyle name="Normal 4 2 4 2 2 2 4 2 3" xfId="13228" xr:uid="{AE7E70BC-92B5-4667-987F-724A48E53F69}"/>
    <cellStyle name="Normal 4 2 4 2 2 2 4 3" xfId="5974" xr:uid="{00000000-0005-0000-0000-00003B130000}"/>
    <cellStyle name="Normal 4 2 4 2 2 2 4 3 2" xfId="15300" xr:uid="{62144BEB-47D5-4A3B-BB6A-2F1A4D9C54CC}"/>
    <cellStyle name="Normal 4 2 4 2 2 2 4 4" xfId="11083" xr:uid="{4892F1AC-CB40-4BBB-92DF-858F01C246B8}"/>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04A77BAF-DA03-4795-8E18-57840500FF96}"/>
    <cellStyle name="Normal 4 2 4 2 2 2 5 2 3" xfId="13641" xr:uid="{DFA67A1B-54D7-44B3-ABC7-583C1BAFEB11}"/>
    <cellStyle name="Normal 4 2 4 2 2 2 5 3" xfId="6387" xr:uid="{00000000-0005-0000-0000-00003F130000}"/>
    <cellStyle name="Normal 4 2 4 2 2 2 5 3 2" xfId="15713" xr:uid="{E5C5FA89-BD34-4950-88D1-C7ECBEEA6991}"/>
    <cellStyle name="Normal 4 2 4 2 2 2 5 4" xfId="11496" xr:uid="{02820C2A-0388-4352-B4F4-5641EF533FB1}"/>
    <cellStyle name="Normal 4 2 4 2 2 2 6" xfId="2517" xr:uid="{00000000-0005-0000-0000-000040130000}"/>
    <cellStyle name="Normal 4 2 4 2 2 2 6 2" xfId="6800" xr:uid="{00000000-0005-0000-0000-000041130000}"/>
    <cellStyle name="Normal 4 2 4 2 2 2 6 2 2" xfId="16126" xr:uid="{D1D1282F-068F-4706-B316-81ED6F1608D0}"/>
    <cellStyle name="Normal 4 2 4 2 2 2 6 3" xfId="11909" xr:uid="{64A097D5-ABCF-476D-96E2-C70E1672E279}"/>
    <cellStyle name="Normal 4 2 4 2 2 2 7" xfId="4735" xr:uid="{00000000-0005-0000-0000-000042130000}"/>
    <cellStyle name="Normal 4 2 4 2 2 2 7 2" xfId="14061" xr:uid="{6A14CA1F-C692-484A-8502-31F46255D092}"/>
    <cellStyle name="Normal 4 2 4 2 2 2 8" xfId="9130" xr:uid="{E4AAEB37-D6CE-4BD9-A166-BE52F754DAC4}"/>
    <cellStyle name="Normal 4 2 4 2 2 2 9" xfId="9844" xr:uid="{D34822CE-1D84-4BDE-ABB8-0A185F6A7373}"/>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2FF95B60-652F-4500-9525-C6CCDDF52D3A}"/>
    <cellStyle name="Normal 4 2 4 2 2 3 2 3" xfId="12401" xr:uid="{7EF8E24E-FF3A-44A0-98C7-5F1976AE5FF5}"/>
    <cellStyle name="Normal 4 2 4 2 2 3 3" xfId="5147" xr:uid="{00000000-0005-0000-0000-000046130000}"/>
    <cellStyle name="Normal 4 2 4 2 2 3 3 2" xfId="14473" xr:uid="{A9414C2D-F351-4780-AE58-C36A55107A28}"/>
    <cellStyle name="Normal 4 2 4 2 2 3 4" xfId="9348" xr:uid="{E9E52CF6-B3CF-482F-B496-A22B0452951D}"/>
    <cellStyle name="Normal 4 2 4 2 2 3 5" xfId="10256" xr:uid="{A2C8085F-4D4C-4458-B201-A7CFFC0E190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A4F74D2D-56E2-43C2-98EA-4D802B178E09}"/>
    <cellStyle name="Normal 4 2 4 2 2 4 2 3" xfId="12814" xr:uid="{BEF62FA0-34F8-4BFD-8F68-14C083C89E61}"/>
    <cellStyle name="Normal 4 2 4 2 2 4 3" xfId="5560" xr:uid="{00000000-0005-0000-0000-00004A130000}"/>
    <cellStyle name="Normal 4 2 4 2 2 4 3 2" xfId="14886" xr:uid="{A3FF43B0-4DA6-4167-90D4-4BCC49F90943}"/>
    <cellStyle name="Normal 4 2 4 2 2 4 4" xfId="10669" xr:uid="{E5927CF4-57D4-4E83-AB4A-3C96DA8E6C91}"/>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0283C96E-1922-4190-A909-5E0ECC43FFA2}"/>
    <cellStyle name="Normal 4 2 4 2 2 5 2 3" xfId="13227" xr:uid="{CF53F761-C509-44E7-8BB2-9A6D8B389225}"/>
    <cellStyle name="Normal 4 2 4 2 2 5 3" xfId="5973" xr:uid="{00000000-0005-0000-0000-00004E130000}"/>
    <cellStyle name="Normal 4 2 4 2 2 5 3 2" xfId="15299" xr:uid="{9FBD23C0-F269-43B1-9280-ACBFEF2FE18B}"/>
    <cellStyle name="Normal 4 2 4 2 2 5 4" xfId="11082" xr:uid="{BB13F6B6-0DDA-4337-94A2-AC7B2B940068}"/>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B26B0B06-5A7A-492F-BB71-2266D5D4955F}"/>
    <cellStyle name="Normal 4 2 4 2 2 6 2 3" xfId="13640" xr:uid="{CEA3B57D-7AB6-4B77-BE13-AEE6DBBE45D8}"/>
    <cellStyle name="Normal 4 2 4 2 2 6 3" xfId="6386" xr:uid="{00000000-0005-0000-0000-000052130000}"/>
    <cellStyle name="Normal 4 2 4 2 2 6 3 2" xfId="15712" xr:uid="{ECE74E26-F9EE-43F0-B5C1-BB6A2D36E659}"/>
    <cellStyle name="Normal 4 2 4 2 2 6 4" xfId="11495" xr:uid="{28881F37-0DC6-49DB-865A-AF4745B9C703}"/>
    <cellStyle name="Normal 4 2 4 2 2 7" xfId="2516" xr:uid="{00000000-0005-0000-0000-000053130000}"/>
    <cellStyle name="Normal 4 2 4 2 2 7 2" xfId="6799" xr:uid="{00000000-0005-0000-0000-000054130000}"/>
    <cellStyle name="Normal 4 2 4 2 2 7 2 2" xfId="16125" xr:uid="{7AE0D862-F45F-48A8-9263-2A31D2C730E6}"/>
    <cellStyle name="Normal 4 2 4 2 2 7 3" xfId="11908" xr:uid="{1A52BF40-7818-42EC-9D60-BA0EDC4621B9}"/>
    <cellStyle name="Normal 4 2 4 2 2 8" xfId="4734" xr:uid="{00000000-0005-0000-0000-000055130000}"/>
    <cellStyle name="Normal 4 2 4 2 2 8 2" xfId="14060" xr:uid="{267E99A8-9A70-4A4C-A70A-A8E84239DF88}"/>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C2954024-0937-4A76-9076-4759F3E1A95C}"/>
    <cellStyle name="Normal 4 2 4 2 3 2 2 3" xfId="12403" xr:uid="{4262D58A-53C0-41F6-ACF6-4979D8C9A219}"/>
    <cellStyle name="Normal 4 2 4 2 3 2 3" xfId="5149" xr:uid="{00000000-0005-0000-0000-00005A130000}"/>
    <cellStyle name="Normal 4 2 4 2 3 2 3 2" xfId="14475" xr:uid="{62C07055-3CD3-4EA0-8538-B5AAA976B4AD}"/>
    <cellStyle name="Normal 4 2 4 2 3 2 4" xfId="9452" xr:uid="{58F46659-8F00-4705-8554-54AEBE9B8A77}"/>
    <cellStyle name="Normal 4 2 4 2 3 2 5" xfId="10258" xr:uid="{3915EC6F-99A5-4CF3-8B40-1894C431E4E2}"/>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9E0A33DE-BAF6-49A7-B6A2-BEB1ED6BB62D}"/>
    <cellStyle name="Normal 4 2 4 2 3 3 2 3" xfId="12816" xr:uid="{A0B83FA0-7488-4478-BF93-3A87D564DB11}"/>
    <cellStyle name="Normal 4 2 4 2 3 3 3" xfId="5562" xr:uid="{00000000-0005-0000-0000-00005E130000}"/>
    <cellStyle name="Normal 4 2 4 2 3 3 3 2" xfId="14888" xr:uid="{6837078D-84AA-4ABB-9DD5-3C45520A8A6D}"/>
    <cellStyle name="Normal 4 2 4 2 3 3 4" xfId="10671" xr:uid="{EBEDE614-F29A-4DDD-A694-5A5FFF978628}"/>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81A32625-A38C-4763-A74C-E69FA1A3205A}"/>
    <cellStyle name="Normal 4 2 4 2 3 4 2 3" xfId="13229" xr:uid="{1385A138-F922-4A46-A2C6-4ED407D7A16E}"/>
    <cellStyle name="Normal 4 2 4 2 3 4 3" xfId="5975" xr:uid="{00000000-0005-0000-0000-000062130000}"/>
    <cellStyle name="Normal 4 2 4 2 3 4 3 2" xfId="15301" xr:uid="{33046637-735D-4E20-9CE1-60D0EE61E971}"/>
    <cellStyle name="Normal 4 2 4 2 3 4 4" xfId="11084" xr:uid="{2E35AE6D-E96F-43F8-9F4E-B9312990C939}"/>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C76EAA49-160A-418C-961B-00A9DE84BDE9}"/>
    <cellStyle name="Normal 4 2 4 2 3 5 2 3" xfId="13642" xr:uid="{913117EF-CD85-413B-A230-173AB574147F}"/>
    <cellStyle name="Normal 4 2 4 2 3 5 3" xfId="6388" xr:uid="{00000000-0005-0000-0000-000066130000}"/>
    <cellStyle name="Normal 4 2 4 2 3 5 3 2" xfId="15714" xr:uid="{3DCDDE1C-3DA2-4E4B-976B-C2632E74F18A}"/>
    <cellStyle name="Normal 4 2 4 2 3 5 4" xfId="11497" xr:uid="{670F4440-1A76-4EFE-8947-9A83A7D666DA}"/>
    <cellStyle name="Normal 4 2 4 2 3 6" xfId="2518" xr:uid="{00000000-0005-0000-0000-000067130000}"/>
    <cellStyle name="Normal 4 2 4 2 3 6 2" xfId="6801" xr:uid="{00000000-0005-0000-0000-000068130000}"/>
    <cellStyle name="Normal 4 2 4 2 3 6 2 2" xfId="16127" xr:uid="{58276398-7838-4205-A62D-C071552BA53C}"/>
    <cellStyle name="Normal 4 2 4 2 3 6 3" xfId="11910" xr:uid="{61C612FC-041A-4605-802E-89766FE8C701}"/>
    <cellStyle name="Normal 4 2 4 2 3 7" xfId="4736" xr:uid="{00000000-0005-0000-0000-000069130000}"/>
    <cellStyle name="Normal 4 2 4 2 3 7 2" xfId="14062" xr:uid="{250952B8-28D1-42FB-8FD8-103AB2B61CEE}"/>
    <cellStyle name="Normal 4 2 4 2 3 8" xfId="9027" xr:uid="{DA430019-E492-48BB-ACD5-5BE853C50FBC}"/>
    <cellStyle name="Normal 4 2 4 2 3 9" xfId="9845" xr:uid="{8371101E-31ED-4719-9B49-7CAB2BCCD9D7}"/>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8000C3EB-E75B-4065-A03A-B0D4CD14C4C3}"/>
    <cellStyle name="Normal 4 2 4 2 4 2 3" xfId="12400" xr:uid="{ADC3C9C2-33BC-4FED-9AE7-EB39EDE4D3A6}"/>
    <cellStyle name="Normal 4 2 4 2 4 3" xfId="5146" xr:uid="{00000000-0005-0000-0000-00006D130000}"/>
    <cellStyle name="Normal 4 2 4 2 4 3 2" xfId="14472" xr:uid="{EFEDE80B-AF23-4704-A59E-FAC7D22B4628}"/>
    <cellStyle name="Normal 4 2 4 2 4 4" xfId="9245" xr:uid="{A0383DD8-843E-4601-922A-5CDD979D0589}"/>
    <cellStyle name="Normal 4 2 4 2 4 5" xfId="10255" xr:uid="{0F744EFE-260B-417E-92DD-19D29B197108}"/>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B6AC484C-0D42-45C6-8538-CE102EB7D5F5}"/>
    <cellStyle name="Normal 4 2 4 2 5 2 3" xfId="12813" xr:uid="{69A903A1-EA2E-4F4B-97CE-FBEFC01F0A46}"/>
    <cellStyle name="Normal 4 2 4 2 5 3" xfId="5559" xr:uid="{00000000-0005-0000-0000-000071130000}"/>
    <cellStyle name="Normal 4 2 4 2 5 3 2" xfId="14885" xr:uid="{B8C3CF76-6D7F-4C08-97A3-0A219BF0B161}"/>
    <cellStyle name="Normal 4 2 4 2 5 4" xfId="10668" xr:uid="{FD91289D-3123-4FE1-B872-A452BA49ACEA}"/>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FFA51453-0660-47DF-8508-19049889D470}"/>
    <cellStyle name="Normal 4 2 4 2 6 2 3" xfId="13226" xr:uid="{529EA76C-6ABC-47DE-B49A-37591FE52C23}"/>
    <cellStyle name="Normal 4 2 4 2 6 3" xfId="5972" xr:uid="{00000000-0005-0000-0000-000075130000}"/>
    <cellStyle name="Normal 4 2 4 2 6 3 2" xfId="15298" xr:uid="{8F5A0402-46AB-4995-82DF-FBF620B97A5F}"/>
    <cellStyle name="Normal 4 2 4 2 6 4" xfId="11081" xr:uid="{4374AD2D-DBB3-4D4C-8723-BEA9F8604485}"/>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CB0D714C-C26C-42B0-87CE-7E8FF56CBBE3}"/>
    <cellStyle name="Normal 4 2 4 2 7 2 3" xfId="13639" xr:uid="{11D799A4-A723-4773-A146-18435BA9E0A2}"/>
    <cellStyle name="Normal 4 2 4 2 7 3" xfId="6385" xr:uid="{00000000-0005-0000-0000-000079130000}"/>
    <cellStyle name="Normal 4 2 4 2 7 3 2" xfId="15711" xr:uid="{E6A4D972-2803-478D-80F1-4B6ABC4EE16F}"/>
    <cellStyle name="Normal 4 2 4 2 7 4" xfId="11494" xr:uid="{3AF4A35F-0949-4037-96B9-94FCD8CB518B}"/>
    <cellStyle name="Normal 4 2 4 2 8" xfId="2515" xr:uid="{00000000-0005-0000-0000-00007A130000}"/>
    <cellStyle name="Normal 4 2 4 2 8 2" xfId="6798" xr:uid="{00000000-0005-0000-0000-00007B130000}"/>
    <cellStyle name="Normal 4 2 4 2 8 2 2" xfId="16124" xr:uid="{9273312E-22D3-49D8-A5CD-04B9AE03CC44}"/>
    <cellStyle name="Normal 4 2 4 2 8 3" xfId="11907" xr:uid="{A361C073-5286-4B0E-BB9C-71A4B5A9DE04}"/>
    <cellStyle name="Normal 4 2 4 2 9" xfId="4733" xr:uid="{00000000-0005-0000-0000-00007C130000}"/>
    <cellStyle name="Normal 4 2 4 2 9 2" xfId="14059" xr:uid="{C46B1DF3-55CE-4763-90FD-42EE7CD989D1}"/>
    <cellStyle name="Normal 4 2 4 3" xfId="360" xr:uid="{00000000-0005-0000-0000-00007D130000}"/>
    <cellStyle name="Normal 4 2 4 3 10" xfId="9846" xr:uid="{416AEC04-CF9F-4E38-BCB0-9DB05C32034C}"/>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DB0808E3-DAC8-4F79-981D-3CA1CD140CF8}"/>
    <cellStyle name="Normal 4 2 4 3 2 2 2 3" xfId="12405" xr:uid="{5FDC33FC-7CB3-4F2D-A0F1-DFF19069BD6E}"/>
    <cellStyle name="Normal 4 2 4 3 2 2 3" xfId="5151" xr:uid="{00000000-0005-0000-0000-000082130000}"/>
    <cellStyle name="Normal 4 2 4 3 2 2 3 2" xfId="14477" xr:uid="{4BA9284A-CBFB-4AC3-8B2B-5F73278D2D45}"/>
    <cellStyle name="Normal 4 2 4 3 2 2 4" xfId="9510" xr:uid="{AA534F18-B7F5-44D9-AE7D-03E6DE45E4F9}"/>
    <cellStyle name="Normal 4 2 4 3 2 2 5" xfId="10260" xr:uid="{68D94F70-76EF-45BD-B07F-6A6F79BD8F8C}"/>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D9639D03-846A-4EC1-957E-97C479A66D04}"/>
    <cellStyle name="Normal 4 2 4 3 2 3 2 3" xfId="12818" xr:uid="{08024E57-509A-4432-9C70-4AE1B6B7F28A}"/>
    <cellStyle name="Normal 4 2 4 3 2 3 3" xfId="5564" xr:uid="{00000000-0005-0000-0000-000086130000}"/>
    <cellStyle name="Normal 4 2 4 3 2 3 3 2" xfId="14890" xr:uid="{44AAAEC6-F63E-45A3-BE6C-494173E5C921}"/>
    <cellStyle name="Normal 4 2 4 3 2 3 4" xfId="10673" xr:uid="{9FB88CF4-4FC1-4587-A357-7D35A15F04B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7747C7D5-D88F-4CBB-9C98-88A84A903E95}"/>
    <cellStyle name="Normal 4 2 4 3 2 4 2 3" xfId="13231" xr:uid="{D4EE7BA5-6804-4814-B4CB-DB46819A7F4E}"/>
    <cellStyle name="Normal 4 2 4 3 2 4 3" xfId="5977" xr:uid="{00000000-0005-0000-0000-00008A130000}"/>
    <cellStyle name="Normal 4 2 4 3 2 4 3 2" xfId="15303" xr:uid="{D5CDA73D-C45E-4DA3-86AD-F2EA8388D973}"/>
    <cellStyle name="Normal 4 2 4 3 2 4 4" xfId="11086" xr:uid="{7E17B395-2D50-4926-9141-B1BCD7FD1851}"/>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8F045DC5-E57D-4140-A96F-B99CF52DD0B7}"/>
    <cellStyle name="Normal 4 2 4 3 2 5 2 3" xfId="13644" xr:uid="{9C044F64-66E1-4DB0-81FA-5EA995D26AC8}"/>
    <cellStyle name="Normal 4 2 4 3 2 5 3" xfId="6390" xr:uid="{00000000-0005-0000-0000-00008E130000}"/>
    <cellStyle name="Normal 4 2 4 3 2 5 3 2" xfId="15716" xr:uid="{666D7C2C-55CE-4210-9DA9-98CA4C416B31}"/>
    <cellStyle name="Normal 4 2 4 3 2 5 4" xfId="11499" xr:uid="{CA388944-4E96-4F79-9E06-BF82DC2DF127}"/>
    <cellStyle name="Normal 4 2 4 3 2 6" xfId="2520" xr:uid="{00000000-0005-0000-0000-00008F130000}"/>
    <cellStyle name="Normal 4 2 4 3 2 6 2" xfId="6803" xr:uid="{00000000-0005-0000-0000-000090130000}"/>
    <cellStyle name="Normal 4 2 4 3 2 6 2 2" xfId="16129" xr:uid="{D423CAC9-D664-41F2-B2F7-196C66352B9D}"/>
    <cellStyle name="Normal 4 2 4 3 2 6 3" xfId="11912" xr:uid="{A14582A2-0A26-4AA8-B474-4544D972FAC9}"/>
    <cellStyle name="Normal 4 2 4 3 2 7" xfId="4738" xr:uid="{00000000-0005-0000-0000-000091130000}"/>
    <cellStyle name="Normal 4 2 4 3 2 7 2" xfId="14064" xr:uid="{C3255AFD-F925-4418-95D3-454404530500}"/>
    <cellStyle name="Normal 4 2 4 3 2 8" xfId="9085" xr:uid="{0181E53C-86DC-4588-8447-D559FCF01541}"/>
    <cellStyle name="Normal 4 2 4 3 2 9" xfId="9847" xr:uid="{AF80DD1A-F99C-456F-8C9A-D6598B5BA316}"/>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E6277F86-740C-4C64-BC8E-7552C4D0FBFA}"/>
    <cellStyle name="Normal 4 2 4 3 3 2 3" xfId="12404" xr:uid="{B93591E2-81E5-4697-A74A-3D93DBF345C3}"/>
    <cellStyle name="Normal 4 2 4 3 3 3" xfId="5150" xr:uid="{00000000-0005-0000-0000-000095130000}"/>
    <cellStyle name="Normal 4 2 4 3 3 3 2" xfId="14476" xr:uid="{84DECD77-5C69-48CC-9328-17F4CA48B76E}"/>
    <cellStyle name="Normal 4 2 4 3 3 4" xfId="9303" xr:uid="{51CE977A-E9B9-47DD-B6CE-3ECF34A578F1}"/>
    <cellStyle name="Normal 4 2 4 3 3 5" xfId="10259" xr:uid="{6CFF512F-045D-4844-9097-68C2E9430AB7}"/>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21EEA2A1-1304-4506-8D90-917520CACD48}"/>
    <cellStyle name="Normal 4 2 4 3 4 2 3" xfId="12817" xr:uid="{ED73D1AD-2682-41DE-8B26-093D58078528}"/>
    <cellStyle name="Normal 4 2 4 3 4 3" xfId="5563" xr:uid="{00000000-0005-0000-0000-000099130000}"/>
    <cellStyle name="Normal 4 2 4 3 4 3 2" xfId="14889" xr:uid="{9472888C-8E7A-4855-95FE-F50CF268294F}"/>
    <cellStyle name="Normal 4 2 4 3 4 4" xfId="10672" xr:uid="{83DD8F01-711F-499F-88D0-140D509F6699}"/>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BDDF9CFC-6160-4B15-87A4-48D7142D0DCB}"/>
    <cellStyle name="Normal 4 2 4 3 5 2 3" xfId="13230" xr:uid="{4C9CA1CD-EE5F-4254-82AE-856D248BD362}"/>
    <cellStyle name="Normal 4 2 4 3 5 3" xfId="5976" xr:uid="{00000000-0005-0000-0000-00009D130000}"/>
    <cellStyle name="Normal 4 2 4 3 5 3 2" xfId="15302" xr:uid="{4AF6F344-BD9D-4092-8A00-849BF22FE796}"/>
    <cellStyle name="Normal 4 2 4 3 5 4" xfId="11085" xr:uid="{CFD44846-7714-4B7E-A32E-60D250BB1F12}"/>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6F6766ED-14EB-40AD-B61D-B4EEA4927414}"/>
    <cellStyle name="Normal 4 2 4 3 6 2 3" xfId="13643" xr:uid="{AD002C14-1929-4075-9C40-E0A8FA7037AD}"/>
    <cellStyle name="Normal 4 2 4 3 6 3" xfId="6389" xr:uid="{00000000-0005-0000-0000-0000A1130000}"/>
    <cellStyle name="Normal 4 2 4 3 6 3 2" xfId="15715" xr:uid="{BDEEC9EA-13FA-4B0D-A68B-F54C42525BFB}"/>
    <cellStyle name="Normal 4 2 4 3 6 4" xfId="11498" xr:uid="{9AE487AF-9EC8-4EE3-8F3E-9552BE9F1CF8}"/>
    <cellStyle name="Normal 4 2 4 3 7" xfId="2519" xr:uid="{00000000-0005-0000-0000-0000A2130000}"/>
    <cellStyle name="Normal 4 2 4 3 7 2" xfId="6802" xr:uid="{00000000-0005-0000-0000-0000A3130000}"/>
    <cellStyle name="Normal 4 2 4 3 7 2 2" xfId="16128" xr:uid="{43DDBC29-5B83-46DC-9843-3CB5A156BBAF}"/>
    <cellStyle name="Normal 4 2 4 3 7 3" xfId="11911" xr:uid="{32D51B6C-48B2-4EC2-BDDA-89E77FC4B096}"/>
    <cellStyle name="Normal 4 2 4 3 8" xfId="4737" xr:uid="{00000000-0005-0000-0000-0000A4130000}"/>
    <cellStyle name="Normal 4 2 4 3 8 2" xfId="14063" xr:uid="{FE55A57C-02F0-4ED9-890A-310A6A6AB773}"/>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77AD042A-44D7-434B-9C5E-B0208779C17E}"/>
    <cellStyle name="Normal 4 2 4 4 2 2 3" xfId="12406" xr:uid="{4F62878A-B47C-48F6-B7AA-30C0BA1BE9AE}"/>
    <cellStyle name="Normal 4 2 4 4 2 3" xfId="5152" xr:uid="{00000000-0005-0000-0000-0000A9130000}"/>
    <cellStyle name="Normal 4 2 4 4 2 3 2" xfId="14478" xr:uid="{AD427936-0066-4B2D-B6FC-D0DDA90128AB}"/>
    <cellStyle name="Normal 4 2 4 4 2 4" xfId="9407" xr:uid="{5D8D6A7A-388E-41EC-80E9-28307FA015D6}"/>
    <cellStyle name="Normal 4 2 4 4 2 5" xfId="10261" xr:uid="{9C34BB4A-1CF6-4309-846E-E8F9E2CBADB4}"/>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DC2B97FB-2754-43DF-AAB5-6DBFF51A1816}"/>
    <cellStyle name="Normal 4 2 4 4 3 2 3" xfId="12819" xr:uid="{5A54EA95-8F4E-41A1-9F97-1C4A4A8D59D7}"/>
    <cellStyle name="Normal 4 2 4 4 3 3" xfId="5565" xr:uid="{00000000-0005-0000-0000-0000AD130000}"/>
    <cellStyle name="Normal 4 2 4 4 3 3 2" xfId="14891" xr:uid="{6FFDA4B2-3CB1-4B2C-A5A7-0CA60EEC710B}"/>
    <cellStyle name="Normal 4 2 4 4 3 4" xfId="10674" xr:uid="{518719F8-D6A4-4255-9C0D-86A320EA03F6}"/>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64C8C288-A1D2-4E94-9478-2D83B12FD212}"/>
    <cellStyle name="Normal 4 2 4 4 4 2 3" xfId="13232" xr:uid="{F9BF5598-CE00-40EF-AB13-DCCCA743DFAA}"/>
    <cellStyle name="Normal 4 2 4 4 4 3" xfId="5978" xr:uid="{00000000-0005-0000-0000-0000B1130000}"/>
    <cellStyle name="Normal 4 2 4 4 4 3 2" xfId="15304" xr:uid="{657BF303-A989-43F6-8BB8-40A3F67EB454}"/>
    <cellStyle name="Normal 4 2 4 4 4 4" xfId="11087" xr:uid="{6F611561-F2E1-41C0-BFCB-33790CD7B2C9}"/>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2445B1B0-A8F2-49E0-B692-3962CCF1E66D}"/>
    <cellStyle name="Normal 4 2 4 4 5 2 3" xfId="13645" xr:uid="{D9B68D6A-1A60-4AC3-A967-E5A0979150DC}"/>
    <cellStyle name="Normal 4 2 4 4 5 3" xfId="6391" xr:uid="{00000000-0005-0000-0000-0000B5130000}"/>
    <cellStyle name="Normal 4 2 4 4 5 3 2" xfId="15717" xr:uid="{60B2586D-64B6-4A4E-80C8-6CFE9F50C03E}"/>
    <cellStyle name="Normal 4 2 4 4 5 4" xfId="11500" xr:uid="{75EEA606-E7DD-4839-8AAB-E578D0F8DF95}"/>
    <cellStyle name="Normal 4 2 4 4 6" xfId="2521" xr:uid="{00000000-0005-0000-0000-0000B6130000}"/>
    <cellStyle name="Normal 4 2 4 4 6 2" xfId="6804" xr:uid="{00000000-0005-0000-0000-0000B7130000}"/>
    <cellStyle name="Normal 4 2 4 4 6 2 2" xfId="16130" xr:uid="{313B4FAC-B693-4C0E-AEDB-E21F7307E691}"/>
    <cellStyle name="Normal 4 2 4 4 6 3" xfId="11913" xr:uid="{EA83D583-7109-4411-8D54-CC1CB968B794}"/>
    <cellStyle name="Normal 4 2 4 4 7" xfId="4739" xr:uid="{00000000-0005-0000-0000-0000B8130000}"/>
    <cellStyle name="Normal 4 2 4 4 7 2" xfId="14065" xr:uid="{8311F98E-B298-4249-8B73-B4D61C289C2E}"/>
    <cellStyle name="Normal 4 2 4 4 8" xfId="8982" xr:uid="{4C273C9B-E12E-4EF2-812F-666600229207}"/>
    <cellStyle name="Normal 4 2 4 4 9" xfId="9848" xr:uid="{78647118-6CFF-47E3-A310-A2EEDBA74924}"/>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494C2DEA-7F6B-4AB2-9A88-25D6FC3AEC2A}"/>
    <cellStyle name="Normal 4 2 4 5 2 3" xfId="12399" xr:uid="{D12FD6BD-0E6E-48AD-A0D1-53BA217FE69B}"/>
    <cellStyle name="Normal 4 2 4 5 3" xfId="5145" xr:uid="{00000000-0005-0000-0000-0000BC130000}"/>
    <cellStyle name="Normal 4 2 4 5 3 2" xfId="14471" xr:uid="{F79BDE4E-096D-4EBB-A3ED-559C4AFA2FC1}"/>
    <cellStyle name="Normal 4 2 4 5 4" xfId="9199" xr:uid="{1A9A2DC3-2FEA-4A30-A92C-84708E9B2741}"/>
    <cellStyle name="Normal 4 2 4 5 5" xfId="10254" xr:uid="{664C41A2-D443-4407-9E85-018C0B7A9A59}"/>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0D6C0E4A-EDFC-4FEF-9DA0-0DA06CD1B33D}"/>
    <cellStyle name="Normal 4 2 4 6 2 3" xfId="12812" xr:uid="{E3E85CB7-8AC4-402D-B1EB-4B63FB15371E}"/>
    <cellStyle name="Normal 4 2 4 6 3" xfId="5558" xr:uid="{00000000-0005-0000-0000-0000C0130000}"/>
    <cellStyle name="Normal 4 2 4 6 3 2" xfId="14884" xr:uid="{B16A12F1-E46C-4518-8581-71B55F175FF6}"/>
    <cellStyle name="Normal 4 2 4 6 4" xfId="10667" xr:uid="{7CC9AC10-6D1C-4F46-9417-FA0F88898666}"/>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38C8FB6B-5CB6-4B3A-BE11-70A492CF8D31}"/>
    <cellStyle name="Normal 4 2 4 7 2 3" xfId="13225" xr:uid="{8CD447A9-1188-4C24-A577-4CFE2DBF45C2}"/>
    <cellStyle name="Normal 4 2 4 7 3" xfId="5971" xr:uid="{00000000-0005-0000-0000-0000C4130000}"/>
    <cellStyle name="Normal 4 2 4 7 3 2" xfId="15297" xr:uid="{0A89E159-0310-4CBF-B381-1DC5D4E558AB}"/>
    <cellStyle name="Normal 4 2 4 7 4" xfId="11080" xr:uid="{9817690F-E218-4EC6-870C-6CA7FE189369}"/>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D63A88AF-BE2B-4C01-A563-27EC02B8BB99}"/>
    <cellStyle name="Normal 4 2 4 8 2 3" xfId="13638" xr:uid="{6A247F79-5C40-414C-8B49-973ACAEC7CF7}"/>
    <cellStyle name="Normal 4 2 4 8 3" xfId="6384" xr:uid="{00000000-0005-0000-0000-0000C8130000}"/>
    <cellStyle name="Normal 4 2 4 8 3 2" xfId="15710" xr:uid="{8D4194EE-BF13-4C6F-93FB-DA7B3602BE50}"/>
    <cellStyle name="Normal 4 2 4 8 4" xfId="11493" xr:uid="{9130534B-15B2-44DC-8C0F-CFEAA5F08798}"/>
    <cellStyle name="Normal 4 2 4 9" xfId="2514" xr:uid="{00000000-0005-0000-0000-0000C9130000}"/>
    <cellStyle name="Normal 4 2 4 9 2" xfId="6797" xr:uid="{00000000-0005-0000-0000-0000CA130000}"/>
    <cellStyle name="Normal 4 2 4 9 2 2" xfId="16123" xr:uid="{32C288F0-186B-49DF-9ECC-FBD9B5136A39}"/>
    <cellStyle name="Normal 4 2 4 9 3" xfId="11906" xr:uid="{682DCF1F-B22A-439F-BA7F-2316687D5A9C}"/>
    <cellStyle name="Normal 4 2 5" xfId="363" xr:uid="{00000000-0005-0000-0000-0000CB130000}"/>
    <cellStyle name="Normal 4 2 5 10" xfId="9849" xr:uid="{3CAC9B1D-F437-4770-9B62-83D2C553130C}"/>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A7DCECE2-F365-4641-843B-C2F40987C348}"/>
    <cellStyle name="Normal 4 2 5 2 2 2 3" xfId="12408" xr:uid="{5CF6CD59-60D6-48D3-92CC-A59969B64D17}"/>
    <cellStyle name="Normal 4 2 5 2 2 3" xfId="5154" xr:uid="{00000000-0005-0000-0000-0000D0130000}"/>
    <cellStyle name="Normal 4 2 5 2 2 3 2" xfId="14480" xr:uid="{448D0208-B05F-471F-ADE4-604C408C09BC}"/>
    <cellStyle name="Normal 4 2 5 2 2 4" xfId="9478" xr:uid="{9FEAEEC2-067D-4244-BB0F-0858128140EB}"/>
    <cellStyle name="Normal 4 2 5 2 2 5" xfId="10263" xr:uid="{DA30DC71-8320-4CCC-9416-C57BEF26967E}"/>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1BDE7620-233A-4F9B-8A1A-E891A8115065}"/>
    <cellStyle name="Normal 4 2 5 2 3 2 3" xfId="12821" xr:uid="{E6C97C90-D341-4D98-9C5D-DB42258BF42D}"/>
    <cellStyle name="Normal 4 2 5 2 3 3" xfId="5567" xr:uid="{00000000-0005-0000-0000-0000D4130000}"/>
    <cellStyle name="Normal 4 2 5 2 3 3 2" xfId="14893" xr:uid="{2FAF5E75-CECE-4B88-A262-C80C73D7E999}"/>
    <cellStyle name="Normal 4 2 5 2 3 4" xfId="10676" xr:uid="{2B4C43CA-B675-4DBB-9878-E662D04D2486}"/>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5CBF0CB2-CB49-4435-8983-C98C6ACF6CEE}"/>
    <cellStyle name="Normal 4 2 5 2 4 2 3" xfId="13234" xr:uid="{2FB0FA46-6008-4D99-9B2E-5D279E80E83C}"/>
    <cellStyle name="Normal 4 2 5 2 4 3" xfId="5980" xr:uid="{00000000-0005-0000-0000-0000D8130000}"/>
    <cellStyle name="Normal 4 2 5 2 4 3 2" xfId="15306" xr:uid="{24C98B45-0251-4A6F-BEB6-2FF234B37BBD}"/>
    <cellStyle name="Normal 4 2 5 2 4 4" xfId="11089" xr:uid="{5B423B5F-E9CC-42AD-80CE-C00FEE250C8A}"/>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FCBA2BE1-8AA8-4654-B3A6-41B1D02349DE}"/>
    <cellStyle name="Normal 4 2 5 2 5 2 3" xfId="13647" xr:uid="{B9E3140D-93CC-462A-B34A-730298726A2A}"/>
    <cellStyle name="Normal 4 2 5 2 5 3" xfId="6393" xr:uid="{00000000-0005-0000-0000-0000DC130000}"/>
    <cellStyle name="Normal 4 2 5 2 5 3 2" xfId="15719" xr:uid="{62450A93-2281-4083-B5D9-95638661B307}"/>
    <cellStyle name="Normal 4 2 5 2 5 4" xfId="11502" xr:uid="{BE5DB10B-4A9B-49A5-9812-231AE64EA12A}"/>
    <cellStyle name="Normal 4 2 5 2 6" xfId="2523" xr:uid="{00000000-0005-0000-0000-0000DD130000}"/>
    <cellStyle name="Normal 4 2 5 2 6 2" xfId="6806" xr:uid="{00000000-0005-0000-0000-0000DE130000}"/>
    <cellStyle name="Normal 4 2 5 2 6 2 2" xfId="16132" xr:uid="{C9F5143C-7FDC-4735-A6EA-845D892552DA}"/>
    <cellStyle name="Normal 4 2 5 2 6 3" xfId="11915" xr:uid="{496CCCBE-10D1-48FA-8889-01829848B365}"/>
    <cellStyle name="Normal 4 2 5 2 7" xfId="4741" xr:uid="{00000000-0005-0000-0000-0000DF130000}"/>
    <cellStyle name="Normal 4 2 5 2 7 2" xfId="14067" xr:uid="{0DBA7F85-A265-4F9F-99D0-5F36C618EE46}"/>
    <cellStyle name="Normal 4 2 5 2 8" xfId="9053" xr:uid="{0AE18A98-D9E6-47B9-86B0-DDAD3BC77B48}"/>
    <cellStyle name="Normal 4 2 5 2 9" xfId="9850" xr:uid="{41AB246D-0A0E-4C52-AE03-88C7570EC90D}"/>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B4BCF9F5-66D2-47C8-AEC0-9330F110EF75}"/>
    <cellStyle name="Normal 4 2 5 3 2 3" xfId="12407" xr:uid="{D58A8A28-5D87-4475-9BFC-C8CECF8AFD36}"/>
    <cellStyle name="Normal 4 2 5 3 3" xfId="5153" xr:uid="{00000000-0005-0000-0000-0000E3130000}"/>
    <cellStyle name="Normal 4 2 5 3 3 2" xfId="14479" xr:uid="{FCF31016-441F-4C42-87DB-0B0BCC22FF98}"/>
    <cellStyle name="Normal 4 2 5 3 4" xfId="9271" xr:uid="{41AE7BB1-E3C7-48BD-B24F-55AE39E68BB6}"/>
    <cellStyle name="Normal 4 2 5 3 5" xfId="10262" xr:uid="{13A40C9A-D4D0-4498-82A4-89A482275467}"/>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04D8A370-215F-4882-93F3-813D744908B5}"/>
    <cellStyle name="Normal 4 2 5 4 2 3" xfId="12820" xr:uid="{F2D00B94-6984-4767-9D94-5D4C3E1A911A}"/>
    <cellStyle name="Normal 4 2 5 4 3" xfId="5566" xr:uid="{00000000-0005-0000-0000-0000E7130000}"/>
    <cellStyle name="Normal 4 2 5 4 3 2" xfId="14892" xr:uid="{0838E458-36CE-4ACD-957E-5EDB688CC079}"/>
    <cellStyle name="Normal 4 2 5 4 4" xfId="10675" xr:uid="{53BC53CE-037D-4903-8E13-85389EA2374D}"/>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4AEF26A6-3246-4355-927D-358EE0086EAB}"/>
    <cellStyle name="Normal 4 2 5 5 2 3" xfId="13233" xr:uid="{E781D9EC-1DF4-4DC7-8630-DB4576241087}"/>
    <cellStyle name="Normal 4 2 5 5 3" xfId="5979" xr:uid="{00000000-0005-0000-0000-0000EB130000}"/>
    <cellStyle name="Normal 4 2 5 5 3 2" xfId="15305" xr:uid="{894AAA3E-4D9E-43AA-AF02-E5EF80861B96}"/>
    <cellStyle name="Normal 4 2 5 5 4" xfId="11088" xr:uid="{A66AD450-CE94-46CB-B1C5-24D03053088D}"/>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D4D819B3-F2CE-4D6C-BE87-589689375349}"/>
    <cellStyle name="Normal 4 2 5 6 2 3" xfId="13646" xr:uid="{2175D5D4-02C0-4FC2-94E5-6437B4C88A5C}"/>
    <cellStyle name="Normal 4 2 5 6 3" xfId="6392" xr:uid="{00000000-0005-0000-0000-0000EF130000}"/>
    <cellStyle name="Normal 4 2 5 6 3 2" xfId="15718" xr:uid="{4389869E-EEA1-4D65-9F9D-1EE167411563}"/>
    <cellStyle name="Normal 4 2 5 6 4" xfId="11501" xr:uid="{3F68B7E3-3A67-4A70-99C0-4E4296F72F7C}"/>
    <cellStyle name="Normal 4 2 5 7" xfId="2522" xr:uid="{00000000-0005-0000-0000-0000F0130000}"/>
    <cellStyle name="Normal 4 2 5 7 2" xfId="6805" xr:uid="{00000000-0005-0000-0000-0000F1130000}"/>
    <cellStyle name="Normal 4 2 5 7 2 2" xfId="16131" xr:uid="{F5494A73-EA83-4326-A4E0-FA9D0730AFF8}"/>
    <cellStyle name="Normal 4 2 5 7 3" xfId="11914" xr:uid="{FB84A552-2C8E-4D7C-A153-327E75FB1645}"/>
    <cellStyle name="Normal 4 2 5 8" xfId="4740" xr:uid="{00000000-0005-0000-0000-0000F2130000}"/>
    <cellStyle name="Normal 4 2 5 8 2" xfId="14066" xr:uid="{16C12C9F-CC0F-40E6-B282-F8E0574E28D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C17D34D9-ACE5-4C85-8E78-95279BF30607}"/>
    <cellStyle name="Normal 4 2 6 2 2 3" xfId="12409" xr:uid="{72605578-E14E-46DD-9E94-440A12863674}"/>
    <cellStyle name="Normal 4 2 6 2 3" xfId="5155" xr:uid="{00000000-0005-0000-0000-0000F7130000}"/>
    <cellStyle name="Normal 4 2 6 2 3 2" xfId="14481" xr:uid="{52B871A3-173A-43A4-B25F-021465D9637D}"/>
    <cellStyle name="Normal 4 2 6 2 4" xfId="9387" xr:uid="{933EA8C7-37F7-4AF2-922A-47A5CB1A47BC}"/>
    <cellStyle name="Normal 4 2 6 2 5" xfId="10264" xr:uid="{FAF57D4A-9450-4195-89CF-DB46F2EDDF81}"/>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1F77A5D0-21E8-4B6E-AD73-F065CCF7AC77}"/>
    <cellStyle name="Normal 4 2 6 3 2 3" xfId="12822" xr:uid="{F9C07E8E-1591-4C9B-BB03-EED6B66F41EA}"/>
    <cellStyle name="Normal 4 2 6 3 3" xfId="5568" xr:uid="{00000000-0005-0000-0000-0000FB130000}"/>
    <cellStyle name="Normal 4 2 6 3 3 2" xfId="14894" xr:uid="{F0319934-8B95-4ABE-B33B-C9514D402290}"/>
    <cellStyle name="Normal 4 2 6 3 4" xfId="10677" xr:uid="{05521E14-0D80-45D6-8EF6-9C90E6DA7FAA}"/>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C7B8862A-0820-41E0-856E-8ED5854F83B1}"/>
    <cellStyle name="Normal 4 2 6 4 2 3" xfId="13235" xr:uid="{8CD2492D-4FA4-41FA-A43E-49EC52E21086}"/>
    <cellStyle name="Normal 4 2 6 4 3" xfId="5981" xr:uid="{00000000-0005-0000-0000-0000FF130000}"/>
    <cellStyle name="Normal 4 2 6 4 3 2" xfId="15307" xr:uid="{5206D50B-388C-4E27-A732-32F1710F959C}"/>
    <cellStyle name="Normal 4 2 6 4 4" xfId="11090" xr:uid="{24052215-9E7E-4D54-89C4-72343C28489B}"/>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C827BB41-005D-4527-BCF0-A503AE4D83FE}"/>
    <cellStyle name="Normal 4 2 6 5 2 3" xfId="13648" xr:uid="{F2F94372-B55E-49A8-912E-C4FA870D00AC}"/>
    <cellStyle name="Normal 4 2 6 5 3" xfId="6394" xr:uid="{00000000-0005-0000-0000-000003140000}"/>
    <cellStyle name="Normal 4 2 6 5 3 2" xfId="15720" xr:uid="{EB9D5C1D-F70E-4829-AE1B-7BBD4CCE252E}"/>
    <cellStyle name="Normal 4 2 6 5 4" xfId="11503" xr:uid="{F828226B-6A9D-4FAE-AA6A-B6E462A74718}"/>
    <cellStyle name="Normal 4 2 6 6" xfId="2524" xr:uid="{00000000-0005-0000-0000-000004140000}"/>
    <cellStyle name="Normal 4 2 6 6 2" xfId="6807" xr:uid="{00000000-0005-0000-0000-000005140000}"/>
    <cellStyle name="Normal 4 2 6 6 2 2" xfId="16133" xr:uid="{354ACA15-4A03-4A04-8F96-650682992CC9}"/>
    <cellStyle name="Normal 4 2 6 6 3" xfId="11916" xr:uid="{6C29F4C9-CC55-49CD-BC35-B1A09C8E51F4}"/>
    <cellStyle name="Normal 4 2 6 7" xfId="4742" xr:uid="{00000000-0005-0000-0000-000006140000}"/>
    <cellStyle name="Normal 4 2 6 7 2" xfId="14068" xr:uid="{1C0B23C1-300B-40E2-A17B-E847865CBEC3}"/>
    <cellStyle name="Normal 4 2 6 8" xfId="8962" xr:uid="{1A1596D6-3914-4465-A638-E540359059D2}"/>
    <cellStyle name="Normal 4 2 6 9" xfId="9851" xr:uid="{822D7436-BADB-4A57-BC8C-C4F99C647C7D}"/>
    <cellStyle name="Normal 4 2 7" xfId="9165" xr:uid="{6363F967-7399-442D-B2CE-00085FF7F1E8}"/>
    <cellStyle name="Normal 4 2 8" xfId="8743" xr:uid="{E2B8331F-47F9-4829-99C7-E05840A106B9}"/>
    <cellStyle name="Normal 4 3" xfId="366" xr:uid="{00000000-0005-0000-0000-000007140000}"/>
    <cellStyle name="Normal 4 3 10" xfId="9852" xr:uid="{765C1457-A2A7-4776-BF6D-732D35DA88E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9F6081F2-EF29-46A7-B220-4F62FD6A8079}"/>
    <cellStyle name="Normal 4 3 2 2 2 2" xfId="370" xr:uid="{00000000-0005-0000-0000-00000B140000}"/>
    <cellStyle name="Normal 4 3 2 2 2 2 10" xfId="9854" xr:uid="{39F81435-538D-4CF4-BC8D-89FE58A61A93}"/>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A4DDD017-B1E0-4A08-8B63-EA80E1514CD2}"/>
    <cellStyle name="Normal 4 3 2 2 2 2 2 2 2 3" xfId="12413" xr:uid="{9B4B7B53-91B6-44A3-BD8E-67F6BA0F1E32}"/>
    <cellStyle name="Normal 4 3 2 2 2 2 2 2 3" xfId="5159" xr:uid="{00000000-0005-0000-0000-000010140000}"/>
    <cellStyle name="Normal 4 3 2 2 2 2 2 2 3 2" xfId="14485" xr:uid="{B7B1D56A-86BA-4101-B84D-AD8473811BF0}"/>
    <cellStyle name="Normal 4 3 2 2 2 2 2 2 4" xfId="9557" xr:uid="{4F6BDD99-7BF1-4D2F-9EDC-4F75F1942DB4}"/>
    <cellStyle name="Normal 4 3 2 2 2 2 2 2 5" xfId="10268" xr:uid="{4F5878D1-2116-407E-B93D-7CECCF6D4108}"/>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CE35035F-1C39-4258-8466-3847F64F4444}"/>
    <cellStyle name="Normal 4 3 2 2 2 2 2 3 2 3" xfId="12826" xr:uid="{D248AC3E-39B7-4A2B-97F2-AD4A9AA057C7}"/>
    <cellStyle name="Normal 4 3 2 2 2 2 2 3 3" xfId="5572" xr:uid="{00000000-0005-0000-0000-000014140000}"/>
    <cellStyle name="Normal 4 3 2 2 2 2 2 3 3 2" xfId="14898" xr:uid="{31A61FB0-04B6-4B2C-B78E-EF89DD9640AA}"/>
    <cellStyle name="Normal 4 3 2 2 2 2 2 3 4" xfId="10681" xr:uid="{0F192034-4CF6-4DAD-9A3C-6C4DED3C796F}"/>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4777423B-4374-4005-9FB6-4C4AA870584D}"/>
    <cellStyle name="Normal 4 3 2 2 2 2 2 4 2 3" xfId="13239" xr:uid="{22AEF3B6-7636-43BB-BA8B-31D88A00DDB9}"/>
    <cellStyle name="Normal 4 3 2 2 2 2 2 4 3" xfId="5985" xr:uid="{00000000-0005-0000-0000-000018140000}"/>
    <cellStyle name="Normal 4 3 2 2 2 2 2 4 3 2" xfId="15311" xr:uid="{4EE27F13-494C-4C0C-A05E-2896A3EDB4F0}"/>
    <cellStyle name="Normal 4 3 2 2 2 2 2 4 4" xfId="11094" xr:uid="{0B3D11D5-D5DC-4AFC-BD86-58D72448779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B848CF23-876F-4807-A821-A495AA4BC1F6}"/>
    <cellStyle name="Normal 4 3 2 2 2 2 2 5 2 3" xfId="13652" xr:uid="{81299D46-E221-40BB-858D-8556EDE6008C}"/>
    <cellStyle name="Normal 4 3 2 2 2 2 2 5 3" xfId="6398" xr:uid="{00000000-0005-0000-0000-00001C140000}"/>
    <cellStyle name="Normal 4 3 2 2 2 2 2 5 3 2" xfId="15724" xr:uid="{60931FCD-27E3-4D4A-B338-B6FB69131CF1}"/>
    <cellStyle name="Normal 4 3 2 2 2 2 2 5 4" xfId="11507" xr:uid="{39F33E54-EFF3-4AEE-A18C-46A337A41409}"/>
    <cellStyle name="Normal 4 3 2 2 2 2 2 6" xfId="2528" xr:uid="{00000000-0005-0000-0000-00001D140000}"/>
    <cellStyle name="Normal 4 3 2 2 2 2 2 6 2" xfId="6811" xr:uid="{00000000-0005-0000-0000-00001E140000}"/>
    <cellStyle name="Normal 4 3 2 2 2 2 2 6 2 2" xfId="16137" xr:uid="{0EDAFF8A-21AE-4210-B9DA-2237622A4389}"/>
    <cellStyle name="Normal 4 3 2 2 2 2 2 6 3" xfId="11920" xr:uid="{E56B2E73-D902-4D9C-A3C8-CABD905E3D8D}"/>
    <cellStyle name="Normal 4 3 2 2 2 2 2 7" xfId="4746" xr:uid="{00000000-0005-0000-0000-00001F140000}"/>
    <cellStyle name="Normal 4 3 2 2 2 2 2 7 2" xfId="14072" xr:uid="{1B74089E-2EF8-49E8-91A8-D1BE4EC44C8C}"/>
    <cellStyle name="Normal 4 3 2 2 2 2 2 8" xfId="9132" xr:uid="{14F6ED12-EABF-4C82-AD59-55D351026913}"/>
    <cellStyle name="Normal 4 3 2 2 2 2 2 9" xfId="9855" xr:uid="{8FA63873-ACF7-4E13-9FDD-8EF6B536A522}"/>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1A62A3AA-C569-4A39-A2E1-2F0B2CA31D82}"/>
    <cellStyle name="Normal 4 3 2 2 2 2 3 2 3" xfId="12412" xr:uid="{101E72F3-3A56-4828-8A76-EB77D2C10D2A}"/>
    <cellStyle name="Normal 4 3 2 2 2 2 3 3" xfId="5158" xr:uid="{00000000-0005-0000-0000-000023140000}"/>
    <cellStyle name="Normal 4 3 2 2 2 2 3 3 2" xfId="14484" xr:uid="{9E640630-493F-4F7E-8364-C18A40C2CEA3}"/>
    <cellStyle name="Normal 4 3 2 2 2 2 3 4" xfId="9350" xr:uid="{DFFEAFB7-A284-4FD9-B115-C19DA011CCC7}"/>
    <cellStyle name="Normal 4 3 2 2 2 2 3 5" xfId="10267" xr:uid="{D12FC542-7175-42CA-A2AC-4B2C9C086BD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9330384B-6258-454E-8F6F-B56CF01495E7}"/>
    <cellStyle name="Normal 4 3 2 2 2 2 4 2 3" xfId="12825" xr:uid="{61911A7C-0A30-403F-A6F0-103FA73BDA09}"/>
    <cellStyle name="Normal 4 3 2 2 2 2 4 3" xfId="5571" xr:uid="{00000000-0005-0000-0000-000027140000}"/>
    <cellStyle name="Normal 4 3 2 2 2 2 4 3 2" xfId="14897" xr:uid="{9D123C10-32B7-4DBC-B56E-A23D8D655FA7}"/>
    <cellStyle name="Normal 4 3 2 2 2 2 4 4" xfId="10680" xr:uid="{938A501D-19E9-43D4-9C38-1901F3D3C1DE}"/>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17DA7386-10B3-4386-A924-31B7D09CCC6C}"/>
    <cellStyle name="Normal 4 3 2 2 2 2 5 2 3" xfId="13238" xr:uid="{679DDE1A-A3E0-4375-A1DA-6F652174EAF4}"/>
    <cellStyle name="Normal 4 3 2 2 2 2 5 3" xfId="5984" xr:uid="{00000000-0005-0000-0000-00002B140000}"/>
    <cellStyle name="Normal 4 3 2 2 2 2 5 3 2" xfId="15310" xr:uid="{C7ED78E9-C967-4FAC-B45A-8CCDF3431232}"/>
    <cellStyle name="Normal 4 3 2 2 2 2 5 4" xfId="11093" xr:uid="{4B330C73-AF0F-4DDB-A14B-DDA211301D9A}"/>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2EFCD53F-C9BB-41A5-BDD3-992428874EF3}"/>
    <cellStyle name="Normal 4 3 2 2 2 2 6 2 3" xfId="13651" xr:uid="{6318DB03-1788-43DB-A578-84A805E2B5C1}"/>
    <cellStyle name="Normal 4 3 2 2 2 2 6 3" xfId="6397" xr:uid="{00000000-0005-0000-0000-00002F140000}"/>
    <cellStyle name="Normal 4 3 2 2 2 2 6 3 2" xfId="15723" xr:uid="{F36DE751-9AB6-4AF3-A11A-5E16DD4ECC39}"/>
    <cellStyle name="Normal 4 3 2 2 2 2 6 4" xfId="11506" xr:uid="{E7194415-48E1-4C18-A14E-FCC4C21D384B}"/>
    <cellStyle name="Normal 4 3 2 2 2 2 7" xfId="2527" xr:uid="{00000000-0005-0000-0000-000030140000}"/>
    <cellStyle name="Normal 4 3 2 2 2 2 7 2" xfId="6810" xr:uid="{00000000-0005-0000-0000-000031140000}"/>
    <cellStyle name="Normal 4 3 2 2 2 2 7 2 2" xfId="16136" xr:uid="{72E6BD20-C53B-47E0-A2DE-C27D516D31B9}"/>
    <cellStyle name="Normal 4 3 2 2 2 2 7 3" xfId="11919" xr:uid="{594338AD-3DAB-4CDB-A17B-4C8308F07D31}"/>
    <cellStyle name="Normal 4 3 2 2 2 2 8" xfId="4745" xr:uid="{00000000-0005-0000-0000-000032140000}"/>
    <cellStyle name="Normal 4 3 2 2 2 2 8 2" xfId="14071" xr:uid="{088E440D-5A25-43FA-AD7F-92BC1F1E749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904B54E7-DC9B-43BD-9EE4-EBFD3EBEF521}"/>
    <cellStyle name="Normal 4 3 2 2 2 3 2 2 3" xfId="12414" xr:uid="{19CE4683-3A84-437C-B595-2FB93B196752}"/>
    <cellStyle name="Normal 4 3 2 2 2 3 2 3" xfId="5160" xr:uid="{00000000-0005-0000-0000-000037140000}"/>
    <cellStyle name="Normal 4 3 2 2 2 3 2 3 2" xfId="14486" xr:uid="{34C3C4F8-BEB3-41C8-89C3-8BE202BFAD2E}"/>
    <cellStyle name="Normal 4 3 2 2 2 3 2 4" xfId="9454" xr:uid="{B81F5EAA-7D8E-43B5-94D7-313E66088BA5}"/>
    <cellStyle name="Normal 4 3 2 2 2 3 2 5" xfId="10269" xr:uid="{1AF21A49-353D-48FE-871E-6647276D1CBB}"/>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4BCD7119-13BE-46D7-B4CD-58B29FDEAA15}"/>
    <cellStyle name="Normal 4 3 2 2 2 3 3 2 3" xfId="12827" xr:uid="{49F239DE-D532-42DE-B802-238100E9E211}"/>
    <cellStyle name="Normal 4 3 2 2 2 3 3 3" xfId="5573" xr:uid="{00000000-0005-0000-0000-00003B140000}"/>
    <cellStyle name="Normal 4 3 2 2 2 3 3 3 2" xfId="14899" xr:uid="{81EB514B-53C0-4FD1-A3F7-B84C2DE3E09E}"/>
    <cellStyle name="Normal 4 3 2 2 2 3 3 4" xfId="10682" xr:uid="{A19BD696-C9D5-4FE6-8E1F-2E92EDA7C621}"/>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50FA6B89-8C9E-4F26-AB81-0F0FB287D7B9}"/>
    <cellStyle name="Normal 4 3 2 2 2 3 4 2 3" xfId="13240" xr:uid="{6C2BDBFD-8C8A-404D-83F2-2E657938636C}"/>
    <cellStyle name="Normal 4 3 2 2 2 3 4 3" xfId="5986" xr:uid="{00000000-0005-0000-0000-00003F140000}"/>
    <cellStyle name="Normal 4 3 2 2 2 3 4 3 2" xfId="15312" xr:uid="{3C0F23A2-AF36-4F0D-83DB-16C5D0CEDD5C}"/>
    <cellStyle name="Normal 4 3 2 2 2 3 4 4" xfId="11095" xr:uid="{A5B9224C-779D-4DEA-9704-2B1AFA450996}"/>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FC3DA627-07F6-4D31-97EC-B16E82C71B1C}"/>
    <cellStyle name="Normal 4 3 2 2 2 3 5 2 3" xfId="13653" xr:uid="{43A557BF-35A4-42C9-B8BA-91C8B555DD8B}"/>
    <cellStyle name="Normal 4 3 2 2 2 3 5 3" xfId="6399" xr:uid="{00000000-0005-0000-0000-000043140000}"/>
    <cellStyle name="Normal 4 3 2 2 2 3 5 3 2" xfId="15725" xr:uid="{F3A6E313-C212-4537-8698-F1364591B033}"/>
    <cellStyle name="Normal 4 3 2 2 2 3 5 4" xfId="11508" xr:uid="{BEB617E1-2317-4FDA-A34E-D4C335D69945}"/>
    <cellStyle name="Normal 4 3 2 2 2 3 6" xfId="2529" xr:uid="{00000000-0005-0000-0000-000044140000}"/>
    <cellStyle name="Normal 4 3 2 2 2 3 6 2" xfId="6812" xr:uid="{00000000-0005-0000-0000-000045140000}"/>
    <cellStyle name="Normal 4 3 2 2 2 3 6 2 2" xfId="16138" xr:uid="{7943E0C4-B86D-45A9-BE75-7F61BB3E0557}"/>
    <cellStyle name="Normal 4 3 2 2 2 3 6 3" xfId="11921" xr:uid="{5A4B17EE-C8D3-40AF-9A69-923BAD072277}"/>
    <cellStyle name="Normal 4 3 2 2 2 3 7" xfId="4747" xr:uid="{00000000-0005-0000-0000-000046140000}"/>
    <cellStyle name="Normal 4 3 2 2 2 3 7 2" xfId="14073" xr:uid="{AC81A6F5-EEEB-467D-A8EA-47656EE4BD50}"/>
    <cellStyle name="Normal 4 3 2 2 2 3 8" xfId="9029" xr:uid="{CC421D7E-69EF-4D96-A95C-E67F046F8D14}"/>
    <cellStyle name="Normal 4 3 2 2 2 3 9" xfId="9856" xr:uid="{5C102D19-6746-4C2C-ABEA-E537FB59486C}"/>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608C85CE-28EF-405D-ACE3-C3AE97A8FE0C}"/>
    <cellStyle name="Normal 4 3 2 2 2 4 2 3" xfId="12411" xr:uid="{8953A44D-8D24-450D-95B1-08BD57D43007}"/>
    <cellStyle name="Normal 4 3 2 2 2 4 3" xfId="5157" xr:uid="{00000000-0005-0000-0000-00004A140000}"/>
    <cellStyle name="Normal 4 3 2 2 2 4 3 2" xfId="14483" xr:uid="{D4FE52E8-A5B0-4A00-AA15-FDF22EFC7CB7}"/>
    <cellStyle name="Normal 4 3 2 2 2 4 4" xfId="9247" xr:uid="{70D9D224-DB0B-42B4-B4A9-BC88F455C395}"/>
    <cellStyle name="Normal 4 3 2 2 2 4 5" xfId="10266" xr:uid="{6326EBAC-619B-463F-B37B-FEBCA9083BC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2D0762D8-CEBB-49E4-B4A3-B68AC318ABE5}"/>
    <cellStyle name="Normal 4 3 2 2 2 5 2 3" xfId="12824" xr:uid="{A39F1EAB-5D56-4E60-B572-F4F936764E82}"/>
    <cellStyle name="Normal 4 3 2 2 2 5 3" xfId="5570" xr:uid="{00000000-0005-0000-0000-00004E140000}"/>
    <cellStyle name="Normal 4 3 2 2 2 5 3 2" xfId="14896" xr:uid="{C6A774F2-9EC1-4429-A3EF-D21CDC5B9E10}"/>
    <cellStyle name="Normal 4 3 2 2 2 5 4" xfId="10679" xr:uid="{00411035-749D-451C-9C1C-5B243A9A7725}"/>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BB13594A-F3AE-45AE-929D-9FEF7189CFF9}"/>
    <cellStyle name="Normal 4 3 2 2 2 6 2 3" xfId="13237" xr:uid="{0C27E29C-1739-41FC-A723-9BB55EEFBF3C}"/>
    <cellStyle name="Normal 4 3 2 2 2 6 3" xfId="5983" xr:uid="{00000000-0005-0000-0000-000052140000}"/>
    <cellStyle name="Normal 4 3 2 2 2 6 3 2" xfId="15309" xr:uid="{58E6ADC3-42EA-4A00-9B2F-E7A233671435}"/>
    <cellStyle name="Normal 4 3 2 2 2 6 4" xfId="11092" xr:uid="{11606D57-16CC-4638-9B95-C8856D4C45F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4DC1EFAB-C0E8-435D-8D86-ADCFB43F5D06}"/>
    <cellStyle name="Normal 4 3 2 2 2 7 2 3" xfId="13650" xr:uid="{D9C71A93-9013-4799-87D3-9882D7B21722}"/>
    <cellStyle name="Normal 4 3 2 2 2 7 3" xfId="6396" xr:uid="{00000000-0005-0000-0000-000056140000}"/>
    <cellStyle name="Normal 4 3 2 2 2 7 3 2" xfId="15722" xr:uid="{95C2680E-705D-4FB3-AE45-6A68FC317C7A}"/>
    <cellStyle name="Normal 4 3 2 2 2 7 4" xfId="11505" xr:uid="{799B2A5D-7149-4501-AC5B-4952952268CA}"/>
    <cellStyle name="Normal 4 3 2 2 2 8" xfId="2526" xr:uid="{00000000-0005-0000-0000-000057140000}"/>
    <cellStyle name="Normal 4 3 2 2 2 8 2" xfId="6809" xr:uid="{00000000-0005-0000-0000-000058140000}"/>
    <cellStyle name="Normal 4 3 2 2 2 8 2 2" xfId="16135" xr:uid="{8463C477-4AA7-4120-B688-31549C4C8938}"/>
    <cellStyle name="Normal 4 3 2 2 2 8 3" xfId="11918" xr:uid="{7F50B0BF-FD84-4891-AFC4-E35DCE6F1749}"/>
    <cellStyle name="Normal 4 3 2 2 2 9" xfId="4744" xr:uid="{00000000-0005-0000-0000-000059140000}"/>
    <cellStyle name="Normal 4 3 2 2 2 9 2" xfId="14070" xr:uid="{9B58AFB1-57E7-49F5-A90A-CD15567BB01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19C4A658-DA7B-42BA-8FF1-222E0B0368A5}"/>
    <cellStyle name="Normal 4 3 3 2" xfId="375" xr:uid="{00000000-0005-0000-0000-00005E140000}"/>
    <cellStyle name="Normal 4 3 3 2 10" xfId="9858" xr:uid="{3F065F6F-75B4-428B-9ADC-004FEB3B2C62}"/>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9DEA3208-BB51-4BFF-8C9E-FDEC7CA34F29}"/>
    <cellStyle name="Normal 4 3 3 2 2 2 2 3" xfId="12417" xr:uid="{8B353F5B-BA7F-4E31-9B8F-F8CF2F7B837F}"/>
    <cellStyle name="Normal 4 3 3 2 2 2 3" xfId="5163" xr:uid="{00000000-0005-0000-0000-000063140000}"/>
    <cellStyle name="Normal 4 3 3 2 2 2 3 2" xfId="14489" xr:uid="{0BD5236C-741A-4521-9EA4-BC64B47C47D6}"/>
    <cellStyle name="Normal 4 3 3 2 2 2 4" xfId="9556" xr:uid="{7233D5E9-9F1E-43FF-8391-DCCFDF8A705D}"/>
    <cellStyle name="Normal 4 3 3 2 2 2 5" xfId="10272" xr:uid="{552F346A-ED9A-483C-912A-F5E9152D25AC}"/>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00C5EAE2-2D02-4E0F-8564-6364DE3D2A7F}"/>
    <cellStyle name="Normal 4 3 3 2 2 3 2 3" xfId="12830" xr:uid="{3DA9C8F5-D7A9-41FD-A558-5CF88CE312BB}"/>
    <cellStyle name="Normal 4 3 3 2 2 3 3" xfId="5576" xr:uid="{00000000-0005-0000-0000-000067140000}"/>
    <cellStyle name="Normal 4 3 3 2 2 3 3 2" xfId="14902" xr:uid="{8EC35C45-5DBF-4A0E-9F68-C042FD58ABFF}"/>
    <cellStyle name="Normal 4 3 3 2 2 3 4" xfId="10685" xr:uid="{DAA4435B-067E-4DB9-AB57-435F62514A06}"/>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912A0641-5292-4195-89F7-F9A3B941024C}"/>
    <cellStyle name="Normal 4 3 3 2 2 4 2 3" xfId="13243" xr:uid="{0E8A60D3-85E8-4DF3-8F4C-595E42FF0547}"/>
    <cellStyle name="Normal 4 3 3 2 2 4 3" xfId="5989" xr:uid="{00000000-0005-0000-0000-00006B140000}"/>
    <cellStyle name="Normal 4 3 3 2 2 4 3 2" xfId="15315" xr:uid="{0AA599A4-FE44-422F-A2F7-75C7C3ABC149}"/>
    <cellStyle name="Normal 4 3 3 2 2 4 4" xfId="11098" xr:uid="{577EC075-2BF5-4085-B31C-C6EA831E12C6}"/>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9A31C340-323F-4732-925A-6028F08620AB}"/>
    <cellStyle name="Normal 4 3 3 2 2 5 2 3" xfId="13656" xr:uid="{95463F8D-F573-43DF-8312-0CCED8484C7B}"/>
    <cellStyle name="Normal 4 3 3 2 2 5 3" xfId="6402" xr:uid="{00000000-0005-0000-0000-00006F140000}"/>
    <cellStyle name="Normal 4 3 3 2 2 5 3 2" xfId="15728" xr:uid="{8A21CC89-CC7C-4C33-9E3E-62381BCA566A}"/>
    <cellStyle name="Normal 4 3 3 2 2 5 4" xfId="11511" xr:uid="{1D228C06-99C3-49AE-8B78-774F009B944A}"/>
    <cellStyle name="Normal 4 3 3 2 2 6" xfId="2532" xr:uid="{00000000-0005-0000-0000-000070140000}"/>
    <cellStyle name="Normal 4 3 3 2 2 6 2" xfId="6815" xr:uid="{00000000-0005-0000-0000-000071140000}"/>
    <cellStyle name="Normal 4 3 3 2 2 6 2 2" xfId="16141" xr:uid="{0A68BF08-3FC9-4FAE-8242-D35A977AFA17}"/>
    <cellStyle name="Normal 4 3 3 2 2 6 3" xfId="11924" xr:uid="{47CFFC26-62A4-48BA-AD32-B5858D28BF94}"/>
    <cellStyle name="Normal 4 3 3 2 2 7" xfId="4750" xr:uid="{00000000-0005-0000-0000-000072140000}"/>
    <cellStyle name="Normal 4 3 3 2 2 7 2" xfId="14076" xr:uid="{E3DCB923-FBC9-42E3-87D0-7A3557637783}"/>
    <cellStyle name="Normal 4 3 3 2 2 8" xfId="9131" xr:uid="{D7BA3B10-6765-4B57-99D1-3AF7343772F8}"/>
    <cellStyle name="Normal 4 3 3 2 2 9" xfId="9859" xr:uid="{22CC934B-E0FD-4A25-B948-AC1EC3C302ED}"/>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C73B3120-894B-4BC7-9075-F98947E730F1}"/>
    <cellStyle name="Normal 4 3 3 2 3 2 3" xfId="12416" xr:uid="{E868144E-7565-4F38-8C98-9C80F5167464}"/>
    <cellStyle name="Normal 4 3 3 2 3 3" xfId="5162" xr:uid="{00000000-0005-0000-0000-000076140000}"/>
    <cellStyle name="Normal 4 3 3 2 3 3 2" xfId="14488" xr:uid="{023A1C8B-0627-4D96-8F0E-57E263D526BE}"/>
    <cellStyle name="Normal 4 3 3 2 3 4" xfId="9349" xr:uid="{E498700C-D7AE-42FC-8EB1-59BA2C1BA6B9}"/>
    <cellStyle name="Normal 4 3 3 2 3 5" xfId="10271" xr:uid="{57E9962A-BB85-484A-800B-9B174CF267DC}"/>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4599F844-223F-460A-8307-AF49800230C4}"/>
    <cellStyle name="Normal 4 3 3 2 4 2 3" xfId="12829" xr:uid="{C8726D40-84F8-4672-B29C-782B8FB308C7}"/>
    <cellStyle name="Normal 4 3 3 2 4 3" xfId="5575" xr:uid="{00000000-0005-0000-0000-00007A140000}"/>
    <cellStyle name="Normal 4 3 3 2 4 3 2" xfId="14901" xr:uid="{41FC4971-7E38-49E3-A90D-BD7F814B5A2A}"/>
    <cellStyle name="Normal 4 3 3 2 4 4" xfId="10684" xr:uid="{741D1461-340D-4CDC-B9DB-DF8A5FE9DBD5}"/>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9543CE14-AD72-41FC-A363-716442D7DB05}"/>
    <cellStyle name="Normal 4 3 3 2 5 2 3" xfId="13242" xr:uid="{613080A1-92CD-4C18-BD22-52533F666A6D}"/>
    <cellStyle name="Normal 4 3 3 2 5 3" xfId="5988" xr:uid="{00000000-0005-0000-0000-00007E140000}"/>
    <cellStyle name="Normal 4 3 3 2 5 3 2" xfId="15314" xr:uid="{CA8BAA0D-41A2-4A86-8541-5F21900A4031}"/>
    <cellStyle name="Normal 4 3 3 2 5 4" xfId="11097" xr:uid="{32475590-FB6E-4747-9290-F048D071016F}"/>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1EFD1904-DD9A-422D-BB4A-90AD12569AFA}"/>
    <cellStyle name="Normal 4 3 3 2 6 2 3" xfId="13655" xr:uid="{C521B7C5-B103-4B11-9658-A153FF1BB77A}"/>
    <cellStyle name="Normal 4 3 3 2 6 3" xfId="6401" xr:uid="{00000000-0005-0000-0000-000082140000}"/>
    <cellStyle name="Normal 4 3 3 2 6 3 2" xfId="15727" xr:uid="{1EAECCA6-FEA5-4E2A-B592-17323B0CE589}"/>
    <cellStyle name="Normal 4 3 3 2 6 4" xfId="11510" xr:uid="{CC1BAD91-51C0-4E2D-8DEB-AF8C9F86A377}"/>
    <cellStyle name="Normal 4 3 3 2 7" xfId="2531" xr:uid="{00000000-0005-0000-0000-000083140000}"/>
    <cellStyle name="Normal 4 3 3 2 7 2" xfId="6814" xr:uid="{00000000-0005-0000-0000-000084140000}"/>
    <cellStyle name="Normal 4 3 3 2 7 2 2" xfId="16140" xr:uid="{B1FCF0E1-7C9B-4ECD-9C8F-147206305958}"/>
    <cellStyle name="Normal 4 3 3 2 7 3" xfId="11923" xr:uid="{365E8A08-7E67-49D4-822D-22189A52A9AF}"/>
    <cellStyle name="Normal 4 3 3 2 8" xfId="4749" xr:uid="{00000000-0005-0000-0000-000085140000}"/>
    <cellStyle name="Normal 4 3 3 2 8 2" xfId="14075" xr:uid="{CAAE536B-79F1-4405-97E4-DE0259A99ACD}"/>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F81E3919-6F1A-453B-B2AA-26EEF4FB6E0B}"/>
    <cellStyle name="Normal 4 3 3 3 2 2 3" xfId="12418" xr:uid="{CE820179-3A6A-4D2D-AF99-232F395CDEC9}"/>
    <cellStyle name="Normal 4 3 3 3 2 3" xfId="5164" xr:uid="{00000000-0005-0000-0000-00008A140000}"/>
    <cellStyle name="Normal 4 3 3 3 2 3 2" xfId="14490" xr:uid="{D3282183-20FC-41E8-936B-37CCB70F6CC1}"/>
    <cellStyle name="Normal 4 3 3 3 2 4" xfId="9453" xr:uid="{18D68920-503C-42C1-A733-EBE17DC6D008}"/>
    <cellStyle name="Normal 4 3 3 3 2 5" xfId="10273" xr:uid="{37E4673F-838D-43A9-9477-2DCCA19CCF03}"/>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FE49835A-7CFF-429A-AA4C-CB60CD032A7E}"/>
    <cellStyle name="Normal 4 3 3 3 3 2 3" xfId="12831" xr:uid="{2FD45558-F063-4D65-986C-C5399853913D}"/>
    <cellStyle name="Normal 4 3 3 3 3 3" xfId="5577" xr:uid="{00000000-0005-0000-0000-00008E140000}"/>
    <cellStyle name="Normal 4 3 3 3 3 3 2" xfId="14903" xr:uid="{2CC53AB2-F796-484F-872A-740636CF9DBC}"/>
    <cellStyle name="Normal 4 3 3 3 3 4" xfId="10686" xr:uid="{B69882BC-6130-479F-ACAF-E6206DACF050}"/>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ADB6C84B-BC7A-4175-B84E-A3FE31BC73AD}"/>
    <cellStyle name="Normal 4 3 3 3 4 2 3" xfId="13244" xr:uid="{E928B97E-88F6-4450-9D2C-CA29710F7DBD}"/>
    <cellStyle name="Normal 4 3 3 3 4 3" xfId="5990" xr:uid="{00000000-0005-0000-0000-000092140000}"/>
    <cellStyle name="Normal 4 3 3 3 4 3 2" xfId="15316" xr:uid="{8E03651A-E362-40B2-B0A7-99674E9CDBCA}"/>
    <cellStyle name="Normal 4 3 3 3 4 4" xfId="11099" xr:uid="{09E1E107-0A6A-4237-99C7-F43B8F0A71E8}"/>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18841275-B929-49B9-AEFF-AC7E1C167CF2}"/>
    <cellStyle name="Normal 4 3 3 3 5 2 3" xfId="13657" xr:uid="{41B03F74-E2C5-4FA2-BDA2-48BB13CE9472}"/>
    <cellStyle name="Normal 4 3 3 3 5 3" xfId="6403" xr:uid="{00000000-0005-0000-0000-000096140000}"/>
    <cellStyle name="Normal 4 3 3 3 5 3 2" xfId="15729" xr:uid="{CEFBF922-51DA-40B9-8A39-1DE41C8B3915}"/>
    <cellStyle name="Normal 4 3 3 3 5 4" xfId="11512" xr:uid="{7A343AD0-C2D6-4064-A34E-05D7B818B213}"/>
    <cellStyle name="Normal 4 3 3 3 6" xfId="2533" xr:uid="{00000000-0005-0000-0000-000097140000}"/>
    <cellStyle name="Normal 4 3 3 3 6 2" xfId="6816" xr:uid="{00000000-0005-0000-0000-000098140000}"/>
    <cellStyle name="Normal 4 3 3 3 6 2 2" xfId="16142" xr:uid="{CEB76013-8134-446C-8E29-E2DE2C271A13}"/>
    <cellStyle name="Normal 4 3 3 3 6 3" xfId="11925" xr:uid="{491F01D1-1D2F-482A-9C9A-86F469F63CD4}"/>
    <cellStyle name="Normal 4 3 3 3 7" xfId="4751" xr:uid="{00000000-0005-0000-0000-000099140000}"/>
    <cellStyle name="Normal 4 3 3 3 7 2" xfId="14077" xr:uid="{BE8CDB09-2835-4BC8-88F5-A6AAA129EEE9}"/>
    <cellStyle name="Normal 4 3 3 3 8" xfId="9028" xr:uid="{A0BD85BE-0D8B-455E-B326-708B8FF8A8C8}"/>
    <cellStyle name="Normal 4 3 3 3 9" xfId="9860" xr:uid="{6E16A29E-FFBB-4BB3-BDF2-BD5984EA7518}"/>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3C3D4199-4E8E-450B-9195-2C49600477D2}"/>
    <cellStyle name="Normal 4 3 3 4 2 3" xfId="12415" xr:uid="{7986A816-20E3-4321-BFD2-262C08A46597}"/>
    <cellStyle name="Normal 4 3 3 4 3" xfId="5161" xr:uid="{00000000-0005-0000-0000-00009D140000}"/>
    <cellStyle name="Normal 4 3 3 4 3 2" xfId="14487" xr:uid="{75F2EC59-81BA-4DE8-89EB-361FA27102AA}"/>
    <cellStyle name="Normal 4 3 3 4 4" xfId="9246" xr:uid="{E1107DA9-8F13-4216-80A2-CEA1D2EF57FC}"/>
    <cellStyle name="Normal 4 3 3 4 5" xfId="10270" xr:uid="{E45E4269-F32B-4F88-ACD8-DA3C8693B2F1}"/>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98B25CE5-9652-4B21-8A20-6CC69AC106E2}"/>
    <cellStyle name="Normal 4 3 3 5 2 3" xfId="12828" xr:uid="{A0DBA884-E6D0-461A-92E6-F9416B561BE5}"/>
    <cellStyle name="Normal 4 3 3 5 3" xfId="5574" xr:uid="{00000000-0005-0000-0000-0000A1140000}"/>
    <cellStyle name="Normal 4 3 3 5 3 2" xfId="14900" xr:uid="{FAEEE261-C5B2-4F22-BB53-279C0C6BE645}"/>
    <cellStyle name="Normal 4 3 3 5 4" xfId="10683" xr:uid="{6AB7FABF-5DC7-45B8-BDD5-798677AE197D}"/>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5F18B405-65AC-40A5-AF91-DE01D3F6A177}"/>
    <cellStyle name="Normal 4 3 3 6 2 3" xfId="13241" xr:uid="{D980A81E-8427-4FE6-833B-D4FA06FF653F}"/>
    <cellStyle name="Normal 4 3 3 6 3" xfId="5987" xr:uid="{00000000-0005-0000-0000-0000A5140000}"/>
    <cellStyle name="Normal 4 3 3 6 3 2" xfId="15313" xr:uid="{83EF78EC-270D-41DC-8EB6-157D55170EE0}"/>
    <cellStyle name="Normal 4 3 3 6 4" xfId="11096" xr:uid="{B6884390-2AFA-4B86-88A1-4E53D95B3078}"/>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057784FC-9C28-4D3A-9D6A-A034F6694010}"/>
    <cellStyle name="Normal 4 3 3 7 2 3" xfId="13654" xr:uid="{AD8D84B2-FFDD-4E83-BFC4-494119CA2026}"/>
    <cellStyle name="Normal 4 3 3 7 3" xfId="6400" xr:uid="{00000000-0005-0000-0000-0000A9140000}"/>
    <cellStyle name="Normal 4 3 3 7 3 2" xfId="15726" xr:uid="{250DD200-1CB4-452C-8CB7-56ED6E884FC8}"/>
    <cellStyle name="Normal 4 3 3 7 4" xfId="11509" xr:uid="{557BDECF-CD85-4E0C-A168-58C578F5D70C}"/>
    <cellStyle name="Normal 4 3 3 8" xfId="2530" xr:uid="{00000000-0005-0000-0000-0000AA140000}"/>
    <cellStyle name="Normal 4 3 3 8 2" xfId="6813" xr:uid="{00000000-0005-0000-0000-0000AB140000}"/>
    <cellStyle name="Normal 4 3 3 8 2 2" xfId="16139" xr:uid="{5231113E-2D10-4F21-A34F-F87AC1A67084}"/>
    <cellStyle name="Normal 4 3 3 8 3" xfId="11922" xr:uid="{39D724C2-AEAC-4F69-AF5C-4C0A463C517F}"/>
    <cellStyle name="Normal 4 3 3 9" xfId="4748" xr:uid="{00000000-0005-0000-0000-0000AC140000}"/>
    <cellStyle name="Normal 4 3 3 9 2" xfId="14074" xr:uid="{73881492-8EB7-4232-BCA1-6D4855561AA5}"/>
    <cellStyle name="Normal 4 3 4" xfId="842" xr:uid="{00000000-0005-0000-0000-0000AD140000}"/>
    <cellStyle name="Normal 4 3 4 2" xfId="3079" xr:uid="{00000000-0005-0000-0000-0000AE140000}"/>
    <cellStyle name="Normal 4 3 4 2 2" xfId="7301" xr:uid="{00000000-0005-0000-0000-0000AF140000}"/>
    <cellStyle name="Normal 4 3 4 2 2 2" xfId="16627" xr:uid="{F16D40D3-A002-413E-979C-4880BE9C4FD5}"/>
    <cellStyle name="Normal 4 3 4 2 3" xfId="12410" xr:uid="{B74DF6CD-63FE-4A49-BE15-663F3DFF5E96}"/>
    <cellStyle name="Normal 4 3 4 3" xfId="5156" xr:uid="{00000000-0005-0000-0000-0000B0140000}"/>
    <cellStyle name="Normal 4 3 4 3 2" xfId="14482" xr:uid="{1F7F8BEF-DE34-4802-BD37-7795B2FA3ED3}"/>
    <cellStyle name="Normal 4 3 4 4" xfId="9608" xr:uid="{C2EFFD2B-01D5-4B2B-BD85-BB4245D6A35E}"/>
    <cellStyle name="Normal 4 3 4 5" xfId="10265" xr:uid="{DFE79701-93EA-4401-A9E5-50D6140E022A}"/>
    <cellStyle name="Normal 4 3 5" xfId="1262" xr:uid="{00000000-0005-0000-0000-0000B1140000}"/>
    <cellStyle name="Normal 4 3 5 2" xfId="3492" xr:uid="{00000000-0005-0000-0000-0000B2140000}"/>
    <cellStyle name="Normal 4 3 5 2 2" xfId="7714" xr:uid="{00000000-0005-0000-0000-0000B3140000}"/>
    <cellStyle name="Normal 4 3 5 2 2 2" xfId="17040" xr:uid="{546D5BA4-A6BC-4D59-BC28-02A19F8DC9FA}"/>
    <cellStyle name="Normal 4 3 5 2 3" xfId="12823" xr:uid="{7AD05BC1-D1E7-494D-9932-88AB35DB9A36}"/>
    <cellStyle name="Normal 4 3 5 3" xfId="5569" xr:uid="{00000000-0005-0000-0000-0000B4140000}"/>
    <cellStyle name="Normal 4 3 5 3 2" xfId="14895" xr:uid="{E2D39F9D-69B8-44B0-8D88-9F0D44431125}"/>
    <cellStyle name="Normal 4 3 5 4" xfId="10678" xr:uid="{CFA408A9-F407-4CFE-A318-9211504F4E66}"/>
    <cellStyle name="Normal 4 3 6" xfId="1675" xr:uid="{00000000-0005-0000-0000-0000B5140000}"/>
    <cellStyle name="Normal 4 3 6 2" xfId="3905" xr:uid="{00000000-0005-0000-0000-0000B6140000}"/>
    <cellStyle name="Normal 4 3 6 2 2" xfId="8127" xr:uid="{00000000-0005-0000-0000-0000B7140000}"/>
    <cellStyle name="Normal 4 3 6 2 2 2" xfId="17453" xr:uid="{01AAD531-96C1-44FF-820A-2B6ECF1B8DAF}"/>
    <cellStyle name="Normal 4 3 6 2 3" xfId="13236" xr:uid="{4F8CC6AF-37CB-4B2C-8AA7-67834F5C4890}"/>
    <cellStyle name="Normal 4 3 6 3" xfId="5982" xr:uid="{00000000-0005-0000-0000-0000B8140000}"/>
    <cellStyle name="Normal 4 3 6 3 2" xfId="15308" xr:uid="{796333D2-BAC9-4880-932D-47D092999A0B}"/>
    <cellStyle name="Normal 4 3 6 4" xfId="11091" xr:uid="{E019D435-7A41-44BE-8DAD-080C77CAABBD}"/>
    <cellStyle name="Normal 4 3 7" xfId="2089" xr:uid="{00000000-0005-0000-0000-0000B9140000}"/>
    <cellStyle name="Normal 4 3 7 2" xfId="4318" xr:uid="{00000000-0005-0000-0000-0000BA140000}"/>
    <cellStyle name="Normal 4 3 7 2 2" xfId="8540" xr:uid="{00000000-0005-0000-0000-0000BB140000}"/>
    <cellStyle name="Normal 4 3 7 2 2 2" xfId="17866" xr:uid="{726860CD-37CB-4339-B3B4-A9406717AD10}"/>
    <cellStyle name="Normal 4 3 7 2 3" xfId="13649" xr:uid="{71A83432-7D63-4E02-9F28-8E5F6A29BA03}"/>
    <cellStyle name="Normal 4 3 7 3" xfId="6395" xr:uid="{00000000-0005-0000-0000-0000BC140000}"/>
    <cellStyle name="Normal 4 3 7 3 2" xfId="15721" xr:uid="{6ADDBA6B-E70D-46CD-A12F-077008264C78}"/>
    <cellStyle name="Normal 4 3 7 4" xfId="11504" xr:uid="{D86A8962-B359-4330-AD55-BE384071CFB6}"/>
    <cellStyle name="Normal 4 3 8" xfId="2525" xr:uid="{00000000-0005-0000-0000-0000BD140000}"/>
    <cellStyle name="Normal 4 3 8 2" xfId="6808" xr:uid="{00000000-0005-0000-0000-0000BE140000}"/>
    <cellStyle name="Normal 4 3 8 2 2" xfId="16134" xr:uid="{3FB08D1E-05BF-4812-9607-0C48656253E4}"/>
    <cellStyle name="Normal 4 3 8 3" xfId="11917" xr:uid="{A9757C3D-9195-4CB0-965B-3487E07B4311}"/>
    <cellStyle name="Normal 4 3 9" xfId="4743" xr:uid="{00000000-0005-0000-0000-0000BF140000}"/>
    <cellStyle name="Normal 4 3 9 2" xfId="14069" xr:uid="{92B64F34-58C1-4450-AA35-CD90693ABEA7}"/>
    <cellStyle name="Normal 4 4" xfId="378" xr:uid="{00000000-0005-0000-0000-0000C0140000}"/>
    <cellStyle name="Normal 4 4 10" xfId="2534" xr:uid="{00000000-0005-0000-0000-0000C1140000}"/>
    <cellStyle name="Normal 4 4 10 2" xfId="6817" xr:uid="{00000000-0005-0000-0000-0000C2140000}"/>
    <cellStyle name="Normal 4 4 10 2 2" xfId="16143" xr:uid="{5AF9BC72-EB0A-49A1-BEB3-0A35B0155226}"/>
    <cellStyle name="Normal 4 4 10 3" xfId="11926" xr:uid="{4BEFF015-F40B-46E7-8108-304F63217D07}"/>
    <cellStyle name="Normal 4 4 11" xfId="4752" xr:uid="{00000000-0005-0000-0000-0000C3140000}"/>
    <cellStyle name="Normal 4 4 11 2" xfId="14078" xr:uid="{285A6E1D-C7DC-4C7C-9CD4-ADE577FB16BC}"/>
    <cellStyle name="Normal 4 4 12" xfId="8749" xr:uid="{A91736B6-873D-4B1A-8B29-18DC69E5E65F}"/>
    <cellStyle name="Normal 4 4 13" xfId="9861" xr:uid="{0399E0CD-839F-4A90-AE6B-FFDD3BC812DD}"/>
    <cellStyle name="Normal 4 4 2" xfId="379" xr:uid="{00000000-0005-0000-0000-0000C4140000}"/>
    <cellStyle name="Normal 4 4 2 10" xfId="4753" xr:uid="{00000000-0005-0000-0000-0000C5140000}"/>
    <cellStyle name="Normal 4 4 2 10 2" xfId="14079" xr:uid="{1A781E39-30F6-4923-A684-E1A4A9CFAE8D}"/>
    <cellStyle name="Normal 4 4 2 11" xfId="8781" xr:uid="{12B8F0AD-1EB8-4D0A-9CAD-21DEEFEDAE41}"/>
    <cellStyle name="Normal 4 4 2 12" xfId="9862" xr:uid="{D0589723-407C-4A76-99A3-C72A7D9F55BC}"/>
    <cellStyle name="Normal 4 4 2 2" xfId="380" xr:uid="{00000000-0005-0000-0000-0000C6140000}"/>
    <cellStyle name="Normal 4 4 2 2 10" xfId="8824" xr:uid="{FF218EA8-00A9-476B-AA88-FBBBBED2D06B}"/>
    <cellStyle name="Normal 4 4 2 2 11" xfId="9863" xr:uid="{E6843E9C-4BC1-4C4C-A8DF-ED6A8CF73EF6}"/>
    <cellStyle name="Normal 4 4 2 2 2" xfId="381" xr:uid="{00000000-0005-0000-0000-0000C7140000}"/>
    <cellStyle name="Normal 4 4 2 2 2 10" xfId="9864" xr:uid="{C697F7A6-8422-45D1-B8E2-32260DC82B71}"/>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59EB31B3-6EE6-4585-97DB-DEA72A7A0B95}"/>
    <cellStyle name="Normal 4 4 2 2 2 2 2 2 3" xfId="12423" xr:uid="{68927FC5-5197-41CD-BC0D-28942D5D94E0}"/>
    <cellStyle name="Normal 4 4 2 2 2 2 2 3" xfId="5169" xr:uid="{00000000-0005-0000-0000-0000CC140000}"/>
    <cellStyle name="Normal 4 4 2 2 2 2 2 3 2" xfId="14495" xr:uid="{6DCF19F5-1A61-4324-A334-AAC717C2DA7E}"/>
    <cellStyle name="Normal 4 4 2 2 2 2 2 4" xfId="9559" xr:uid="{6E5E886C-D83F-47E6-AD2B-552CC2A98FD0}"/>
    <cellStyle name="Normal 4 4 2 2 2 2 2 5" xfId="10278" xr:uid="{1C6CA053-AAD6-4E21-B2F7-6DDFAF15760C}"/>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CAD7899A-C8B4-4CC6-8D6E-1A7191FA2A03}"/>
    <cellStyle name="Normal 4 4 2 2 2 2 3 2 3" xfId="12836" xr:uid="{289598DB-57C4-40EA-92A2-0B60BF0E08BC}"/>
    <cellStyle name="Normal 4 4 2 2 2 2 3 3" xfId="5582" xr:uid="{00000000-0005-0000-0000-0000D0140000}"/>
    <cellStyle name="Normal 4 4 2 2 2 2 3 3 2" xfId="14908" xr:uid="{9D7ABD63-AACD-411B-868D-A95F88C0B595}"/>
    <cellStyle name="Normal 4 4 2 2 2 2 3 4" xfId="10691" xr:uid="{B3C54103-7238-4BF8-92D3-F5700B7C8ACF}"/>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BDD589C2-93AF-40A4-9548-156450D1F275}"/>
    <cellStyle name="Normal 4 4 2 2 2 2 4 2 3" xfId="13249" xr:uid="{F9F714EC-6F56-49B6-94E3-F55724004C40}"/>
    <cellStyle name="Normal 4 4 2 2 2 2 4 3" xfId="5995" xr:uid="{00000000-0005-0000-0000-0000D4140000}"/>
    <cellStyle name="Normal 4 4 2 2 2 2 4 3 2" xfId="15321" xr:uid="{6D152C47-ACDE-435C-874A-87A04357A889}"/>
    <cellStyle name="Normal 4 4 2 2 2 2 4 4" xfId="11104" xr:uid="{94DAB463-FAA4-4906-9725-71AFAD7ACD0A}"/>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57B147A4-7B69-4C16-BD19-1B47D98B53A1}"/>
    <cellStyle name="Normal 4 4 2 2 2 2 5 2 3" xfId="13662" xr:uid="{103B6C01-F620-4648-99C5-7E60C9B096C3}"/>
    <cellStyle name="Normal 4 4 2 2 2 2 5 3" xfId="6408" xr:uid="{00000000-0005-0000-0000-0000D8140000}"/>
    <cellStyle name="Normal 4 4 2 2 2 2 5 3 2" xfId="15734" xr:uid="{F193CEB0-4032-4EE4-B87A-64C48C24BFAE}"/>
    <cellStyle name="Normal 4 4 2 2 2 2 5 4" xfId="11517" xr:uid="{60E14689-9FA4-40F0-AA7B-DC0E760625A6}"/>
    <cellStyle name="Normal 4 4 2 2 2 2 6" xfId="2538" xr:uid="{00000000-0005-0000-0000-0000D9140000}"/>
    <cellStyle name="Normal 4 4 2 2 2 2 6 2" xfId="6821" xr:uid="{00000000-0005-0000-0000-0000DA140000}"/>
    <cellStyle name="Normal 4 4 2 2 2 2 6 2 2" xfId="16147" xr:uid="{25C2AE8C-AD1B-4350-9D68-097A502BAA79}"/>
    <cellStyle name="Normal 4 4 2 2 2 2 6 3" xfId="11930" xr:uid="{0ABCF238-87DB-4185-A268-0E8AC937C154}"/>
    <cellStyle name="Normal 4 4 2 2 2 2 7" xfId="4756" xr:uid="{00000000-0005-0000-0000-0000DB140000}"/>
    <cellStyle name="Normal 4 4 2 2 2 2 7 2" xfId="14082" xr:uid="{A19EA4E9-B4F2-43B8-99B3-F211FEEA2EFB}"/>
    <cellStyle name="Normal 4 4 2 2 2 2 8" xfId="9134" xr:uid="{B37D4C66-6754-4A5E-BFF7-77694E4355C2}"/>
    <cellStyle name="Normal 4 4 2 2 2 2 9" xfId="9865" xr:uid="{C28F6C12-EA8E-4146-8029-ECAB4C267EB4}"/>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44E4703A-6AAE-4332-8B6F-195DC34ECAD7}"/>
    <cellStyle name="Normal 4 4 2 2 2 3 2 3" xfId="12422" xr:uid="{3738E8B2-63A4-4503-A422-4FD1B83F43BB}"/>
    <cellStyle name="Normal 4 4 2 2 2 3 3" xfId="5168" xr:uid="{00000000-0005-0000-0000-0000DF140000}"/>
    <cellStyle name="Normal 4 4 2 2 2 3 3 2" xfId="14494" xr:uid="{D7969261-4D90-4F92-92E9-E49F83440902}"/>
    <cellStyle name="Normal 4 4 2 2 2 3 4" xfId="9352" xr:uid="{76F31DA2-44D0-447F-BA9C-6271BA6AAE96}"/>
    <cellStyle name="Normal 4 4 2 2 2 3 5" xfId="10277" xr:uid="{949E3D20-C2E2-4831-85A7-A3D35CFECA6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DFFB92B6-BCF3-44D0-A405-91CA4BD7F17E}"/>
    <cellStyle name="Normal 4 4 2 2 2 4 2 3" xfId="12835" xr:uid="{6054430A-849A-45CF-AA27-55AAE44F455F}"/>
    <cellStyle name="Normal 4 4 2 2 2 4 3" xfId="5581" xr:uid="{00000000-0005-0000-0000-0000E3140000}"/>
    <cellStyle name="Normal 4 4 2 2 2 4 3 2" xfId="14907" xr:uid="{43CC89AF-D3E8-4DA8-BF71-165A5D8E8ED3}"/>
    <cellStyle name="Normal 4 4 2 2 2 4 4" xfId="10690" xr:uid="{A57DB0E3-0584-487A-BA9F-B6A376F53BFF}"/>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61D6EEC9-F3BD-486B-8402-00C911CCBF2E}"/>
    <cellStyle name="Normal 4 4 2 2 2 5 2 3" xfId="13248" xr:uid="{57A7AEDE-3ADB-4ABE-BBE7-FAC2BD578BA2}"/>
    <cellStyle name="Normal 4 4 2 2 2 5 3" xfId="5994" xr:uid="{00000000-0005-0000-0000-0000E7140000}"/>
    <cellStyle name="Normal 4 4 2 2 2 5 3 2" xfId="15320" xr:uid="{1188965D-BB7E-4EA0-AD4D-D60AF34C2FBD}"/>
    <cellStyle name="Normal 4 4 2 2 2 5 4" xfId="11103" xr:uid="{7F0D06C8-EDF7-4DEB-9198-3621DB36BD12}"/>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39E33071-CFDA-4B1E-9F1E-7E5CAAB76FA1}"/>
    <cellStyle name="Normal 4 4 2 2 2 6 2 3" xfId="13661" xr:uid="{AD67B64E-B8A3-42DD-BD6C-4FC3DBD98474}"/>
    <cellStyle name="Normal 4 4 2 2 2 6 3" xfId="6407" xr:uid="{00000000-0005-0000-0000-0000EB140000}"/>
    <cellStyle name="Normal 4 4 2 2 2 6 3 2" xfId="15733" xr:uid="{C90FA25F-B0DC-4B62-9083-81C1392E5927}"/>
    <cellStyle name="Normal 4 4 2 2 2 6 4" xfId="11516" xr:uid="{C5DEBB5B-ADC2-4FCF-878F-AE5536C65E1C}"/>
    <cellStyle name="Normal 4 4 2 2 2 7" xfId="2537" xr:uid="{00000000-0005-0000-0000-0000EC140000}"/>
    <cellStyle name="Normal 4 4 2 2 2 7 2" xfId="6820" xr:uid="{00000000-0005-0000-0000-0000ED140000}"/>
    <cellStyle name="Normal 4 4 2 2 2 7 2 2" xfId="16146" xr:uid="{ADE26851-83DF-44CB-821A-37B0BDCCF173}"/>
    <cellStyle name="Normal 4 4 2 2 2 7 3" xfId="11929" xr:uid="{55A13B1A-7D69-4AD2-AD3C-830A1AD99B8C}"/>
    <cellStyle name="Normal 4 4 2 2 2 8" xfId="4755" xr:uid="{00000000-0005-0000-0000-0000EE140000}"/>
    <cellStyle name="Normal 4 4 2 2 2 8 2" xfId="14081" xr:uid="{6A823E93-FC35-45A1-883B-8005FDAAD02B}"/>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1486CF23-80BA-457B-87AD-081886E91C00}"/>
    <cellStyle name="Normal 4 4 2 2 3 2 2 3" xfId="12424" xr:uid="{86DBD742-0E26-4463-AC19-CD325A793221}"/>
    <cellStyle name="Normal 4 4 2 2 3 2 3" xfId="5170" xr:uid="{00000000-0005-0000-0000-0000F3140000}"/>
    <cellStyle name="Normal 4 4 2 2 3 2 3 2" xfId="14496" xr:uid="{11D26CBC-6AF6-4713-B20A-3439D585B6BA}"/>
    <cellStyle name="Normal 4 4 2 2 3 2 4" xfId="9456" xr:uid="{7CB0B972-68D8-4A2C-A3A7-1D2BD109E44A}"/>
    <cellStyle name="Normal 4 4 2 2 3 2 5" xfId="10279" xr:uid="{51D3209B-F85E-4A7A-A325-84F7121E63A1}"/>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93227898-24FC-445C-A5FA-406B4C791188}"/>
    <cellStyle name="Normal 4 4 2 2 3 3 2 3" xfId="12837" xr:uid="{0B8BA670-8308-47A7-908D-A53EABC68F1C}"/>
    <cellStyle name="Normal 4 4 2 2 3 3 3" xfId="5583" xr:uid="{00000000-0005-0000-0000-0000F7140000}"/>
    <cellStyle name="Normal 4 4 2 2 3 3 3 2" xfId="14909" xr:uid="{03F2B4D0-0402-495B-9256-FF1159E41CA2}"/>
    <cellStyle name="Normal 4 4 2 2 3 3 4" xfId="10692" xr:uid="{A796A2F7-AF67-4BF3-8483-AA8D6253EC17}"/>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2C6C0C32-99E4-4337-B7F8-F1063E441BDC}"/>
    <cellStyle name="Normal 4 4 2 2 3 4 2 3" xfId="13250" xr:uid="{3473A331-75D5-4F24-A9D9-5E1FAF37FDCA}"/>
    <cellStyle name="Normal 4 4 2 2 3 4 3" xfId="5996" xr:uid="{00000000-0005-0000-0000-0000FB140000}"/>
    <cellStyle name="Normal 4 4 2 2 3 4 3 2" xfId="15322" xr:uid="{1C376346-1BF3-45A7-938B-08940F41A790}"/>
    <cellStyle name="Normal 4 4 2 2 3 4 4" xfId="11105" xr:uid="{F7F01C50-A025-4B84-A537-549775023A35}"/>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600FFF96-A4F6-438A-896B-390B30867418}"/>
    <cellStyle name="Normal 4 4 2 2 3 5 2 3" xfId="13663" xr:uid="{F8EB7A4F-1E58-4BCF-A364-DAF68A353603}"/>
    <cellStyle name="Normal 4 4 2 2 3 5 3" xfId="6409" xr:uid="{00000000-0005-0000-0000-0000FF140000}"/>
    <cellStyle name="Normal 4 4 2 2 3 5 3 2" xfId="15735" xr:uid="{94607F94-102E-4379-96E6-CFDEBB7A84AF}"/>
    <cellStyle name="Normal 4 4 2 2 3 5 4" xfId="11518" xr:uid="{3FB3B10C-E12D-4F2C-915D-666BF59EFDD1}"/>
    <cellStyle name="Normal 4 4 2 2 3 6" xfId="2539" xr:uid="{00000000-0005-0000-0000-000000150000}"/>
    <cellStyle name="Normal 4 4 2 2 3 6 2" xfId="6822" xr:uid="{00000000-0005-0000-0000-000001150000}"/>
    <cellStyle name="Normal 4 4 2 2 3 6 2 2" xfId="16148" xr:uid="{B3D2B047-2DF9-435C-B583-5E4DE9962A80}"/>
    <cellStyle name="Normal 4 4 2 2 3 6 3" xfId="11931" xr:uid="{981718BB-95DB-4309-B066-6C694FA0D270}"/>
    <cellStyle name="Normal 4 4 2 2 3 7" xfId="4757" xr:uid="{00000000-0005-0000-0000-000002150000}"/>
    <cellStyle name="Normal 4 4 2 2 3 7 2" xfId="14083" xr:uid="{8B2E1FE5-75AB-4714-AC81-2506BF75B27A}"/>
    <cellStyle name="Normal 4 4 2 2 3 8" xfId="9031" xr:uid="{F1B59444-328A-4279-8A0A-A9F7E26061D5}"/>
    <cellStyle name="Normal 4 4 2 2 3 9" xfId="9866" xr:uid="{FDD1F8C9-B15D-4C11-A26A-7BC93C264E2B}"/>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9FDF0210-58A9-41A1-943A-87F884C75925}"/>
    <cellStyle name="Normal 4 4 2 2 4 2 3" xfId="12421" xr:uid="{B21626C7-2395-44BA-9F7D-77AF33148EF4}"/>
    <cellStyle name="Normal 4 4 2 2 4 3" xfId="5167" xr:uid="{00000000-0005-0000-0000-000006150000}"/>
    <cellStyle name="Normal 4 4 2 2 4 3 2" xfId="14493" xr:uid="{31CF6B23-7E9C-4FAA-8F19-5562233CBE04}"/>
    <cellStyle name="Normal 4 4 2 2 4 4" xfId="9249" xr:uid="{7E4CA7C7-738D-4CFA-907A-40590344548A}"/>
    <cellStyle name="Normal 4 4 2 2 4 5" xfId="10276" xr:uid="{C51BBCE9-375B-4DC6-BACF-3AAABC36D79D}"/>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2547967B-C89A-4DAB-97FB-C61EE72C695A}"/>
    <cellStyle name="Normal 4 4 2 2 5 2 3" xfId="12834" xr:uid="{024A5C0E-06F6-4B0F-A15F-F64F15D5D08C}"/>
    <cellStyle name="Normal 4 4 2 2 5 3" xfId="5580" xr:uid="{00000000-0005-0000-0000-00000A150000}"/>
    <cellStyle name="Normal 4 4 2 2 5 3 2" xfId="14906" xr:uid="{574E63BF-6F75-4EA9-833E-3CC813B1ED06}"/>
    <cellStyle name="Normal 4 4 2 2 5 4" xfId="10689" xr:uid="{8E74E5CE-EECF-4EE8-B78D-67DD658D18E0}"/>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41012AF8-95D2-4E79-9CEE-970A18007A22}"/>
    <cellStyle name="Normal 4 4 2 2 6 2 3" xfId="13247" xr:uid="{2E3BABBF-CD98-4305-AE9D-B71C4238DEA2}"/>
    <cellStyle name="Normal 4 4 2 2 6 3" xfId="5993" xr:uid="{00000000-0005-0000-0000-00000E150000}"/>
    <cellStyle name="Normal 4 4 2 2 6 3 2" xfId="15319" xr:uid="{7B543179-DA22-4FF1-AA7E-09F2FA60BBE0}"/>
    <cellStyle name="Normal 4 4 2 2 6 4" xfId="11102" xr:uid="{76BAC919-8F31-48D1-9186-5147D3A5B13C}"/>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A8606C3C-5B14-4126-A282-5D704772E3EB}"/>
    <cellStyle name="Normal 4 4 2 2 7 2 3" xfId="13660" xr:uid="{BED8A522-30E4-4E87-B214-451C64F089F4}"/>
    <cellStyle name="Normal 4 4 2 2 7 3" xfId="6406" xr:uid="{00000000-0005-0000-0000-000012150000}"/>
    <cellStyle name="Normal 4 4 2 2 7 3 2" xfId="15732" xr:uid="{8477AD35-E744-4736-BF81-FDBDA63FD492}"/>
    <cellStyle name="Normal 4 4 2 2 7 4" xfId="11515" xr:uid="{181DC0A3-D314-4FBD-8FEB-7CDE21FBC159}"/>
    <cellStyle name="Normal 4 4 2 2 8" xfId="2536" xr:uid="{00000000-0005-0000-0000-000013150000}"/>
    <cellStyle name="Normal 4 4 2 2 8 2" xfId="6819" xr:uid="{00000000-0005-0000-0000-000014150000}"/>
    <cellStyle name="Normal 4 4 2 2 8 2 2" xfId="16145" xr:uid="{7429C84E-3ED3-44D3-80FD-41D502C1F7B8}"/>
    <cellStyle name="Normal 4 4 2 2 8 3" xfId="11928" xr:uid="{8159A595-ADCE-4C04-8557-9D85DF2D78D8}"/>
    <cellStyle name="Normal 4 4 2 2 9" xfId="4754" xr:uid="{00000000-0005-0000-0000-000015150000}"/>
    <cellStyle name="Normal 4 4 2 2 9 2" xfId="14080" xr:uid="{EABB8A5B-BC8A-4DEA-9BFC-D0C25281DD80}"/>
    <cellStyle name="Normal 4 4 2 3" xfId="384" xr:uid="{00000000-0005-0000-0000-000016150000}"/>
    <cellStyle name="Normal 4 4 2 3 10" xfId="9867" xr:uid="{DE73576F-A9C6-41AA-8C1D-B1C5DF5EC834}"/>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AC3DBE1F-7581-473C-97ED-1D1654462674}"/>
    <cellStyle name="Normal 4 4 2 3 2 2 2 3" xfId="12426" xr:uid="{1887DAFD-2CB8-4632-9F38-3154F73AC550}"/>
    <cellStyle name="Normal 4 4 2 3 2 2 3" xfId="5172" xr:uid="{00000000-0005-0000-0000-00001B150000}"/>
    <cellStyle name="Normal 4 4 2 3 2 2 3 2" xfId="14498" xr:uid="{2EAF2E75-D6E0-4811-886B-D5C85B6A5115}"/>
    <cellStyle name="Normal 4 4 2 3 2 2 4" xfId="9516" xr:uid="{93008D3B-5827-4778-B167-5B518B5BF56F}"/>
    <cellStyle name="Normal 4 4 2 3 2 2 5" xfId="10281" xr:uid="{CA1AD194-38EF-4999-87F0-55D57A4FB84A}"/>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3C8A37D1-1495-46EA-A6B0-70F1FEA96E8E}"/>
    <cellStyle name="Normal 4 4 2 3 2 3 2 3" xfId="12839" xr:uid="{2D343A25-301B-483E-8A64-D57932B04AC8}"/>
    <cellStyle name="Normal 4 4 2 3 2 3 3" xfId="5585" xr:uid="{00000000-0005-0000-0000-00001F150000}"/>
    <cellStyle name="Normal 4 4 2 3 2 3 3 2" xfId="14911" xr:uid="{B55F319D-0312-4D44-B22D-86439A5238FF}"/>
    <cellStyle name="Normal 4 4 2 3 2 3 4" xfId="10694" xr:uid="{ABC21528-FE72-473C-B20F-2ECE6C878E2A}"/>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9B1D9200-5E1B-458F-BDBC-5416B6D502FE}"/>
    <cellStyle name="Normal 4 4 2 3 2 4 2 3" xfId="13252" xr:uid="{031DBD39-C8D8-4515-BB19-AC0C749CC777}"/>
    <cellStyle name="Normal 4 4 2 3 2 4 3" xfId="5998" xr:uid="{00000000-0005-0000-0000-000023150000}"/>
    <cellStyle name="Normal 4 4 2 3 2 4 3 2" xfId="15324" xr:uid="{BB32643C-426F-4FF5-80C0-F39F311E8FF1}"/>
    <cellStyle name="Normal 4 4 2 3 2 4 4" xfId="11107" xr:uid="{73EA3FEF-C0A6-49A2-B35E-07336B59FA6F}"/>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A4BFD850-A3C3-45F9-B338-7A00DD12790B}"/>
    <cellStyle name="Normal 4 4 2 3 2 5 2 3" xfId="13665" xr:uid="{F2A6DF62-0D45-41D0-9E6E-D32B60D558D6}"/>
    <cellStyle name="Normal 4 4 2 3 2 5 3" xfId="6411" xr:uid="{00000000-0005-0000-0000-000027150000}"/>
    <cellStyle name="Normal 4 4 2 3 2 5 3 2" xfId="15737" xr:uid="{15BCDA0B-AEBF-4377-B34E-13202EC7FD65}"/>
    <cellStyle name="Normal 4 4 2 3 2 5 4" xfId="11520" xr:uid="{6F4546F9-68B0-4A59-94D2-D9262C024CCC}"/>
    <cellStyle name="Normal 4 4 2 3 2 6" xfId="2541" xr:uid="{00000000-0005-0000-0000-000028150000}"/>
    <cellStyle name="Normal 4 4 2 3 2 6 2" xfId="6824" xr:uid="{00000000-0005-0000-0000-000029150000}"/>
    <cellStyle name="Normal 4 4 2 3 2 6 2 2" xfId="16150" xr:uid="{BAE7CBAB-8C5C-4A18-8A47-91BF0454259E}"/>
    <cellStyle name="Normal 4 4 2 3 2 6 3" xfId="11933" xr:uid="{C0296E61-6F52-4F3D-A328-4E8781DC5506}"/>
    <cellStyle name="Normal 4 4 2 3 2 7" xfId="4759" xr:uid="{00000000-0005-0000-0000-00002A150000}"/>
    <cellStyle name="Normal 4 4 2 3 2 7 2" xfId="14085" xr:uid="{B89332B0-FBEF-465A-9194-077DB9812E70}"/>
    <cellStyle name="Normal 4 4 2 3 2 8" xfId="9091" xr:uid="{9DBAED0A-05EE-4674-B1B7-8D03DBB53301}"/>
    <cellStyle name="Normal 4 4 2 3 2 9" xfId="9868" xr:uid="{76092C89-E97C-48C3-BA11-C3A2F8FE6514}"/>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C00472C0-09CE-4BC7-9B47-D0C0B8351B6C}"/>
    <cellStyle name="Normal 4 4 2 3 3 2 3" xfId="12425" xr:uid="{8419938C-6D20-43C7-B095-8829EB275FE6}"/>
    <cellStyle name="Normal 4 4 2 3 3 3" xfId="5171" xr:uid="{00000000-0005-0000-0000-00002E150000}"/>
    <cellStyle name="Normal 4 4 2 3 3 3 2" xfId="14497" xr:uid="{3DE96E16-7649-408E-8D10-5FF5B41975D9}"/>
    <cellStyle name="Normal 4 4 2 3 3 4" xfId="9309" xr:uid="{73E912F6-92AF-449E-AE53-1DEDEF686C0F}"/>
    <cellStyle name="Normal 4 4 2 3 3 5" xfId="10280" xr:uid="{F199603D-7F02-40D1-8F4F-DE4AA14305AC}"/>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910314C3-0306-4933-8E81-CAF1D0099451}"/>
    <cellStyle name="Normal 4 4 2 3 4 2 3" xfId="12838" xr:uid="{ACC03630-9C06-4586-8613-AA63C124F84B}"/>
    <cellStyle name="Normal 4 4 2 3 4 3" xfId="5584" xr:uid="{00000000-0005-0000-0000-000032150000}"/>
    <cellStyle name="Normal 4 4 2 3 4 3 2" xfId="14910" xr:uid="{74A45791-0CF0-4006-90DF-A26E974B1471}"/>
    <cellStyle name="Normal 4 4 2 3 4 4" xfId="10693" xr:uid="{2A64CD1A-E64A-4536-91A4-CCC89CEDB2ED}"/>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60F53489-B8F4-4D30-94D4-4412D181DB00}"/>
    <cellStyle name="Normal 4 4 2 3 5 2 3" xfId="13251" xr:uid="{5AD61A59-563A-430C-AF10-0E50C5D8028B}"/>
    <cellStyle name="Normal 4 4 2 3 5 3" xfId="5997" xr:uid="{00000000-0005-0000-0000-000036150000}"/>
    <cellStyle name="Normal 4 4 2 3 5 3 2" xfId="15323" xr:uid="{C60B750B-9E12-4FE7-A154-13A8CAEFD200}"/>
    <cellStyle name="Normal 4 4 2 3 5 4" xfId="11106" xr:uid="{00969D3C-A3C3-4A08-AFF7-CBB47648D689}"/>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10375458-C30B-4B4E-A04F-E2298D185463}"/>
    <cellStyle name="Normal 4 4 2 3 6 2 3" xfId="13664" xr:uid="{96147E0F-0655-4583-A217-CF7D7116F54B}"/>
    <cellStyle name="Normal 4 4 2 3 6 3" xfId="6410" xr:uid="{00000000-0005-0000-0000-00003A150000}"/>
    <cellStyle name="Normal 4 4 2 3 6 3 2" xfId="15736" xr:uid="{6292CF0F-7071-474E-AE12-CC131BDCCF04}"/>
    <cellStyle name="Normal 4 4 2 3 6 4" xfId="11519" xr:uid="{963D3868-AB64-4575-BC66-ED7C2F3E2013}"/>
    <cellStyle name="Normal 4 4 2 3 7" xfId="2540" xr:uid="{00000000-0005-0000-0000-00003B150000}"/>
    <cellStyle name="Normal 4 4 2 3 7 2" xfId="6823" xr:uid="{00000000-0005-0000-0000-00003C150000}"/>
    <cellStyle name="Normal 4 4 2 3 7 2 2" xfId="16149" xr:uid="{D572EC87-53A6-4E38-B301-13881D6F2683}"/>
    <cellStyle name="Normal 4 4 2 3 7 3" xfId="11932" xr:uid="{C6DF204D-4FE5-4A3F-BC2C-859BFE9C7D83}"/>
    <cellStyle name="Normal 4 4 2 3 8" xfId="4758" xr:uid="{00000000-0005-0000-0000-00003D150000}"/>
    <cellStyle name="Normal 4 4 2 3 8 2" xfId="14084" xr:uid="{CAECEF74-33BB-4A03-942B-536433D2776E}"/>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F8E5A3EA-B1CC-49F3-BD80-91CB5582880C}"/>
    <cellStyle name="Normal 4 4 2 4 2 2 3" xfId="12427" xr:uid="{0C6741A4-48EC-4EF8-AA0B-D08C7F0B5D6D}"/>
    <cellStyle name="Normal 4 4 2 4 2 3" xfId="5173" xr:uid="{00000000-0005-0000-0000-000042150000}"/>
    <cellStyle name="Normal 4 4 2 4 2 3 2" xfId="14499" xr:uid="{43B4ECF3-CF4D-49F0-BBCC-C6B1ECEB57AC}"/>
    <cellStyle name="Normal 4 4 2 4 2 4" xfId="9413" xr:uid="{4DC092EA-7C69-4E02-9FE8-33F62D070F54}"/>
    <cellStyle name="Normal 4 4 2 4 2 5" xfId="10282" xr:uid="{F5D3C648-70D1-4B3B-BF0E-63E36E0444C0}"/>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3CE51C2F-9B61-49F5-BF5A-F01A0A04538B}"/>
    <cellStyle name="Normal 4 4 2 4 3 2 3" xfId="12840" xr:uid="{2D5AB420-21C6-4C1C-8BF4-F02F231D3B75}"/>
    <cellStyle name="Normal 4 4 2 4 3 3" xfId="5586" xr:uid="{00000000-0005-0000-0000-000046150000}"/>
    <cellStyle name="Normal 4 4 2 4 3 3 2" xfId="14912" xr:uid="{8C52E9BD-8B52-42CA-87EE-E3336F8EF5BF}"/>
    <cellStyle name="Normal 4 4 2 4 3 4" xfId="10695" xr:uid="{D0DD8854-7394-4F97-9359-0813728B1673}"/>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927A00CA-3AAF-47C5-A315-2AFA26077A24}"/>
    <cellStyle name="Normal 4 4 2 4 4 2 3" xfId="13253" xr:uid="{BEDCF8E8-9689-4A94-8916-7BB737A08266}"/>
    <cellStyle name="Normal 4 4 2 4 4 3" xfId="5999" xr:uid="{00000000-0005-0000-0000-00004A150000}"/>
    <cellStyle name="Normal 4 4 2 4 4 3 2" xfId="15325" xr:uid="{5D4F81EE-D3F6-421C-BA80-69796E14B409}"/>
    <cellStyle name="Normal 4 4 2 4 4 4" xfId="11108" xr:uid="{0F0ADD0A-738E-4C04-B187-D03794D829BD}"/>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0A90256F-1069-4492-A1DB-378DD3DC9CB9}"/>
    <cellStyle name="Normal 4 4 2 4 5 2 3" xfId="13666" xr:uid="{5328F73B-7D67-48A2-8748-33604286F941}"/>
    <cellStyle name="Normal 4 4 2 4 5 3" xfId="6412" xr:uid="{00000000-0005-0000-0000-00004E150000}"/>
    <cellStyle name="Normal 4 4 2 4 5 3 2" xfId="15738" xr:uid="{8FC4ADD0-30C8-49A5-B795-1693AC8BE4EC}"/>
    <cellStyle name="Normal 4 4 2 4 5 4" xfId="11521" xr:uid="{CE7FB2D0-ADF9-45A2-83F4-3F8EE0DC3D55}"/>
    <cellStyle name="Normal 4 4 2 4 6" xfId="2542" xr:uid="{00000000-0005-0000-0000-00004F150000}"/>
    <cellStyle name="Normal 4 4 2 4 6 2" xfId="6825" xr:uid="{00000000-0005-0000-0000-000050150000}"/>
    <cellStyle name="Normal 4 4 2 4 6 2 2" xfId="16151" xr:uid="{7F4AF65D-D86C-4558-B93C-FDCD5D556C28}"/>
    <cellStyle name="Normal 4 4 2 4 6 3" xfId="11934" xr:uid="{A8F508BE-BFF6-4519-9520-8026186AAA89}"/>
    <cellStyle name="Normal 4 4 2 4 7" xfId="4760" xr:uid="{00000000-0005-0000-0000-000051150000}"/>
    <cellStyle name="Normal 4 4 2 4 7 2" xfId="14086" xr:uid="{2BB5940D-949E-4E00-A3C5-C27906774FFA}"/>
    <cellStyle name="Normal 4 4 2 4 8" xfId="8988" xr:uid="{F852E7B0-7ACD-4401-B3B6-BE989A5C8AD5}"/>
    <cellStyle name="Normal 4 4 2 4 9" xfId="9869" xr:uid="{F8109AB7-ED07-4ECB-BC1B-3FD4820364F3}"/>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93B18A09-7C65-424A-AFE0-899148E64D83}"/>
    <cellStyle name="Normal 4 4 2 5 2 3" xfId="12420" xr:uid="{C27396B5-7F05-4915-A14E-4B7E9E2F7B74}"/>
    <cellStyle name="Normal 4 4 2 5 3" xfId="5166" xr:uid="{00000000-0005-0000-0000-000055150000}"/>
    <cellStyle name="Normal 4 4 2 5 3 2" xfId="14492" xr:uid="{AF04070D-FBD0-430E-9EE7-6FEEE2ACB43F}"/>
    <cellStyle name="Normal 4 4 2 5 4" xfId="9205" xr:uid="{A63DE01D-3EC8-40FC-A47E-E0EA001EED52}"/>
    <cellStyle name="Normal 4 4 2 5 5" xfId="10275" xr:uid="{EA94E067-692E-4907-9A6C-80CCF150C4EC}"/>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A3C4920F-1F8D-4C4B-9140-821FDEC913C0}"/>
    <cellStyle name="Normal 4 4 2 6 2 3" xfId="12833" xr:uid="{0DE8A8D2-AA01-4D5B-A875-8832FDE8B484}"/>
    <cellStyle name="Normal 4 4 2 6 3" xfId="5579" xr:uid="{00000000-0005-0000-0000-000059150000}"/>
    <cellStyle name="Normal 4 4 2 6 3 2" xfId="14905" xr:uid="{009AC120-EDB2-4DF5-958C-AD29D66B74B1}"/>
    <cellStyle name="Normal 4 4 2 6 4" xfId="10688" xr:uid="{2DA95571-DEBB-4DC8-B300-576A353B4BBA}"/>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76C78490-BE21-46BE-8312-FC52B83ECB2C}"/>
    <cellStyle name="Normal 4 4 2 7 2 3" xfId="13246" xr:uid="{AFE09D8B-B056-4A13-BF1B-088A42FCA5B2}"/>
    <cellStyle name="Normal 4 4 2 7 3" xfId="5992" xr:uid="{00000000-0005-0000-0000-00005D150000}"/>
    <cellStyle name="Normal 4 4 2 7 3 2" xfId="15318" xr:uid="{4C6CA38F-8AD2-4225-A4CA-A9F97A19B3A6}"/>
    <cellStyle name="Normal 4 4 2 7 4" xfId="11101" xr:uid="{B7D54559-4B76-41EB-97CB-E4A0D4409775}"/>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EFC0C062-E093-45D8-8E7C-7080B411E47B}"/>
    <cellStyle name="Normal 4 4 2 8 2 3" xfId="13659" xr:uid="{8876CE7E-EC32-4E72-A11E-19A4B5944A7C}"/>
    <cellStyle name="Normal 4 4 2 8 3" xfId="6405" xr:uid="{00000000-0005-0000-0000-000061150000}"/>
    <cellStyle name="Normal 4 4 2 8 3 2" xfId="15731" xr:uid="{6E24037F-2A7A-416D-8B33-141D0260F7BD}"/>
    <cellStyle name="Normal 4 4 2 8 4" xfId="11514" xr:uid="{DF54FC1A-5C96-4210-B7FA-09030949BEBF}"/>
    <cellStyle name="Normal 4 4 2 9" xfId="2535" xr:uid="{00000000-0005-0000-0000-000062150000}"/>
    <cellStyle name="Normal 4 4 2 9 2" xfId="6818" xr:uid="{00000000-0005-0000-0000-000063150000}"/>
    <cellStyle name="Normal 4 4 2 9 2 2" xfId="16144" xr:uid="{310ABFBF-97ED-42F4-AEC4-39E5ADEFC3A7}"/>
    <cellStyle name="Normal 4 4 2 9 3" xfId="11927" xr:uid="{C498A8E8-BC10-4D8A-B018-D701830AB288}"/>
    <cellStyle name="Normal 4 4 3" xfId="387" xr:uid="{00000000-0005-0000-0000-000064150000}"/>
    <cellStyle name="Normal 4 4 3 10" xfId="8823" xr:uid="{E623F102-F69B-4FD0-BEDA-A1480AF4D892}"/>
    <cellStyle name="Normal 4 4 3 11" xfId="9870" xr:uid="{19AA3254-D80C-4FEA-850A-78160D0BB820}"/>
    <cellStyle name="Normal 4 4 3 2" xfId="388" xr:uid="{00000000-0005-0000-0000-000065150000}"/>
    <cellStyle name="Normal 4 4 3 2 10" xfId="9871" xr:uid="{87AF8995-3F5E-42B2-9124-B92C3E0F629F}"/>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1F3CEB51-F73E-4300-AC5A-4E8D6BED508D}"/>
    <cellStyle name="Normal 4 4 3 2 2 2 2 3" xfId="12430" xr:uid="{C94B51CE-003D-44BB-A1AD-2D556D11C007}"/>
    <cellStyle name="Normal 4 4 3 2 2 2 3" xfId="5176" xr:uid="{00000000-0005-0000-0000-00006A150000}"/>
    <cellStyle name="Normal 4 4 3 2 2 2 3 2" xfId="14502" xr:uid="{17785E3F-E6A0-445F-BCE3-2A48A8043420}"/>
    <cellStyle name="Normal 4 4 3 2 2 2 4" xfId="9558" xr:uid="{8C9519E6-5920-473D-9749-EC61E4877632}"/>
    <cellStyle name="Normal 4 4 3 2 2 2 5" xfId="10285" xr:uid="{17226556-6253-4AAC-B779-2704B028814C}"/>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B535F78B-F767-4760-879C-6C7D7916A6ED}"/>
    <cellStyle name="Normal 4 4 3 2 2 3 2 3" xfId="12843" xr:uid="{50F19501-2CCF-4670-8118-18DED69D3720}"/>
    <cellStyle name="Normal 4 4 3 2 2 3 3" xfId="5589" xr:uid="{00000000-0005-0000-0000-00006E150000}"/>
    <cellStyle name="Normal 4 4 3 2 2 3 3 2" xfId="14915" xr:uid="{A6FA5C6D-F531-4281-81A8-F7C9E0F2F1DB}"/>
    <cellStyle name="Normal 4 4 3 2 2 3 4" xfId="10698" xr:uid="{17876EB1-5EDB-43BF-A1B0-D32118470923}"/>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D51265CD-519F-4DD6-9ECF-50217D81CE65}"/>
    <cellStyle name="Normal 4 4 3 2 2 4 2 3" xfId="13256" xr:uid="{4C879E52-415A-45C8-9717-4FD08E71A62C}"/>
    <cellStyle name="Normal 4 4 3 2 2 4 3" xfId="6002" xr:uid="{00000000-0005-0000-0000-000072150000}"/>
    <cellStyle name="Normal 4 4 3 2 2 4 3 2" xfId="15328" xr:uid="{E1D5660A-A64D-4DE5-A330-67FA488A4357}"/>
    <cellStyle name="Normal 4 4 3 2 2 4 4" xfId="11111" xr:uid="{6FDC7407-48D0-4BC3-A752-889C8B827A77}"/>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03EC8082-0B95-48D5-8CA8-FF876E7EAF8E}"/>
    <cellStyle name="Normal 4 4 3 2 2 5 2 3" xfId="13669" xr:uid="{386AFDB7-7F5F-4531-8BC5-342F6C8DF633}"/>
    <cellStyle name="Normal 4 4 3 2 2 5 3" xfId="6415" xr:uid="{00000000-0005-0000-0000-000076150000}"/>
    <cellStyle name="Normal 4 4 3 2 2 5 3 2" xfId="15741" xr:uid="{8B2DCEEA-07B1-43E1-B3D3-40C2923ACDDD}"/>
    <cellStyle name="Normal 4 4 3 2 2 5 4" xfId="11524" xr:uid="{3E371694-730D-4DAE-8EE1-313BCB1C7C86}"/>
    <cellStyle name="Normal 4 4 3 2 2 6" xfId="2545" xr:uid="{00000000-0005-0000-0000-000077150000}"/>
    <cellStyle name="Normal 4 4 3 2 2 6 2" xfId="6828" xr:uid="{00000000-0005-0000-0000-000078150000}"/>
    <cellStyle name="Normal 4 4 3 2 2 6 2 2" xfId="16154" xr:uid="{2D51AA87-21BA-4365-8B2A-8242A5A73FE8}"/>
    <cellStyle name="Normal 4 4 3 2 2 6 3" xfId="11937" xr:uid="{F5E3FB59-B79B-4A31-ABC9-E56A6E25FF14}"/>
    <cellStyle name="Normal 4 4 3 2 2 7" xfId="4763" xr:uid="{00000000-0005-0000-0000-000079150000}"/>
    <cellStyle name="Normal 4 4 3 2 2 7 2" xfId="14089" xr:uid="{78FBE4EF-7214-41BC-898D-E4F6834A92BB}"/>
    <cellStyle name="Normal 4 4 3 2 2 8" xfId="9133" xr:uid="{37002A66-D58A-4EF9-8D22-8F1A3EE99E08}"/>
    <cellStyle name="Normal 4 4 3 2 2 9" xfId="9872" xr:uid="{1C123E18-67B6-4D7C-8B49-0028259DA714}"/>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66724E42-7E1D-46A1-A66B-A97ACD767299}"/>
    <cellStyle name="Normal 4 4 3 2 3 2 3" xfId="12429" xr:uid="{63F7075B-5513-4CC9-8877-D9B68FFA9ACD}"/>
    <cellStyle name="Normal 4 4 3 2 3 3" xfId="5175" xr:uid="{00000000-0005-0000-0000-00007D150000}"/>
    <cellStyle name="Normal 4 4 3 2 3 3 2" xfId="14501" xr:uid="{AD7F5D0D-C7B3-45DD-ACAE-582488830834}"/>
    <cellStyle name="Normal 4 4 3 2 3 4" xfId="9351" xr:uid="{51AD2B95-755A-411D-AA40-98381F5D8294}"/>
    <cellStyle name="Normal 4 4 3 2 3 5" xfId="10284" xr:uid="{EF732433-AE07-4CFC-A4D5-AF573126CF4A}"/>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CA383D5E-82FC-4DAA-9C17-A09BD9480C6A}"/>
    <cellStyle name="Normal 4 4 3 2 4 2 3" xfId="12842" xr:uid="{0ABB1D27-5DAB-444A-9DF2-B4ECA312CA16}"/>
    <cellStyle name="Normal 4 4 3 2 4 3" xfId="5588" xr:uid="{00000000-0005-0000-0000-000081150000}"/>
    <cellStyle name="Normal 4 4 3 2 4 3 2" xfId="14914" xr:uid="{3F3FAF8A-FFD2-4A76-AA65-D5EEF6AEFEC6}"/>
    <cellStyle name="Normal 4 4 3 2 4 4" xfId="10697" xr:uid="{4370F3F3-477E-4928-8511-2995C63522AC}"/>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D310546A-D54B-4903-B5CC-9DD0A7304470}"/>
    <cellStyle name="Normal 4 4 3 2 5 2 3" xfId="13255" xr:uid="{2069D11D-386D-4D83-9593-2AE67CB69BEA}"/>
    <cellStyle name="Normal 4 4 3 2 5 3" xfId="6001" xr:uid="{00000000-0005-0000-0000-000085150000}"/>
    <cellStyle name="Normal 4 4 3 2 5 3 2" xfId="15327" xr:uid="{CA4AFE5E-CD66-4B5E-84A8-66C53600E2AF}"/>
    <cellStyle name="Normal 4 4 3 2 5 4" xfId="11110" xr:uid="{DE635C46-F1AE-48FA-B010-9CC7504A4834}"/>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AD182A19-E839-4EE6-997F-70FAC6C99A43}"/>
    <cellStyle name="Normal 4 4 3 2 6 2 3" xfId="13668" xr:uid="{9CF5F06C-C9AE-4954-A11E-9B7181AD5DCF}"/>
    <cellStyle name="Normal 4 4 3 2 6 3" xfId="6414" xr:uid="{00000000-0005-0000-0000-000089150000}"/>
    <cellStyle name="Normal 4 4 3 2 6 3 2" xfId="15740" xr:uid="{47B57378-C9E5-41A3-9D20-E21295E95BC0}"/>
    <cellStyle name="Normal 4 4 3 2 6 4" xfId="11523" xr:uid="{C283E147-5699-4A50-AD64-5F450281841A}"/>
    <cellStyle name="Normal 4 4 3 2 7" xfId="2544" xr:uid="{00000000-0005-0000-0000-00008A150000}"/>
    <cellStyle name="Normal 4 4 3 2 7 2" xfId="6827" xr:uid="{00000000-0005-0000-0000-00008B150000}"/>
    <cellStyle name="Normal 4 4 3 2 7 2 2" xfId="16153" xr:uid="{200BF941-5C14-4485-B06A-13134B324713}"/>
    <cellStyle name="Normal 4 4 3 2 7 3" xfId="11936" xr:uid="{04AC9D16-C4B6-4F36-8625-2266F7662DB5}"/>
    <cellStyle name="Normal 4 4 3 2 8" xfId="4762" xr:uid="{00000000-0005-0000-0000-00008C150000}"/>
    <cellStyle name="Normal 4 4 3 2 8 2" xfId="14088" xr:uid="{06A7F255-6173-446E-B50E-D7B92D6F395E}"/>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844CD61D-77D8-403A-B50F-C51A889F7B36}"/>
    <cellStyle name="Normal 4 4 3 3 2 2 3" xfId="12431" xr:uid="{6DBC027F-4547-49E3-88F1-C1BB05886A8C}"/>
    <cellStyle name="Normal 4 4 3 3 2 3" xfId="5177" xr:uid="{00000000-0005-0000-0000-000091150000}"/>
    <cellStyle name="Normal 4 4 3 3 2 3 2" xfId="14503" xr:uid="{4F7699D4-CCFE-48AA-BBC7-940047A4BA33}"/>
    <cellStyle name="Normal 4 4 3 3 2 4" xfId="9455" xr:uid="{E39EB3A2-D99A-426C-AFEC-E4C90C85BE02}"/>
    <cellStyle name="Normal 4 4 3 3 2 5" xfId="10286" xr:uid="{F5BB5F0C-B0BA-4DE3-8793-CD7D858E0597}"/>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0F0CEE5E-3262-4D6C-8903-C2718ADE5FD5}"/>
    <cellStyle name="Normal 4 4 3 3 3 2 3" xfId="12844" xr:uid="{546D40A7-375B-438B-94CF-8FB4570903C6}"/>
    <cellStyle name="Normal 4 4 3 3 3 3" xfId="5590" xr:uid="{00000000-0005-0000-0000-000095150000}"/>
    <cellStyle name="Normal 4 4 3 3 3 3 2" xfId="14916" xr:uid="{3D0B5A7B-B8EB-4316-921B-5D17C0ED32F1}"/>
    <cellStyle name="Normal 4 4 3 3 3 4" xfId="10699" xr:uid="{93537FAD-9212-4663-B41F-8A2DF84D4997}"/>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16CCBAB3-6647-47BE-89B5-20A9F87C8264}"/>
    <cellStyle name="Normal 4 4 3 3 4 2 3" xfId="13257" xr:uid="{16F4DA55-455A-4D15-ABB8-98B826896418}"/>
    <cellStyle name="Normal 4 4 3 3 4 3" xfId="6003" xr:uid="{00000000-0005-0000-0000-000099150000}"/>
    <cellStyle name="Normal 4 4 3 3 4 3 2" xfId="15329" xr:uid="{082D9FA5-E15A-45E3-B40C-91880087A863}"/>
    <cellStyle name="Normal 4 4 3 3 4 4" xfId="11112" xr:uid="{040FDB01-161F-4F1C-A961-9C6B78DA41E4}"/>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1967D63A-1211-449B-9079-9A09D59DD7A9}"/>
    <cellStyle name="Normal 4 4 3 3 5 2 3" xfId="13670" xr:uid="{2A1D9DB8-2988-488C-AE04-9B46A1D213D2}"/>
    <cellStyle name="Normal 4 4 3 3 5 3" xfId="6416" xr:uid="{00000000-0005-0000-0000-00009D150000}"/>
    <cellStyle name="Normal 4 4 3 3 5 3 2" xfId="15742" xr:uid="{BD04FD84-DD88-45E5-A49E-458A5A3FDD16}"/>
    <cellStyle name="Normal 4 4 3 3 5 4" xfId="11525" xr:uid="{D1C2477A-416D-47BB-A8FF-FFA3A0A1F51C}"/>
    <cellStyle name="Normal 4 4 3 3 6" xfId="2546" xr:uid="{00000000-0005-0000-0000-00009E150000}"/>
    <cellStyle name="Normal 4 4 3 3 6 2" xfId="6829" xr:uid="{00000000-0005-0000-0000-00009F150000}"/>
    <cellStyle name="Normal 4 4 3 3 6 2 2" xfId="16155" xr:uid="{CFF865FF-68C3-42B6-8DDE-087A4541888F}"/>
    <cellStyle name="Normal 4 4 3 3 6 3" xfId="11938" xr:uid="{089B2929-14C7-4B93-BA62-465C68309DB7}"/>
    <cellStyle name="Normal 4 4 3 3 7" xfId="4764" xr:uid="{00000000-0005-0000-0000-0000A0150000}"/>
    <cellStyle name="Normal 4 4 3 3 7 2" xfId="14090" xr:uid="{18CC45B2-0EC9-4E85-B530-10C8080154E1}"/>
    <cellStyle name="Normal 4 4 3 3 8" xfId="9030" xr:uid="{F975DAAD-4546-4770-9976-5C5C66DA227B}"/>
    <cellStyle name="Normal 4 4 3 3 9" xfId="9873" xr:uid="{D0ECFA31-8701-4B10-8C1E-B357FEFAA846}"/>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82BA6515-6C1E-4C16-93B6-F2C998113578}"/>
    <cellStyle name="Normal 4 4 3 4 2 3" xfId="12428" xr:uid="{A1C82B57-2497-4D00-98E7-2411C747B0FD}"/>
    <cellStyle name="Normal 4 4 3 4 3" xfId="5174" xr:uid="{00000000-0005-0000-0000-0000A4150000}"/>
    <cellStyle name="Normal 4 4 3 4 3 2" xfId="14500" xr:uid="{D39B4714-28F3-476B-98A1-3450FAC69272}"/>
    <cellStyle name="Normal 4 4 3 4 4" xfId="9248" xr:uid="{6C5F877B-48E6-47C2-B849-E53F373D5A86}"/>
    <cellStyle name="Normal 4 4 3 4 5" xfId="10283" xr:uid="{D8DDB1D8-B526-432C-8B07-7BA9CD2EF513}"/>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AF5BE931-EC74-4843-BC6F-BA37D491BA34}"/>
    <cellStyle name="Normal 4 4 3 5 2 3" xfId="12841" xr:uid="{ABF89D35-FFFA-4264-B6AE-24B52FCE9775}"/>
    <cellStyle name="Normal 4 4 3 5 3" xfId="5587" xr:uid="{00000000-0005-0000-0000-0000A8150000}"/>
    <cellStyle name="Normal 4 4 3 5 3 2" xfId="14913" xr:uid="{895BBFF9-A679-4DD0-A4E3-C58596A2FCAB}"/>
    <cellStyle name="Normal 4 4 3 5 4" xfId="10696" xr:uid="{01B60F0A-0E2B-4545-BA41-8795AA1337B6}"/>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5F3165DF-2912-48C1-B399-CBE176C3C961}"/>
    <cellStyle name="Normal 4 4 3 6 2 3" xfId="13254" xr:uid="{3F8446F4-58F9-43A7-B9AD-602FA47D87E8}"/>
    <cellStyle name="Normal 4 4 3 6 3" xfId="6000" xr:uid="{00000000-0005-0000-0000-0000AC150000}"/>
    <cellStyle name="Normal 4 4 3 6 3 2" xfId="15326" xr:uid="{004FFE97-8ABD-4F12-BB29-177DA8D2A5ED}"/>
    <cellStyle name="Normal 4 4 3 6 4" xfId="11109" xr:uid="{B481162A-D19E-46B0-8293-472CD40E7B0E}"/>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3D1C9136-F7F8-45C6-8481-51241214615E}"/>
    <cellStyle name="Normal 4 4 3 7 2 3" xfId="13667" xr:uid="{AC2E05D2-E287-4043-8F44-B2367C563883}"/>
    <cellStyle name="Normal 4 4 3 7 3" xfId="6413" xr:uid="{00000000-0005-0000-0000-0000B0150000}"/>
    <cellStyle name="Normal 4 4 3 7 3 2" xfId="15739" xr:uid="{8404F80C-B5BD-4FB1-A589-858A917E1BEB}"/>
    <cellStyle name="Normal 4 4 3 7 4" xfId="11522" xr:uid="{824D261F-6D07-4185-87C3-92B98785F8D4}"/>
    <cellStyle name="Normal 4 4 3 8" xfId="2543" xr:uid="{00000000-0005-0000-0000-0000B1150000}"/>
    <cellStyle name="Normal 4 4 3 8 2" xfId="6826" xr:uid="{00000000-0005-0000-0000-0000B2150000}"/>
    <cellStyle name="Normal 4 4 3 8 2 2" xfId="16152" xr:uid="{01F4DA1A-0D2D-4921-A7DF-B80B2BDFDE53}"/>
    <cellStyle name="Normal 4 4 3 8 3" xfId="11935" xr:uid="{461A3B12-91A9-4A0A-BC38-B86E4029FAC2}"/>
    <cellStyle name="Normal 4 4 3 9" xfId="4761" xr:uid="{00000000-0005-0000-0000-0000B3150000}"/>
    <cellStyle name="Normal 4 4 3 9 2" xfId="14087" xr:uid="{1FCB125B-F2E6-4967-8A44-AF494D3CE4BD}"/>
    <cellStyle name="Normal 4 4 4" xfId="391" xr:uid="{00000000-0005-0000-0000-0000B4150000}"/>
    <cellStyle name="Normal 4 4 4 10" xfId="9874" xr:uid="{75F479D1-2F0B-4D51-80D4-9AE53F03343F}"/>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5ED71089-FB89-4337-81FF-F2F13723EC26}"/>
    <cellStyle name="Normal 4 4 4 2 2 2 3" xfId="12433" xr:uid="{6ED6A9A1-5D40-4F37-B86F-7468520B1478}"/>
    <cellStyle name="Normal 4 4 4 2 2 3" xfId="5179" xr:uid="{00000000-0005-0000-0000-0000B9150000}"/>
    <cellStyle name="Normal 4 4 4 2 2 3 2" xfId="14505" xr:uid="{CED8DAAD-A884-4A67-A588-6EDBB0CB95CD}"/>
    <cellStyle name="Normal 4 4 4 2 2 4" xfId="9484" xr:uid="{69910E0C-08C8-41C5-A6FC-61B52F6CD538}"/>
    <cellStyle name="Normal 4 4 4 2 2 5" xfId="10288" xr:uid="{68C98B59-0726-4166-88BA-35451AC4C5A7}"/>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E48A7A96-1D5E-4307-A406-FA871D2F8819}"/>
    <cellStyle name="Normal 4 4 4 2 3 2 3" xfId="12846" xr:uid="{DF7D79C6-E13D-46E8-B3CB-D307C192E2CB}"/>
    <cellStyle name="Normal 4 4 4 2 3 3" xfId="5592" xr:uid="{00000000-0005-0000-0000-0000BD150000}"/>
    <cellStyle name="Normal 4 4 4 2 3 3 2" xfId="14918" xr:uid="{FC51BD80-A0E4-40C0-8C20-8F26CBB6ED07}"/>
    <cellStyle name="Normal 4 4 4 2 3 4" xfId="10701" xr:uid="{84DDFF56-F7BA-4DE3-99F8-E6D2C79394B0}"/>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89F610A7-08F6-46E0-AB14-EF48612A832B}"/>
    <cellStyle name="Normal 4 4 4 2 4 2 3" xfId="13259" xr:uid="{C8BAB598-3EBC-42B5-BAC5-8083D73DFFEE}"/>
    <cellStyle name="Normal 4 4 4 2 4 3" xfId="6005" xr:uid="{00000000-0005-0000-0000-0000C1150000}"/>
    <cellStyle name="Normal 4 4 4 2 4 3 2" xfId="15331" xr:uid="{CE134456-B772-45C9-AD82-CC3434EE1126}"/>
    <cellStyle name="Normal 4 4 4 2 4 4" xfId="11114" xr:uid="{3A73623D-3C2B-4C63-B610-8995BF5A3DC5}"/>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A09AA44A-1695-4880-B412-2009E174AA08}"/>
    <cellStyle name="Normal 4 4 4 2 5 2 3" xfId="13672" xr:uid="{8B46983E-80C7-4485-A0B2-2877EE792DC6}"/>
    <cellStyle name="Normal 4 4 4 2 5 3" xfId="6418" xr:uid="{00000000-0005-0000-0000-0000C5150000}"/>
    <cellStyle name="Normal 4 4 4 2 5 3 2" xfId="15744" xr:uid="{9A5BE061-4CB3-4EB4-B9F2-F50056283508}"/>
    <cellStyle name="Normal 4 4 4 2 5 4" xfId="11527" xr:uid="{B5FB493B-FB1F-4F2A-8FDC-18557E45BCBE}"/>
    <cellStyle name="Normal 4 4 4 2 6" xfId="2548" xr:uid="{00000000-0005-0000-0000-0000C6150000}"/>
    <cellStyle name="Normal 4 4 4 2 6 2" xfId="6831" xr:uid="{00000000-0005-0000-0000-0000C7150000}"/>
    <cellStyle name="Normal 4 4 4 2 6 2 2" xfId="16157" xr:uid="{D5749BC3-E04A-4AE0-A95A-004E5DDE5935}"/>
    <cellStyle name="Normal 4 4 4 2 6 3" xfId="11940" xr:uid="{EA2EF580-F65F-4238-9DF9-502530A49FFF}"/>
    <cellStyle name="Normal 4 4 4 2 7" xfId="4766" xr:uid="{00000000-0005-0000-0000-0000C8150000}"/>
    <cellStyle name="Normal 4 4 4 2 7 2" xfId="14092" xr:uid="{B9402328-853F-4E93-AACD-479AD4B16DFE}"/>
    <cellStyle name="Normal 4 4 4 2 8" xfId="9059" xr:uid="{76617FCA-DBA6-4291-BD32-6340A19903F7}"/>
    <cellStyle name="Normal 4 4 4 2 9" xfId="9875" xr:uid="{DA77F5A1-07E5-4B1F-BCFF-D324362EFA8B}"/>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11365D39-A333-4526-AF47-620A8BF5A156}"/>
    <cellStyle name="Normal 4 4 4 3 2 3" xfId="12432" xr:uid="{7539965E-AEFE-4DE5-93BD-21B5EF92DD34}"/>
    <cellStyle name="Normal 4 4 4 3 3" xfId="5178" xr:uid="{00000000-0005-0000-0000-0000CC150000}"/>
    <cellStyle name="Normal 4 4 4 3 3 2" xfId="14504" xr:uid="{ECD87B21-B396-4179-8A1A-4BB9559F37F3}"/>
    <cellStyle name="Normal 4 4 4 3 4" xfId="9277" xr:uid="{DD01CD29-2559-4BCC-919C-99D1D75C445F}"/>
    <cellStyle name="Normal 4 4 4 3 5" xfId="10287" xr:uid="{FD314C24-B987-49DB-A81A-F01CCC956ECD}"/>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917BA91E-F945-47CE-8D9D-09BF6051782D}"/>
    <cellStyle name="Normal 4 4 4 4 2 3" xfId="12845" xr:uid="{48EC09DD-974B-47CB-A7B2-A6FDD074BBFD}"/>
    <cellStyle name="Normal 4 4 4 4 3" xfId="5591" xr:uid="{00000000-0005-0000-0000-0000D0150000}"/>
    <cellStyle name="Normal 4 4 4 4 3 2" xfId="14917" xr:uid="{B8DA5580-AD85-40C6-A5B3-CD6D42A260DE}"/>
    <cellStyle name="Normal 4 4 4 4 4" xfId="10700" xr:uid="{A7CE8678-FC5E-411B-BFCB-D9639E196880}"/>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464162EA-9ED2-48A4-BF73-328F984BB22B}"/>
    <cellStyle name="Normal 4 4 4 5 2 3" xfId="13258" xr:uid="{D0408A41-2681-487F-A449-F23368F58182}"/>
    <cellStyle name="Normal 4 4 4 5 3" xfId="6004" xr:uid="{00000000-0005-0000-0000-0000D4150000}"/>
    <cellStyle name="Normal 4 4 4 5 3 2" xfId="15330" xr:uid="{183DE3C1-C02F-4798-A746-89450E66C621}"/>
    <cellStyle name="Normal 4 4 4 5 4" xfId="11113" xr:uid="{644F91E6-5BEC-46F3-8CDE-1BFAD4743D3D}"/>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DF47FE16-7464-4928-BFE7-348E600F8F0E}"/>
    <cellStyle name="Normal 4 4 4 6 2 3" xfId="13671" xr:uid="{F6C778CE-E70D-40B8-BA6B-96BA37D0314D}"/>
    <cellStyle name="Normal 4 4 4 6 3" xfId="6417" xr:uid="{00000000-0005-0000-0000-0000D8150000}"/>
    <cellStyle name="Normal 4 4 4 6 3 2" xfId="15743" xr:uid="{C08FF3E6-C217-4EBC-B685-C55159606D12}"/>
    <cellStyle name="Normal 4 4 4 6 4" xfId="11526" xr:uid="{E9833E0E-39EE-4FB1-8CAF-2A358BC4D7D2}"/>
    <cellStyle name="Normal 4 4 4 7" xfId="2547" xr:uid="{00000000-0005-0000-0000-0000D9150000}"/>
    <cellStyle name="Normal 4 4 4 7 2" xfId="6830" xr:uid="{00000000-0005-0000-0000-0000DA150000}"/>
    <cellStyle name="Normal 4 4 4 7 2 2" xfId="16156" xr:uid="{0E940364-B0BC-4824-BB49-C26C208EDF2F}"/>
    <cellStyle name="Normal 4 4 4 7 3" xfId="11939" xr:uid="{149F6665-2851-4658-B1CE-B50495602285}"/>
    <cellStyle name="Normal 4 4 4 8" xfId="4765" xr:uid="{00000000-0005-0000-0000-0000DB150000}"/>
    <cellStyle name="Normal 4 4 4 8 2" xfId="14091" xr:uid="{3F5D48D4-63EA-46C6-A3F8-B1B27473360E}"/>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48DA88E0-0E88-4FF2-B2F1-1E07AC00B7FD}"/>
    <cellStyle name="Normal 4 4 5 2 2 3" xfId="12434" xr:uid="{8428079D-82EF-4457-92D1-3769AD2CF171}"/>
    <cellStyle name="Normal 4 4 5 2 3" xfId="5180" xr:uid="{00000000-0005-0000-0000-0000E0150000}"/>
    <cellStyle name="Normal 4 4 5 2 3 2" xfId="14506" xr:uid="{A50D88F1-2825-468A-8E55-AACBB029F25B}"/>
    <cellStyle name="Normal 4 4 5 2 4" xfId="9393" xr:uid="{C2991CC4-4E0B-46C4-B338-C6A1C9BA2DE9}"/>
    <cellStyle name="Normal 4 4 5 2 5" xfId="10289" xr:uid="{38705177-DA1C-4966-A9C6-5B5D9137F58E}"/>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D0A497FD-4C0B-47C7-8040-B9FD0B8A12E5}"/>
    <cellStyle name="Normal 4 4 5 3 2 3" xfId="12847" xr:uid="{905D7ED6-07D5-45CE-8C46-1164AB10B454}"/>
    <cellStyle name="Normal 4 4 5 3 3" xfId="5593" xr:uid="{00000000-0005-0000-0000-0000E4150000}"/>
    <cellStyle name="Normal 4 4 5 3 3 2" xfId="14919" xr:uid="{0CE1A43A-E80E-4080-858C-8ED21E8602DA}"/>
    <cellStyle name="Normal 4 4 5 3 4" xfId="10702" xr:uid="{3275C110-BD48-43C8-89C8-D67ABC2C0BEB}"/>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725D2A83-6D45-4DE1-903D-31C027E541DF}"/>
    <cellStyle name="Normal 4 4 5 4 2 3" xfId="13260" xr:uid="{217DFCCC-9F3F-4A47-904A-1A376C117CE1}"/>
    <cellStyle name="Normal 4 4 5 4 3" xfId="6006" xr:uid="{00000000-0005-0000-0000-0000E8150000}"/>
    <cellStyle name="Normal 4 4 5 4 3 2" xfId="15332" xr:uid="{81E299C8-C057-4AD4-ACDC-71425505385E}"/>
    <cellStyle name="Normal 4 4 5 4 4" xfId="11115" xr:uid="{50D9B269-9401-4362-8598-28639876ED15}"/>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999D3BA7-8B4B-4354-8E82-FB58D0172E6B}"/>
    <cellStyle name="Normal 4 4 5 5 2 3" xfId="13673" xr:uid="{E47AD0B5-82A9-4FBE-8B40-FF2CE90D1D0A}"/>
    <cellStyle name="Normal 4 4 5 5 3" xfId="6419" xr:uid="{00000000-0005-0000-0000-0000EC150000}"/>
    <cellStyle name="Normal 4 4 5 5 3 2" xfId="15745" xr:uid="{1DA80568-AF74-4A91-899B-B6476CDC2A4D}"/>
    <cellStyle name="Normal 4 4 5 5 4" xfId="11528" xr:uid="{2A3E3DA1-BBD0-4AF5-9271-9F547EAD74D4}"/>
    <cellStyle name="Normal 4 4 5 6" xfId="2549" xr:uid="{00000000-0005-0000-0000-0000ED150000}"/>
    <cellStyle name="Normal 4 4 5 6 2" xfId="6832" xr:uid="{00000000-0005-0000-0000-0000EE150000}"/>
    <cellStyle name="Normal 4 4 5 6 2 2" xfId="16158" xr:uid="{3735C15A-762D-4C82-9FED-E79CC5CA5A73}"/>
    <cellStyle name="Normal 4 4 5 6 3" xfId="11941" xr:uid="{2BCB6577-6DF6-45A9-A449-038393980D1B}"/>
    <cellStyle name="Normal 4 4 5 7" xfId="4767" xr:uid="{00000000-0005-0000-0000-0000EF150000}"/>
    <cellStyle name="Normal 4 4 5 7 2" xfId="14093" xr:uid="{8F681600-ADFE-4F6A-8569-70FEE0B08FD3}"/>
    <cellStyle name="Normal 4 4 5 8" xfId="8968" xr:uid="{BE877DDE-435D-4CBA-84F2-0372D1DDE771}"/>
    <cellStyle name="Normal 4 4 5 9" xfId="9876" xr:uid="{CEE38804-1E79-4F8B-B93F-802731187B39}"/>
    <cellStyle name="Normal 4 4 6" xfId="853" xr:uid="{00000000-0005-0000-0000-0000F0150000}"/>
    <cellStyle name="Normal 4 4 6 2" xfId="3088" xr:uid="{00000000-0005-0000-0000-0000F1150000}"/>
    <cellStyle name="Normal 4 4 6 2 2" xfId="7310" xr:uid="{00000000-0005-0000-0000-0000F2150000}"/>
    <cellStyle name="Normal 4 4 6 2 2 2" xfId="16636" xr:uid="{F344F6AA-7C7C-4B3D-939F-2C0B286435E2}"/>
    <cellStyle name="Normal 4 4 6 2 3" xfId="12419" xr:uid="{8E8534DE-5E9A-42DC-9DA1-602BADC2B492}"/>
    <cellStyle name="Normal 4 4 6 3" xfId="5165" xr:uid="{00000000-0005-0000-0000-0000F3150000}"/>
    <cellStyle name="Normal 4 4 6 3 2" xfId="14491" xr:uid="{F9998256-DEF5-409B-B260-09ECACED3613}"/>
    <cellStyle name="Normal 4 4 6 4" xfId="9171" xr:uid="{C474601B-95F0-4C9E-AB77-B3E61D2A21D7}"/>
    <cellStyle name="Normal 4 4 6 5" xfId="10274" xr:uid="{89ACBA9A-6386-450F-B649-8AA808040190}"/>
    <cellStyle name="Normal 4 4 7" xfId="1271" xr:uid="{00000000-0005-0000-0000-0000F4150000}"/>
    <cellStyle name="Normal 4 4 7 2" xfId="3501" xr:uid="{00000000-0005-0000-0000-0000F5150000}"/>
    <cellStyle name="Normal 4 4 7 2 2" xfId="7723" xr:uid="{00000000-0005-0000-0000-0000F6150000}"/>
    <cellStyle name="Normal 4 4 7 2 2 2" xfId="17049" xr:uid="{09701025-A608-4A94-BE2F-4464FD05432B}"/>
    <cellStyle name="Normal 4 4 7 2 3" xfId="12832" xr:uid="{4E45B30E-1672-4765-B182-275189BE660C}"/>
    <cellStyle name="Normal 4 4 7 3" xfId="5578" xr:uid="{00000000-0005-0000-0000-0000F7150000}"/>
    <cellStyle name="Normal 4 4 7 3 2" xfId="14904" xr:uid="{A1A6BDC8-82E4-462A-8F76-CD2121894EC0}"/>
    <cellStyle name="Normal 4 4 7 4" xfId="10687" xr:uid="{4E92A1A0-3E3B-4717-B8E1-B5F11B9B465D}"/>
    <cellStyle name="Normal 4 4 8" xfId="1684" xr:uid="{00000000-0005-0000-0000-0000F8150000}"/>
    <cellStyle name="Normal 4 4 8 2" xfId="3914" xr:uid="{00000000-0005-0000-0000-0000F9150000}"/>
    <cellStyle name="Normal 4 4 8 2 2" xfId="8136" xr:uid="{00000000-0005-0000-0000-0000FA150000}"/>
    <cellStyle name="Normal 4 4 8 2 2 2" xfId="17462" xr:uid="{01759A5F-86B5-4670-9A96-30750615A051}"/>
    <cellStyle name="Normal 4 4 8 2 3" xfId="13245" xr:uid="{1434DF9F-14A2-4DA1-B360-5259F62C31F1}"/>
    <cellStyle name="Normal 4 4 8 3" xfId="5991" xr:uid="{00000000-0005-0000-0000-0000FB150000}"/>
    <cellStyle name="Normal 4 4 8 3 2" xfId="15317" xr:uid="{4C602629-29B2-4B47-B521-EB104EA80A1A}"/>
    <cellStyle name="Normal 4 4 8 4" xfId="11100" xr:uid="{D0F9D056-7D68-4A1D-9C23-FFDCBE76F92E}"/>
    <cellStyle name="Normal 4 4 9" xfId="2098" xr:uid="{00000000-0005-0000-0000-0000FC150000}"/>
    <cellStyle name="Normal 4 4 9 2" xfId="4327" xr:uid="{00000000-0005-0000-0000-0000FD150000}"/>
    <cellStyle name="Normal 4 4 9 2 2" xfId="8549" xr:uid="{00000000-0005-0000-0000-0000FE150000}"/>
    <cellStyle name="Normal 4 4 9 2 2 2" xfId="17875" xr:uid="{872CBF61-02B7-4713-BD1B-3EED1F434492}"/>
    <cellStyle name="Normal 4 4 9 2 3" xfId="13658" xr:uid="{6EE332B4-AE11-49FE-9D18-9793DB3DC5F9}"/>
    <cellStyle name="Normal 4 4 9 3" xfId="6404" xr:uid="{00000000-0005-0000-0000-0000FF150000}"/>
    <cellStyle name="Normal 4 4 9 3 2" xfId="15730" xr:uid="{5FECFFD7-5230-48F5-A198-293DA5509463}"/>
    <cellStyle name="Normal 4 4 9 4" xfId="11513" xr:uid="{15A08FD8-81E2-4FDD-8330-4D0E1494AC9A}"/>
    <cellStyle name="Normal 4 5" xfId="394" xr:uid="{00000000-0005-0000-0000-000000160000}"/>
    <cellStyle name="Normal 4 6" xfId="395" xr:uid="{00000000-0005-0000-0000-000001160000}"/>
    <cellStyle name="Normal 4 6 10" xfId="4768" xr:uid="{00000000-0005-0000-0000-000002160000}"/>
    <cellStyle name="Normal 4 6 10 2" xfId="14094" xr:uid="{00922D01-BE3C-4453-AD19-145B87F55C89}"/>
    <cellStyle name="Normal 4 6 11" xfId="8772" xr:uid="{23628FEE-4113-4B2C-B2A0-0106FC7F55C2}"/>
    <cellStyle name="Normal 4 6 12" xfId="9877" xr:uid="{3D7AD45D-7CAE-497A-A89A-9DED3393574C}"/>
    <cellStyle name="Normal 4 6 2" xfId="396" xr:uid="{00000000-0005-0000-0000-000003160000}"/>
    <cellStyle name="Normal 4 6 2 10" xfId="8825" xr:uid="{C3062495-9D56-441B-95F6-B73E7DAC524C}"/>
    <cellStyle name="Normal 4 6 2 11" xfId="9878" xr:uid="{71C6BA51-0B37-4EE9-BA5F-2229F620B98E}"/>
    <cellStyle name="Normal 4 6 2 2" xfId="397" xr:uid="{00000000-0005-0000-0000-000004160000}"/>
    <cellStyle name="Normal 4 6 2 2 10" xfId="9879" xr:uid="{0463B08F-2DBA-449E-B53B-1EEE065C786D}"/>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15BB7C1C-5803-45B7-AD61-15416A40B9D6}"/>
    <cellStyle name="Normal 4 6 2 2 2 2 2 3" xfId="12438" xr:uid="{8F404CB4-9D9B-4F34-B295-A8BAA18227A1}"/>
    <cellStyle name="Normal 4 6 2 2 2 2 3" xfId="5184" xr:uid="{00000000-0005-0000-0000-000009160000}"/>
    <cellStyle name="Normal 4 6 2 2 2 2 3 2" xfId="14510" xr:uid="{E806E8CA-146C-454F-BCDE-E586B22B7973}"/>
    <cellStyle name="Normal 4 6 2 2 2 2 4" xfId="9560" xr:uid="{04DAEE11-A96E-4522-8546-8A0C107E12B9}"/>
    <cellStyle name="Normal 4 6 2 2 2 2 5" xfId="10293" xr:uid="{51136D25-B593-4289-AC73-037770A6749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B03768B0-B729-48FD-B20D-B2046EE7EEB5}"/>
    <cellStyle name="Normal 4 6 2 2 2 3 2 3" xfId="12851" xr:uid="{443E0E17-C555-4322-BB46-0178B9B4C89E}"/>
    <cellStyle name="Normal 4 6 2 2 2 3 3" xfId="5597" xr:uid="{00000000-0005-0000-0000-00000D160000}"/>
    <cellStyle name="Normal 4 6 2 2 2 3 3 2" xfId="14923" xr:uid="{B6099F11-6456-4B92-B654-E23293D48CDF}"/>
    <cellStyle name="Normal 4 6 2 2 2 3 4" xfId="10706" xr:uid="{AFB0866D-F372-4322-878C-F6820DD5CBCC}"/>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684F290E-1C7F-4B35-B1D1-63E0F2B8ECA5}"/>
    <cellStyle name="Normal 4 6 2 2 2 4 2 3" xfId="13264" xr:uid="{56123F99-4D91-47AC-98EB-283B9A52BE2D}"/>
    <cellStyle name="Normal 4 6 2 2 2 4 3" xfId="6010" xr:uid="{00000000-0005-0000-0000-000011160000}"/>
    <cellStyle name="Normal 4 6 2 2 2 4 3 2" xfId="15336" xr:uid="{59A5E53F-044B-477C-9E3D-1F8EDF543E10}"/>
    <cellStyle name="Normal 4 6 2 2 2 4 4" xfId="11119" xr:uid="{9C403968-67DD-4AB8-997D-7AED8E2609E1}"/>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2810C3F4-CFA4-464C-A075-939453F11913}"/>
    <cellStyle name="Normal 4 6 2 2 2 5 2 3" xfId="13677" xr:uid="{90A78D66-EADE-4160-B9A6-B182DDF7D9A3}"/>
    <cellStyle name="Normal 4 6 2 2 2 5 3" xfId="6423" xr:uid="{00000000-0005-0000-0000-000015160000}"/>
    <cellStyle name="Normal 4 6 2 2 2 5 3 2" xfId="15749" xr:uid="{523771B4-44EA-47E6-877B-E6764190B438}"/>
    <cellStyle name="Normal 4 6 2 2 2 5 4" xfId="11532" xr:uid="{435A289B-9DFA-487E-A6B9-96676EB70872}"/>
    <cellStyle name="Normal 4 6 2 2 2 6" xfId="2553" xr:uid="{00000000-0005-0000-0000-000016160000}"/>
    <cellStyle name="Normal 4 6 2 2 2 6 2" xfId="6836" xr:uid="{00000000-0005-0000-0000-000017160000}"/>
    <cellStyle name="Normal 4 6 2 2 2 6 2 2" xfId="16162" xr:uid="{DAF3B8AB-65DE-4E6B-A805-098C631AE529}"/>
    <cellStyle name="Normal 4 6 2 2 2 6 3" xfId="11945" xr:uid="{FC893F10-739D-4402-9289-6A18667D9903}"/>
    <cellStyle name="Normal 4 6 2 2 2 7" xfId="4771" xr:uid="{00000000-0005-0000-0000-000018160000}"/>
    <cellStyle name="Normal 4 6 2 2 2 7 2" xfId="14097" xr:uid="{C4719233-3630-4370-A9CA-AF750F353D1B}"/>
    <cellStyle name="Normal 4 6 2 2 2 8" xfId="9135" xr:uid="{2F4C420F-13DD-45DD-99DD-C7AFF7CD7823}"/>
    <cellStyle name="Normal 4 6 2 2 2 9" xfId="9880" xr:uid="{75E21A96-E39E-462F-B521-511C7F210E29}"/>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CF3F2474-1182-4F3F-9F5A-BCA5DF6EFB08}"/>
    <cellStyle name="Normal 4 6 2 2 3 2 3" xfId="12437" xr:uid="{D0B9D131-3712-40B6-972E-768699679804}"/>
    <cellStyle name="Normal 4 6 2 2 3 3" xfId="5183" xr:uid="{00000000-0005-0000-0000-00001C160000}"/>
    <cellStyle name="Normal 4 6 2 2 3 3 2" xfId="14509" xr:uid="{EFE7C52C-E9B6-450E-B0BE-44B6199C0071}"/>
    <cellStyle name="Normal 4 6 2 2 3 4" xfId="9353" xr:uid="{60C7EC16-17DE-43AF-A246-41C667B376B7}"/>
    <cellStyle name="Normal 4 6 2 2 3 5" xfId="10292" xr:uid="{2E462F9A-E389-4FAB-BBBD-10EFF8AAA59F}"/>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2822BD15-A002-4B92-B0B3-7C8628ABE6E5}"/>
    <cellStyle name="Normal 4 6 2 2 4 2 3" xfId="12850" xr:uid="{CC17EF37-140E-4E9D-AB52-23FFB448D400}"/>
    <cellStyle name="Normal 4 6 2 2 4 3" xfId="5596" xr:uid="{00000000-0005-0000-0000-000020160000}"/>
    <cellStyle name="Normal 4 6 2 2 4 3 2" xfId="14922" xr:uid="{2226020D-6E99-47EA-A981-020285CA5B62}"/>
    <cellStyle name="Normal 4 6 2 2 4 4" xfId="10705" xr:uid="{92606887-41D6-4524-B708-86B3D25E6A61}"/>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B90D7BAF-7220-4C5B-B944-3200E3E592B5}"/>
    <cellStyle name="Normal 4 6 2 2 5 2 3" xfId="13263" xr:uid="{094CD847-B6C2-49BD-862F-8525426E8E6B}"/>
    <cellStyle name="Normal 4 6 2 2 5 3" xfId="6009" xr:uid="{00000000-0005-0000-0000-000024160000}"/>
    <cellStyle name="Normal 4 6 2 2 5 3 2" xfId="15335" xr:uid="{57E024E6-67B0-4640-953D-E7228EEE9416}"/>
    <cellStyle name="Normal 4 6 2 2 5 4" xfId="11118" xr:uid="{B4C53DB8-9E94-44D9-9DA7-521CD9FF4AE0}"/>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5182427A-B807-46BC-AABC-75AE42B0D483}"/>
    <cellStyle name="Normal 4 6 2 2 6 2 3" xfId="13676" xr:uid="{2FEF3458-AAB5-4A88-8030-3608CBD4A8C5}"/>
    <cellStyle name="Normal 4 6 2 2 6 3" xfId="6422" xr:uid="{00000000-0005-0000-0000-000028160000}"/>
    <cellStyle name="Normal 4 6 2 2 6 3 2" xfId="15748" xr:uid="{0C117AEC-EE13-4B4A-BE4C-5A67875144E8}"/>
    <cellStyle name="Normal 4 6 2 2 6 4" xfId="11531" xr:uid="{57E83D08-F926-4F58-AB47-871B6D1F4820}"/>
    <cellStyle name="Normal 4 6 2 2 7" xfId="2552" xr:uid="{00000000-0005-0000-0000-000029160000}"/>
    <cellStyle name="Normal 4 6 2 2 7 2" xfId="6835" xr:uid="{00000000-0005-0000-0000-00002A160000}"/>
    <cellStyle name="Normal 4 6 2 2 7 2 2" xfId="16161" xr:uid="{68AD82F4-C2A8-4721-86A2-9DBA838D7C4D}"/>
    <cellStyle name="Normal 4 6 2 2 7 3" xfId="11944" xr:uid="{C1A00919-5A6E-4256-AA9A-4CDBA42977E2}"/>
    <cellStyle name="Normal 4 6 2 2 8" xfId="4770" xr:uid="{00000000-0005-0000-0000-00002B160000}"/>
    <cellStyle name="Normal 4 6 2 2 8 2" xfId="14096" xr:uid="{57212540-A80F-496D-9672-1204C729C1C4}"/>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E4734D97-AFF1-4F90-A37F-3883D61C8553}"/>
    <cellStyle name="Normal 4 6 2 3 2 2 3" xfId="12439" xr:uid="{3D5F1463-8365-4162-9070-7B329AFE41F9}"/>
    <cellStyle name="Normal 4 6 2 3 2 3" xfId="5185" xr:uid="{00000000-0005-0000-0000-000030160000}"/>
    <cellStyle name="Normal 4 6 2 3 2 3 2" xfId="14511" xr:uid="{096BFA9A-0CF2-4701-9C92-C05FC464DD91}"/>
    <cellStyle name="Normal 4 6 2 3 2 4" xfId="9457" xr:uid="{E86AED2D-42AD-49DE-9461-1FA72B82C89E}"/>
    <cellStyle name="Normal 4 6 2 3 2 5" xfId="10294" xr:uid="{3BC2C074-D2A8-4259-97A6-E9DFAEF0DDA1}"/>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FFFD4AAB-23B8-48FE-98E7-6A3AB2AF8CEC}"/>
    <cellStyle name="Normal 4 6 2 3 3 2 3" xfId="12852" xr:uid="{06F0B02D-109A-412B-BDE8-E71F169BA7FF}"/>
    <cellStyle name="Normal 4 6 2 3 3 3" xfId="5598" xr:uid="{00000000-0005-0000-0000-000034160000}"/>
    <cellStyle name="Normal 4 6 2 3 3 3 2" xfId="14924" xr:uid="{EDFDE877-3D6C-4D63-84FF-3740E9A4A496}"/>
    <cellStyle name="Normal 4 6 2 3 3 4" xfId="10707" xr:uid="{6DE04C2A-B272-4525-AAB8-6BACC826E5D9}"/>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2B913A67-8653-4B20-BAC4-5B19047DBA4F}"/>
    <cellStyle name="Normal 4 6 2 3 4 2 3" xfId="13265" xr:uid="{7301AA4D-A7FA-4E86-AE48-D27A6AA5D79C}"/>
    <cellStyle name="Normal 4 6 2 3 4 3" xfId="6011" xr:uid="{00000000-0005-0000-0000-000038160000}"/>
    <cellStyle name="Normal 4 6 2 3 4 3 2" xfId="15337" xr:uid="{06510568-CE8D-4E05-9C21-4A7C404D6F62}"/>
    <cellStyle name="Normal 4 6 2 3 4 4" xfId="11120" xr:uid="{1EF51D60-8C0E-4FCE-89D1-D120AD6F289D}"/>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575C5B71-AF86-4914-B0FB-D45617FA0660}"/>
    <cellStyle name="Normal 4 6 2 3 5 2 3" xfId="13678" xr:uid="{5A9AD19B-16BB-4CB2-9553-7E7627A463C2}"/>
    <cellStyle name="Normal 4 6 2 3 5 3" xfId="6424" xr:uid="{00000000-0005-0000-0000-00003C160000}"/>
    <cellStyle name="Normal 4 6 2 3 5 3 2" xfId="15750" xr:uid="{D9A7F45A-CC45-49B0-A1ED-897342B213FD}"/>
    <cellStyle name="Normal 4 6 2 3 5 4" xfId="11533" xr:uid="{23371343-4D2B-484F-9F7D-39D2941A83F7}"/>
    <cellStyle name="Normal 4 6 2 3 6" xfId="2554" xr:uid="{00000000-0005-0000-0000-00003D160000}"/>
    <cellStyle name="Normal 4 6 2 3 6 2" xfId="6837" xr:uid="{00000000-0005-0000-0000-00003E160000}"/>
    <cellStyle name="Normal 4 6 2 3 6 2 2" xfId="16163" xr:uid="{E2D5CDA4-991E-4025-8D3F-470273F35917}"/>
    <cellStyle name="Normal 4 6 2 3 6 3" xfId="11946" xr:uid="{C2B25168-F013-4126-9B05-4232CE43039F}"/>
    <cellStyle name="Normal 4 6 2 3 7" xfId="4772" xr:uid="{00000000-0005-0000-0000-00003F160000}"/>
    <cellStyle name="Normal 4 6 2 3 7 2" xfId="14098" xr:uid="{668A96B6-1462-4CF3-89E8-142189C92D71}"/>
    <cellStyle name="Normal 4 6 2 3 8" xfId="9032" xr:uid="{576A1DC5-5971-4772-803F-0A60F80D4C41}"/>
    <cellStyle name="Normal 4 6 2 3 9" xfId="9881" xr:uid="{88B63C68-0644-4816-A98B-42960BBB3799}"/>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E92560D0-4FEF-4131-86A9-E307F3D2B91D}"/>
    <cellStyle name="Normal 4 6 2 4 2 3" xfId="12436" xr:uid="{C3E8AC1D-D317-4F84-869A-99C6AEAD22D8}"/>
    <cellStyle name="Normal 4 6 2 4 3" xfId="5182" xr:uid="{00000000-0005-0000-0000-000043160000}"/>
    <cellStyle name="Normal 4 6 2 4 3 2" xfId="14508" xr:uid="{615940B5-3E82-4700-8B5A-B2E40604123A}"/>
    <cellStyle name="Normal 4 6 2 4 4" xfId="9250" xr:uid="{CBBC9A51-5203-4C00-93C7-FE7C973DCDD1}"/>
    <cellStyle name="Normal 4 6 2 4 5" xfId="10291" xr:uid="{C2AE5CF0-6701-48EC-8998-7A10CA51527C}"/>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4219098F-C372-45B1-A5B4-910DEC86BBED}"/>
    <cellStyle name="Normal 4 6 2 5 2 3" xfId="12849" xr:uid="{A9F70897-7289-45F1-B611-9015DDFF07F8}"/>
    <cellStyle name="Normal 4 6 2 5 3" xfId="5595" xr:uid="{00000000-0005-0000-0000-000047160000}"/>
    <cellStyle name="Normal 4 6 2 5 3 2" xfId="14921" xr:uid="{90816938-E0CC-4F70-B76E-9541299D4786}"/>
    <cellStyle name="Normal 4 6 2 5 4" xfId="10704" xr:uid="{2B6D3922-4978-4D3A-984A-9E13DBF40DDF}"/>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272094D3-AB23-455D-BA10-AA3B86948E86}"/>
    <cellStyle name="Normal 4 6 2 6 2 3" xfId="13262" xr:uid="{B077D474-F294-4FB5-B849-B6D9FAABAEF5}"/>
    <cellStyle name="Normal 4 6 2 6 3" xfId="6008" xr:uid="{00000000-0005-0000-0000-00004B160000}"/>
    <cellStyle name="Normal 4 6 2 6 3 2" xfId="15334" xr:uid="{886E6413-052E-4FEE-ACF9-1988F48536FD}"/>
    <cellStyle name="Normal 4 6 2 6 4" xfId="11117" xr:uid="{C8B52581-6B87-43C8-8183-AF96F9776E1F}"/>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E209946A-0E66-479F-8538-751C0C430FF4}"/>
    <cellStyle name="Normal 4 6 2 7 2 3" xfId="13675" xr:uid="{B36EFED6-DCD2-462D-9C6E-21494542C99C}"/>
    <cellStyle name="Normal 4 6 2 7 3" xfId="6421" xr:uid="{00000000-0005-0000-0000-00004F160000}"/>
    <cellStyle name="Normal 4 6 2 7 3 2" xfId="15747" xr:uid="{FE98A8F0-F670-48D5-BD69-3E2C2D5E9300}"/>
    <cellStyle name="Normal 4 6 2 7 4" xfId="11530" xr:uid="{99F80C18-F004-44C8-92CE-1B31F2A6AAAF}"/>
    <cellStyle name="Normal 4 6 2 8" xfId="2551" xr:uid="{00000000-0005-0000-0000-000050160000}"/>
    <cellStyle name="Normal 4 6 2 8 2" xfId="6834" xr:uid="{00000000-0005-0000-0000-000051160000}"/>
    <cellStyle name="Normal 4 6 2 8 2 2" xfId="16160" xr:uid="{10B7D67F-C6DF-4BB9-8A02-2B0E3E23CBF0}"/>
    <cellStyle name="Normal 4 6 2 8 3" xfId="11943" xr:uid="{00E38B3B-E2FE-4172-A062-97D0292FE3E0}"/>
    <cellStyle name="Normal 4 6 2 9" xfId="4769" xr:uid="{00000000-0005-0000-0000-000052160000}"/>
    <cellStyle name="Normal 4 6 2 9 2" xfId="14095" xr:uid="{496A79AE-1ED7-46C5-8596-98FB2335883C}"/>
    <cellStyle name="Normal 4 6 3" xfId="400" xr:uid="{00000000-0005-0000-0000-000053160000}"/>
    <cellStyle name="Normal 4 6 3 10" xfId="9882" xr:uid="{00794C7F-E352-4405-90A9-8C00477B1B21}"/>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2A2AB687-AD1D-4125-886D-6ABD4B8FDFBC}"/>
    <cellStyle name="Normal 4 6 3 2 2 2 3" xfId="12441" xr:uid="{5C565ECC-4C9F-45BA-BEE9-0615900713F8}"/>
    <cellStyle name="Normal 4 6 3 2 2 3" xfId="5187" xr:uid="{00000000-0005-0000-0000-000058160000}"/>
    <cellStyle name="Normal 4 6 3 2 2 3 2" xfId="14513" xr:uid="{51EE3FFD-C1C0-4606-B0FF-8FC2DA5D5884}"/>
    <cellStyle name="Normal 4 6 3 2 2 4" xfId="9507" xr:uid="{63E4C3EA-8BE6-4CDE-9E44-1D64049D4CF5}"/>
    <cellStyle name="Normal 4 6 3 2 2 5" xfId="10296" xr:uid="{C150617B-8621-446A-A481-7AE1A03EC1FF}"/>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A1AC68B1-2B98-40C6-9DBB-95407D24FBEB}"/>
    <cellStyle name="Normal 4 6 3 2 3 2 3" xfId="12854" xr:uid="{B9ABE014-01E9-41C4-A7A1-CCBE3F3983B9}"/>
    <cellStyle name="Normal 4 6 3 2 3 3" xfId="5600" xr:uid="{00000000-0005-0000-0000-00005C160000}"/>
    <cellStyle name="Normal 4 6 3 2 3 3 2" xfId="14926" xr:uid="{E4475D29-3830-4843-8F45-C117B8F4BE2C}"/>
    <cellStyle name="Normal 4 6 3 2 3 4" xfId="10709" xr:uid="{7D23E231-2D3E-48F6-BDBB-774400073340}"/>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5A21A79F-969C-4BF9-9D74-905E6C8422DE}"/>
    <cellStyle name="Normal 4 6 3 2 4 2 3" xfId="13267" xr:uid="{B6C77B93-3D9F-4145-8BA7-58DBC3CBDF3A}"/>
    <cellStyle name="Normal 4 6 3 2 4 3" xfId="6013" xr:uid="{00000000-0005-0000-0000-000060160000}"/>
    <cellStyle name="Normal 4 6 3 2 4 3 2" xfId="15339" xr:uid="{12F9459F-EAC8-4F57-A937-98AC9ABB9683}"/>
    <cellStyle name="Normal 4 6 3 2 4 4" xfId="11122" xr:uid="{46F1AA5C-0100-4E5C-90A2-AA79CF1536E2}"/>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A7B90163-D51B-4FC1-8A01-7B0B658EC6C7}"/>
    <cellStyle name="Normal 4 6 3 2 5 2 3" xfId="13680" xr:uid="{49C23D5B-0502-47C8-8725-1859F50F68E6}"/>
    <cellStyle name="Normal 4 6 3 2 5 3" xfId="6426" xr:uid="{00000000-0005-0000-0000-000064160000}"/>
    <cellStyle name="Normal 4 6 3 2 5 3 2" xfId="15752" xr:uid="{B362CFA3-E84E-4A71-9944-30CA76FA9069}"/>
    <cellStyle name="Normal 4 6 3 2 5 4" xfId="11535" xr:uid="{E990B1F9-EBDA-4193-94B4-4BD63D9E1C19}"/>
    <cellStyle name="Normal 4 6 3 2 6" xfId="2556" xr:uid="{00000000-0005-0000-0000-000065160000}"/>
    <cellStyle name="Normal 4 6 3 2 6 2" xfId="6839" xr:uid="{00000000-0005-0000-0000-000066160000}"/>
    <cellStyle name="Normal 4 6 3 2 6 2 2" xfId="16165" xr:uid="{CEA5D45F-B884-47D5-BF26-29427AD372C7}"/>
    <cellStyle name="Normal 4 6 3 2 6 3" xfId="11948" xr:uid="{63D4DE3E-0047-4F45-A0C0-1EF98A71FA4C}"/>
    <cellStyle name="Normal 4 6 3 2 7" xfId="4774" xr:uid="{00000000-0005-0000-0000-000067160000}"/>
    <cellStyle name="Normal 4 6 3 2 7 2" xfId="14100" xr:uid="{DA651C92-7FFA-4AD7-9636-D72D3D274641}"/>
    <cellStyle name="Normal 4 6 3 2 8" xfId="9082" xr:uid="{B272D1AE-3713-4AD0-AE3F-D1A7344AD432}"/>
    <cellStyle name="Normal 4 6 3 2 9" xfId="9883" xr:uid="{0AF32CAA-1843-4F73-9C1F-571365D7A348}"/>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71150A98-718F-48C2-8834-3D76BE24AE82}"/>
    <cellStyle name="Normal 4 6 3 3 2 3" xfId="12440" xr:uid="{77062D3B-784B-4514-BD40-1B8696081D36}"/>
    <cellStyle name="Normal 4 6 3 3 3" xfId="5186" xr:uid="{00000000-0005-0000-0000-00006B160000}"/>
    <cellStyle name="Normal 4 6 3 3 3 2" xfId="14512" xr:uid="{AC52C27D-7522-469F-AF1C-E9E35E71B342}"/>
    <cellStyle name="Normal 4 6 3 3 4" xfId="9300" xr:uid="{955A2E97-C871-4115-A4F5-A642AE2D2C4B}"/>
    <cellStyle name="Normal 4 6 3 3 5" xfId="10295" xr:uid="{DB111D16-CF88-411B-BBA3-3C5AD44FE278}"/>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13388087-A7DF-4045-9320-7F37F3663946}"/>
    <cellStyle name="Normal 4 6 3 4 2 3" xfId="12853" xr:uid="{6D6025AE-F1F5-4224-9BB2-28B8AF5A2C0A}"/>
    <cellStyle name="Normal 4 6 3 4 3" xfId="5599" xr:uid="{00000000-0005-0000-0000-00006F160000}"/>
    <cellStyle name="Normal 4 6 3 4 3 2" xfId="14925" xr:uid="{FAE9808B-A68D-47E0-AB9F-302074C03BCA}"/>
    <cellStyle name="Normal 4 6 3 4 4" xfId="10708" xr:uid="{DA73C005-9559-4613-9520-0E1E3BAC391A}"/>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A3EA9CEF-B653-47B2-8561-20ABA34DD1A4}"/>
    <cellStyle name="Normal 4 6 3 5 2 3" xfId="13266" xr:uid="{8957DFC5-6D7C-4F98-AE2A-171A51343FEF}"/>
    <cellStyle name="Normal 4 6 3 5 3" xfId="6012" xr:uid="{00000000-0005-0000-0000-000073160000}"/>
    <cellStyle name="Normal 4 6 3 5 3 2" xfId="15338" xr:uid="{B61E50CD-E443-4DBD-8E0E-FBF55545C031}"/>
    <cellStyle name="Normal 4 6 3 5 4" xfId="11121" xr:uid="{96C43E0D-B39B-4353-9878-305FF7C2EC85}"/>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312DE3F5-B68B-44A5-8E2E-8A877C5D7EB6}"/>
    <cellStyle name="Normal 4 6 3 6 2 3" xfId="13679" xr:uid="{60A874E3-581A-4CE7-A713-372C8437C48F}"/>
    <cellStyle name="Normal 4 6 3 6 3" xfId="6425" xr:uid="{00000000-0005-0000-0000-000077160000}"/>
    <cellStyle name="Normal 4 6 3 6 3 2" xfId="15751" xr:uid="{8CB9BBEA-9D0D-4315-9330-3B5ED94CB0AB}"/>
    <cellStyle name="Normal 4 6 3 6 4" xfId="11534" xr:uid="{EF749AF7-92A2-4A78-8A4B-239D5EA38204}"/>
    <cellStyle name="Normal 4 6 3 7" xfId="2555" xr:uid="{00000000-0005-0000-0000-000078160000}"/>
    <cellStyle name="Normal 4 6 3 7 2" xfId="6838" xr:uid="{00000000-0005-0000-0000-000079160000}"/>
    <cellStyle name="Normal 4 6 3 7 2 2" xfId="16164" xr:uid="{E97558E3-53AF-4CEB-B656-43AE57F4B604}"/>
    <cellStyle name="Normal 4 6 3 7 3" xfId="11947" xr:uid="{62357D7B-EDAA-475E-A959-754B6A510BCD}"/>
    <cellStyle name="Normal 4 6 3 8" xfId="4773" xr:uid="{00000000-0005-0000-0000-00007A160000}"/>
    <cellStyle name="Normal 4 6 3 8 2" xfId="14099" xr:uid="{1185DF86-052A-417A-839E-C84CB72726E5}"/>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70225D44-0074-48DC-B380-5BEAD309CFC4}"/>
    <cellStyle name="Normal 4 6 4 2 2 3" xfId="12442" xr:uid="{CD8ADB78-7AEA-4985-942E-D3163C9EE620}"/>
    <cellStyle name="Normal 4 6 4 2 3" xfId="5188" xr:uid="{00000000-0005-0000-0000-00007F160000}"/>
    <cellStyle name="Normal 4 6 4 2 3 2" xfId="14514" xr:uid="{74B0B7E3-6651-46A5-96B4-5EAB2863FAAB}"/>
    <cellStyle name="Normal 4 6 4 2 4" xfId="9404" xr:uid="{D1BAB6D6-35EF-4C34-91EA-2EB17352CDF9}"/>
    <cellStyle name="Normal 4 6 4 2 5" xfId="10297" xr:uid="{45650179-45A5-4A59-A27E-54510F9A0BEB}"/>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B6190036-7B25-46D1-885F-EECCCD2CD9B5}"/>
    <cellStyle name="Normal 4 6 4 3 2 3" xfId="12855" xr:uid="{FA7FD8A3-4CDC-45D1-899D-D07BD252DE3B}"/>
    <cellStyle name="Normal 4 6 4 3 3" xfId="5601" xr:uid="{00000000-0005-0000-0000-000083160000}"/>
    <cellStyle name="Normal 4 6 4 3 3 2" xfId="14927" xr:uid="{24E80EC2-7347-4285-A92C-94DF0D215546}"/>
    <cellStyle name="Normal 4 6 4 3 4" xfId="10710" xr:uid="{86F1853C-0EA5-4E41-858F-F854328B2CF4}"/>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1ADB97D1-81FB-4473-9115-4E457C9CADF0}"/>
    <cellStyle name="Normal 4 6 4 4 2 3" xfId="13268" xr:uid="{CFB915C1-C13A-4E11-9D0B-28BF7EAC6530}"/>
    <cellStyle name="Normal 4 6 4 4 3" xfId="6014" xr:uid="{00000000-0005-0000-0000-000087160000}"/>
    <cellStyle name="Normal 4 6 4 4 3 2" xfId="15340" xr:uid="{66913CD2-FC40-491A-9FB7-2172A7161334}"/>
    <cellStyle name="Normal 4 6 4 4 4" xfId="11123" xr:uid="{6D3E53B2-49EE-4C0F-A124-6C2127D9BA83}"/>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BA7ED2BD-5557-4135-8CAD-B69CBBA2DA75}"/>
    <cellStyle name="Normal 4 6 4 5 2 3" xfId="13681" xr:uid="{FBD9C61F-D52D-4764-A366-A8460BA428F4}"/>
    <cellStyle name="Normal 4 6 4 5 3" xfId="6427" xr:uid="{00000000-0005-0000-0000-00008B160000}"/>
    <cellStyle name="Normal 4 6 4 5 3 2" xfId="15753" xr:uid="{1AAB48EA-3F88-47C0-BEE1-210FBB33A32C}"/>
    <cellStyle name="Normal 4 6 4 5 4" xfId="11536" xr:uid="{97F5A015-FA52-4AA9-8256-E33B3D4D8110}"/>
    <cellStyle name="Normal 4 6 4 6" xfId="2557" xr:uid="{00000000-0005-0000-0000-00008C160000}"/>
    <cellStyle name="Normal 4 6 4 6 2" xfId="6840" xr:uid="{00000000-0005-0000-0000-00008D160000}"/>
    <cellStyle name="Normal 4 6 4 6 2 2" xfId="16166" xr:uid="{496341FB-5147-41C5-8429-5BC8BD6ABA07}"/>
    <cellStyle name="Normal 4 6 4 6 3" xfId="11949" xr:uid="{49E82EFE-93E8-4721-8BEB-CEE28EAEA97E}"/>
    <cellStyle name="Normal 4 6 4 7" xfId="4775" xr:uid="{00000000-0005-0000-0000-00008E160000}"/>
    <cellStyle name="Normal 4 6 4 7 2" xfId="14101" xr:uid="{40B59CA5-5B9F-4A20-8FB4-51D8B6367CC1}"/>
    <cellStyle name="Normal 4 6 4 8" xfId="8979" xr:uid="{358D1440-F461-4509-8416-8F78F7D13FF4}"/>
    <cellStyle name="Normal 4 6 4 9" xfId="9884" xr:uid="{584EC5C2-D38D-4A18-B914-63DDCA43EB4A}"/>
    <cellStyle name="Normal 4 6 5" xfId="869" xr:uid="{00000000-0005-0000-0000-00008F160000}"/>
    <cellStyle name="Normal 4 6 5 2" xfId="3104" xr:uid="{00000000-0005-0000-0000-000090160000}"/>
    <cellStyle name="Normal 4 6 5 2 2" xfId="7326" xr:uid="{00000000-0005-0000-0000-000091160000}"/>
    <cellStyle name="Normal 4 6 5 2 2 2" xfId="16652" xr:uid="{8FF2B849-9C76-49F1-A5C2-C8D0D6A76FD2}"/>
    <cellStyle name="Normal 4 6 5 2 3" xfId="12435" xr:uid="{EDA3A3A7-5ED5-4BAE-8407-3EDD48A7C0D4}"/>
    <cellStyle name="Normal 4 6 5 3" xfId="5181" xr:uid="{00000000-0005-0000-0000-000092160000}"/>
    <cellStyle name="Normal 4 6 5 3 2" xfId="14507" xr:uid="{DA1C63BB-7C19-4605-AA93-2BFDCC6D16BC}"/>
    <cellStyle name="Normal 4 6 5 4" xfId="9196" xr:uid="{8DF5D81E-BEC3-4373-A99C-2D9CDEEBBA3C}"/>
    <cellStyle name="Normal 4 6 5 5" xfId="10290" xr:uid="{F7D36E1B-696B-428A-823D-B957F1A426B5}"/>
    <cellStyle name="Normal 4 6 6" xfId="1287" xr:uid="{00000000-0005-0000-0000-000093160000}"/>
    <cellStyle name="Normal 4 6 6 2" xfId="3517" xr:uid="{00000000-0005-0000-0000-000094160000}"/>
    <cellStyle name="Normal 4 6 6 2 2" xfId="7739" xr:uid="{00000000-0005-0000-0000-000095160000}"/>
    <cellStyle name="Normal 4 6 6 2 2 2" xfId="17065" xr:uid="{B06B09F8-5560-4E0E-8A6E-AF8D51B31258}"/>
    <cellStyle name="Normal 4 6 6 2 3" xfId="12848" xr:uid="{F5A63ADB-DC08-46BA-AC89-57995E7E811F}"/>
    <cellStyle name="Normal 4 6 6 3" xfId="5594" xr:uid="{00000000-0005-0000-0000-000096160000}"/>
    <cellStyle name="Normal 4 6 6 3 2" xfId="14920" xr:uid="{1684FA51-919B-4340-9226-9DB3B654100D}"/>
    <cellStyle name="Normal 4 6 6 4" xfId="10703" xr:uid="{D581451C-50CF-4A09-A612-63585083D507}"/>
    <cellStyle name="Normal 4 6 7" xfId="1700" xr:uid="{00000000-0005-0000-0000-000097160000}"/>
    <cellStyle name="Normal 4 6 7 2" xfId="3930" xr:uid="{00000000-0005-0000-0000-000098160000}"/>
    <cellStyle name="Normal 4 6 7 2 2" xfId="8152" xr:uid="{00000000-0005-0000-0000-000099160000}"/>
    <cellStyle name="Normal 4 6 7 2 2 2" xfId="17478" xr:uid="{95E20B89-D66C-4F02-AE00-398A67202A1E}"/>
    <cellStyle name="Normal 4 6 7 2 3" xfId="13261" xr:uid="{193F7028-4269-425E-B25E-3F088269111F}"/>
    <cellStyle name="Normal 4 6 7 3" xfId="6007" xr:uid="{00000000-0005-0000-0000-00009A160000}"/>
    <cellStyle name="Normal 4 6 7 3 2" xfId="15333" xr:uid="{C786A9D5-C678-4881-B7E3-D9D034C3790B}"/>
    <cellStyle name="Normal 4 6 7 4" xfId="11116" xr:uid="{C34C68D0-A2C9-4DA2-B9F7-410EF6C1AA7B}"/>
    <cellStyle name="Normal 4 6 8" xfId="2114" xr:uid="{00000000-0005-0000-0000-00009B160000}"/>
    <cellStyle name="Normal 4 6 8 2" xfId="4343" xr:uid="{00000000-0005-0000-0000-00009C160000}"/>
    <cellStyle name="Normal 4 6 8 2 2" xfId="8565" xr:uid="{00000000-0005-0000-0000-00009D160000}"/>
    <cellStyle name="Normal 4 6 8 2 2 2" xfId="17891" xr:uid="{1B1186AC-0B15-409C-A650-A2DF56FF4558}"/>
    <cellStyle name="Normal 4 6 8 2 3" xfId="13674" xr:uid="{EE2ED461-56AA-4DFE-B5C3-7FD16523D9A7}"/>
    <cellStyle name="Normal 4 6 8 3" xfId="6420" xr:uid="{00000000-0005-0000-0000-00009E160000}"/>
    <cellStyle name="Normal 4 6 8 3 2" xfId="15746" xr:uid="{52C39790-4EA6-46B4-A88F-90E6A1AB3857}"/>
    <cellStyle name="Normal 4 6 8 4" xfId="11529" xr:uid="{63667EE5-D051-47A1-9A05-E980884A4F0B}"/>
    <cellStyle name="Normal 4 6 9" xfId="2550" xr:uid="{00000000-0005-0000-0000-00009F160000}"/>
    <cellStyle name="Normal 4 6 9 2" xfId="6833" xr:uid="{00000000-0005-0000-0000-0000A0160000}"/>
    <cellStyle name="Normal 4 6 9 2 2" xfId="16159" xr:uid="{DBE297EC-6537-4243-A159-857FBC706B5A}"/>
    <cellStyle name="Normal 4 6 9 3" xfId="11942" xr:uid="{B67B939E-C53B-43B2-8755-3E5DAFAD0B54}"/>
    <cellStyle name="Normal 4 7" xfId="403" xr:uid="{00000000-0005-0000-0000-0000A1160000}"/>
    <cellStyle name="Normal 4 7 10" xfId="9885" xr:uid="{0107D6C7-F1D5-44A0-BDA8-E42291FF13E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C992684C-F451-4F59-93B6-D15443C3DA13}"/>
    <cellStyle name="Normal 4 7 2 2 2 3" xfId="12444" xr:uid="{093004F9-1A30-496C-BE8B-093C9BF8FB3D}"/>
    <cellStyle name="Normal 4 7 2 2 3" xfId="5190" xr:uid="{00000000-0005-0000-0000-0000A6160000}"/>
    <cellStyle name="Normal 4 7 2 2 3 2" xfId="14516" xr:uid="{6894A7BC-C9FE-488E-A70B-013984DB47C1}"/>
    <cellStyle name="Normal 4 7 2 2 4" xfId="9475" xr:uid="{1E309EF6-7D7C-4A4D-B2F1-E00D0CF6E167}"/>
    <cellStyle name="Normal 4 7 2 2 5" xfId="10299" xr:uid="{6D42A017-8596-4D30-BF4E-C47396262D51}"/>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A086D5CE-12FF-4AA1-8BC3-92399DCF8324}"/>
    <cellStyle name="Normal 4 7 2 3 2 3" xfId="12857" xr:uid="{1108656A-5423-4E5E-9613-6EC1CB84121C}"/>
    <cellStyle name="Normal 4 7 2 3 3" xfId="5603" xr:uid="{00000000-0005-0000-0000-0000AA160000}"/>
    <cellStyle name="Normal 4 7 2 3 3 2" xfId="14929" xr:uid="{FAF8A37D-F4F2-4DFC-93B5-7F93528BCD78}"/>
    <cellStyle name="Normal 4 7 2 3 4" xfId="10712" xr:uid="{23E95109-331D-4AE5-8875-F6E03CFB90B3}"/>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82E706D0-EADA-4F9B-9F55-2999B1F54A7C}"/>
    <cellStyle name="Normal 4 7 2 4 2 3" xfId="13270" xr:uid="{28D62C11-CBCC-4165-A7C4-4332FCAA903F}"/>
    <cellStyle name="Normal 4 7 2 4 3" xfId="6016" xr:uid="{00000000-0005-0000-0000-0000AE160000}"/>
    <cellStyle name="Normal 4 7 2 4 3 2" xfId="15342" xr:uid="{4C0D41BB-D3C7-4EF3-956A-589580FC7026}"/>
    <cellStyle name="Normal 4 7 2 4 4" xfId="11125" xr:uid="{74FDAB63-BA6C-4361-BAA6-53FEC34DA141}"/>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BB754671-EBEC-48AF-830B-A91A5F26BB50}"/>
    <cellStyle name="Normal 4 7 2 5 2 3" xfId="13683" xr:uid="{CB1EA492-E205-4019-A347-308216E04058}"/>
    <cellStyle name="Normal 4 7 2 5 3" xfId="6429" xr:uid="{00000000-0005-0000-0000-0000B2160000}"/>
    <cellStyle name="Normal 4 7 2 5 3 2" xfId="15755" xr:uid="{EB0AD31E-0A87-497A-AF4F-7A6EC1337EB7}"/>
    <cellStyle name="Normal 4 7 2 5 4" xfId="11538" xr:uid="{C2908915-ED0F-44E7-96BC-C6B141C0FDD2}"/>
    <cellStyle name="Normal 4 7 2 6" xfId="2559" xr:uid="{00000000-0005-0000-0000-0000B3160000}"/>
    <cellStyle name="Normal 4 7 2 6 2" xfId="6842" xr:uid="{00000000-0005-0000-0000-0000B4160000}"/>
    <cellStyle name="Normal 4 7 2 6 2 2" xfId="16168" xr:uid="{43E4B7C8-2DE9-4B96-B7A8-4AA8CA626D8C}"/>
    <cellStyle name="Normal 4 7 2 6 3" xfId="11951" xr:uid="{0DC38FE9-D7D4-42F8-8DE8-126D7D0D354A}"/>
    <cellStyle name="Normal 4 7 2 7" xfId="4777" xr:uid="{00000000-0005-0000-0000-0000B5160000}"/>
    <cellStyle name="Normal 4 7 2 7 2" xfId="14103" xr:uid="{3490D14D-35BC-4D0E-8DE7-9AFC26E93668}"/>
    <cellStyle name="Normal 4 7 2 8" xfId="9050" xr:uid="{C18A0BCD-6C40-47C4-AC72-E06914F008F6}"/>
    <cellStyle name="Normal 4 7 2 9" xfId="9886" xr:uid="{AD679C4F-4360-4736-9ECE-C6C52E370E29}"/>
    <cellStyle name="Normal 4 7 3" xfId="877" xr:uid="{00000000-0005-0000-0000-0000B6160000}"/>
    <cellStyle name="Normal 4 7 3 2" xfId="3112" xr:uid="{00000000-0005-0000-0000-0000B7160000}"/>
    <cellStyle name="Normal 4 7 3 2 2" xfId="7334" xr:uid="{00000000-0005-0000-0000-0000B8160000}"/>
    <cellStyle name="Normal 4 7 3 2 2 2" xfId="16660" xr:uid="{2E298990-0F7D-4FB8-BFCA-C011E51998E9}"/>
    <cellStyle name="Normal 4 7 3 2 3" xfId="12443" xr:uid="{A5A24C3D-6224-4307-9002-840779EEA26C}"/>
    <cellStyle name="Normal 4 7 3 3" xfId="5189" xr:uid="{00000000-0005-0000-0000-0000B9160000}"/>
    <cellStyle name="Normal 4 7 3 3 2" xfId="14515" xr:uid="{D0193E85-3FF2-4DE2-B7C3-A2F1B0E3AFCA}"/>
    <cellStyle name="Normal 4 7 3 4" xfId="9268" xr:uid="{83DA99B2-5D77-4110-AEB9-304D3ECEF3EB}"/>
    <cellStyle name="Normal 4 7 3 5" xfId="10298" xr:uid="{C53B32E2-0047-4C52-950A-FE71D12E2FED}"/>
    <cellStyle name="Normal 4 7 4" xfId="1295" xr:uid="{00000000-0005-0000-0000-0000BA160000}"/>
    <cellStyle name="Normal 4 7 4 2" xfId="3525" xr:uid="{00000000-0005-0000-0000-0000BB160000}"/>
    <cellStyle name="Normal 4 7 4 2 2" xfId="7747" xr:uid="{00000000-0005-0000-0000-0000BC160000}"/>
    <cellStyle name="Normal 4 7 4 2 2 2" xfId="17073" xr:uid="{CDB17064-057C-4D5F-8359-B7076578454A}"/>
    <cellStyle name="Normal 4 7 4 2 3" xfId="12856" xr:uid="{467CD383-18F8-4D39-B159-674D1EE00F64}"/>
    <cellStyle name="Normal 4 7 4 3" xfId="5602" xr:uid="{00000000-0005-0000-0000-0000BD160000}"/>
    <cellStyle name="Normal 4 7 4 3 2" xfId="14928" xr:uid="{0CC3FC52-4D85-41F3-83C8-9D5BFDDC87A5}"/>
    <cellStyle name="Normal 4 7 4 4" xfId="10711" xr:uid="{42F76D0C-87A5-4FEC-BED8-6FEF484EB810}"/>
    <cellStyle name="Normal 4 7 5" xfId="1708" xr:uid="{00000000-0005-0000-0000-0000BE160000}"/>
    <cellStyle name="Normal 4 7 5 2" xfId="3938" xr:uid="{00000000-0005-0000-0000-0000BF160000}"/>
    <cellStyle name="Normal 4 7 5 2 2" xfId="8160" xr:uid="{00000000-0005-0000-0000-0000C0160000}"/>
    <cellStyle name="Normal 4 7 5 2 2 2" xfId="17486" xr:uid="{77850C6A-A29F-4179-8061-9CDCD09DF759}"/>
    <cellStyle name="Normal 4 7 5 2 3" xfId="13269" xr:uid="{6FD6CEB6-52A7-4CA9-A5CD-42FBE49F13B8}"/>
    <cellStyle name="Normal 4 7 5 3" xfId="6015" xr:uid="{00000000-0005-0000-0000-0000C1160000}"/>
    <cellStyle name="Normal 4 7 5 3 2" xfId="15341" xr:uid="{DEAB5B18-8281-47DB-A21F-4205578966D9}"/>
    <cellStyle name="Normal 4 7 5 4" xfId="11124" xr:uid="{5F7D371A-9C58-4AF2-BFDF-062A63EDAAB1}"/>
    <cellStyle name="Normal 4 7 6" xfId="2122" xr:uid="{00000000-0005-0000-0000-0000C2160000}"/>
    <cellStyle name="Normal 4 7 6 2" xfId="4351" xr:uid="{00000000-0005-0000-0000-0000C3160000}"/>
    <cellStyle name="Normal 4 7 6 2 2" xfId="8573" xr:uid="{00000000-0005-0000-0000-0000C4160000}"/>
    <cellStyle name="Normal 4 7 6 2 2 2" xfId="17899" xr:uid="{17C3FCA8-C5D3-4E12-A780-F2AD1A41C64A}"/>
    <cellStyle name="Normal 4 7 6 2 3" xfId="13682" xr:uid="{12F6E687-7854-4536-B47A-A7B2243A2B03}"/>
    <cellStyle name="Normal 4 7 6 3" xfId="6428" xr:uid="{00000000-0005-0000-0000-0000C5160000}"/>
    <cellStyle name="Normal 4 7 6 3 2" xfId="15754" xr:uid="{86425C63-51CD-47F8-8955-9AB360CEFFC3}"/>
    <cellStyle name="Normal 4 7 6 4" xfId="11537" xr:uid="{067971D6-C5B4-4B5C-9FAA-94B542AD1982}"/>
    <cellStyle name="Normal 4 7 7" xfId="2558" xr:uid="{00000000-0005-0000-0000-0000C6160000}"/>
    <cellStyle name="Normal 4 7 7 2" xfId="6841" xr:uid="{00000000-0005-0000-0000-0000C7160000}"/>
    <cellStyle name="Normal 4 7 7 2 2" xfId="16167" xr:uid="{E3B2ED81-76A8-465D-92CA-3E6B083D5871}"/>
    <cellStyle name="Normal 4 7 7 3" xfId="11950" xr:uid="{341C8E7D-5C9D-40CA-979C-8DEBA5C802D8}"/>
    <cellStyle name="Normal 4 7 8" xfId="4776" xr:uid="{00000000-0005-0000-0000-0000C8160000}"/>
    <cellStyle name="Normal 4 7 8 2" xfId="14102" xr:uid="{860B78CF-1CF6-4BF3-985B-CC963295B11F}"/>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5025D45A-49F7-4E24-914F-493505C36A92}"/>
    <cellStyle name="Normal 4 8 2 2 3" xfId="12445" xr:uid="{A4BF6193-4CED-4F11-AD12-4AB4FFA31DA0}"/>
    <cellStyle name="Normal 4 8 2 3" xfId="5191" xr:uid="{00000000-0005-0000-0000-0000CD160000}"/>
    <cellStyle name="Normal 4 8 2 3 2" xfId="14517" xr:uid="{99D2C036-A08C-4347-87C7-91B56A63DFCC}"/>
    <cellStyle name="Normal 4 8 2 4" xfId="9384" xr:uid="{6351F1DA-E485-4044-8429-C0AE76E79EEE}"/>
    <cellStyle name="Normal 4 8 2 5" xfId="10300" xr:uid="{8AFC146A-4F09-4218-8020-4B63DF61AF0D}"/>
    <cellStyle name="Normal 4 8 3" xfId="1297" xr:uid="{00000000-0005-0000-0000-0000CE160000}"/>
    <cellStyle name="Normal 4 8 3 2" xfId="3527" xr:uid="{00000000-0005-0000-0000-0000CF160000}"/>
    <cellStyle name="Normal 4 8 3 2 2" xfId="7749" xr:uid="{00000000-0005-0000-0000-0000D0160000}"/>
    <cellStyle name="Normal 4 8 3 2 2 2" xfId="17075" xr:uid="{ED032056-C00B-409A-976E-035F4C1D6D2C}"/>
    <cellStyle name="Normal 4 8 3 2 3" xfId="12858" xr:uid="{DDC4DDE1-189F-4373-9CE1-907A06D46F49}"/>
    <cellStyle name="Normal 4 8 3 3" xfId="5604" xr:uid="{00000000-0005-0000-0000-0000D1160000}"/>
    <cellStyle name="Normal 4 8 3 3 2" xfId="14930" xr:uid="{B4FD4388-095C-465E-ABA0-C44684643B77}"/>
    <cellStyle name="Normal 4 8 3 4" xfId="10713" xr:uid="{AF3B68EA-7480-499C-A591-FA172218EF40}"/>
    <cellStyle name="Normal 4 8 4" xfId="1710" xr:uid="{00000000-0005-0000-0000-0000D2160000}"/>
    <cellStyle name="Normal 4 8 4 2" xfId="3940" xr:uid="{00000000-0005-0000-0000-0000D3160000}"/>
    <cellStyle name="Normal 4 8 4 2 2" xfId="8162" xr:uid="{00000000-0005-0000-0000-0000D4160000}"/>
    <cellStyle name="Normal 4 8 4 2 2 2" xfId="17488" xr:uid="{37987680-4A87-4506-B12E-7C7A1ACF236C}"/>
    <cellStyle name="Normal 4 8 4 2 3" xfId="13271" xr:uid="{570CC9F5-AFE5-4815-B815-DD713B970AAD}"/>
    <cellStyle name="Normal 4 8 4 3" xfId="6017" xr:uid="{00000000-0005-0000-0000-0000D5160000}"/>
    <cellStyle name="Normal 4 8 4 3 2" xfId="15343" xr:uid="{42C2D73F-4C13-41B4-BD75-684E42CD0F84}"/>
    <cellStyle name="Normal 4 8 4 4" xfId="11126" xr:uid="{FD75F808-F282-435E-AC67-DC23EA7D6F44}"/>
    <cellStyle name="Normal 4 8 5" xfId="2124" xr:uid="{00000000-0005-0000-0000-0000D6160000}"/>
    <cellStyle name="Normal 4 8 5 2" xfId="4353" xr:uid="{00000000-0005-0000-0000-0000D7160000}"/>
    <cellStyle name="Normal 4 8 5 2 2" xfId="8575" xr:uid="{00000000-0005-0000-0000-0000D8160000}"/>
    <cellStyle name="Normal 4 8 5 2 2 2" xfId="17901" xr:uid="{4C18018B-3661-4AF2-8793-D78226DC81DD}"/>
    <cellStyle name="Normal 4 8 5 2 3" xfId="13684" xr:uid="{C93CF81C-D450-4598-9A8B-0AC320DBB365}"/>
    <cellStyle name="Normal 4 8 5 3" xfId="6430" xr:uid="{00000000-0005-0000-0000-0000D9160000}"/>
    <cellStyle name="Normal 4 8 5 3 2" xfId="15756" xr:uid="{CB0FADB6-D8B7-42AD-9346-5B859ABFD342}"/>
    <cellStyle name="Normal 4 8 5 4" xfId="11539" xr:uid="{F42287C9-59C6-4429-94C8-4B7ECEF74C0F}"/>
    <cellStyle name="Normal 4 8 6" xfId="2560" xr:uid="{00000000-0005-0000-0000-0000DA160000}"/>
    <cellStyle name="Normal 4 8 6 2" xfId="6843" xr:uid="{00000000-0005-0000-0000-0000DB160000}"/>
    <cellStyle name="Normal 4 8 6 2 2" xfId="16169" xr:uid="{D223338F-2C9E-4962-94E5-93F76922A626}"/>
    <cellStyle name="Normal 4 8 6 3" xfId="11952" xr:uid="{3ECF65D4-E7CA-4FE5-9B5A-3FD578CA536D}"/>
    <cellStyle name="Normal 4 8 7" xfId="4778" xr:uid="{00000000-0005-0000-0000-0000DC160000}"/>
    <cellStyle name="Normal 4 8 7 2" xfId="14104" xr:uid="{090BE1DA-C283-447D-8C72-7CCF1CBA4433}"/>
    <cellStyle name="Normal 4 8 8" xfId="8959" xr:uid="{E3216EF3-66EB-48FF-967C-A258B3C3F4FF}"/>
    <cellStyle name="Normal 4 8 9" xfId="9887" xr:uid="{58D75145-10D7-4678-829D-77E88A79F953}"/>
    <cellStyle name="Normal 4 9" xfId="4715" xr:uid="{00000000-0005-0000-0000-0000DD160000}"/>
    <cellStyle name="Normal 4 9 2" xfId="9162" xr:uid="{BC355FAB-4557-4712-A03F-EB5522B29E6A}"/>
    <cellStyle name="Normal 4 9 3" xfId="14041" xr:uid="{CA08DE01-2D73-4FEC-A6B3-C87265C30A9D}"/>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1604F711-E39C-4CE7-9E7F-EFD206053583}"/>
    <cellStyle name="Normal 5 10 2 3" xfId="13272" xr:uid="{9B715022-6EA5-4A44-9614-F5D483B92F63}"/>
    <cellStyle name="Normal 5 10 3" xfId="6018" xr:uid="{00000000-0005-0000-0000-0000E2160000}"/>
    <cellStyle name="Normal 5 10 3 2" xfId="15344" xr:uid="{9D100DE2-650F-4D6E-99F5-3A745253286D}"/>
    <cellStyle name="Normal 5 10 4" xfId="11127" xr:uid="{B8A67C83-7121-40C0-B762-2BC97BB87F87}"/>
    <cellStyle name="Normal 5 11" xfId="2125" xr:uid="{00000000-0005-0000-0000-0000E3160000}"/>
    <cellStyle name="Normal 5 11 2" xfId="4354" xr:uid="{00000000-0005-0000-0000-0000E4160000}"/>
    <cellStyle name="Normal 5 11 2 2" xfId="8576" xr:uid="{00000000-0005-0000-0000-0000E5160000}"/>
    <cellStyle name="Normal 5 11 2 2 2" xfId="17902" xr:uid="{0FC6C6E1-A9C6-4F32-A5C1-D5065EDAE945}"/>
    <cellStyle name="Normal 5 11 2 3" xfId="13685" xr:uid="{14089F95-B91D-4435-8A3F-A3AF831EB25B}"/>
    <cellStyle name="Normal 5 11 3" xfId="6431" xr:uid="{00000000-0005-0000-0000-0000E6160000}"/>
    <cellStyle name="Normal 5 11 3 2" xfId="15757" xr:uid="{4DD4761F-7368-47FB-AC06-478462F2B00F}"/>
    <cellStyle name="Normal 5 11 4" xfId="11540" xr:uid="{A40A11D0-4D7F-42F7-99BC-04753752FA0E}"/>
    <cellStyle name="Normal 5 12" xfId="2561" xr:uid="{00000000-0005-0000-0000-0000E7160000}"/>
    <cellStyle name="Normal 5 12 2" xfId="6844" xr:uid="{00000000-0005-0000-0000-0000E8160000}"/>
    <cellStyle name="Normal 5 12 2 2" xfId="16170" xr:uid="{BA602D17-E974-44F3-949F-3360443229CD}"/>
    <cellStyle name="Normal 5 12 3" xfId="11953" xr:uid="{57757E1B-8B6D-4045-9FA2-FBB6C4B9E5F6}"/>
    <cellStyle name="Normal 5 13" xfId="4779" xr:uid="{00000000-0005-0000-0000-0000E9160000}"/>
    <cellStyle name="Normal 5 13 2" xfId="14105" xr:uid="{D667EF3A-6103-4BE1-9C2A-628F65127110}"/>
    <cellStyle name="Normal 5 14" xfId="8741" xr:uid="{6467398C-BC57-47BF-AF01-9B3356F8431F}"/>
    <cellStyle name="Normal 5 15" xfId="9888" xr:uid="{071E90F0-45F4-4978-8F74-C1300889A0B1}"/>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10940A62-0EC2-4DCA-B0C6-1CD444CEB638}"/>
    <cellStyle name="Normal 5 2 10 2 3" xfId="13686" xr:uid="{A26EBA7B-DB8D-4CEF-901B-93CF57E58711}"/>
    <cellStyle name="Normal 5 2 10 3" xfId="6432" xr:uid="{00000000-0005-0000-0000-0000EE160000}"/>
    <cellStyle name="Normal 5 2 10 3 2" xfId="15758" xr:uid="{FB2DD308-51A6-4217-BA2D-CA3D455CF84A}"/>
    <cellStyle name="Normal 5 2 10 4" xfId="11541" xr:uid="{B15FAA28-CE52-4453-BB33-87D674F18372}"/>
    <cellStyle name="Normal 5 2 11" xfId="2562" xr:uid="{00000000-0005-0000-0000-0000EF160000}"/>
    <cellStyle name="Normal 5 2 11 2" xfId="6845" xr:uid="{00000000-0005-0000-0000-0000F0160000}"/>
    <cellStyle name="Normal 5 2 11 2 2" xfId="16171" xr:uid="{0F0790A6-FE58-43BC-BEA8-834D94436424}"/>
    <cellStyle name="Normal 5 2 11 3" xfId="11954" xr:uid="{DC8A7D49-30C9-4EB4-B38E-4AAD2BA5E375}"/>
    <cellStyle name="Normal 5 2 12" xfId="4780" xr:uid="{00000000-0005-0000-0000-0000F1160000}"/>
    <cellStyle name="Normal 5 2 12 2" xfId="14106" xr:uid="{0277B287-6C85-48BE-9C9A-A4B342F4E63D}"/>
    <cellStyle name="Normal 5 2 13" xfId="8744" xr:uid="{40D5DF2B-E9DF-4D52-AAE0-3E5A94050B59}"/>
    <cellStyle name="Normal 5 2 14" xfId="9889" xr:uid="{9B96F877-9E60-43A6-888C-30F82436F2EA}"/>
    <cellStyle name="Normal 5 2 2" xfId="408" xr:uid="{00000000-0005-0000-0000-0000F2160000}"/>
    <cellStyle name="Normal 5 2 2 10" xfId="2563" xr:uid="{00000000-0005-0000-0000-0000F3160000}"/>
    <cellStyle name="Normal 5 2 2 10 2" xfId="6846" xr:uid="{00000000-0005-0000-0000-0000F4160000}"/>
    <cellStyle name="Normal 5 2 2 10 2 2" xfId="16172" xr:uid="{C68C7B72-394A-41F0-AFD8-EDFD729D60D3}"/>
    <cellStyle name="Normal 5 2 2 10 3" xfId="11955" xr:uid="{9F8F3076-C4C5-4D99-A7F1-D142C1C9A50D}"/>
    <cellStyle name="Normal 5 2 2 11" xfId="4781" xr:uid="{00000000-0005-0000-0000-0000F5160000}"/>
    <cellStyle name="Normal 5 2 2 11 2" xfId="14107" xr:uid="{87EC11B6-C3B3-4B47-AF2D-7BAE02EB345C}"/>
    <cellStyle name="Normal 5 2 2 12" xfId="8753" xr:uid="{96D04E2F-D92F-448D-9FDA-8261D8BEE094}"/>
    <cellStyle name="Normal 5 2 2 13" xfId="9890" xr:uid="{332C0E0D-F718-4EF7-AA05-EA523BF0770D}"/>
    <cellStyle name="Normal 5 2 2 2" xfId="409" xr:uid="{00000000-0005-0000-0000-0000F6160000}"/>
    <cellStyle name="Normal 5 2 2 2 10" xfId="4782" xr:uid="{00000000-0005-0000-0000-0000F7160000}"/>
    <cellStyle name="Normal 5 2 2 2 10 2" xfId="14108" xr:uid="{718D2FB4-9364-4669-AD79-A60A3851EF57}"/>
    <cellStyle name="Normal 5 2 2 2 11" xfId="8771" xr:uid="{0E58ED1C-12F1-4692-801F-170CA6F7CBDB}"/>
    <cellStyle name="Normal 5 2 2 2 12" xfId="9891" xr:uid="{4C0751F0-9E4C-4AA0-A24D-5EE9F6E2BA12}"/>
    <cellStyle name="Normal 5 2 2 2 2" xfId="410" xr:uid="{00000000-0005-0000-0000-0000F8160000}"/>
    <cellStyle name="Normal 5 2 2 2 2 10" xfId="8829" xr:uid="{AC161972-21E9-4E03-8D2E-9F95632CB08D}"/>
    <cellStyle name="Normal 5 2 2 2 2 11" xfId="9892" xr:uid="{02D039AF-147F-43A4-9AD0-7917BD3B8CFC}"/>
    <cellStyle name="Normal 5 2 2 2 2 2" xfId="411" xr:uid="{00000000-0005-0000-0000-0000F9160000}"/>
    <cellStyle name="Normal 5 2 2 2 2 2 10" xfId="9893" xr:uid="{63A68258-7A02-4C14-817C-A1B44D4D6B4B}"/>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8CCCD6B9-08DB-4893-9365-3A6543C01D94}"/>
    <cellStyle name="Normal 5 2 2 2 2 2 2 2 2 3" xfId="12452" xr:uid="{93F7ED95-F91C-4257-9B6B-EAC78CA95EEA}"/>
    <cellStyle name="Normal 5 2 2 2 2 2 2 2 3" xfId="5198" xr:uid="{00000000-0005-0000-0000-0000FE160000}"/>
    <cellStyle name="Normal 5 2 2 2 2 2 2 2 3 2" xfId="14524" xr:uid="{6593F5BE-F8B8-4C6D-AD88-567D2E9989D3}"/>
    <cellStyle name="Normal 5 2 2 2 2 2 2 2 4" xfId="9564" xr:uid="{15884BE4-44C0-46E7-A184-FC102AAADEB4}"/>
    <cellStyle name="Normal 5 2 2 2 2 2 2 2 5" xfId="10307" xr:uid="{379E8B4E-7882-4E84-8994-123A958F372B}"/>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EBE2BA7A-577E-4E48-AC85-34CC9402DA1D}"/>
    <cellStyle name="Normal 5 2 2 2 2 2 2 3 2 3" xfId="12865" xr:uid="{A83C7080-1618-4FA3-9E3B-9C460924E823}"/>
    <cellStyle name="Normal 5 2 2 2 2 2 2 3 3" xfId="5611" xr:uid="{00000000-0005-0000-0000-000002170000}"/>
    <cellStyle name="Normal 5 2 2 2 2 2 2 3 3 2" xfId="14937" xr:uid="{4595CA93-F279-4A80-B8A6-FAC93EC4036F}"/>
    <cellStyle name="Normal 5 2 2 2 2 2 2 3 4" xfId="10720" xr:uid="{C3255DF2-25DD-4E98-83D1-AD2ABDCEEEEB}"/>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F5D35C4E-0292-4F9F-ADB1-42618D5BFCAD}"/>
    <cellStyle name="Normal 5 2 2 2 2 2 2 4 2 3" xfId="13278" xr:uid="{D8D418B4-6B3A-45FB-85B1-E1B58AFB4C48}"/>
    <cellStyle name="Normal 5 2 2 2 2 2 2 4 3" xfId="6024" xr:uid="{00000000-0005-0000-0000-000006170000}"/>
    <cellStyle name="Normal 5 2 2 2 2 2 2 4 3 2" xfId="15350" xr:uid="{84E6FA80-4E82-4AE7-B159-8BFB5EB55A94}"/>
    <cellStyle name="Normal 5 2 2 2 2 2 2 4 4" xfId="11133" xr:uid="{85707103-60FD-41B2-914F-CE2C738219B2}"/>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C0924EF8-DC23-45B1-B216-82BB2B73D2A7}"/>
    <cellStyle name="Normal 5 2 2 2 2 2 2 5 2 3" xfId="13691" xr:uid="{B0D5D6F5-A279-4C15-9C94-7F7417147182}"/>
    <cellStyle name="Normal 5 2 2 2 2 2 2 5 3" xfId="6437" xr:uid="{00000000-0005-0000-0000-00000A170000}"/>
    <cellStyle name="Normal 5 2 2 2 2 2 2 5 3 2" xfId="15763" xr:uid="{2F95A927-247B-4B35-94BA-BB8237668338}"/>
    <cellStyle name="Normal 5 2 2 2 2 2 2 5 4" xfId="11546" xr:uid="{B11965B0-7F38-42E0-BABE-D8582FCA70A3}"/>
    <cellStyle name="Normal 5 2 2 2 2 2 2 6" xfId="2567" xr:uid="{00000000-0005-0000-0000-00000B170000}"/>
    <cellStyle name="Normal 5 2 2 2 2 2 2 6 2" xfId="6850" xr:uid="{00000000-0005-0000-0000-00000C170000}"/>
    <cellStyle name="Normal 5 2 2 2 2 2 2 6 2 2" xfId="16176" xr:uid="{976E9D7A-4A1E-4B85-9322-24E85B43FD40}"/>
    <cellStyle name="Normal 5 2 2 2 2 2 2 6 3" xfId="11959" xr:uid="{7C1B69C3-179A-45B4-9178-4D5A2AFA0B4C}"/>
    <cellStyle name="Normal 5 2 2 2 2 2 2 7" xfId="4785" xr:uid="{00000000-0005-0000-0000-00000D170000}"/>
    <cellStyle name="Normal 5 2 2 2 2 2 2 7 2" xfId="14111" xr:uid="{2CDDDAE4-7BD0-47B2-A7AC-EB7F631DAFD2}"/>
    <cellStyle name="Normal 5 2 2 2 2 2 2 8" xfId="9139" xr:uid="{CFCC7179-F81D-4929-81F2-C6E64655A093}"/>
    <cellStyle name="Normal 5 2 2 2 2 2 2 9" xfId="9894" xr:uid="{8098A521-56F8-4A60-B219-B21D6476E5B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B51A5A88-E185-4698-9F77-35A1110162D0}"/>
    <cellStyle name="Normal 5 2 2 2 2 2 3 2 3" xfId="12451" xr:uid="{7890BC55-C960-4BCB-B1C5-FACDDB9DFA45}"/>
    <cellStyle name="Normal 5 2 2 2 2 2 3 3" xfId="5197" xr:uid="{00000000-0005-0000-0000-000011170000}"/>
    <cellStyle name="Normal 5 2 2 2 2 2 3 3 2" xfId="14523" xr:uid="{F0F4237F-FC1A-4AB4-8DB9-97A797426912}"/>
    <cellStyle name="Normal 5 2 2 2 2 2 3 4" xfId="9357" xr:uid="{1809EB60-9E69-4954-99A5-643CD830C5FB}"/>
    <cellStyle name="Normal 5 2 2 2 2 2 3 5" xfId="10306" xr:uid="{A1C438B5-FC26-4F59-A104-8EC5008A40F5}"/>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13346C5F-B598-4091-BEEA-76C85690E7D0}"/>
    <cellStyle name="Normal 5 2 2 2 2 2 4 2 3" xfId="12864" xr:uid="{CFFCAE9F-AEAD-4E6C-89FF-30DBA0D630B1}"/>
    <cellStyle name="Normal 5 2 2 2 2 2 4 3" xfId="5610" xr:uid="{00000000-0005-0000-0000-000015170000}"/>
    <cellStyle name="Normal 5 2 2 2 2 2 4 3 2" xfId="14936" xr:uid="{637E0323-24D3-4CA6-AF78-B3EE68026D26}"/>
    <cellStyle name="Normal 5 2 2 2 2 2 4 4" xfId="10719" xr:uid="{78A148AB-82DE-4DD7-974A-46FC7E28C00A}"/>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0E620A52-E8B8-4BB0-A7A0-9B632D63E20C}"/>
    <cellStyle name="Normal 5 2 2 2 2 2 5 2 3" xfId="13277" xr:uid="{2AFD8BBE-7DC4-42D3-AA14-D8EA2D4A5205}"/>
    <cellStyle name="Normal 5 2 2 2 2 2 5 3" xfId="6023" xr:uid="{00000000-0005-0000-0000-000019170000}"/>
    <cellStyle name="Normal 5 2 2 2 2 2 5 3 2" xfId="15349" xr:uid="{DA48C5DC-EEC1-46BF-8772-557F88EFB202}"/>
    <cellStyle name="Normal 5 2 2 2 2 2 5 4" xfId="11132" xr:uid="{18E11CB3-2B9B-49FC-A057-116357D6D18C}"/>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F55F3D4E-4851-4BAB-B3C8-B7A73BD91948}"/>
    <cellStyle name="Normal 5 2 2 2 2 2 6 2 3" xfId="13690" xr:uid="{9BFE7F7B-612E-4D24-A2D2-044BDC40E96D}"/>
    <cellStyle name="Normal 5 2 2 2 2 2 6 3" xfId="6436" xr:uid="{00000000-0005-0000-0000-00001D170000}"/>
    <cellStyle name="Normal 5 2 2 2 2 2 6 3 2" xfId="15762" xr:uid="{E9410CAD-D364-4234-A5C8-A3814C489DF4}"/>
    <cellStyle name="Normal 5 2 2 2 2 2 6 4" xfId="11545" xr:uid="{65907971-B538-4BEE-81A9-AC648AD959F4}"/>
    <cellStyle name="Normal 5 2 2 2 2 2 7" xfId="2566" xr:uid="{00000000-0005-0000-0000-00001E170000}"/>
    <cellStyle name="Normal 5 2 2 2 2 2 7 2" xfId="6849" xr:uid="{00000000-0005-0000-0000-00001F170000}"/>
    <cellStyle name="Normal 5 2 2 2 2 2 7 2 2" xfId="16175" xr:uid="{02C13D85-6FF0-4B25-BCEF-2D2D723DE9C5}"/>
    <cellStyle name="Normal 5 2 2 2 2 2 7 3" xfId="11958" xr:uid="{1223B82F-2E69-4A75-AB22-020A23669BD0}"/>
    <cellStyle name="Normal 5 2 2 2 2 2 8" xfId="4784" xr:uid="{00000000-0005-0000-0000-000020170000}"/>
    <cellStyle name="Normal 5 2 2 2 2 2 8 2" xfId="14110" xr:uid="{56767BAB-504B-4E08-B113-4B9C9B79F6DB}"/>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A752C88E-59C8-4EE2-A66E-9AA612CF3A98}"/>
    <cellStyle name="Normal 5 2 2 2 2 3 2 2 3" xfId="12453" xr:uid="{CECF8D52-A197-484D-B465-35A1A2EA0FE7}"/>
    <cellStyle name="Normal 5 2 2 2 2 3 2 3" xfId="5199" xr:uid="{00000000-0005-0000-0000-000025170000}"/>
    <cellStyle name="Normal 5 2 2 2 2 3 2 3 2" xfId="14525" xr:uid="{1F02B0B9-84E4-4170-9891-60E855007365}"/>
    <cellStyle name="Normal 5 2 2 2 2 3 2 4" xfId="9461" xr:uid="{815E4D9A-ED64-4B6C-A17A-F6D83CC40A47}"/>
    <cellStyle name="Normal 5 2 2 2 2 3 2 5" xfId="10308" xr:uid="{23EAD35E-662C-4944-8628-7821C2E1CAFF}"/>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1C07521C-3C88-4A4F-B8FF-0B213B50FD5D}"/>
    <cellStyle name="Normal 5 2 2 2 2 3 3 2 3" xfId="12866" xr:uid="{F08748F1-2368-41C5-8A82-CEC2F37C11DE}"/>
    <cellStyle name="Normal 5 2 2 2 2 3 3 3" xfId="5612" xr:uid="{00000000-0005-0000-0000-000029170000}"/>
    <cellStyle name="Normal 5 2 2 2 2 3 3 3 2" xfId="14938" xr:uid="{76CAAE06-9B4A-4999-9742-438B731BD596}"/>
    <cellStyle name="Normal 5 2 2 2 2 3 3 4" xfId="10721" xr:uid="{477F2A5D-B1B7-4E20-B652-62025207CCEC}"/>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69BEA923-C03D-406C-BA92-D5F69AD01090}"/>
    <cellStyle name="Normal 5 2 2 2 2 3 4 2 3" xfId="13279" xr:uid="{7DB5B241-04F4-4E84-8095-F6BFC76F4683}"/>
    <cellStyle name="Normal 5 2 2 2 2 3 4 3" xfId="6025" xr:uid="{00000000-0005-0000-0000-00002D170000}"/>
    <cellStyle name="Normal 5 2 2 2 2 3 4 3 2" xfId="15351" xr:uid="{21779EBF-E39D-456B-BC2B-755D732A55E3}"/>
    <cellStyle name="Normal 5 2 2 2 2 3 4 4" xfId="11134" xr:uid="{AF42D231-B43F-4646-B80B-A59DA9C110C9}"/>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7317B5A9-DBB9-4FC6-8A0F-436A4EFD70EC}"/>
    <cellStyle name="Normal 5 2 2 2 2 3 5 2 3" xfId="13692" xr:uid="{48E8286C-545A-4C3E-9C5E-02E894BEBB91}"/>
    <cellStyle name="Normal 5 2 2 2 2 3 5 3" xfId="6438" xr:uid="{00000000-0005-0000-0000-000031170000}"/>
    <cellStyle name="Normal 5 2 2 2 2 3 5 3 2" xfId="15764" xr:uid="{EA3FA486-2DB9-4B84-9E24-2CDC576B00E7}"/>
    <cellStyle name="Normal 5 2 2 2 2 3 5 4" xfId="11547" xr:uid="{1486656D-9162-48DA-9B83-2EE2EEF9C5D9}"/>
    <cellStyle name="Normal 5 2 2 2 2 3 6" xfId="2568" xr:uid="{00000000-0005-0000-0000-000032170000}"/>
    <cellStyle name="Normal 5 2 2 2 2 3 6 2" xfId="6851" xr:uid="{00000000-0005-0000-0000-000033170000}"/>
    <cellStyle name="Normal 5 2 2 2 2 3 6 2 2" xfId="16177" xr:uid="{1B374912-212A-4AEA-9476-1E111C715524}"/>
    <cellStyle name="Normal 5 2 2 2 2 3 6 3" xfId="11960" xr:uid="{6B43EE17-C0CA-4B08-BDD5-0158D8FDD990}"/>
    <cellStyle name="Normal 5 2 2 2 2 3 7" xfId="4786" xr:uid="{00000000-0005-0000-0000-000034170000}"/>
    <cellStyle name="Normal 5 2 2 2 2 3 7 2" xfId="14112" xr:uid="{B541D309-3CDF-4930-BFC1-95D12FE70702}"/>
    <cellStyle name="Normal 5 2 2 2 2 3 8" xfId="9036" xr:uid="{2B9BC3AC-900A-42EE-A23F-E5574B6E75BC}"/>
    <cellStyle name="Normal 5 2 2 2 2 3 9" xfId="9895" xr:uid="{FD2EFACB-1CD5-4B09-B652-57958AC658F7}"/>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1475CCEC-83F0-4683-8FA3-46EFF7B1A473}"/>
    <cellStyle name="Normal 5 2 2 2 2 4 2 3" xfId="12450" xr:uid="{34B4C40E-E1D2-4261-9FD3-EABABECF6980}"/>
    <cellStyle name="Normal 5 2 2 2 2 4 3" xfId="5196" xr:uid="{00000000-0005-0000-0000-000038170000}"/>
    <cellStyle name="Normal 5 2 2 2 2 4 3 2" xfId="14522" xr:uid="{BBA35E32-E5DF-4645-A3AA-4AD1E0FE325B}"/>
    <cellStyle name="Normal 5 2 2 2 2 4 4" xfId="9254" xr:uid="{B0B4DA0D-4C0F-4712-8BF0-280C2A85D575}"/>
    <cellStyle name="Normal 5 2 2 2 2 4 5" xfId="10305" xr:uid="{4B0F0637-ABA8-4F70-891D-5C394950A0E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FEECB65C-A318-49D6-80AC-D104D193FDDA}"/>
    <cellStyle name="Normal 5 2 2 2 2 5 2 3" xfId="12863" xr:uid="{3DB5FFE9-CB73-4152-B7A2-E014D9BEB37D}"/>
    <cellStyle name="Normal 5 2 2 2 2 5 3" xfId="5609" xr:uid="{00000000-0005-0000-0000-00003C170000}"/>
    <cellStyle name="Normal 5 2 2 2 2 5 3 2" xfId="14935" xr:uid="{E3B2F93B-C6D8-4C60-AD5B-007D1ECED76F}"/>
    <cellStyle name="Normal 5 2 2 2 2 5 4" xfId="10718" xr:uid="{2E0284CD-6E14-44D1-A0D1-37D2D917FE55}"/>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6DECF071-311A-4190-83D3-E637316E3B86}"/>
    <cellStyle name="Normal 5 2 2 2 2 6 2 3" xfId="13276" xr:uid="{14D66692-4092-4F2E-B662-1FCBDED33FE4}"/>
    <cellStyle name="Normal 5 2 2 2 2 6 3" xfId="6022" xr:uid="{00000000-0005-0000-0000-000040170000}"/>
    <cellStyle name="Normal 5 2 2 2 2 6 3 2" xfId="15348" xr:uid="{BA81B54D-629D-4B95-BF87-E53C8EC8F580}"/>
    <cellStyle name="Normal 5 2 2 2 2 6 4" xfId="11131" xr:uid="{1BB13D2A-9F2F-4037-8E0F-5085FD822B5D}"/>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B59216E4-9708-4FB0-9D77-DA4D53BB8D86}"/>
    <cellStyle name="Normal 5 2 2 2 2 7 2 3" xfId="13689" xr:uid="{4F6A4658-2621-42AD-B89B-0A9702BE62A9}"/>
    <cellStyle name="Normal 5 2 2 2 2 7 3" xfId="6435" xr:uid="{00000000-0005-0000-0000-000044170000}"/>
    <cellStyle name="Normal 5 2 2 2 2 7 3 2" xfId="15761" xr:uid="{B92DFCCB-A290-48ED-9AE0-8DBF05E87395}"/>
    <cellStyle name="Normal 5 2 2 2 2 7 4" xfId="11544" xr:uid="{7BC7EA8E-0672-4FCE-8E33-034841D02067}"/>
    <cellStyle name="Normal 5 2 2 2 2 8" xfId="2565" xr:uid="{00000000-0005-0000-0000-000045170000}"/>
    <cellStyle name="Normal 5 2 2 2 2 8 2" xfId="6848" xr:uid="{00000000-0005-0000-0000-000046170000}"/>
    <cellStyle name="Normal 5 2 2 2 2 8 2 2" xfId="16174" xr:uid="{16643562-48EA-4AD7-BDC3-2411F574A79A}"/>
    <cellStyle name="Normal 5 2 2 2 2 8 3" xfId="11957" xr:uid="{7BDB382F-82E0-4684-96DC-854C998170E1}"/>
    <cellStyle name="Normal 5 2 2 2 2 9" xfId="4783" xr:uid="{00000000-0005-0000-0000-000047170000}"/>
    <cellStyle name="Normal 5 2 2 2 2 9 2" xfId="14109" xr:uid="{868683C9-D0CA-44DD-A15C-9BFFCA7D7DEC}"/>
    <cellStyle name="Normal 5 2 2 2 3" xfId="414" xr:uid="{00000000-0005-0000-0000-000048170000}"/>
    <cellStyle name="Normal 5 2 2 2 3 10" xfId="9896" xr:uid="{26E0C9C5-7F5D-4E15-943D-CF1E31E7FBFC}"/>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CB7C28F7-C27F-4C26-B1CE-0B9B1BD0AC1D}"/>
    <cellStyle name="Normal 5 2 2 2 3 2 2 2 3" xfId="12455" xr:uid="{582F9F26-CC49-4E04-B018-5246C91B5BAA}"/>
    <cellStyle name="Normal 5 2 2 2 3 2 2 3" xfId="5201" xr:uid="{00000000-0005-0000-0000-00004D170000}"/>
    <cellStyle name="Normal 5 2 2 2 3 2 2 3 2" xfId="14527" xr:uid="{683473C8-1BD0-42EC-BA40-F66C56A4F86E}"/>
    <cellStyle name="Normal 5 2 2 2 3 2 2 4" xfId="9506" xr:uid="{65E8E1F9-5B62-47C9-8131-412DF42F5268}"/>
    <cellStyle name="Normal 5 2 2 2 3 2 2 5" xfId="10310" xr:uid="{C8EBB814-F41B-4BF7-9583-3BC3413BEE66}"/>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3543A821-9B14-4E38-B609-FB35C430CC54}"/>
    <cellStyle name="Normal 5 2 2 2 3 2 3 2 3" xfId="12868" xr:uid="{75D68564-6AE5-4475-A6C8-9ACBEC724E69}"/>
    <cellStyle name="Normal 5 2 2 2 3 2 3 3" xfId="5614" xr:uid="{00000000-0005-0000-0000-000051170000}"/>
    <cellStyle name="Normal 5 2 2 2 3 2 3 3 2" xfId="14940" xr:uid="{E4CC5F87-394E-4620-8233-561FB8C2C77E}"/>
    <cellStyle name="Normal 5 2 2 2 3 2 3 4" xfId="10723" xr:uid="{CEAB198B-665D-4888-ACC8-D76659570FC4}"/>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6DBB2FEC-16AE-45B8-93CE-E69CDD0154C8}"/>
    <cellStyle name="Normal 5 2 2 2 3 2 4 2 3" xfId="13281" xr:uid="{2C9A7DD4-2718-47BB-A90C-724710957E54}"/>
    <cellStyle name="Normal 5 2 2 2 3 2 4 3" xfId="6027" xr:uid="{00000000-0005-0000-0000-000055170000}"/>
    <cellStyle name="Normal 5 2 2 2 3 2 4 3 2" xfId="15353" xr:uid="{A358B995-7D9D-4E7A-A3AF-437E634BBF4E}"/>
    <cellStyle name="Normal 5 2 2 2 3 2 4 4" xfId="11136" xr:uid="{3B943810-5BD4-450F-8DDF-FA28DA25421A}"/>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1E1ABCF3-4B15-4353-BC15-E1A89D694633}"/>
    <cellStyle name="Normal 5 2 2 2 3 2 5 2 3" xfId="13694" xr:uid="{480E3C1E-2D53-400C-9E8F-32CA9C374395}"/>
    <cellStyle name="Normal 5 2 2 2 3 2 5 3" xfId="6440" xr:uid="{00000000-0005-0000-0000-000059170000}"/>
    <cellStyle name="Normal 5 2 2 2 3 2 5 3 2" xfId="15766" xr:uid="{B5B28A76-724B-4E47-A293-DDECEE25FD48}"/>
    <cellStyle name="Normal 5 2 2 2 3 2 5 4" xfId="11549" xr:uid="{B8C30EF6-30D8-4966-912D-A18CBF64F147}"/>
    <cellStyle name="Normal 5 2 2 2 3 2 6" xfId="2570" xr:uid="{00000000-0005-0000-0000-00005A170000}"/>
    <cellStyle name="Normal 5 2 2 2 3 2 6 2" xfId="6853" xr:uid="{00000000-0005-0000-0000-00005B170000}"/>
    <cellStyle name="Normal 5 2 2 2 3 2 6 2 2" xfId="16179" xr:uid="{D89A8A25-DE95-402B-858D-B9432FFD13AC}"/>
    <cellStyle name="Normal 5 2 2 2 3 2 6 3" xfId="11962" xr:uid="{CD487A53-C2EF-4641-A34E-BC8D3A9E48A0}"/>
    <cellStyle name="Normal 5 2 2 2 3 2 7" xfId="4788" xr:uid="{00000000-0005-0000-0000-00005C170000}"/>
    <cellStyle name="Normal 5 2 2 2 3 2 7 2" xfId="14114" xr:uid="{BC1F8791-2776-456F-8B22-5CAF7424EFB8}"/>
    <cellStyle name="Normal 5 2 2 2 3 2 8" xfId="9081" xr:uid="{B0400C6D-4400-4F06-9092-2DCAD3324CF1}"/>
    <cellStyle name="Normal 5 2 2 2 3 2 9" xfId="9897" xr:uid="{2ED263DE-7957-4ED7-B44B-9B98FD6FD7D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DA838F3A-F785-4246-A27B-B283BE0714F8}"/>
    <cellStyle name="Normal 5 2 2 2 3 3 2 3" xfId="12454" xr:uid="{84D45834-0461-4748-9600-2883FE2CE4C4}"/>
    <cellStyle name="Normal 5 2 2 2 3 3 3" xfId="5200" xr:uid="{00000000-0005-0000-0000-000060170000}"/>
    <cellStyle name="Normal 5 2 2 2 3 3 3 2" xfId="14526" xr:uid="{F5582400-34C7-43C9-9C73-A6AB873961C5}"/>
    <cellStyle name="Normal 5 2 2 2 3 3 4" xfId="9299" xr:uid="{85780536-A38F-4D86-8846-D9FA6BB2D61D}"/>
    <cellStyle name="Normal 5 2 2 2 3 3 5" xfId="10309" xr:uid="{350F0C41-9B2C-4E74-985C-BA148A261BA1}"/>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029970E5-AC62-4862-92AD-FE8A5A6BD212}"/>
    <cellStyle name="Normal 5 2 2 2 3 4 2 3" xfId="12867" xr:uid="{E87934B2-20C2-4AC8-A368-2A0CF488FC28}"/>
    <cellStyle name="Normal 5 2 2 2 3 4 3" xfId="5613" xr:uid="{00000000-0005-0000-0000-000064170000}"/>
    <cellStyle name="Normal 5 2 2 2 3 4 3 2" xfId="14939" xr:uid="{82837203-B573-44D5-8E39-08408E0727B5}"/>
    <cellStyle name="Normal 5 2 2 2 3 4 4" xfId="10722" xr:uid="{9A17045E-FF47-480C-914F-247A0A805EF6}"/>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C67CCFB4-FEDF-4F4B-9A74-92FCCC6C555E}"/>
    <cellStyle name="Normal 5 2 2 2 3 5 2 3" xfId="13280" xr:uid="{B4726F57-88DA-4598-81CF-ADC138CBC137}"/>
    <cellStyle name="Normal 5 2 2 2 3 5 3" xfId="6026" xr:uid="{00000000-0005-0000-0000-000068170000}"/>
    <cellStyle name="Normal 5 2 2 2 3 5 3 2" xfId="15352" xr:uid="{A256CE54-4080-4735-9504-2AFE78E95A40}"/>
    <cellStyle name="Normal 5 2 2 2 3 5 4" xfId="11135" xr:uid="{4AFC3D66-F574-4F69-B0CD-68F41E40A334}"/>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EE75367F-5215-4D46-A171-D50ADB9B213B}"/>
    <cellStyle name="Normal 5 2 2 2 3 6 2 3" xfId="13693" xr:uid="{FA0A3475-910C-4506-8AC1-5D5EF031B24C}"/>
    <cellStyle name="Normal 5 2 2 2 3 6 3" xfId="6439" xr:uid="{00000000-0005-0000-0000-00006C170000}"/>
    <cellStyle name="Normal 5 2 2 2 3 6 3 2" xfId="15765" xr:uid="{5406FD66-AF95-4302-A66B-1D49AA540C6C}"/>
    <cellStyle name="Normal 5 2 2 2 3 6 4" xfId="11548" xr:uid="{064D9AEC-31B4-48C9-BE82-B5D8F154723D}"/>
    <cellStyle name="Normal 5 2 2 2 3 7" xfId="2569" xr:uid="{00000000-0005-0000-0000-00006D170000}"/>
    <cellStyle name="Normal 5 2 2 2 3 7 2" xfId="6852" xr:uid="{00000000-0005-0000-0000-00006E170000}"/>
    <cellStyle name="Normal 5 2 2 2 3 7 2 2" xfId="16178" xr:uid="{425940BE-B9C2-4600-A178-F89E405FFD54}"/>
    <cellStyle name="Normal 5 2 2 2 3 7 3" xfId="11961" xr:uid="{0DD22EBC-E6CD-4F45-ACA9-41CC3E7EEA87}"/>
    <cellStyle name="Normal 5 2 2 2 3 8" xfId="4787" xr:uid="{00000000-0005-0000-0000-00006F170000}"/>
    <cellStyle name="Normal 5 2 2 2 3 8 2" xfId="14113" xr:uid="{3451474A-740B-4BA4-AF09-61DD81245B72}"/>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FECA5554-6523-4920-B0DD-5C9D1E97A6E5}"/>
    <cellStyle name="Normal 5 2 2 2 4 2 2 3" xfId="12456" xr:uid="{718E1533-BFB1-488E-9DAD-2325426F1B61}"/>
    <cellStyle name="Normal 5 2 2 2 4 2 3" xfId="5202" xr:uid="{00000000-0005-0000-0000-000074170000}"/>
    <cellStyle name="Normal 5 2 2 2 4 2 3 2" xfId="14528" xr:uid="{DF90CD2C-221C-42C6-A4DC-69A3CFBB1284}"/>
    <cellStyle name="Normal 5 2 2 2 4 2 4" xfId="9403" xr:uid="{DDA7C497-662A-4A76-A324-A27E6A0A2B3D}"/>
    <cellStyle name="Normal 5 2 2 2 4 2 5" xfId="10311" xr:uid="{A56E8BA1-0854-4EF9-A663-3BABED5C0FCA}"/>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A81AD7D2-D11E-451E-8D56-D38C64F47354}"/>
    <cellStyle name="Normal 5 2 2 2 4 3 2 3" xfId="12869" xr:uid="{A4D96BBA-8080-44C5-A299-1A8EF93CB6C6}"/>
    <cellStyle name="Normal 5 2 2 2 4 3 3" xfId="5615" xr:uid="{00000000-0005-0000-0000-000078170000}"/>
    <cellStyle name="Normal 5 2 2 2 4 3 3 2" xfId="14941" xr:uid="{D3104ADC-2E98-46A9-8AF0-33DAA1286196}"/>
    <cellStyle name="Normal 5 2 2 2 4 3 4" xfId="10724" xr:uid="{A03AFBCD-1AEA-48BC-93DA-EAF9E25412D2}"/>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4E64FAAD-4D87-4785-8D6E-33689C389828}"/>
    <cellStyle name="Normal 5 2 2 2 4 4 2 3" xfId="13282" xr:uid="{6C42CB73-34E0-4434-B42F-CCD0980B490C}"/>
    <cellStyle name="Normal 5 2 2 2 4 4 3" xfId="6028" xr:uid="{00000000-0005-0000-0000-00007C170000}"/>
    <cellStyle name="Normal 5 2 2 2 4 4 3 2" xfId="15354" xr:uid="{6AD88CF3-A6B4-4B1A-9020-87AC63D9499D}"/>
    <cellStyle name="Normal 5 2 2 2 4 4 4" xfId="11137" xr:uid="{0A384626-0792-4A8D-8446-5C95D05FF757}"/>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7EA2C126-0E0D-43AB-AE7B-D67ED89E1FBB}"/>
    <cellStyle name="Normal 5 2 2 2 4 5 2 3" xfId="13695" xr:uid="{54982CD9-8B67-4000-8D36-B02061146B02}"/>
    <cellStyle name="Normal 5 2 2 2 4 5 3" xfId="6441" xr:uid="{00000000-0005-0000-0000-000080170000}"/>
    <cellStyle name="Normal 5 2 2 2 4 5 3 2" xfId="15767" xr:uid="{C03AF8B4-1254-49B2-9097-E4231C23C4D7}"/>
    <cellStyle name="Normal 5 2 2 2 4 5 4" xfId="11550" xr:uid="{862686D0-2E3A-4262-9661-BCEE8BF76689}"/>
    <cellStyle name="Normal 5 2 2 2 4 6" xfId="2571" xr:uid="{00000000-0005-0000-0000-000081170000}"/>
    <cellStyle name="Normal 5 2 2 2 4 6 2" xfId="6854" xr:uid="{00000000-0005-0000-0000-000082170000}"/>
    <cellStyle name="Normal 5 2 2 2 4 6 2 2" xfId="16180" xr:uid="{BDF1B865-1DD8-407B-A947-39A78389631D}"/>
    <cellStyle name="Normal 5 2 2 2 4 6 3" xfId="11963" xr:uid="{A2E74DBF-1396-451C-A497-1DF1849A0F55}"/>
    <cellStyle name="Normal 5 2 2 2 4 7" xfId="4789" xr:uid="{00000000-0005-0000-0000-000083170000}"/>
    <cellStyle name="Normal 5 2 2 2 4 7 2" xfId="14115" xr:uid="{8CBDCC7B-83DF-4874-8545-5F103568995F}"/>
    <cellStyle name="Normal 5 2 2 2 4 8" xfId="8978" xr:uid="{5B5F86B4-BA0F-43A7-920A-E466FD014739}"/>
    <cellStyle name="Normal 5 2 2 2 4 9" xfId="9898" xr:uid="{02C5B146-AEFC-4150-951A-C9043538E11A}"/>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1BE11855-F59A-40B4-9516-9824B1AD0855}"/>
    <cellStyle name="Normal 5 2 2 2 5 2 3" xfId="12449" xr:uid="{A7E866DC-A81F-4A32-9E90-AC923F2107E4}"/>
    <cellStyle name="Normal 5 2 2 2 5 3" xfId="5195" xr:uid="{00000000-0005-0000-0000-000087170000}"/>
    <cellStyle name="Normal 5 2 2 2 5 3 2" xfId="14521" xr:uid="{FF64D718-C3BE-43AD-B14F-7782EB2C98EE}"/>
    <cellStyle name="Normal 5 2 2 2 5 4" xfId="9195" xr:uid="{A7E71EA0-2CA4-4918-870E-A32EEF45C61A}"/>
    <cellStyle name="Normal 5 2 2 2 5 5" xfId="10304" xr:uid="{7B7A0B5E-AA0B-4E5C-94F3-229E38EABAF7}"/>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7591A0A3-909F-4290-A1F5-BF81263093BC}"/>
    <cellStyle name="Normal 5 2 2 2 6 2 3" xfId="12862" xr:uid="{C13C8A03-CE88-422C-B6E3-A4059D271E33}"/>
    <cellStyle name="Normal 5 2 2 2 6 3" xfId="5608" xr:uid="{00000000-0005-0000-0000-00008B170000}"/>
    <cellStyle name="Normal 5 2 2 2 6 3 2" xfId="14934" xr:uid="{E4514C03-0B93-4AE9-9D0D-744602ED3119}"/>
    <cellStyle name="Normal 5 2 2 2 6 4" xfId="10717" xr:uid="{90ACA927-DD1B-44FC-A83A-6B24ED75FFB8}"/>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74064180-E6F5-4729-AA8A-54945FDA99ED}"/>
    <cellStyle name="Normal 5 2 2 2 7 2 3" xfId="13275" xr:uid="{D2DFD119-AC8C-4C9B-BC96-A8758927710F}"/>
    <cellStyle name="Normal 5 2 2 2 7 3" xfId="6021" xr:uid="{00000000-0005-0000-0000-00008F170000}"/>
    <cellStyle name="Normal 5 2 2 2 7 3 2" xfId="15347" xr:uid="{E1027D05-55EA-4DEC-9E86-538E941813DF}"/>
    <cellStyle name="Normal 5 2 2 2 7 4" xfId="11130" xr:uid="{F3CD0FA1-6F1B-4A39-AE2B-85FFF41C120C}"/>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14BCF179-70C9-4BCD-93BB-7F96033D7308}"/>
    <cellStyle name="Normal 5 2 2 2 8 2 3" xfId="13688" xr:uid="{EDEDB1B9-10E9-4DE1-8D02-AF3480F29439}"/>
    <cellStyle name="Normal 5 2 2 2 8 3" xfId="6434" xr:uid="{00000000-0005-0000-0000-000093170000}"/>
    <cellStyle name="Normal 5 2 2 2 8 3 2" xfId="15760" xr:uid="{9694F20E-C98D-4254-9958-4DE71F4006B4}"/>
    <cellStyle name="Normal 5 2 2 2 8 4" xfId="11543" xr:uid="{3B1FE63B-2891-43DE-B3A5-DF7ADD813E34}"/>
    <cellStyle name="Normal 5 2 2 2 9" xfId="2564" xr:uid="{00000000-0005-0000-0000-000094170000}"/>
    <cellStyle name="Normal 5 2 2 2 9 2" xfId="6847" xr:uid="{00000000-0005-0000-0000-000095170000}"/>
    <cellStyle name="Normal 5 2 2 2 9 2 2" xfId="16173" xr:uid="{981A1759-C33D-45CC-9ABE-2B76F23E59F7}"/>
    <cellStyle name="Normal 5 2 2 2 9 3" xfId="11956" xr:uid="{06F0B46E-FC6B-46F4-BFD7-8E41EF51D230}"/>
    <cellStyle name="Normal 5 2 2 3" xfId="417" xr:uid="{00000000-0005-0000-0000-000096170000}"/>
    <cellStyle name="Normal 5 2 2 3 10" xfId="8828" xr:uid="{5CED8211-F967-469B-812B-9DF6FC250177}"/>
    <cellStyle name="Normal 5 2 2 3 11" xfId="9899" xr:uid="{8B3254B8-604C-49EB-836A-D9322940C335}"/>
    <cellStyle name="Normal 5 2 2 3 2" xfId="418" xr:uid="{00000000-0005-0000-0000-000097170000}"/>
    <cellStyle name="Normal 5 2 2 3 2 10" xfId="9900" xr:uid="{551C6B96-CC85-4B3E-887A-465600828E06}"/>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B9364017-8794-4C16-8FFB-6A539404EB93}"/>
    <cellStyle name="Normal 5 2 2 3 2 2 2 2 3" xfId="12459" xr:uid="{B59DF980-48F7-4597-A04D-196DBF189573}"/>
    <cellStyle name="Normal 5 2 2 3 2 2 2 3" xfId="5205" xr:uid="{00000000-0005-0000-0000-00009C170000}"/>
    <cellStyle name="Normal 5 2 2 3 2 2 2 3 2" xfId="14531" xr:uid="{6CF75165-9A67-4876-93AE-D9B1A66E67E2}"/>
    <cellStyle name="Normal 5 2 2 3 2 2 2 4" xfId="9563" xr:uid="{804E641C-B5FA-46A3-B805-C1D4AF390C28}"/>
    <cellStyle name="Normal 5 2 2 3 2 2 2 5" xfId="10314" xr:uid="{5701F9C9-F0CA-41CD-B235-FDE9C52389EB}"/>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9CFEC599-8589-45DF-836B-C4F239769958}"/>
    <cellStyle name="Normal 5 2 2 3 2 2 3 2 3" xfId="12872" xr:uid="{9F9D1314-D292-4DED-BE01-08C417C62D6F}"/>
    <cellStyle name="Normal 5 2 2 3 2 2 3 3" xfId="5618" xr:uid="{00000000-0005-0000-0000-0000A0170000}"/>
    <cellStyle name="Normal 5 2 2 3 2 2 3 3 2" xfId="14944" xr:uid="{5BBFEF6D-F401-4968-B545-55D67839D5D3}"/>
    <cellStyle name="Normal 5 2 2 3 2 2 3 4" xfId="10727" xr:uid="{79A54E81-2446-4704-BD54-7E98A29CBAD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FFC1C95D-44A9-4F95-868E-AC06F1EA2E43}"/>
    <cellStyle name="Normal 5 2 2 3 2 2 4 2 3" xfId="13285" xr:uid="{DD5D7142-04AE-4188-A8EE-7C167F3CB284}"/>
    <cellStyle name="Normal 5 2 2 3 2 2 4 3" xfId="6031" xr:uid="{00000000-0005-0000-0000-0000A4170000}"/>
    <cellStyle name="Normal 5 2 2 3 2 2 4 3 2" xfId="15357" xr:uid="{9EDD140B-FF22-4BA5-A6FE-FBF0E179BCC2}"/>
    <cellStyle name="Normal 5 2 2 3 2 2 4 4" xfId="11140" xr:uid="{F95B8FC0-E122-47A4-A0C6-DBE2F635288B}"/>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79B92B99-FAFB-45C3-B452-ABEB99F201FA}"/>
    <cellStyle name="Normal 5 2 2 3 2 2 5 2 3" xfId="13698" xr:uid="{DB7C051C-85A0-42F0-86B3-B219DC7FA7B0}"/>
    <cellStyle name="Normal 5 2 2 3 2 2 5 3" xfId="6444" xr:uid="{00000000-0005-0000-0000-0000A8170000}"/>
    <cellStyle name="Normal 5 2 2 3 2 2 5 3 2" xfId="15770" xr:uid="{A38954BC-1365-438A-B05F-F4D8A568B68D}"/>
    <cellStyle name="Normal 5 2 2 3 2 2 5 4" xfId="11553" xr:uid="{ACA59360-0959-458A-9B29-82B0D9633EDC}"/>
    <cellStyle name="Normal 5 2 2 3 2 2 6" xfId="2574" xr:uid="{00000000-0005-0000-0000-0000A9170000}"/>
    <cellStyle name="Normal 5 2 2 3 2 2 6 2" xfId="6857" xr:uid="{00000000-0005-0000-0000-0000AA170000}"/>
    <cellStyle name="Normal 5 2 2 3 2 2 6 2 2" xfId="16183" xr:uid="{28475171-A48F-4BC1-ADF4-E8917010A5BE}"/>
    <cellStyle name="Normal 5 2 2 3 2 2 6 3" xfId="11966" xr:uid="{BAF27165-10F4-4FC7-BF17-57AE419B6E3D}"/>
    <cellStyle name="Normal 5 2 2 3 2 2 7" xfId="4792" xr:uid="{00000000-0005-0000-0000-0000AB170000}"/>
    <cellStyle name="Normal 5 2 2 3 2 2 7 2" xfId="14118" xr:uid="{EF91EDD7-2B7A-4654-95C4-BEAEC3C78C80}"/>
    <cellStyle name="Normal 5 2 2 3 2 2 8" xfId="9138" xr:uid="{BE73D583-3CAB-48A9-8A6F-E88EE69D1D1D}"/>
    <cellStyle name="Normal 5 2 2 3 2 2 9" xfId="9901" xr:uid="{009DF901-B165-4417-92AE-CDBF07FBE90F}"/>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2D61E8C2-4AF7-4754-BD4A-5B17B3C37A9C}"/>
    <cellStyle name="Normal 5 2 2 3 2 3 2 3" xfId="12458" xr:uid="{0ED79296-47DF-488A-AEEB-5065735E6CDF}"/>
    <cellStyle name="Normal 5 2 2 3 2 3 3" xfId="5204" xr:uid="{00000000-0005-0000-0000-0000AF170000}"/>
    <cellStyle name="Normal 5 2 2 3 2 3 3 2" xfId="14530" xr:uid="{260291A2-E5C7-40B2-BA47-A920BEFB9B4F}"/>
    <cellStyle name="Normal 5 2 2 3 2 3 4" xfId="9356" xr:uid="{58BAA3B3-A7A2-4F6F-9929-D8BE9F0A557D}"/>
    <cellStyle name="Normal 5 2 2 3 2 3 5" xfId="10313" xr:uid="{EDD4232B-8271-4E4A-9732-2E8D095F6C2A}"/>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21E8A8C5-1505-403D-97EF-B4DC2DD966EC}"/>
    <cellStyle name="Normal 5 2 2 3 2 4 2 3" xfId="12871" xr:uid="{83DB7637-3F11-4CDA-A261-707D5C8C4B0A}"/>
    <cellStyle name="Normal 5 2 2 3 2 4 3" xfId="5617" xr:uid="{00000000-0005-0000-0000-0000B3170000}"/>
    <cellStyle name="Normal 5 2 2 3 2 4 3 2" xfId="14943" xr:uid="{44D4B7F2-867C-49E9-BA0E-BDB6A0E3F918}"/>
    <cellStyle name="Normal 5 2 2 3 2 4 4" xfId="10726" xr:uid="{CA7FA08A-293A-4650-872B-B495FB315225}"/>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C7BA0E77-2FEE-4879-95FF-9B7E6A8F529C}"/>
    <cellStyle name="Normal 5 2 2 3 2 5 2 3" xfId="13284" xr:uid="{226BAE72-011C-4B1E-B948-4D684FC0183D}"/>
    <cellStyle name="Normal 5 2 2 3 2 5 3" xfId="6030" xr:uid="{00000000-0005-0000-0000-0000B7170000}"/>
    <cellStyle name="Normal 5 2 2 3 2 5 3 2" xfId="15356" xr:uid="{1CB3D755-8B3B-4683-B3C3-7DC72C0497F7}"/>
    <cellStyle name="Normal 5 2 2 3 2 5 4" xfId="11139" xr:uid="{0BB64B56-E023-4BE0-BA10-189F4A2D8F07}"/>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3C218D9B-882F-43D5-9A28-96394A3557DC}"/>
    <cellStyle name="Normal 5 2 2 3 2 6 2 3" xfId="13697" xr:uid="{D5329BD3-9865-4A1F-A322-1CE0482D9F9B}"/>
    <cellStyle name="Normal 5 2 2 3 2 6 3" xfId="6443" xr:uid="{00000000-0005-0000-0000-0000BB170000}"/>
    <cellStyle name="Normal 5 2 2 3 2 6 3 2" xfId="15769" xr:uid="{F0E49FFF-4CB0-4DA5-847D-884A3D30EB65}"/>
    <cellStyle name="Normal 5 2 2 3 2 6 4" xfId="11552" xr:uid="{60C3A309-7CA3-41D7-B112-F14B640A0E6E}"/>
    <cellStyle name="Normal 5 2 2 3 2 7" xfId="2573" xr:uid="{00000000-0005-0000-0000-0000BC170000}"/>
    <cellStyle name="Normal 5 2 2 3 2 7 2" xfId="6856" xr:uid="{00000000-0005-0000-0000-0000BD170000}"/>
    <cellStyle name="Normal 5 2 2 3 2 7 2 2" xfId="16182" xr:uid="{658781C9-ADFB-4E50-9B17-93F561B271D9}"/>
    <cellStyle name="Normal 5 2 2 3 2 7 3" xfId="11965" xr:uid="{06DC7FED-ECBD-4343-A7A6-8C122016C8B8}"/>
    <cellStyle name="Normal 5 2 2 3 2 8" xfId="4791" xr:uid="{00000000-0005-0000-0000-0000BE170000}"/>
    <cellStyle name="Normal 5 2 2 3 2 8 2" xfId="14117" xr:uid="{A5CECF79-155D-41D0-95CE-08AAAAB1D2C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73FA02D7-DBD5-4C2A-9966-CF4E492A0A1E}"/>
    <cellStyle name="Normal 5 2 2 3 3 2 2 3" xfId="12460" xr:uid="{40925CC0-1A06-4117-9D25-B8B19CE465AA}"/>
    <cellStyle name="Normal 5 2 2 3 3 2 3" xfId="5206" xr:uid="{00000000-0005-0000-0000-0000C3170000}"/>
    <cellStyle name="Normal 5 2 2 3 3 2 3 2" xfId="14532" xr:uid="{E0797A94-802E-49C6-8182-955CB0EAD41F}"/>
    <cellStyle name="Normal 5 2 2 3 3 2 4" xfId="9460" xr:uid="{423E0BE9-24F3-4EF0-8962-2565594BF831}"/>
    <cellStyle name="Normal 5 2 2 3 3 2 5" xfId="10315" xr:uid="{57781C51-E7C4-4BBE-ADB3-52BDA4788985}"/>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E43154FC-0AF7-4308-98C6-7ACD03363D03}"/>
    <cellStyle name="Normal 5 2 2 3 3 3 2 3" xfId="12873" xr:uid="{48E6E2C2-A0A4-45D4-B0AB-C69AEFDF6B3F}"/>
    <cellStyle name="Normal 5 2 2 3 3 3 3" xfId="5619" xr:uid="{00000000-0005-0000-0000-0000C7170000}"/>
    <cellStyle name="Normal 5 2 2 3 3 3 3 2" xfId="14945" xr:uid="{DF649E9E-915B-457A-B802-8F55FD01CAD8}"/>
    <cellStyle name="Normal 5 2 2 3 3 3 4" xfId="10728" xr:uid="{00861D58-D2AC-4697-8E01-F3941F0BB67E}"/>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672DAD00-611F-4A1B-8CEE-5105C56F3836}"/>
    <cellStyle name="Normal 5 2 2 3 3 4 2 3" xfId="13286" xr:uid="{4DA03C6D-C258-4204-9735-5AAAEBE54FFB}"/>
    <cellStyle name="Normal 5 2 2 3 3 4 3" xfId="6032" xr:uid="{00000000-0005-0000-0000-0000CB170000}"/>
    <cellStyle name="Normal 5 2 2 3 3 4 3 2" xfId="15358" xr:uid="{6BFF0EB3-A3AC-438E-AED6-04F30130B7F7}"/>
    <cellStyle name="Normal 5 2 2 3 3 4 4" xfId="11141" xr:uid="{94059937-691D-42A5-883B-DE05BC1C0D51}"/>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24EA713E-E82D-49EC-BD09-120654393146}"/>
    <cellStyle name="Normal 5 2 2 3 3 5 2 3" xfId="13699" xr:uid="{1432EC00-0AA9-4DC7-8E12-887DA3CE609E}"/>
    <cellStyle name="Normal 5 2 2 3 3 5 3" xfId="6445" xr:uid="{00000000-0005-0000-0000-0000CF170000}"/>
    <cellStyle name="Normal 5 2 2 3 3 5 3 2" xfId="15771" xr:uid="{397996FF-0673-4310-B825-7D88F552FBC7}"/>
    <cellStyle name="Normal 5 2 2 3 3 5 4" xfId="11554" xr:uid="{D75A1CF3-5BB2-434C-AB62-162A5B64E865}"/>
    <cellStyle name="Normal 5 2 2 3 3 6" xfId="2575" xr:uid="{00000000-0005-0000-0000-0000D0170000}"/>
    <cellStyle name="Normal 5 2 2 3 3 6 2" xfId="6858" xr:uid="{00000000-0005-0000-0000-0000D1170000}"/>
    <cellStyle name="Normal 5 2 2 3 3 6 2 2" xfId="16184" xr:uid="{163FD6E8-E375-48D3-9A66-1EEEEF8332A3}"/>
    <cellStyle name="Normal 5 2 2 3 3 6 3" xfId="11967" xr:uid="{23F93CFD-354C-4E10-8CED-BB49C8B07E14}"/>
    <cellStyle name="Normal 5 2 2 3 3 7" xfId="4793" xr:uid="{00000000-0005-0000-0000-0000D2170000}"/>
    <cellStyle name="Normal 5 2 2 3 3 7 2" xfId="14119" xr:uid="{DEAA6B65-E349-497D-BE20-4A6C2303C83B}"/>
    <cellStyle name="Normal 5 2 2 3 3 8" xfId="9035" xr:uid="{6AC57173-16AF-4847-A277-E4254AACDA36}"/>
    <cellStyle name="Normal 5 2 2 3 3 9" xfId="9902" xr:uid="{8EF119E1-0751-4295-AF3C-09FFC022F8FB}"/>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52264740-00CA-45C6-B1A6-42CD0D390825}"/>
    <cellStyle name="Normal 5 2 2 3 4 2 3" xfId="12457" xr:uid="{3423B632-824C-4F67-92C2-F0C514654F0D}"/>
    <cellStyle name="Normal 5 2 2 3 4 3" xfId="5203" xr:uid="{00000000-0005-0000-0000-0000D6170000}"/>
    <cellStyle name="Normal 5 2 2 3 4 3 2" xfId="14529" xr:uid="{EEC495F0-9FF3-4E42-9F75-6EBA2221457B}"/>
    <cellStyle name="Normal 5 2 2 3 4 4" xfId="9253" xr:uid="{A5C3AAF9-67DD-41B1-A0BF-05B69F588F71}"/>
    <cellStyle name="Normal 5 2 2 3 4 5" xfId="10312" xr:uid="{F37E0691-8936-46B3-B94E-16C194EEA6ED}"/>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CF472CA6-DC37-4757-A0B2-5092A53F90B8}"/>
    <cellStyle name="Normal 5 2 2 3 5 2 3" xfId="12870" xr:uid="{B522E11A-1D3B-43AA-A6C8-9BE62037C1CB}"/>
    <cellStyle name="Normal 5 2 2 3 5 3" xfId="5616" xr:uid="{00000000-0005-0000-0000-0000DA170000}"/>
    <cellStyle name="Normal 5 2 2 3 5 3 2" xfId="14942" xr:uid="{F1C92D1F-BEA9-4A86-AD03-D3D563E04EEB}"/>
    <cellStyle name="Normal 5 2 2 3 5 4" xfId="10725" xr:uid="{9F70E0E7-10A1-4312-BC0F-E64602E9AAE8}"/>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5E66B8BB-6699-410D-8602-AD97DE2F3D86}"/>
    <cellStyle name="Normal 5 2 2 3 6 2 3" xfId="13283" xr:uid="{A7BA007D-A09E-4CB3-9424-A2EFD7D51D5E}"/>
    <cellStyle name="Normal 5 2 2 3 6 3" xfId="6029" xr:uid="{00000000-0005-0000-0000-0000DE170000}"/>
    <cellStyle name="Normal 5 2 2 3 6 3 2" xfId="15355" xr:uid="{61DC98B1-8FD8-4614-8A45-D2CBC507C9ED}"/>
    <cellStyle name="Normal 5 2 2 3 6 4" xfId="11138" xr:uid="{AAA6551E-0541-446C-9D43-07B7BF87ADA2}"/>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3CF34E19-6F43-4FF6-85B6-6A2BD7A3E620}"/>
    <cellStyle name="Normal 5 2 2 3 7 2 3" xfId="13696" xr:uid="{B1F56871-66CA-410C-95B9-3FE493B6EA98}"/>
    <cellStyle name="Normal 5 2 2 3 7 3" xfId="6442" xr:uid="{00000000-0005-0000-0000-0000E2170000}"/>
    <cellStyle name="Normal 5 2 2 3 7 3 2" xfId="15768" xr:uid="{EB7EC656-0F91-4EA3-874E-DD24DDEB0BAF}"/>
    <cellStyle name="Normal 5 2 2 3 7 4" xfId="11551" xr:uid="{F93E100C-0D57-4437-99C5-8A231D2C4E6F}"/>
    <cellStyle name="Normal 5 2 2 3 8" xfId="2572" xr:uid="{00000000-0005-0000-0000-0000E3170000}"/>
    <cellStyle name="Normal 5 2 2 3 8 2" xfId="6855" xr:uid="{00000000-0005-0000-0000-0000E4170000}"/>
    <cellStyle name="Normal 5 2 2 3 8 2 2" xfId="16181" xr:uid="{134B5201-DA4E-49B2-A78E-C12A42C64732}"/>
    <cellStyle name="Normal 5 2 2 3 8 3" xfId="11964" xr:uid="{6C058029-3525-478E-B9B8-DB42AD230972}"/>
    <cellStyle name="Normal 5 2 2 3 9" xfId="4790" xr:uid="{00000000-0005-0000-0000-0000E5170000}"/>
    <cellStyle name="Normal 5 2 2 3 9 2" xfId="14116" xr:uid="{86B555D7-B89A-4F43-890B-0F72C5CC9884}"/>
    <cellStyle name="Normal 5 2 2 4" xfId="421" xr:uid="{00000000-0005-0000-0000-0000E6170000}"/>
    <cellStyle name="Normal 5 2 2 4 10" xfId="9903" xr:uid="{A692D025-E4F5-409D-A40E-3954BC2D453D}"/>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05187CB1-6CB5-4BB8-B8F4-9FD13B141A93}"/>
    <cellStyle name="Normal 5 2 2 4 2 2 2 3" xfId="12462" xr:uid="{A27C07B5-1B9E-4C30-97C7-899273731409}"/>
    <cellStyle name="Normal 5 2 2 4 2 2 3" xfId="5208" xr:uid="{00000000-0005-0000-0000-0000EB170000}"/>
    <cellStyle name="Normal 5 2 2 4 2 2 3 2" xfId="14534" xr:uid="{08D89667-606E-47B4-81F5-885A09B6A1E0}"/>
    <cellStyle name="Normal 5 2 2 4 2 2 4" xfId="9488" xr:uid="{2997B11D-E810-48A4-BD3C-4498479B295E}"/>
    <cellStyle name="Normal 5 2 2 4 2 2 5" xfId="10317" xr:uid="{DD898FB4-C689-448D-9648-808FCC3B3464}"/>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DCD0AB32-C4A6-4B86-84E4-37C6DAF0C600}"/>
    <cellStyle name="Normal 5 2 2 4 2 3 2 3" xfId="12875" xr:uid="{D77C5418-ACE5-4985-9585-75A5844CC076}"/>
    <cellStyle name="Normal 5 2 2 4 2 3 3" xfId="5621" xr:uid="{00000000-0005-0000-0000-0000EF170000}"/>
    <cellStyle name="Normal 5 2 2 4 2 3 3 2" xfId="14947" xr:uid="{16A655ED-C74A-43FF-9E79-D88DA611CBE6}"/>
    <cellStyle name="Normal 5 2 2 4 2 3 4" xfId="10730" xr:uid="{31662630-536C-4D11-8FE8-132BBA4A398C}"/>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CE1FECD2-6BF9-4503-B8D7-23F971B42B67}"/>
    <cellStyle name="Normal 5 2 2 4 2 4 2 3" xfId="13288" xr:uid="{85C2F94F-A054-425D-BAA6-736563404759}"/>
    <cellStyle name="Normal 5 2 2 4 2 4 3" xfId="6034" xr:uid="{00000000-0005-0000-0000-0000F3170000}"/>
    <cellStyle name="Normal 5 2 2 4 2 4 3 2" xfId="15360" xr:uid="{257EC1C1-D183-4197-978C-B543323BCCCE}"/>
    <cellStyle name="Normal 5 2 2 4 2 4 4" xfId="11143" xr:uid="{247E01D1-2BE9-4718-9D22-0B009031903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B2707BEC-64A8-44BD-8BF1-4C772174DCB5}"/>
    <cellStyle name="Normal 5 2 2 4 2 5 2 3" xfId="13701" xr:uid="{B240BC2A-DB0C-4974-A5A1-91B3868603BA}"/>
    <cellStyle name="Normal 5 2 2 4 2 5 3" xfId="6447" xr:uid="{00000000-0005-0000-0000-0000F7170000}"/>
    <cellStyle name="Normal 5 2 2 4 2 5 3 2" xfId="15773" xr:uid="{08933723-B935-452A-A613-FF80475A8DC2}"/>
    <cellStyle name="Normal 5 2 2 4 2 5 4" xfId="11556" xr:uid="{98CCA7DD-6CDB-432F-A6C3-7193AD0987AA}"/>
    <cellStyle name="Normal 5 2 2 4 2 6" xfId="2577" xr:uid="{00000000-0005-0000-0000-0000F8170000}"/>
    <cellStyle name="Normal 5 2 2 4 2 6 2" xfId="6860" xr:uid="{00000000-0005-0000-0000-0000F9170000}"/>
    <cellStyle name="Normal 5 2 2 4 2 6 2 2" xfId="16186" xr:uid="{CDEDCAE0-9599-4133-9DEF-11DC6109E150}"/>
    <cellStyle name="Normal 5 2 2 4 2 6 3" xfId="11969" xr:uid="{ACA28496-15FA-47BA-AAF7-BF119AB3F434}"/>
    <cellStyle name="Normal 5 2 2 4 2 7" xfId="4795" xr:uid="{00000000-0005-0000-0000-0000FA170000}"/>
    <cellStyle name="Normal 5 2 2 4 2 7 2" xfId="14121" xr:uid="{45B83D66-8D8B-49D6-A2E1-B7E3370CFA33}"/>
    <cellStyle name="Normal 5 2 2 4 2 8" xfId="9063" xr:uid="{3B1AA107-8D7F-4938-A60C-EED41E9B9A2A}"/>
    <cellStyle name="Normal 5 2 2 4 2 9" xfId="9904" xr:uid="{AF25F682-1921-4377-9E97-FB0221F4131C}"/>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D8B5945A-0168-4B9D-B940-5D8B1C58E62E}"/>
    <cellStyle name="Normal 5 2 2 4 3 2 3" xfId="12461" xr:uid="{BD561139-095E-4319-ADA3-943FA57B7E90}"/>
    <cellStyle name="Normal 5 2 2 4 3 3" xfId="5207" xr:uid="{00000000-0005-0000-0000-0000FE170000}"/>
    <cellStyle name="Normal 5 2 2 4 3 3 2" xfId="14533" xr:uid="{58B3FEF1-724A-476D-AE26-AFCCA76ABC50}"/>
    <cellStyle name="Normal 5 2 2 4 3 4" xfId="9281" xr:uid="{9304050F-95A7-4BE3-AD21-FEBB7D0875B2}"/>
    <cellStyle name="Normal 5 2 2 4 3 5" xfId="10316" xr:uid="{44DA5FFE-3671-4D92-91CA-1442F528BE44}"/>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5FE03FF8-5DBF-4A34-A294-3AD833F333C3}"/>
    <cellStyle name="Normal 5 2 2 4 4 2 3" xfId="12874" xr:uid="{F39AC938-F78B-4B9F-9970-0EDE6F4753D0}"/>
    <cellStyle name="Normal 5 2 2 4 4 3" xfId="5620" xr:uid="{00000000-0005-0000-0000-000002180000}"/>
    <cellStyle name="Normal 5 2 2 4 4 3 2" xfId="14946" xr:uid="{B9C94A2C-7A64-401B-98F4-2CAA1B8F3218}"/>
    <cellStyle name="Normal 5 2 2 4 4 4" xfId="10729" xr:uid="{83AF557C-F70F-439F-B237-CE013E1D5B4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05FAEC5D-F7E4-4396-BDB3-9289AB5E2CC3}"/>
    <cellStyle name="Normal 5 2 2 4 5 2 3" xfId="13287" xr:uid="{890EB41B-9DFA-493D-8131-63B37973767C}"/>
    <cellStyle name="Normal 5 2 2 4 5 3" xfId="6033" xr:uid="{00000000-0005-0000-0000-000006180000}"/>
    <cellStyle name="Normal 5 2 2 4 5 3 2" xfId="15359" xr:uid="{C8A3DC6A-A5E9-45C0-B5AA-CA9DB2CEE742}"/>
    <cellStyle name="Normal 5 2 2 4 5 4" xfId="11142" xr:uid="{313CC234-6FEA-4394-996E-977E66E93AE8}"/>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9EAA457C-5B99-498E-8622-9225390CC34E}"/>
    <cellStyle name="Normal 5 2 2 4 6 2 3" xfId="13700" xr:uid="{3608414B-0E07-4838-940E-61705626ECD0}"/>
    <cellStyle name="Normal 5 2 2 4 6 3" xfId="6446" xr:uid="{00000000-0005-0000-0000-00000A180000}"/>
    <cellStyle name="Normal 5 2 2 4 6 3 2" xfId="15772" xr:uid="{C357C68B-D0B3-4259-B079-8EA608FBDB37}"/>
    <cellStyle name="Normal 5 2 2 4 6 4" xfId="11555" xr:uid="{4891E184-5C7D-448A-98A1-5BD03147E7FC}"/>
    <cellStyle name="Normal 5 2 2 4 7" xfId="2576" xr:uid="{00000000-0005-0000-0000-00000B180000}"/>
    <cellStyle name="Normal 5 2 2 4 7 2" xfId="6859" xr:uid="{00000000-0005-0000-0000-00000C180000}"/>
    <cellStyle name="Normal 5 2 2 4 7 2 2" xfId="16185" xr:uid="{3AA09440-140C-46A6-BA3C-E34C07F36972}"/>
    <cellStyle name="Normal 5 2 2 4 7 3" xfId="11968" xr:uid="{D57C2124-3E6C-498B-B1DB-8476F076AA89}"/>
    <cellStyle name="Normal 5 2 2 4 8" xfId="4794" xr:uid="{00000000-0005-0000-0000-00000D180000}"/>
    <cellStyle name="Normal 5 2 2 4 8 2" xfId="14120" xr:uid="{F34B32E4-5787-4261-B76D-30B0A94E7976}"/>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6B6EBB43-110F-42BB-8628-5FE4D1891ABE}"/>
    <cellStyle name="Normal 5 2 2 5 2 2 3" xfId="12463" xr:uid="{B90B43E4-5D82-4F73-8927-9FC0565828E9}"/>
    <cellStyle name="Normal 5 2 2 5 2 3" xfId="5209" xr:uid="{00000000-0005-0000-0000-000012180000}"/>
    <cellStyle name="Normal 5 2 2 5 2 3 2" xfId="14535" xr:uid="{8A24B7A4-3AA1-402B-AF64-AB158C7ECB34}"/>
    <cellStyle name="Normal 5 2 2 5 2 4" xfId="9397" xr:uid="{3CB0B9A4-F907-4F52-ACFC-7970F7AF9B13}"/>
    <cellStyle name="Normal 5 2 2 5 2 5" xfId="10318" xr:uid="{CA462A2F-273E-4D80-9AF2-446750B87A24}"/>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D79A4672-6624-405B-8EFE-968A22C883C4}"/>
    <cellStyle name="Normal 5 2 2 5 3 2 3" xfId="12876" xr:uid="{616D4224-C9E1-44CD-8205-AC22C4FD119F}"/>
    <cellStyle name="Normal 5 2 2 5 3 3" xfId="5622" xr:uid="{00000000-0005-0000-0000-000016180000}"/>
    <cellStyle name="Normal 5 2 2 5 3 3 2" xfId="14948" xr:uid="{F80B7E1C-3D96-4F60-8BB0-D8891768818E}"/>
    <cellStyle name="Normal 5 2 2 5 3 4" xfId="10731" xr:uid="{816DB79E-CB85-4957-BB2B-98ADD9F2D84A}"/>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DB10B443-2CB4-4593-85F0-1F9F9728BA2A}"/>
    <cellStyle name="Normal 5 2 2 5 4 2 3" xfId="13289" xr:uid="{3E4B1019-B8F5-4066-8501-935EA04EE68A}"/>
    <cellStyle name="Normal 5 2 2 5 4 3" xfId="6035" xr:uid="{00000000-0005-0000-0000-00001A180000}"/>
    <cellStyle name="Normal 5 2 2 5 4 3 2" xfId="15361" xr:uid="{28C1D2E1-C864-4A0D-A1A2-48D4183E8232}"/>
    <cellStyle name="Normal 5 2 2 5 4 4" xfId="11144" xr:uid="{EDA4AC94-3ECD-47BB-80E9-9B26B77CA72D}"/>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8AD215A6-AC62-4890-BADC-5B77D3D1F81F}"/>
    <cellStyle name="Normal 5 2 2 5 5 2 3" xfId="13702" xr:uid="{E5053578-56EE-46FD-9C64-08083DBEE8E9}"/>
    <cellStyle name="Normal 5 2 2 5 5 3" xfId="6448" xr:uid="{00000000-0005-0000-0000-00001E180000}"/>
    <cellStyle name="Normal 5 2 2 5 5 3 2" xfId="15774" xr:uid="{69171D52-F656-4E63-B725-B0FE3A825348}"/>
    <cellStyle name="Normal 5 2 2 5 5 4" xfId="11557" xr:uid="{EEA0F503-E7C6-4700-97A8-D01AA807BDBC}"/>
    <cellStyle name="Normal 5 2 2 5 6" xfId="2578" xr:uid="{00000000-0005-0000-0000-00001F180000}"/>
    <cellStyle name="Normal 5 2 2 5 6 2" xfId="6861" xr:uid="{00000000-0005-0000-0000-000020180000}"/>
    <cellStyle name="Normal 5 2 2 5 6 2 2" xfId="16187" xr:uid="{74B033EE-BEE6-4D8C-AC96-4B941E9D35CB}"/>
    <cellStyle name="Normal 5 2 2 5 6 3" xfId="11970" xr:uid="{25BBB741-AD47-430F-A662-14969F49CC0D}"/>
    <cellStyle name="Normal 5 2 2 5 7" xfId="4796" xr:uid="{00000000-0005-0000-0000-000021180000}"/>
    <cellStyle name="Normal 5 2 2 5 7 2" xfId="14122" xr:uid="{193CC35E-30FA-445B-88AC-7B00812D958F}"/>
    <cellStyle name="Normal 5 2 2 5 8" xfId="8972" xr:uid="{3CCC8856-6464-4309-A4F9-43F74A48C503}"/>
    <cellStyle name="Normal 5 2 2 5 9" xfId="9905" xr:uid="{64AF3EE0-8EBF-4001-8324-792DEF04972D}"/>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9A23806C-954E-47B7-BEBE-AD9503B6A3F6}"/>
    <cellStyle name="Normal 5 2 2 6 2 3" xfId="12448" xr:uid="{7F7EF464-D745-4549-93C2-EEAFDDC96F1F}"/>
    <cellStyle name="Normal 5 2 2 6 3" xfId="5194" xr:uid="{00000000-0005-0000-0000-000025180000}"/>
    <cellStyle name="Normal 5 2 2 6 3 2" xfId="14520" xr:uid="{09DB10DA-0113-4DA6-B381-A0895E553406}"/>
    <cellStyle name="Normal 5 2 2 6 4" xfId="9175" xr:uid="{A0BC076A-DB75-4963-A17E-57836FA6391D}"/>
    <cellStyle name="Normal 5 2 2 6 5" xfId="10303" xr:uid="{3DFD96C5-3CA9-4C1A-B54C-96C9BB10F507}"/>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A501F8E9-C0F8-4B92-83BA-37BB421A0A6B}"/>
    <cellStyle name="Normal 5 2 2 7 2 3" xfId="12861" xr:uid="{94074DF9-1761-4F09-B60A-58BDB7914CC0}"/>
    <cellStyle name="Normal 5 2 2 7 3" xfId="5607" xr:uid="{00000000-0005-0000-0000-000029180000}"/>
    <cellStyle name="Normal 5 2 2 7 3 2" xfId="14933" xr:uid="{F3A521B6-76C7-4C41-ADC0-85BB43A3B811}"/>
    <cellStyle name="Normal 5 2 2 7 4" xfId="10716" xr:uid="{82588636-8B05-4EC2-835F-8D9F25C3FB33}"/>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8F287D48-11BB-44F2-8CF8-95F6CE4E11BE}"/>
    <cellStyle name="Normal 5 2 2 8 2 3" xfId="13274" xr:uid="{724C97DD-689C-43E6-AFDE-A19A828C0745}"/>
    <cellStyle name="Normal 5 2 2 8 3" xfId="6020" xr:uid="{00000000-0005-0000-0000-00002D180000}"/>
    <cellStyle name="Normal 5 2 2 8 3 2" xfId="15346" xr:uid="{DBB4ADA6-8319-4D3B-84B5-281C14206184}"/>
    <cellStyle name="Normal 5 2 2 8 4" xfId="11129" xr:uid="{A03BC12B-B0E7-41DD-AB7F-D0596F934E8F}"/>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43F9F45C-2E89-4E3F-A751-95B6A933190C}"/>
    <cellStyle name="Normal 5 2 2 9 2 3" xfId="13687" xr:uid="{6F028D52-59D9-41AA-8CB5-21C2E8EC2148}"/>
    <cellStyle name="Normal 5 2 2 9 3" xfId="6433" xr:uid="{00000000-0005-0000-0000-000031180000}"/>
    <cellStyle name="Normal 5 2 2 9 3 2" xfId="15759" xr:uid="{839123A5-0FB9-453B-A901-0978DA92F9AC}"/>
    <cellStyle name="Normal 5 2 2 9 4" xfId="11542" xr:uid="{B71422FE-DE37-4A31-80D6-CBB092444D65}"/>
    <cellStyle name="Normal 5 2 3" xfId="424" xr:uid="{00000000-0005-0000-0000-000032180000}"/>
    <cellStyle name="Normal 5 2 3 10" xfId="4797" xr:uid="{00000000-0005-0000-0000-000033180000}"/>
    <cellStyle name="Normal 5 2 3 10 2" xfId="14123" xr:uid="{0C9E4549-FA51-49DD-B5C4-2918462610EC}"/>
    <cellStyle name="Normal 5 2 3 11" xfId="8776" xr:uid="{883173D2-CE3E-48F3-8E13-32EAEF7B08C3}"/>
    <cellStyle name="Normal 5 2 3 12" xfId="9906" xr:uid="{6339DB1B-D576-434E-B905-42E09CC68CC3}"/>
    <cellStyle name="Normal 5 2 3 2" xfId="425" xr:uid="{00000000-0005-0000-0000-000034180000}"/>
    <cellStyle name="Normal 5 2 3 2 10" xfId="8830" xr:uid="{287E15F2-6F23-4B3E-B8AA-9DE92D950FBA}"/>
    <cellStyle name="Normal 5 2 3 2 11" xfId="9907" xr:uid="{AC6FA9B9-3FFC-4B71-863E-BD3835B25BD9}"/>
    <cellStyle name="Normal 5 2 3 2 2" xfId="426" xr:uid="{00000000-0005-0000-0000-000035180000}"/>
    <cellStyle name="Normal 5 2 3 2 2 10" xfId="9908" xr:uid="{48454040-FCAB-424A-BBE3-523C263048A1}"/>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529040AD-9BE2-43CF-B467-8C1121A88414}"/>
    <cellStyle name="Normal 5 2 3 2 2 2 2 2 3" xfId="12467" xr:uid="{29673247-121F-4001-BB3E-8B7817503F7F}"/>
    <cellStyle name="Normal 5 2 3 2 2 2 2 3" xfId="5213" xr:uid="{00000000-0005-0000-0000-00003A180000}"/>
    <cellStyle name="Normal 5 2 3 2 2 2 2 3 2" xfId="14539" xr:uid="{EC060706-4D5E-4A84-88D9-63ACB584F847}"/>
    <cellStyle name="Normal 5 2 3 2 2 2 2 4" xfId="9565" xr:uid="{B33C5ECB-02D9-4BAF-B467-F38E8EEB7F6E}"/>
    <cellStyle name="Normal 5 2 3 2 2 2 2 5" xfId="10322" xr:uid="{0BCB3F0B-C652-41D9-997D-3CCFAE6424ED}"/>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431D57FA-4918-47DD-B8EB-5A829D7AA466}"/>
    <cellStyle name="Normal 5 2 3 2 2 2 3 2 3" xfId="12880" xr:uid="{D07A0C09-5686-498E-8C81-AF51737B7EC0}"/>
    <cellStyle name="Normal 5 2 3 2 2 2 3 3" xfId="5626" xr:uid="{00000000-0005-0000-0000-00003E180000}"/>
    <cellStyle name="Normal 5 2 3 2 2 2 3 3 2" xfId="14952" xr:uid="{6440CD39-38FD-4CB9-9411-B452AC1DFB5F}"/>
    <cellStyle name="Normal 5 2 3 2 2 2 3 4" xfId="10735" xr:uid="{485FAD32-D7A1-440C-9C18-CD889E939415}"/>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881AA7E9-1DA5-4020-9753-E183C69E4C0D}"/>
    <cellStyle name="Normal 5 2 3 2 2 2 4 2 3" xfId="13293" xr:uid="{A64923B2-C258-464E-95C5-545220A55DCA}"/>
    <cellStyle name="Normal 5 2 3 2 2 2 4 3" xfId="6039" xr:uid="{00000000-0005-0000-0000-000042180000}"/>
    <cellStyle name="Normal 5 2 3 2 2 2 4 3 2" xfId="15365" xr:uid="{11E5AFB6-DBC1-43E9-8594-83B950D82FE3}"/>
    <cellStyle name="Normal 5 2 3 2 2 2 4 4" xfId="11148" xr:uid="{AB080E27-6E8A-4EBC-BB6E-2B0E325D9DA9}"/>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A245EDCD-3735-4348-BD6E-F00B70414B4C}"/>
    <cellStyle name="Normal 5 2 3 2 2 2 5 2 3" xfId="13706" xr:uid="{410CCD1E-83AC-4E4A-AEB7-99D344D991CC}"/>
    <cellStyle name="Normal 5 2 3 2 2 2 5 3" xfId="6452" xr:uid="{00000000-0005-0000-0000-000046180000}"/>
    <cellStyle name="Normal 5 2 3 2 2 2 5 3 2" xfId="15778" xr:uid="{CBB3BB1A-41E6-421D-B6B3-BC1B1C9AAA59}"/>
    <cellStyle name="Normal 5 2 3 2 2 2 5 4" xfId="11561" xr:uid="{76A6630D-9025-4C41-B64B-45DFBF53AE03}"/>
    <cellStyle name="Normal 5 2 3 2 2 2 6" xfId="2582" xr:uid="{00000000-0005-0000-0000-000047180000}"/>
    <cellStyle name="Normal 5 2 3 2 2 2 6 2" xfId="6865" xr:uid="{00000000-0005-0000-0000-000048180000}"/>
    <cellStyle name="Normal 5 2 3 2 2 2 6 2 2" xfId="16191" xr:uid="{4FAE5644-4B67-4CEC-8664-F2736169E0C0}"/>
    <cellStyle name="Normal 5 2 3 2 2 2 6 3" xfId="11974" xr:uid="{541B75CF-D311-4157-B7F8-8EB0F7320916}"/>
    <cellStyle name="Normal 5 2 3 2 2 2 7" xfId="4800" xr:uid="{00000000-0005-0000-0000-000049180000}"/>
    <cellStyle name="Normal 5 2 3 2 2 2 7 2" xfId="14126" xr:uid="{39314401-14B3-4558-BCCA-3423968D29AF}"/>
    <cellStyle name="Normal 5 2 3 2 2 2 8" xfId="9140" xr:uid="{175A16DB-BA54-4083-AB68-1FA46DB27A86}"/>
    <cellStyle name="Normal 5 2 3 2 2 2 9" xfId="9909" xr:uid="{FA2BD4A8-1F89-4689-9EF2-218D5C863D5C}"/>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5C964020-FADE-4C4A-9C23-09A9040C20A6}"/>
    <cellStyle name="Normal 5 2 3 2 2 3 2 3" xfId="12466" xr:uid="{14298142-6AFD-43DF-A90F-622CE5BF803E}"/>
    <cellStyle name="Normal 5 2 3 2 2 3 3" xfId="5212" xr:uid="{00000000-0005-0000-0000-00004D180000}"/>
    <cellStyle name="Normal 5 2 3 2 2 3 3 2" xfId="14538" xr:uid="{080966C4-3C70-4A48-A179-5AE73FBE0487}"/>
    <cellStyle name="Normal 5 2 3 2 2 3 4" xfId="9358" xr:uid="{5B196E7D-8DD9-4C59-A83C-7626B0E60040}"/>
    <cellStyle name="Normal 5 2 3 2 2 3 5" xfId="10321" xr:uid="{383DEE30-E19B-486D-BAE9-C79C9FDCE324}"/>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F61916D9-C05E-4429-A5CA-2B8FCF8F698E}"/>
    <cellStyle name="Normal 5 2 3 2 2 4 2 3" xfId="12879" xr:uid="{3E76834F-011A-4065-AC99-97463AAA660F}"/>
    <cellStyle name="Normal 5 2 3 2 2 4 3" xfId="5625" xr:uid="{00000000-0005-0000-0000-000051180000}"/>
    <cellStyle name="Normal 5 2 3 2 2 4 3 2" xfId="14951" xr:uid="{4942066A-70C6-4DA1-BD51-705BD988A02C}"/>
    <cellStyle name="Normal 5 2 3 2 2 4 4" xfId="10734" xr:uid="{8C01C7C7-20C8-4FE1-897C-FA91D4C897A7}"/>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B6E2DEB9-A607-45E4-90D3-7FAE32334F06}"/>
    <cellStyle name="Normal 5 2 3 2 2 5 2 3" xfId="13292" xr:uid="{3553D216-DE4F-4B32-A0E3-82FC77B9928A}"/>
    <cellStyle name="Normal 5 2 3 2 2 5 3" xfId="6038" xr:uid="{00000000-0005-0000-0000-000055180000}"/>
    <cellStyle name="Normal 5 2 3 2 2 5 3 2" xfId="15364" xr:uid="{1E021EF0-E8B7-4C19-9E22-BF938A8FF3D6}"/>
    <cellStyle name="Normal 5 2 3 2 2 5 4" xfId="11147" xr:uid="{B1CA2C70-0BD7-4CE5-B151-363A729CA1D7}"/>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479723DA-69A6-46C6-BAAC-2A507EC187BD}"/>
    <cellStyle name="Normal 5 2 3 2 2 6 2 3" xfId="13705" xr:uid="{10E5AB88-DA02-432D-9B12-7D8796655148}"/>
    <cellStyle name="Normal 5 2 3 2 2 6 3" xfId="6451" xr:uid="{00000000-0005-0000-0000-000059180000}"/>
    <cellStyle name="Normal 5 2 3 2 2 6 3 2" xfId="15777" xr:uid="{F514B2C8-90C0-4D7D-A516-E1B94479B871}"/>
    <cellStyle name="Normal 5 2 3 2 2 6 4" xfId="11560" xr:uid="{00CCE5C8-A6C1-496C-88F7-2577219B350B}"/>
    <cellStyle name="Normal 5 2 3 2 2 7" xfId="2581" xr:uid="{00000000-0005-0000-0000-00005A180000}"/>
    <cellStyle name="Normal 5 2 3 2 2 7 2" xfId="6864" xr:uid="{00000000-0005-0000-0000-00005B180000}"/>
    <cellStyle name="Normal 5 2 3 2 2 7 2 2" xfId="16190" xr:uid="{018F9DC2-F07A-437B-9C66-7E6FFC0F2185}"/>
    <cellStyle name="Normal 5 2 3 2 2 7 3" xfId="11973" xr:uid="{0EBF076A-A6E3-4743-86EC-FE2D945DB6AA}"/>
    <cellStyle name="Normal 5 2 3 2 2 8" xfId="4799" xr:uid="{00000000-0005-0000-0000-00005C180000}"/>
    <cellStyle name="Normal 5 2 3 2 2 8 2" xfId="14125" xr:uid="{9630E13F-FA73-4B6B-878E-88984D54CE57}"/>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EB54B142-7454-4CBF-B633-8AA69DF0B8E2}"/>
    <cellStyle name="Normal 5 2 3 2 3 2 2 3" xfId="12468" xr:uid="{C8E34C66-72EC-4C91-AABF-51078CBE28F7}"/>
    <cellStyle name="Normal 5 2 3 2 3 2 3" xfId="5214" xr:uid="{00000000-0005-0000-0000-000061180000}"/>
    <cellStyle name="Normal 5 2 3 2 3 2 3 2" xfId="14540" xr:uid="{D9DA44C0-2C6C-4141-A886-8924A9258A2D}"/>
    <cellStyle name="Normal 5 2 3 2 3 2 4" xfId="9462" xr:uid="{B4C14F1A-A88A-428F-A7F8-BAFD7E5CD045}"/>
    <cellStyle name="Normal 5 2 3 2 3 2 5" xfId="10323" xr:uid="{CE2BBE5A-F7EB-4F86-BAAA-7BF4C8E20D09}"/>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1D3091A2-E12A-46E9-B1F4-289B211DFDA4}"/>
    <cellStyle name="Normal 5 2 3 2 3 3 2 3" xfId="12881" xr:uid="{40FBD265-7548-4D96-A3EF-65003AA7C310}"/>
    <cellStyle name="Normal 5 2 3 2 3 3 3" xfId="5627" xr:uid="{00000000-0005-0000-0000-000065180000}"/>
    <cellStyle name="Normal 5 2 3 2 3 3 3 2" xfId="14953" xr:uid="{7D9B18C1-28FB-4DCB-B0E4-8F7815879DF3}"/>
    <cellStyle name="Normal 5 2 3 2 3 3 4" xfId="10736" xr:uid="{48B8DAA1-ED3F-46A4-B71A-E7522BD78206}"/>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AD068098-351B-47D5-87D7-5A37F74A5957}"/>
    <cellStyle name="Normal 5 2 3 2 3 4 2 3" xfId="13294" xr:uid="{B8F52F3F-287F-435A-B4F9-CC23E87609FD}"/>
    <cellStyle name="Normal 5 2 3 2 3 4 3" xfId="6040" xr:uid="{00000000-0005-0000-0000-000069180000}"/>
    <cellStyle name="Normal 5 2 3 2 3 4 3 2" xfId="15366" xr:uid="{69726CF4-383B-4DB0-B702-8784255E31D8}"/>
    <cellStyle name="Normal 5 2 3 2 3 4 4" xfId="11149" xr:uid="{5E4F461D-08D8-4C8F-96B1-119103F469FA}"/>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07A1AAD1-2CCB-4BCB-A133-A6E9D3CC97AC}"/>
    <cellStyle name="Normal 5 2 3 2 3 5 2 3" xfId="13707" xr:uid="{78574641-43EE-47DC-8AB0-DF3FAF08A72F}"/>
    <cellStyle name="Normal 5 2 3 2 3 5 3" xfId="6453" xr:uid="{00000000-0005-0000-0000-00006D180000}"/>
    <cellStyle name="Normal 5 2 3 2 3 5 3 2" xfId="15779" xr:uid="{F39F3142-F7FD-4924-A152-6A2728B381B9}"/>
    <cellStyle name="Normal 5 2 3 2 3 5 4" xfId="11562" xr:uid="{D7B27BF8-0883-429F-952F-BB958285E329}"/>
    <cellStyle name="Normal 5 2 3 2 3 6" xfId="2583" xr:uid="{00000000-0005-0000-0000-00006E180000}"/>
    <cellStyle name="Normal 5 2 3 2 3 6 2" xfId="6866" xr:uid="{00000000-0005-0000-0000-00006F180000}"/>
    <cellStyle name="Normal 5 2 3 2 3 6 2 2" xfId="16192" xr:uid="{BFAA5AE8-AD04-4385-8E53-7E7A94D9C967}"/>
    <cellStyle name="Normal 5 2 3 2 3 6 3" xfId="11975" xr:uid="{63D04DD1-4CCD-4414-8EB5-53167C65C6E6}"/>
    <cellStyle name="Normal 5 2 3 2 3 7" xfId="4801" xr:uid="{00000000-0005-0000-0000-000070180000}"/>
    <cellStyle name="Normal 5 2 3 2 3 7 2" xfId="14127" xr:uid="{DD2AF34D-8B05-47DE-A215-8B31EBA673EF}"/>
    <cellStyle name="Normal 5 2 3 2 3 8" xfId="9037" xr:uid="{EED46D7F-EFCD-4AC1-931D-AB06B694E7BE}"/>
    <cellStyle name="Normal 5 2 3 2 3 9" xfId="9910" xr:uid="{68B2F88A-06A5-4A4E-8D14-21F6073ABE78}"/>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188D16AE-E84D-463B-8E44-70EFD12BDFFF}"/>
    <cellStyle name="Normal 5 2 3 2 4 2 3" xfId="12465" xr:uid="{9E00E1EE-5F82-46D7-A841-1A08C01ED2D2}"/>
    <cellStyle name="Normal 5 2 3 2 4 3" xfId="5211" xr:uid="{00000000-0005-0000-0000-000074180000}"/>
    <cellStyle name="Normal 5 2 3 2 4 3 2" xfId="14537" xr:uid="{1EFE59B7-CB9A-4D55-B02E-1AF7CB3E11D9}"/>
    <cellStyle name="Normal 5 2 3 2 4 4" xfId="9255" xr:uid="{C5A161BB-6C4F-4A9D-BBA7-7500B0B26A70}"/>
    <cellStyle name="Normal 5 2 3 2 4 5" xfId="10320" xr:uid="{422C880D-848B-45D1-94E5-6E520EC00BA7}"/>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F655D34B-7BB2-4FCE-AFE4-DCAD80A25786}"/>
    <cellStyle name="Normal 5 2 3 2 5 2 3" xfId="12878" xr:uid="{F2984627-3C24-48AB-A68F-B2441BA2EF4F}"/>
    <cellStyle name="Normal 5 2 3 2 5 3" xfId="5624" xr:uid="{00000000-0005-0000-0000-000078180000}"/>
    <cellStyle name="Normal 5 2 3 2 5 3 2" xfId="14950" xr:uid="{96442820-378A-44D1-8988-EBD834158EB5}"/>
    <cellStyle name="Normal 5 2 3 2 5 4" xfId="10733" xr:uid="{7D834EA1-AE2C-4647-8C6B-81142AE8DFB2}"/>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4B4115FF-8E2A-4492-AF78-AF5ABBDB889F}"/>
    <cellStyle name="Normal 5 2 3 2 6 2 3" xfId="13291" xr:uid="{016D2972-1355-4F32-BC46-351336F500FC}"/>
    <cellStyle name="Normal 5 2 3 2 6 3" xfId="6037" xr:uid="{00000000-0005-0000-0000-00007C180000}"/>
    <cellStyle name="Normal 5 2 3 2 6 3 2" xfId="15363" xr:uid="{6CA60691-AE52-4E63-9FE9-B136A106E9FE}"/>
    <cellStyle name="Normal 5 2 3 2 6 4" xfId="11146" xr:uid="{2CB6799C-0D86-4A37-A482-4C3DED9FE5AC}"/>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43BD3AF2-0DEA-449C-837F-9D9D5E39073C}"/>
    <cellStyle name="Normal 5 2 3 2 7 2 3" xfId="13704" xr:uid="{94FED8C2-520E-4269-9DF1-892149A1E628}"/>
    <cellStyle name="Normal 5 2 3 2 7 3" xfId="6450" xr:uid="{00000000-0005-0000-0000-000080180000}"/>
    <cellStyle name="Normal 5 2 3 2 7 3 2" xfId="15776" xr:uid="{29944436-B020-4444-A882-6F31178F89CB}"/>
    <cellStyle name="Normal 5 2 3 2 7 4" xfId="11559" xr:uid="{30172C84-D98D-4F03-B51B-C0A8D67A7D1C}"/>
    <cellStyle name="Normal 5 2 3 2 8" xfId="2580" xr:uid="{00000000-0005-0000-0000-000081180000}"/>
    <cellStyle name="Normal 5 2 3 2 8 2" xfId="6863" xr:uid="{00000000-0005-0000-0000-000082180000}"/>
    <cellStyle name="Normal 5 2 3 2 8 2 2" xfId="16189" xr:uid="{F99B0243-C01A-4BAC-9F03-118E460EBE44}"/>
    <cellStyle name="Normal 5 2 3 2 8 3" xfId="11972" xr:uid="{AAAE1FFF-A296-4BE0-80B8-97BD5D732D5A}"/>
    <cellStyle name="Normal 5 2 3 2 9" xfId="4798" xr:uid="{00000000-0005-0000-0000-000083180000}"/>
    <cellStyle name="Normal 5 2 3 2 9 2" xfId="14124" xr:uid="{ED9754B1-2A25-4BF3-9523-907E5964FC93}"/>
    <cellStyle name="Normal 5 2 3 3" xfId="429" xr:uid="{00000000-0005-0000-0000-000084180000}"/>
    <cellStyle name="Normal 5 2 3 3 10" xfId="9911" xr:uid="{D0D51C8F-0701-4A86-9A06-59E60F6E591B}"/>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C4060C53-98CF-4B5C-B98C-6F8A035C065E}"/>
    <cellStyle name="Normal 5 2 3 3 2 2 2 3" xfId="12470" xr:uid="{C11AE437-836C-4CDA-A8A5-8A7CB0B1F97F}"/>
    <cellStyle name="Normal 5 2 3 3 2 2 3" xfId="5216" xr:uid="{00000000-0005-0000-0000-000089180000}"/>
    <cellStyle name="Normal 5 2 3 3 2 2 3 2" xfId="14542" xr:uid="{B81E558E-A11D-4E98-BECF-25E8736FF82E}"/>
    <cellStyle name="Normal 5 2 3 3 2 2 4" xfId="9511" xr:uid="{75EF02F8-0397-4B30-A858-343ADCA7C08D}"/>
    <cellStyle name="Normal 5 2 3 3 2 2 5" xfId="10325" xr:uid="{0FB61D6B-231D-4C32-AF75-3D8740369906}"/>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1B6A9B3D-3ED1-4AB6-8944-E9092D3E3215}"/>
    <cellStyle name="Normal 5 2 3 3 2 3 2 3" xfId="12883" xr:uid="{544213D9-8AB3-4910-92EC-C4D28CD9E67B}"/>
    <cellStyle name="Normal 5 2 3 3 2 3 3" xfId="5629" xr:uid="{00000000-0005-0000-0000-00008D180000}"/>
    <cellStyle name="Normal 5 2 3 3 2 3 3 2" xfId="14955" xr:uid="{4972D157-1F56-49F5-B805-08F4B75B55D0}"/>
    <cellStyle name="Normal 5 2 3 3 2 3 4" xfId="10738" xr:uid="{0CF4D709-DF0A-4424-8438-FC2FBE4F063F}"/>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17C772A7-7938-4971-A8E5-736D15FE5908}"/>
    <cellStyle name="Normal 5 2 3 3 2 4 2 3" xfId="13296" xr:uid="{71963C5D-6624-400D-BAED-9721A667E27A}"/>
    <cellStyle name="Normal 5 2 3 3 2 4 3" xfId="6042" xr:uid="{00000000-0005-0000-0000-000091180000}"/>
    <cellStyle name="Normal 5 2 3 3 2 4 3 2" xfId="15368" xr:uid="{C8CB7B15-7E6E-478A-932B-0A953E72954A}"/>
    <cellStyle name="Normal 5 2 3 3 2 4 4" xfId="11151" xr:uid="{3F4C0291-B1A4-493F-A2AE-3B524C304293}"/>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C4EF15CA-A3B7-453D-AC45-A87E88F5A874}"/>
    <cellStyle name="Normal 5 2 3 3 2 5 2 3" xfId="13709" xr:uid="{118BD8CB-0965-489D-A9FD-0DDE9CD0BEE8}"/>
    <cellStyle name="Normal 5 2 3 3 2 5 3" xfId="6455" xr:uid="{00000000-0005-0000-0000-000095180000}"/>
    <cellStyle name="Normal 5 2 3 3 2 5 3 2" xfId="15781" xr:uid="{C7DC3486-C89B-4F4D-97AB-536DA7DE86C7}"/>
    <cellStyle name="Normal 5 2 3 3 2 5 4" xfId="11564" xr:uid="{2F1B300B-7A45-44AB-B51D-47F2D7A78841}"/>
    <cellStyle name="Normal 5 2 3 3 2 6" xfId="2585" xr:uid="{00000000-0005-0000-0000-000096180000}"/>
    <cellStyle name="Normal 5 2 3 3 2 6 2" xfId="6868" xr:uid="{00000000-0005-0000-0000-000097180000}"/>
    <cellStyle name="Normal 5 2 3 3 2 6 2 2" xfId="16194" xr:uid="{931E30B1-C797-47E4-8089-6CEB0FC76D72}"/>
    <cellStyle name="Normal 5 2 3 3 2 6 3" xfId="11977" xr:uid="{8526DFEC-9FA2-4316-82D8-AA5FDF797121}"/>
    <cellStyle name="Normal 5 2 3 3 2 7" xfId="4803" xr:uid="{00000000-0005-0000-0000-000098180000}"/>
    <cellStyle name="Normal 5 2 3 3 2 7 2" xfId="14129" xr:uid="{ABFF6BF3-945B-4F80-B5A0-C4D19A09D687}"/>
    <cellStyle name="Normal 5 2 3 3 2 8" xfId="9086" xr:uid="{442E5F61-F00C-4774-822F-4985AB3E1CB7}"/>
    <cellStyle name="Normal 5 2 3 3 2 9" xfId="9912" xr:uid="{C6E83558-57FA-468D-AC16-1E4CEB04DDC9}"/>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8138634E-4919-4D74-9C0A-7D4B607EC15E}"/>
    <cellStyle name="Normal 5 2 3 3 3 2 3" xfId="12469" xr:uid="{1B50CBCA-8803-40C5-94D2-459AE8EFA9A3}"/>
    <cellStyle name="Normal 5 2 3 3 3 3" xfId="5215" xr:uid="{00000000-0005-0000-0000-00009C180000}"/>
    <cellStyle name="Normal 5 2 3 3 3 3 2" xfId="14541" xr:uid="{261E9104-CE44-4298-9991-6607E4F80DDE}"/>
    <cellStyle name="Normal 5 2 3 3 3 4" xfId="9304" xr:uid="{2C783A77-F32A-4E64-807E-062B95DB0310}"/>
    <cellStyle name="Normal 5 2 3 3 3 5" xfId="10324" xr:uid="{92E2D67C-C891-48D6-A7B3-A6637928CB61}"/>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FAF77D56-6335-436F-8E6D-25EB3B1408DB}"/>
    <cellStyle name="Normal 5 2 3 3 4 2 3" xfId="12882" xr:uid="{4566C6D7-B81F-4F35-A4BB-EBADCFDA12DD}"/>
    <cellStyle name="Normal 5 2 3 3 4 3" xfId="5628" xr:uid="{00000000-0005-0000-0000-0000A0180000}"/>
    <cellStyle name="Normal 5 2 3 3 4 3 2" xfId="14954" xr:uid="{B52D6702-5C67-45D3-92CB-E7BBADB2EE5C}"/>
    <cellStyle name="Normal 5 2 3 3 4 4" xfId="10737" xr:uid="{69FE66FB-457A-4875-A118-2E5BA7CACE8A}"/>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4A7FF1E6-BB17-4B70-BA0D-A795D1C4574A}"/>
    <cellStyle name="Normal 5 2 3 3 5 2 3" xfId="13295" xr:uid="{044E02D1-D103-4B66-A791-5DE2E6B40D41}"/>
    <cellStyle name="Normal 5 2 3 3 5 3" xfId="6041" xr:uid="{00000000-0005-0000-0000-0000A4180000}"/>
    <cellStyle name="Normal 5 2 3 3 5 3 2" xfId="15367" xr:uid="{A85CF80C-1502-4A67-9A0E-3487A97E3A2B}"/>
    <cellStyle name="Normal 5 2 3 3 5 4" xfId="11150" xr:uid="{0867A1F8-47EF-4D04-A8D0-104057FD552A}"/>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58103281-CFD5-4738-8662-E36B7C21BD92}"/>
    <cellStyle name="Normal 5 2 3 3 6 2 3" xfId="13708" xr:uid="{389CEF5C-42D4-40D7-B71A-50A2975A6629}"/>
    <cellStyle name="Normal 5 2 3 3 6 3" xfId="6454" xr:uid="{00000000-0005-0000-0000-0000A8180000}"/>
    <cellStyle name="Normal 5 2 3 3 6 3 2" xfId="15780" xr:uid="{8EF050D9-DF59-4A1A-BEA5-907B6F5F125D}"/>
    <cellStyle name="Normal 5 2 3 3 6 4" xfId="11563" xr:uid="{69BB01ED-B7F0-4E3B-A391-1B46B923D4B1}"/>
    <cellStyle name="Normal 5 2 3 3 7" xfId="2584" xr:uid="{00000000-0005-0000-0000-0000A9180000}"/>
    <cellStyle name="Normal 5 2 3 3 7 2" xfId="6867" xr:uid="{00000000-0005-0000-0000-0000AA180000}"/>
    <cellStyle name="Normal 5 2 3 3 7 2 2" xfId="16193" xr:uid="{2C10D64F-F6DC-496D-8AF9-B3154C5ACC37}"/>
    <cellStyle name="Normal 5 2 3 3 7 3" xfId="11976" xr:uid="{AA6D765D-4222-490D-B66B-83CF9C7D10EE}"/>
    <cellStyle name="Normal 5 2 3 3 8" xfId="4802" xr:uid="{00000000-0005-0000-0000-0000AB180000}"/>
    <cellStyle name="Normal 5 2 3 3 8 2" xfId="14128" xr:uid="{B07E0552-AD35-43C3-9CF4-645F0AA25CB2}"/>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94D95340-4E1C-404A-BD69-BC92E8CC90CE}"/>
    <cellStyle name="Normal 5 2 3 4 2 2 3" xfId="12471" xr:uid="{4879B96C-0AB5-4EEE-B74C-7793B3239132}"/>
    <cellStyle name="Normal 5 2 3 4 2 3" xfId="5217" xr:uid="{00000000-0005-0000-0000-0000B0180000}"/>
    <cellStyle name="Normal 5 2 3 4 2 3 2" xfId="14543" xr:uid="{2224A250-424F-4CE2-A962-4867858D82AD}"/>
    <cellStyle name="Normal 5 2 3 4 2 4" xfId="9408" xr:uid="{3B6F9C6F-3D7C-45F8-99FE-451C0F8CED36}"/>
    <cellStyle name="Normal 5 2 3 4 2 5" xfId="10326" xr:uid="{3A51EDE0-838F-4325-A809-A1A171119072}"/>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8E982E2E-5080-40B1-82A7-5426B5D5F37A}"/>
    <cellStyle name="Normal 5 2 3 4 3 2 3" xfId="12884" xr:uid="{DAAB3D7C-EC95-4916-9EC6-3481DFE5DE57}"/>
    <cellStyle name="Normal 5 2 3 4 3 3" xfId="5630" xr:uid="{00000000-0005-0000-0000-0000B4180000}"/>
    <cellStyle name="Normal 5 2 3 4 3 3 2" xfId="14956" xr:uid="{A7356C84-EEF4-481C-8624-03BCCD363391}"/>
    <cellStyle name="Normal 5 2 3 4 3 4" xfId="10739" xr:uid="{90E523F9-2C54-45FD-AA8E-1971723C6EE0}"/>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ADABD086-EA06-4EDD-9630-D14980B1E030}"/>
    <cellStyle name="Normal 5 2 3 4 4 2 3" xfId="13297" xr:uid="{1A7B5996-FEA5-4BBF-8F65-A93B0EBFD470}"/>
    <cellStyle name="Normal 5 2 3 4 4 3" xfId="6043" xr:uid="{00000000-0005-0000-0000-0000B8180000}"/>
    <cellStyle name="Normal 5 2 3 4 4 3 2" xfId="15369" xr:uid="{BE3BF19F-53C7-4176-B576-A8A2931131E7}"/>
    <cellStyle name="Normal 5 2 3 4 4 4" xfId="11152" xr:uid="{5F5AE985-AD47-492B-99DD-4277776925FE}"/>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41D9051F-92CC-4B80-92E5-4674E39A37D8}"/>
    <cellStyle name="Normal 5 2 3 4 5 2 3" xfId="13710" xr:uid="{3C42BB3A-9E40-4CD8-8621-536E416BAD3E}"/>
    <cellStyle name="Normal 5 2 3 4 5 3" xfId="6456" xr:uid="{00000000-0005-0000-0000-0000BC180000}"/>
    <cellStyle name="Normal 5 2 3 4 5 3 2" xfId="15782" xr:uid="{F731561B-6807-43E3-B39B-7A05E2E1C493}"/>
    <cellStyle name="Normal 5 2 3 4 5 4" xfId="11565" xr:uid="{7DE56717-87E4-41B1-B144-C5F047788B54}"/>
    <cellStyle name="Normal 5 2 3 4 6" xfId="2586" xr:uid="{00000000-0005-0000-0000-0000BD180000}"/>
    <cellStyle name="Normal 5 2 3 4 6 2" xfId="6869" xr:uid="{00000000-0005-0000-0000-0000BE180000}"/>
    <cellStyle name="Normal 5 2 3 4 6 2 2" xfId="16195" xr:uid="{068E627A-1957-4B79-ADAE-D0C3F3D7F41C}"/>
    <cellStyle name="Normal 5 2 3 4 6 3" xfId="11978" xr:uid="{11026E8E-0FEE-47D1-963D-58652E5496DB}"/>
    <cellStyle name="Normal 5 2 3 4 7" xfId="4804" xr:uid="{00000000-0005-0000-0000-0000BF180000}"/>
    <cellStyle name="Normal 5 2 3 4 7 2" xfId="14130" xr:uid="{B4DA3FE8-EFBB-4B08-95B6-F0A1B9E69255}"/>
    <cellStyle name="Normal 5 2 3 4 8" xfId="8983" xr:uid="{07388FCC-03DE-4CE8-89CB-9C92F8174E24}"/>
    <cellStyle name="Normal 5 2 3 4 9" xfId="9913" xr:uid="{F6F88094-2C80-4DB5-BD4E-01C857D6032E}"/>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926A4698-C602-411E-8E66-E84790C21A35}"/>
    <cellStyle name="Normal 5 2 3 5 2 3" xfId="12464" xr:uid="{B262151C-D273-4FDD-B191-190A5AD4CD0B}"/>
    <cellStyle name="Normal 5 2 3 5 3" xfId="5210" xr:uid="{00000000-0005-0000-0000-0000C3180000}"/>
    <cellStyle name="Normal 5 2 3 5 3 2" xfId="14536" xr:uid="{7CE67215-0CC8-42EB-B208-705F72BFDAAB}"/>
    <cellStyle name="Normal 5 2 3 5 4" xfId="9200" xr:uid="{13DE827A-4007-427A-9869-ADBBE6B70993}"/>
    <cellStyle name="Normal 5 2 3 5 5" xfId="10319" xr:uid="{6408F70D-80FD-42C1-A089-B7404FDF324F}"/>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DD8817F4-8208-40DF-991A-426CF9923399}"/>
    <cellStyle name="Normal 5 2 3 6 2 3" xfId="12877" xr:uid="{187F11CA-8460-48C1-A993-91BFD5FF7DDB}"/>
    <cellStyle name="Normal 5 2 3 6 3" xfId="5623" xr:uid="{00000000-0005-0000-0000-0000C7180000}"/>
    <cellStyle name="Normal 5 2 3 6 3 2" xfId="14949" xr:uid="{CA4B700E-40F5-4B5D-97FC-50660D7114DC}"/>
    <cellStyle name="Normal 5 2 3 6 4" xfId="10732" xr:uid="{D657995B-E98C-4053-A61A-658D9C9509AE}"/>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C7F2C1B8-EDE4-49C1-B98B-11BEAFBFD77E}"/>
    <cellStyle name="Normal 5 2 3 7 2 3" xfId="13290" xr:uid="{DAE47D1C-8190-4B98-A704-542124BE4430}"/>
    <cellStyle name="Normal 5 2 3 7 3" xfId="6036" xr:uid="{00000000-0005-0000-0000-0000CB180000}"/>
    <cellStyle name="Normal 5 2 3 7 3 2" xfId="15362" xr:uid="{6B30CB88-F072-428D-8295-7F0E11F8A636}"/>
    <cellStyle name="Normal 5 2 3 7 4" xfId="11145" xr:uid="{0B28F3C8-0AAD-43B5-BC72-A43873831F4E}"/>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87A41E0E-64F0-4258-A26E-E31F66179500}"/>
    <cellStyle name="Normal 5 2 3 8 2 3" xfId="13703" xr:uid="{5F5469CD-B085-4071-809C-FAAEE0E33900}"/>
    <cellStyle name="Normal 5 2 3 8 3" xfId="6449" xr:uid="{00000000-0005-0000-0000-0000CF180000}"/>
    <cellStyle name="Normal 5 2 3 8 3 2" xfId="15775" xr:uid="{94775BCE-E148-47AA-8420-C890B8171303}"/>
    <cellStyle name="Normal 5 2 3 8 4" xfId="11558" xr:uid="{9A7F4598-3479-44CF-91A1-741F00204404}"/>
    <cellStyle name="Normal 5 2 3 9" xfId="2579" xr:uid="{00000000-0005-0000-0000-0000D0180000}"/>
    <cellStyle name="Normal 5 2 3 9 2" xfId="6862" xr:uid="{00000000-0005-0000-0000-0000D1180000}"/>
    <cellStyle name="Normal 5 2 3 9 2 2" xfId="16188" xr:uid="{918E6C01-7495-4F5C-814F-095BA885352B}"/>
    <cellStyle name="Normal 5 2 3 9 3" xfId="11971" xr:uid="{6EC4BFD1-2C81-4014-8A74-64CC78A9841D}"/>
    <cellStyle name="Normal 5 2 4" xfId="432" xr:uid="{00000000-0005-0000-0000-0000D2180000}"/>
    <cellStyle name="Normal 5 2 4 10" xfId="8827" xr:uid="{1EC4F605-F0BA-487E-A3C0-2CBAE7C22D8A}"/>
    <cellStyle name="Normal 5 2 4 11" xfId="9914" xr:uid="{3BC86CF0-32E9-43D0-A139-CCD254625E14}"/>
    <cellStyle name="Normal 5 2 4 2" xfId="433" xr:uid="{00000000-0005-0000-0000-0000D3180000}"/>
    <cellStyle name="Normal 5 2 4 2 10" xfId="9915" xr:uid="{D8617DBE-BAB6-48AD-8E94-7E1117B47A1E}"/>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9EBD6C1C-998A-4184-B571-0891067EA486}"/>
    <cellStyle name="Normal 5 2 4 2 2 2 2 3" xfId="12474" xr:uid="{C736B551-6D60-4C68-9D51-E1FC326F0E63}"/>
    <cellStyle name="Normal 5 2 4 2 2 2 3" xfId="5220" xr:uid="{00000000-0005-0000-0000-0000D8180000}"/>
    <cellStyle name="Normal 5 2 4 2 2 2 3 2" xfId="14546" xr:uid="{FF5F0E26-A2F7-4656-8BB3-ED042796BC47}"/>
    <cellStyle name="Normal 5 2 4 2 2 2 4" xfId="9562" xr:uid="{5E243FB4-F3B1-4B34-B377-1444454AD19E}"/>
    <cellStyle name="Normal 5 2 4 2 2 2 5" xfId="10329" xr:uid="{96A89FA3-9F89-4417-A0D3-A924CCA7006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E4C0558A-CA52-4FCD-9C6A-F259FF57E78F}"/>
    <cellStyle name="Normal 5 2 4 2 2 3 2 3" xfId="12887" xr:uid="{7774410F-6276-43E0-B6EC-0342B166AC3E}"/>
    <cellStyle name="Normal 5 2 4 2 2 3 3" xfId="5633" xr:uid="{00000000-0005-0000-0000-0000DC180000}"/>
    <cellStyle name="Normal 5 2 4 2 2 3 3 2" xfId="14959" xr:uid="{AA15EFA5-CD16-43B0-974B-5E9D0FDBD97B}"/>
    <cellStyle name="Normal 5 2 4 2 2 3 4" xfId="10742" xr:uid="{64088181-3CDD-4D04-800A-A17BBC9CAF5A}"/>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3EF199BB-0BA6-42E1-AB62-92409C9000AD}"/>
    <cellStyle name="Normal 5 2 4 2 2 4 2 3" xfId="13300" xr:uid="{22D66293-116B-4FFE-A2E4-F25DFD2EA406}"/>
    <cellStyle name="Normal 5 2 4 2 2 4 3" xfId="6046" xr:uid="{00000000-0005-0000-0000-0000E0180000}"/>
    <cellStyle name="Normal 5 2 4 2 2 4 3 2" xfId="15372" xr:uid="{95DC94ED-9EBA-451D-9969-72729F063A5C}"/>
    <cellStyle name="Normal 5 2 4 2 2 4 4" xfId="11155" xr:uid="{426D8A36-A5D9-47DC-8C9D-44C52F832BD5}"/>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7E59D094-245C-4C41-BAED-4E3B0988208F}"/>
    <cellStyle name="Normal 5 2 4 2 2 5 2 3" xfId="13713" xr:uid="{76EDE17D-D8BC-4430-BD1A-E74A98997249}"/>
    <cellStyle name="Normal 5 2 4 2 2 5 3" xfId="6459" xr:uid="{00000000-0005-0000-0000-0000E4180000}"/>
    <cellStyle name="Normal 5 2 4 2 2 5 3 2" xfId="15785" xr:uid="{693D30FE-347D-4CBE-B7C8-D1401ACF6CF5}"/>
    <cellStyle name="Normal 5 2 4 2 2 5 4" xfId="11568" xr:uid="{DD14331A-64C6-40D1-BEDA-F3BFBC66DB4B}"/>
    <cellStyle name="Normal 5 2 4 2 2 6" xfId="2589" xr:uid="{00000000-0005-0000-0000-0000E5180000}"/>
    <cellStyle name="Normal 5 2 4 2 2 6 2" xfId="6872" xr:uid="{00000000-0005-0000-0000-0000E6180000}"/>
    <cellStyle name="Normal 5 2 4 2 2 6 2 2" xfId="16198" xr:uid="{9EBB49A2-B99F-4FE6-822F-C5E1937A4774}"/>
    <cellStyle name="Normal 5 2 4 2 2 6 3" xfId="11981" xr:uid="{2DCFF691-3572-4917-8FC0-47556662B744}"/>
    <cellStyle name="Normal 5 2 4 2 2 7" xfId="4807" xr:uid="{00000000-0005-0000-0000-0000E7180000}"/>
    <cellStyle name="Normal 5 2 4 2 2 7 2" xfId="14133" xr:uid="{0DBFFB1D-9553-480B-9E43-E54A554508A3}"/>
    <cellStyle name="Normal 5 2 4 2 2 8" xfId="9137" xr:uid="{C80E4B27-40CA-4953-ABB8-99E2C575F775}"/>
    <cellStyle name="Normal 5 2 4 2 2 9" xfId="9916" xr:uid="{8EF270A3-8362-49E1-B590-391F6AF7A066}"/>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FE083CAB-AB4D-4B01-B462-536C9BBE64B5}"/>
    <cellStyle name="Normal 5 2 4 2 3 2 3" xfId="12473" xr:uid="{55EB91EC-FE43-4980-9148-A0B5883C64AE}"/>
    <cellStyle name="Normal 5 2 4 2 3 3" xfId="5219" xr:uid="{00000000-0005-0000-0000-0000EB180000}"/>
    <cellStyle name="Normal 5 2 4 2 3 3 2" xfId="14545" xr:uid="{F164A03E-1B36-4738-AF71-4A19FB1EAC2C}"/>
    <cellStyle name="Normal 5 2 4 2 3 4" xfId="9355" xr:uid="{9D38A6AA-2F63-4275-9FB8-F86A15F6A4D3}"/>
    <cellStyle name="Normal 5 2 4 2 3 5" xfId="10328" xr:uid="{6CBDC167-3652-4456-8520-FA21E4432769}"/>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5A2FFC3F-8360-4AF4-AA9B-541CF4ACBF8A}"/>
    <cellStyle name="Normal 5 2 4 2 4 2 3" xfId="12886" xr:uid="{B4B7568D-4D2E-4BBE-BAC1-8C593BFD24D0}"/>
    <cellStyle name="Normal 5 2 4 2 4 3" xfId="5632" xr:uid="{00000000-0005-0000-0000-0000EF180000}"/>
    <cellStyle name="Normal 5 2 4 2 4 3 2" xfId="14958" xr:uid="{0DCB8B2C-EF2E-4B19-B2B3-773465AC5339}"/>
    <cellStyle name="Normal 5 2 4 2 4 4" xfId="10741" xr:uid="{EE10C263-D64B-4FBD-8041-B031BB4DB043}"/>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DCB4E85F-531C-4702-BF19-CD0A6C2956C6}"/>
    <cellStyle name="Normal 5 2 4 2 5 2 3" xfId="13299" xr:uid="{0007E86E-2F83-413E-8F98-762169B252CF}"/>
    <cellStyle name="Normal 5 2 4 2 5 3" xfId="6045" xr:uid="{00000000-0005-0000-0000-0000F3180000}"/>
    <cellStyle name="Normal 5 2 4 2 5 3 2" xfId="15371" xr:uid="{0BDBA068-2E33-41D9-BBBC-863628F1CAF2}"/>
    <cellStyle name="Normal 5 2 4 2 5 4" xfId="11154" xr:uid="{3A7D3C00-D62B-4343-B7E5-5DB26B25832E}"/>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C2AE2B02-C260-45BF-94AD-2BB7CB0E49C0}"/>
    <cellStyle name="Normal 5 2 4 2 6 2 3" xfId="13712" xr:uid="{AA88506D-ADCA-48FE-AF1A-7913035BD2B0}"/>
    <cellStyle name="Normal 5 2 4 2 6 3" xfId="6458" xr:uid="{00000000-0005-0000-0000-0000F7180000}"/>
    <cellStyle name="Normal 5 2 4 2 6 3 2" xfId="15784" xr:uid="{72F21BBE-4E1E-4835-A46B-C2C44F22722E}"/>
    <cellStyle name="Normal 5 2 4 2 6 4" xfId="11567" xr:uid="{E42DCD58-5485-4BBD-B84B-7F931D09FDEC}"/>
    <cellStyle name="Normal 5 2 4 2 7" xfId="2588" xr:uid="{00000000-0005-0000-0000-0000F8180000}"/>
    <cellStyle name="Normal 5 2 4 2 7 2" xfId="6871" xr:uid="{00000000-0005-0000-0000-0000F9180000}"/>
    <cellStyle name="Normal 5 2 4 2 7 2 2" xfId="16197" xr:uid="{8805F311-5D09-4F53-867F-036FA303DC47}"/>
    <cellStyle name="Normal 5 2 4 2 7 3" xfId="11980" xr:uid="{E222F851-ABBA-40DB-A2DD-0F9C5CFD2CE7}"/>
    <cellStyle name="Normal 5 2 4 2 8" xfId="4806" xr:uid="{00000000-0005-0000-0000-0000FA180000}"/>
    <cellStyle name="Normal 5 2 4 2 8 2" xfId="14132" xr:uid="{0DFF7DD8-62F4-4DBE-83E3-FBC30AD90956}"/>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AB8709FB-E46F-49E0-BD36-B86285B0210C}"/>
    <cellStyle name="Normal 5 2 4 3 2 2 3" xfId="12475" xr:uid="{EBA01AD4-9C89-4BBE-B768-7DB5ABA29D91}"/>
    <cellStyle name="Normal 5 2 4 3 2 3" xfId="5221" xr:uid="{00000000-0005-0000-0000-0000FF180000}"/>
    <cellStyle name="Normal 5 2 4 3 2 3 2" xfId="14547" xr:uid="{79690ECD-AB87-45F5-8C19-AEB3F0405E86}"/>
    <cellStyle name="Normal 5 2 4 3 2 4" xfId="9459" xr:uid="{ED2A936E-5624-4B26-A175-3FCE68E1BF5A}"/>
    <cellStyle name="Normal 5 2 4 3 2 5" xfId="10330" xr:uid="{B7B347A6-262E-4773-9033-404B4796D14D}"/>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71075A60-9065-4EF7-A32F-4107ABF68232}"/>
    <cellStyle name="Normal 5 2 4 3 3 2 3" xfId="12888" xr:uid="{EACA6094-21BF-42DF-8E07-851F4CECEAA6}"/>
    <cellStyle name="Normal 5 2 4 3 3 3" xfId="5634" xr:uid="{00000000-0005-0000-0000-000003190000}"/>
    <cellStyle name="Normal 5 2 4 3 3 3 2" xfId="14960" xr:uid="{41D5FBB5-6327-4A96-874D-AE2C7E5276B8}"/>
    <cellStyle name="Normal 5 2 4 3 3 4" xfId="10743" xr:uid="{056B7C7D-EA1E-4324-825B-9D1103998A8A}"/>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61318B34-CA38-4964-9450-156BD3271344}"/>
    <cellStyle name="Normal 5 2 4 3 4 2 3" xfId="13301" xr:uid="{CDB0DA1B-CC97-4A19-8995-8BD5E5CAA131}"/>
    <cellStyle name="Normal 5 2 4 3 4 3" xfId="6047" xr:uid="{00000000-0005-0000-0000-000007190000}"/>
    <cellStyle name="Normal 5 2 4 3 4 3 2" xfId="15373" xr:uid="{A70F8198-CB2C-47F5-904D-B9B42156558A}"/>
    <cellStyle name="Normal 5 2 4 3 4 4" xfId="11156" xr:uid="{46D8860E-5F96-4ED7-85BB-DACDF4F0CFCA}"/>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C6713442-DCF3-4BA8-A8C7-E9702CD816C1}"/>
    <cellStyle name="Normal 5 2 4 3 5 2 3" xfId="13714" xr:uid="{DAAF8EEA-2E8A-4142-8B07-45273CB364E1}"/>
    <cellStyle name="Normal 5 2 4 3 5 3" xfId="6460" xr:uid="{00000000-0005-0000-0000-00000B190000}"/>
    <cellStyle name="Normal 5 2 4 3 5 3 2" xfId="15786" xr:uid="{C9D733FD-959E-4AF7-A014-C063B38FDC77}"/>
    <cellStyle name="Normal 5 2 4 3 5 4" xfId="11569" xr:uid="{BD25A79A-BE68-49FC-8BCB-04DF4909F13F}"/>
    <cellStyle name="Normal 5 2 4 3 6" xfId="2590" xr:uid="{00000000-0005-0000-0000-00000C190000}"/>
    <cellStyle name="Normal 5 2 4 3 6 2" xfId="6873" xr:uid="{00000000-0005-0000-0000-00000D190000}"/>
    <cellStyle name="Normal 5 2 4 3 6 2 2" xfId="16199" xr:uid="{FB4B915D-61A0-489C-ADE9-91088C9D635C}"/>
    <cellStyle name="Normal 5 2 4 3 6 3" xfId="11982" xr:uid="{4E51667A-802D-4E83-B038-9A553626C046}"/>
    <cellStyle name="Normal 5 2 4 3 7" xfId="4808" xr:uid="{00000000-0005-0000-0000-00000E190000}"/>
    <cellStyle name="Normal 5 2 4 3 7 2" xfId="14134" xr:uid="{6425DD97-55E5-40BE-B1B7-84E1C9B75390}"/>
    <cellStyle name="Normal 5 2 4 3 8" xfId="9034" xr:uid="{82D3DE5B-E868-4CF9-BA07-6E197DA4FAA5}"/>
    <cellStyle name="Normal 5 2 4 3 9" xfId="9917" xr:uid="{4A98D44F-B307-46F6-977E-0D5BCED72822}"/>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0E5CBDAD-A58C-4038-8870-6A7AF93A635E}"/>
    <cellStyle name="Normal 5 2 4 4 2 3" xfId="12472" xr:uid="{98008543-6D9A-4BA3-90BE-BECC4E8D1905}"/>
    <cellStyle name="Normal 5 2 4 4 3" xfId="5218" xr:uid="{00000000-0005-0000-0000-000012190000}"/>
    <cellStyle name="Normal 5 2 4 4 3 2" xfId="14544" xr:uid="{877F6C4B-4E5C-4F11-B250-4B846BCA3174}"/>
    <cellStyle name="Normal 5 2 4 4 4" xfId="9252" xr:uid="{1D1A8EC4-7286-46A1-B40C-E987F273E760}"/>
    <cellStyle name="Normal 5 2 4 4 5" xfId="10327" xr:uid="{5408FF43-CED2-4783-8129-1629A4281EB5}"/>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913B17F9-1FC7-4CF6-AA5E-D7C6497F6B33}"/>
    <cellStyle name="Normal 5 2 4 5 2 3" xfId="12885" xr:uid="{8616CB5D-3350-42F4-96D0-BEC792F9EEE7}"/>
    <cellStyle name="Normal 5 2 4 5 3" xfId="5631" xr:uid="{00000000-0005-0000-0000-000016190000}"/>
    <cellStyle name="Normal 5 2 4 5 3 2" xfId="14957" xr:uid="{E5771F00-D07A-4D2C-A50F-AB5A913366B2}"/>
    <cellStyle name="Normal 5 2 4 5 4" xfId="10740" xr:uid="{3E0B3575-77ED-471C-95BE-D863E48DFD4F}"/>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FB99E2F6-4642-415C-9273-D0814BCFC0A2}"/>
    <cellStyle name="Normal 5 2 4 6 2 3" xfId="13298" xr:uid="{11D0635E-A6A2-4D58-A172-4D28DFA7E2DC}"/>
    <cellStyle name="Normal 5 2 4 6 3" xfId="6044" xr:uid="{00000000-0005-0000-0000-00001A190000}"/>
    <cellStyle name="Normal 5 2 4 6 3 2" xfId="15370" xr:uid="{7E020C6F-F447-4DA0-B917-F8C50D1DE1B1}"/>
    <cellStyle name="Normal 5 2 4 6 4" xfId="11153" xr:uid="{3F5450F2-7045-4D3E-9B3B-B787BEFEF842}"/>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31E38F41-CFAF-4E2D-BB9B-4A1ECB07CE50}"/>
    <cellStyle name="Normal 5 2 4 7 2 3" xfId="13711" xr:uid="{EA727BBD-57FB-4CA2-AC39-45405C123205}"/>
    <cellStyle name="Normal 5 2 4 7 3" xfId="6457" xr:uid="{00000000-0005-0000-0000-00001E190000}"/>
    <cellStyle name="Normal 5 2 4 7 3 2" xfId="15783" xr:uid="{5E38A785-623E-481C-91D4-E47529DA9A6A}"/>
    <cellStyle name="Normal 5 2 4 7 4" xfId="11566" xr:uid="{F484CDC2-A956-4EEB-A0AB-32CEA0704CCC}"/>
    <cellStyle name="Normal 5 2 4 8" xfId="2587" xr:uid="{00000000-0005-0000-0000-00001F190000}"/>
    <cellStyle name="Normal 5 2 4 8 2" xfId="6870" xr:uid="{00000000-0005-0000-0000-000020190000}"/>
    <cellStyle name="Normal 5 2 4 8 2 2" xfId="16196" xr:uid="{31731951-345A-4063-AC00-1BAD77903206}"/>
    <cellStyle name="Normal 5 2 4 8 3" xfId="11979" xr:uid="{CE8F93BE-1FA1-4946-9DB6-3B99B0DBE433}"/>
    <cellStyle name="Normal 5 2 4 9" xfId="4805" xr:uid="{00000000-0005-0000-0000-000021190000}"/>
    <cellStyle name="Normal 5 2 4 9 2" xfId="14131" xr:uid="{A4C6F2AA-0FC3-40F4-86E1-54B72BDA5197}"/>
    <cellStyle name="Normal 5 2 5" xfId="436" xr:uid="{00000000-0005-0000-0000-000022190000}"/>
    <cellStyle name="Normal 5 2 5 10" xfId="9918" xr:uid="{78FFFB7E-36A5-4AA6-A3B4-872136541F88}"/>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E801A2D9-B820-4A5D-A4A7-E4E30FEB635A}"/>
    <cellStyle name="Normal 5 2 5 2 2 2 3" xfId="12477" xr:uid="{28D76C10-935B-4D1F-8195-8D01E0D7AC56}"/>
    <cellStyle name="Normal 5 2 5 2 2 3" xfId="5223" xr:uid="{00000000-0005-0000-0000-000027190000}"/>
    <cellStyle name="Normal 5 2 5 2 2 3 2" xfId="14549" xr:uid="{E63FED78-8FCC-42AD-9022-0585CFCAE160}"/>
    <cellStyle name="Normal 5 2 5 2 2 4" xfId="9479" xr:uid="{0DDFFFD4-5D62-4038-B6D4-9E9BD7CBA380}"/>
    <cellStyle name="Normal 5 2 5 2 2 5" xfId="10332" xr:uid="{E2BF3D54-B405-4A98-B734-AFC1487AA68E}"/>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D8ED50D3-1575-41EC-AE30-43541A0731E6}"/>
    <cellStyle name="Normal 5 2 5 2 3 2 3" xfId="12890" xr:uid="{D6976DC6-3E80-45AE-B32E-2ADEE3776F4C}"/>
    <cellStyle name="Normal 5 2 5 2 3 3" xfId="5636" xr:uid="{00000000-0005-0000-0000-00002B190000}"/>
    <cellStyle name="Normal 5 2 5 2 3 3 2" xfId="14962" xr:uid="{8D8AE4B7-E9C0-4A56-B28D-BB5A5D5267C4}"/>
    <cellStyle name="Normal 5 2 5 2 3 4" xfId="10745" xr:uid="{127CF78F-C564-4EC9-90F0-221F24F8598F}"/>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20CEA1A8-A0B8-478D-AE95-27EFD73D8296}"/>
    <cellStyle name="Normal 5 2 5 2 4 2 3" xfId="13303" xr:uid="{1C2A94A7-A425-4AD7-A35C-BC80BE495984}"/>
    <cellStyle name="Normal 5 2 5 2 4 3" xfId="6049" xr:uid="{00000000-0005-0000-0000-00002F190000}"/>
    <cellStyle name="Normal 5 2 5 2 4 3 2" xfId="15375" xr:uid="{479E8C2C-44AE-4EB0-B585-8C20BDD85BAA}"/>
    <cellStyle name="Normal 5 2 5 2 4 4" xfId="11158" xr:uid="{573B4CCC-F1DE-4D85-9BC5-0A0ADAE00D26}"/>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69566A2A-CE24-4E55-97FC-D484052FE338}"/>
    <cellStyle name="Normal 5 2 5 2 5 2 3" xfId="13716" xr:uid="{C5A6EACE-00D6-48B1-B14F-070CF15E9691}"/>
    <cellStyle name="Normal 5 2 5 2 5 3" xfId="6462" xr:uid="{00000000-0005-0000-0000-000033190000}"/>
    <cellStyle name="Normal 5 2 5 2 5 3 2" xfId="15788" xr:uid="{FFD2244F-BCAB-4579-8FBF-6810C90FFE7E}"/>
    <cellStyle name="Normal 5 2 5 2 5 4" xfId="11571" xr:uid="{8CCB6A85-E479-49B4-9652-E0A0349C3940}"/>
    <cellStyle name="Normal 5 2 5 2 6" xfId="2592" xr:uid="{00000000-0005-0000-0000-000034190000}"/>
    <cellStyle name="Normal 5 2 5 2 6 2" xfId="6875" xr:uid="{00000000-0005-0000-0000-000035190000}"/>
    <cellStyle name="Normal 5 2 5 2 6 2 2" xfId="16201" xr:uid="{10CD53E6-1C1E-4450-8A28-FD2543EC2E84}"/>
    <cellStyle name="Normal 5 2 5 2 6 3" xfId="11984" xr:uid="{7DEF5A3C-7794-437C-8632-24F8A6146A8A}"/>
    <cellStyle name="Normal 5 2 5 2 7" xfId="4810" xr:uid="{00000000-0005-0000-0000-000036190000}"/>
    <cellStyle name="Normal 5 2 5 2 7 2" xfId="14136" xr:uid="{FA5BE2ED-8226-4F73-9101-7E01340687CF}"/>
    <cellStyle name="Normal 5 2 5 2 8" xfId="9054" xr:uid="{844F6476-DDB9-4C38-A2B2-83AB0DCF1773}"/>
    <cellStyle name="Normal 5 2 5 2 9" xfId="9919" xr:uid="{EBF41ED2-D404-4A3D-BC18-1F68A0017C0C}"/>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CEFF5F79-7B1E-4771-9689-9AA3E304071D}"/>
    <cellStyle name="Normal 5 2 5 3 2 3" xfId="12476" xr:uid="{477E76D9-C62E-40A7-9D37-F043FE628630}"/>
    <cellStyle name="Normal 5 2 5 3 3" xfId="5222" xr:uid="{00000000-0005-0000-0000-00003A190000}"/>
    <cellStyle name="Normal 5 2 5 3 3 2" xfId="14548" xr:uid="{D1A1EBF8-280B-4136-8E02-B3AD53AF3C1D}"/>
    <cellStyle name="Normal 5 2 5 3 4" xfId="9272" xr:uid="{8865498C-CC61-4C5F-A1F4-57A1D301E1CE}"/>
    <cellStyle name="Normal 5 2 5 3 5" xfId="10331" xr:uid="{08956CF7-9B62-4739-94A8-7EB11AD1044D}"/>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B7B4D392-8DCF-46EF-9C9E-569EB0BEC4F5}"/>
    <cellStyle name="Normal 5 2 5 4 2 3" xfId="12889" xr:uid="{119E079E-0763-4D33-BB98-045A58577AE6}"/>
    <cellStyle name="Normal 5 2 5 4 3" xfId="5635" xr:uid="{00000000-0005-0000-0000-00003E190000}"/>
    <cellStyle name="Normal 5 2 5 4 3 2" xfId="14961" xr:uid="{CF20B1BB-110B-405D-8136-3633A9A8C57D}"/>
    <cellStyle name="Normal 5 2 5 4 4" xfId="10744" xr:uid="{C8BD6B44-3D78-49E4-B434-0022337A1621}"/>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359B209C-B594-4A85-8962-96237092CB53}"/>
    <cellStyle name="Normal 5 2 5 5 2 3" xfId="13302" xr:uid="{F627DAB8-05A8-4FAD-AD53-544CFCC9227D}"/>
    <cellStyle name="Normal 5 2 5 5 3" xfId="6048" xr:uid="{00000000-0005-0000-0000-000042190000}"/>
    <cellStyle name="Normal 5 2 5 5 3 2" xfId="15374" xr:uid="{96A9E620-100F-4E0E-AC0D-73147CC55659}"/>
    <cellStyle name="Normal 5 2 5 5 4" xfId="11157" xr:uid="{4B7FAE9D-4AA8-40EF-BF60-A8A302C98F18}"/>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60645FE7-E39F-43CB-8A01-47CC82FDED07}"/>
    <cellStyle name="Normal 5 2 5 6 2 3" xfId="13715" xr:uid="{8B117E3F-70EA-4571-8B40-BCC80C6ECB5A}"/>
    <cellStyle name="Normal 5 2 5 6 3" xfId="6461" xr:uid="{00000000-0005-0000-0000-000046190000}"/>
    <cellStyle name="Normal 5 2 5 6 3 2" xfId="15787" xr:uid="{C7565F20-2D1B-4087-9B65-0540C49C433B}"/>
    <cellStyle name="Normal 5 2 5 6 4" xfId="11570" xr:uid="{58B0E38A-706C-483D-810B-25BFAA1410FA}"/>
    <cellStyle name="Normal 5 2 5 7" xfId="2591" xr:uid="{00000000-0005-0000-0000-000047190000}"/>
    <cellStyle name="Normal 5 2 5 7 2" xfId="6874" xr:uid="{00000000-0005-0000-0000-000048190000}"/>
    <cellStyle name="Normal 5 2 5 7 2 2" xfId="16200" xr:uid="{8E97AF57-D86E-469E-9FED-31B1E4F813A0}"/>
    <cellStyle name="Normal 5 2 5 7 3" xfId="11983" xr:uid="{19C6FAA1-3BB1-4904-90A3-5936C6CA060B}"/>
    <cellStyle name="Normal 5 2 5 8" xfId="4809" xr:uid="{00000000-0005-0000-0000-000049190000}"/>
    <cellStyle name="Normal 5 2 5 8 2" xfId="14135" xr:uid="{FA0842C6-FB58-4AD9-B95F-839EDEB4BCCF}"/>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D8C67279-E597-49F7-A3A8-756A54FABE46}"/>
    <cellStyle name="Normal 5 2 6 2 2 3" xfId="12478" xr:uid="{E67F1F37-0370-4B98-BC18-6E9E7CFA8471}"/>
    <cellStyle name="Normal 5 2 6 2 3" xfId="5224" xr:uid="{00000000-0005-0000-0000-00004E190000}"/>
    <cellStyle name="Normal 5 2 6 2 3 2" xfId="14550" xr:uid="{D77FC2F9-49A0-46F7-AAF8-B05DB8F5C9F0}"/>
    <cellStyle name="Normal 5 2 6 2 4" xfId="9388" xr:uid="{38BE55A5-085B-499D-8766-DF826B77D03C}"/>
    <cellStyle name="Normal 5 2 6 2 5" xfId="10333" xr:uid="{E10E9A58-F532-45E4-8660-053E364E93D1}"/>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2F72BA12-1571-4A43-B285-E61E50CDFEDB}"/>
    <cellStyle name="Normal 5 2 6 3 2 3" xfId="12891" xr:uid="{50922F76-B8FC-455B-8BE8-5D047799FAD7}"/>
    <cellStyle name="Normal 5 2 6 3 3" xfId="5637" xr:uid="{00000000-0005-0000-0000-000052190000}"/>
    <cellStyle name="Normal 5 2 6 3 3 2" xfId="14963" xr:uid="{E584384B-55B0-43A6-B909-61049E66D6ED}"/>
    <cellStyle name="Normal 5 2 6 3 4" xfId="10746" xr:uid="{783CB926-1885-4D35-A1B3-D75127CFDBD3}"/>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D607F9E2-0395-4A50-ACD9-FA6D89CDD8F2}"/>
    <cellStyle name="Normal 5 2 6 4 2 3" xfId="13304" xr:uid="{DBC45BC1-B4F5-4E29-BDCB-3FDFCAE26254}"/>
    <cellStyle name="Normal 5 2 6 4 3" xfId="6050" xr:uid="{00000000-0005-0000-0000-000056190000}"/>
    <cellStyle name="Normal 5 2 6 4 3 2" xfId="15376" xr:uid="{A6BE5830-72F1-4F0D-9AD7-C42B4FB1C83B}"/>
    <cellStyle name="Normal 5 2 6 4 4" xfId="11159" xr:uid="{DFB53132-4490-4DD2-AFD3-B74BCF0ABA40}"/>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DCD192D1-8580-43E8-97CD-F99B3037999B}"/>
    <cellStyle name="Normal 5 2 6 5 2 3" xfId="13717" xr:uid="{58DC5222-4468-423B-B62E-C3E8C65F7155}"/>
    <cellStyle name="Normal 5 2 6 5 3" xfId="6463" xr:uid="{00000000-0005-0000-0000-00005A190000}"/>
    <cellStyle name="Normal 5 2 6 5 3 2" xfId="15789" xr:uid="{DAFBA523-B5ED-49B5-A9F3-41B78C4F3D47}"/>
    <cellStyle name="Normal 5 2 6 5 4" xfId="11572" xr:uid="{20E9F380-FD03-4593-AB0E-F73E9553F087}"/>
    <cellStyle name="Normal 5 2 6 6" xfId="2593" xr:uid="{00000000-0005-0000-0000-00005B190000}"/>
    <cellStyle name="Normal 5 2 6 6 2" xfId="6876" xr:uid="{00000000-0005-0000-0000-00005C190000}"/>
    <cellStyle name="Normal 5 2 6 6 2 2" xfId="16202" xr:uid="{F3CDED69-FE2C-4DB1-B303-B5C84A35B33F}"/>
    <cellStyle name="Normal 5 2 6 6 3" xfId="11985" xr:uid="{51C07933-F099-4F1F-BA5C-51A2F41D9F90}"/>
    <cellStyle name="Normal 5 2 6 7" xfId="4811" xr:uid="{00000000-0005-0000-0000-00005D190000}"/>
    <cellStyle name="Normal 5 2 6 7 2" xfId="14137" xr:uid="{AACA7880-8437-4EF6-AB70-816772384EDB}"/>
    <cellStyle name="Normal 5 2 6 8" xfId="8963" xr:uid="{01BDB756-0B70-4C0D-AC32-9959EE0C8F11}"/>
    <cellStyle name="Normal 5 2 6 9" xfId="9920" xr:uid="{FDD4150B-B104-4DD7-9187-DD85EBD95971}"/>
    <cellStyle name="Normal 5 2 7" xfId="881" xr:uid="{00000000-0005-0000-0000-00005E190000}"/>
    <cellStyle name="Normal 5 2 7 2" xfId="3116" xr:uid="{00000000-0005-0000-0000-00005F190000}"/>
    <cellStyle name="Normal 5 2 7 2 2" xfId="7338" xr:uid="{00000000-0005-0000-0000-000060190000}"/>
    <cellStyle name="Normal 5 2 7 2 2 2" xfId="16664" xr:uid="{107228F1-BDA6-451B-BC4A-4CED1E46B6EA}"/>
    <cellStyle name="Normal 5 2 7 2 3" xfId="12447" xr:uid="{2788B197-2EB0-4635-BDFC-EB7666919C88}"/>
    <cellStyle name="Normal 5 2 7 3" xfId="5193" xr:uid="{00000000-0005-0000-0000-000061190000}"/>
    <cellStyle name="Normal 5 2 7 3 2" xfId="14519" xr:uid="{D48E89EA-E119-4BF2-9560-1FE87B11A458}"/>
    <cellStyle name="Normal 5 2 7 4" xfId="9166" xr:uid="{903BB692-5043-4803-B109-F7C532EB2A09}"/>
    <cellStyle name="Normal 5 2 7 5" xfId="10302" xr:uid="{0AC65112-9106-4D06-AC7B-E1A2E04E47BD}"/>
    <cellStyle name="Normal 5 2 8" xfId="1299" xr:uid="{00000000-0005-0000-0000-000062190000}"/>
    <cellStyle name="Normal 5 2 8 2" xfId="3529" xr:uid="{00000000-0005-0000-0000-000063190000}"/>
    <cellStyle name="Normal 5 2 8 2 2" xfId="7751" xr:uid="{00000000-0005-0000-0000-000064190000}"/>
    <cellStyle name="Normal 5 2 8 2 2 2" xfId="17077" xr:uid="{08B1668B-0AAF-450F-8543-8A59A0207CE6}"/>
    <cellStyle name="Normal 5 2 8 2 3" xfId="12860" xr:uid="{12F40993-F242-44C2-9C4B-0454260CCDE4}"/>
    <cellStyle name="Normal 5 2 8 3" xfId="5606" xr:uid="{00000000-0005-0000-0000-000065190000}"/>
    <cellStyle name="Normal 5 2 8 3 2" xfId="14932" xr:uid="{82A585B2-3959-4B06-ACDF-B6904038D48B}"/>
    <cellStyle name="Normal 5 2 8 4" xfId="10715" xr:uid="{4140E84F-4F0B-40A4-AC4A-1CE8A84E839A}"/>
    <cellStyle name="Normal 5 2 9" xfId="1712" xr:uid="{00000000-0005-0000-0000-000066190000}"/>
    <cellStyle name="Normal 5 2 9 2" xfId="3942" xr:uid="{00000000-0005-0000-0000-000067190000}"/>
    <cellStyle name="Normal 5 2 9 2 2" xfId="8164" xr:uid="{00000000-0005-0000-0000-000068190000}"/>
    <cellStyle name="Normal 5 2 9 2 2 2" xfId="17490" xr:uid="{CDF059DB-C9E3-40DF-9B8A-3F3F688A1F1A}"/>
    <cellStyle name="Normal 5 2 9 2 3" xfId="13273" xr:uid="{C2547472-4B4C-4D86-87AC-78324E0F004D}"/>
    <cellStyle name="Normal 5 2 9 3" xfId="6019" xr:uid="{00000000-0005-0000-0000-000069190000}"/>
    <cellStyle name="Normal 5 2 9 3 2" xfId="15345" xr:uid="{C2843AFD-C1DD-4C5E-9C60-52BCD91AEDC3}"/>
    <cellStyle name="Normal 5 2 9 4" xfId="11128" xr:uid="{1CF08957-B743-4B16-8911-98B259181E91}"/>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7D75E3C6-8FCA-4620-A46C-1128015B5FCE}"/>
    <cellStyle name="Normal 5 3 10 2 3" xfId="13718" xr:uid="{4EDBD175-CF76-49EE-A5D7-8C104032C6DA}"/>
    <cellStyle name="Normal 5 3 10 3" xfId="6464" xr:uid="{00000000-0005-0000-0000-00006E190000}"/>
    <cellStyle name="Normal 5 3 10 3 2" xfId="15790" xr:uid="{892FA2C9-F39C-46F6-82E0-D83D73420748}"/>
    <cellStyle name="Normal 5 3 10 4" xfId="11573" xr:uid="{D9AAB576-432D-4BD4-B0D6-DE68C5F99912}"/>
    <cellStyle name="Normal 5 3 11" xfId="2594" xr:uid="{00000000-0005-0000-0000-00006F190000}"/>
    <cellStyle name="Normal 5 3 11 2" xfId="6877" xr:uid="{00000000-0005-0000-0000-000070190000}"/>
    <cellStyle name="Normal 5 3 11 2 2" xfId="16203" xr:uid="{6B8A54BA-230A-4E5D-A8DA-8F932A995A4D}"/>
    <cellStyle name="Normal 5 3 11 3" xfId="11986" xr:uid="{6CC9D6EA-FB55-4F7C-BDFF-21FEE7B21758}"/>
    <cellStyle name="Normal 5 3 12" xfId="4812" xr:uid="{00000000-0005-0000-0000-000071190000}"/>
    <cellStyle name="Normal 5 3 12 2" xfId="14138" xr:uid="{A72ECF4D-1365-45F2-9466-A068E803BFE4}"/>
    <cellStyle name="Normal 5 3 13" xfId="8750" xr:uid="{36957AEF-D081-4A23-AEE3-073A5901863C}"/>
    <cellStyle name="Normal 5 3 14" xfId="9921" xr:uid="{E78055D6-4D08-4750-BA6E-DCFC0DCE2F9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540E8356-925D-4C33-B3AE-D410ED4CBFEA}"/>
    <cellStyle name="Normal 5 3 3 11" xfId="8782" xr:uid="{4219AD28-469A-4693-BD0B-B0536AC433E5}"/>
    <cellStyle name="Normal 5 3 3 12" xfId="9922" xr:uid="{27E4AC2B-9FB9-42A6-94B7-66C9F2A6C442}"/>
    <cellStyle name="Normal 5 3 3 2" xfId="442" xr:uid="{00000000-0005-0000-0000-000076190000}"/>
    <cellStyle name="Normal 5 3 3 2 10" xfId="8832" xr:uid="{03323DDB-E4E1-4078-8BBE-EA3DD4471E1B}"/>
    <cellStyle name="Normal 5 3 3 2 11" xfId="9923" xr:uid="{C443DC00-16D3-4E32-8541-1AD928880FB7}"/>
    <cellStyle name="Normal 5 3 3 2 2" xfId="443" xr:uid="{00000000-0005-0000-0000-000077190000}"/>
    <cellStyle name="Normal 5 3 3 2 2 10" xfId="9924" xr:uid="{FD8C012E-B21B-4410-9F6F-7CCFDBFCED35}"/>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87ACA4AB-0B73-4850-A33A-17102FB43879}"/>
    <cellStyle name="Normal 5 3 3 2 2 2 2 2 3" xfId="12483" xr:uid="{72C93A18-3EC6-447E-BC79-67C7A09E1B29}"/>
    <cellStyle name="Normal 5 3 3 2 2 2 2 3" xfId="5229" xr:uid="{00000000-0005-0000-0000-00007C190000}"/>
    <cellStyle name="Normal 5 3 3 2 2 2 2 3 2" xfId="14555" xr:uid="{300BB9B6-0E90-4763-99E8-0F337A1BEE82}"/>
    <cellStyle name="Normal 5 3 3 2 2 2 2 4" xfId="9567" xr:uid="{C2519486-6BC5-47D1-879F-EC6040BC9E9D}"/>
    <cellStyle name="Normal 5 3 3 2 2 2 2 5" xfId="10338" xr:uid="{24E1EB91-B65A-4939-B3E1-A579FDD5157A}"/>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32B222CD-0DB4-4E5F-B524-9FAF2EC53C97}"/>
    <cellStyle name="Normal 5 3 3 2 2 2 3 2 3" xfId="12896" xr:uid="{233DFC79-2EAA-454D-821F-CBF14D9E4875}"/>
    <cellStyle name="Normal 5 3 3 2 2 2 3 3" xfId="5642" xr:uid="{00000000-0005-0000-0000-000080190000}"/>
    <cellStyle name="Normal 5 3 3 2 2 2 3 3 2" xfId="14968" xr:uid="{55086554-0877-4E34-B6DF-EB52E131821C}"/>
    <cellStyle name="Normal 5 3 3 2 2 2 3 4" xfId="10751" xr:uid="{13FC9D81-5B54-475F-A03E-0E3652884FBB}"/>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68BFC110-0CE4-4AC8-8F50-EAAC08A86AAB}"/>
    <cellStyle name="Normal 5 3 3 2 2 2 4 2 3" xfId="13309" xr:uid="{7B864B41-091B-483C-B33F-61D51B868697}"/>
    <cellStyle name="Normal 5 3 3 2 2 2 4 3" xfId="6055" xr:uid="{00000000-0005-0000-0000-000084190000}"/>
    <cellStyle name="Normal 5 3 3 2 2 2 4 3 2" xfId="15381" xr:uid="{91DF456D-C0AE-47B8-A70F-8EC75A33A742}"/>
    <cellStyle name="Normal 5 3 3 2 2 2 4 4" xfId="11164" xr:uid="{21B79F37-68FC-46BE-8922-8D3569DD90BC}"/>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2CB60EA3-5880-4416-A6A6-CAD80351514C}"/>
    <cellStyle name="Normal 5 3 3 2 2 2 5 2 3" xfId="13722" xr:uid="{761E23D0-F20E-4D9D-9E11-31561D1CE2A5}"/>
    <cellStyle name="Normal 5 3 3 2 2 2 5 3" xfId="6468" xr:uid="{00000000-0005-0000-0000-000088190000}"/>
    <cellStyle name="Normal 5 3 3 2 2 2 5 3 2" xfId="15794" xr:uid="{C8E668BE-D5A1-4A64-821E-4CC8AB3EA983}"/>
    <cellStyle name="Normal 5 3 3 2 2 2 5 4" xfId="11577" xr:uid="{AE633B86-4139-478E-A19A-D7F0F7A84243}"/>
    <cellStyle name="Normal 5 3 3 2 2 2 6" xfId="2598" xr:uid="{00000000-0005-0000-0000-000089190000}"/>
    <cellStyle name="Normal 5 3 3 2 2 2 6 2" xfId="6881" xr:uid="{00000000-0005-0000-0000-00008A190000}"/>
    <cellStyle name="Normal 5 3 3 2 2 2 6 2 2" xfId="16207" xr:uid="{87A17C49-7E86-47AB-869A-C66BD7292B1B}"/>
    <cellStyle name="Normal 5 3 3 2 2 2 6 3" xfId="11990" xr:uid="{12EC484E-BF32-49D7-A9F7-7E75423E27BB}"/>
    <cellStyle name="Normal 5 3 3 2 2 2 7" xfId="4816" xr:uid="{00000000-0005-0000-0000-00008B190000}"/>
    <cellStyle name="Normal 5 3 3 2 2 2 7 2" xfId="14142" xr:uid="{75A6F6B2-2499-4642-BDAC-4AC848BCB8C6}"/>
    <cellStyle name="Normal 5 3 3 2 2 2 8" xfId="9142" xr:uid="{81CF9711-3A0B-4712-8E8F-033C974AA9E3}"/>
    <cellStyle name="Normal 5 3 3 2 2 2 9" xfId="9925" xr:uid="{2920987F-8029-475E-9188-417E6C7DB8FD}"/>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165C4F09-1E36-4F8E-9D0E-67FD14651A8F}"/>
    <cellStyle name="Normal 5 3 3 2 2 3 2 3" xfId="12482" xr:uid="{160AD378-6C2E-4ACE-AB2D-A15CD1F521F2}"/>
    <cellStyle name="Normal 5 3 3 2 2 3 3" xfId="5228" xr:uid="{00000000-0005-0000-0000-00008F190000}"/>
    <cellStyle name="Normal 5 3 3 2 2 3 3 2" xfId="14554" xr:uid="{56596CBE-C518-4C14-BEF6-D9569A8CE0A8}"/>
    <cellStyle name="Normal 5 3 3 2 2 3 4" xfId="9360" xr:uid="{07447062-3C9B-4A41-BE9D-50DE495FF588}"/>
    <cellStyle name="Normal 5 3 3 2 2 3 5" xfId="10337" xr:uid="{7F3C2FC8-7F9C-40EF-BC52-3FE803AC65A5}"/>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D6BB8CC6-BE9D-4216-B83B-A0E2938006D2}"/>
    <cellStyle name="Normal 5 3 3 2 2 4 2 3" xfId="12895" xr:uid="{16305A51-5263-4CCD-8090-69173BA56D40}"/>
    <cellStyle name="Normal 5 3 3 2 2 4 3" xfId="5641" xr:uid="{00000000-0005-0000-0000-000093190000}"/>
    <cellStyle name="Normal 5 3 3 2 2 4 3 2" xfId="14967" xr:uid="{9D56ADAE-649D-449E-A428-6C388FF9DA7F}"/>
    <cellStyle name="Normal 5 3 3 2 2 4 4" xfId="10750" xr:uid="{C5679E7B-F5A0-4AD4-B84C-DDCD149A5131}"/>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BFE8F339-F015-4AA3-A4FF-43F66C9D9542}"/>
    <cellStyle name="Normal 5 3 3 2 2 5 2 3" xfId="13308" xr:uid="{52668042-D05A-457A-A78E-4BD4D57B8774}"/>
    <cellStyle name="Normal 5 3 3 2 2 5 3" xfId="6054" xr:uid="{00000000-0005-0000-0000-000097190000}"/>
    <cellStyle name="Normal 5 3 3 2 2 5 3 2" xfId="15380" xr:uid="{73B7B0F2-55A8-4468-BD4B-E6C6A47604F8}"/>
    <cellStyle name="Normal 5 3 3 2 2 5 4" xfId="11163" xr:uid="{C0401577-5808-4E62-828E-4E1CE97469B7}"/>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50A74AC4-12F4-4CEE-896D-72C55993E9CF}"/>
    <cellStyle name="Normal 5 3 3 2 2 6 2 3" xfId="13721" xr:uid="{8236A30C-9768-4711-AB70-6DD3059DBE6A}"/>
    <cellStyle name="Normal 5 3 3 2 2 6 3" xfId="6467" xr:uid="{00000000-0005-0000-0000-00009B190000}"/>
    <cellStyle name="Normal 5 3 3 2 2 6 3 2" xfId="15793" xr:uid="{84F8C05D-5949-4062-9B4B-62BEF1313489}"/>
    <cellStyle name="Normal 5 3 3 2 2 6 4" xfId="11576" xr:uid="{36F1BB28-4EF5-47C1-AAEA-AF57312D8263}"/>
    <cellStyle name="Normal 5 3 3 2 2 7" xfId="2597" xr:uid="{00000000-0005-0000-0000-00009C190000}"/>
    <cellStyle name="Normal 5 3 3 2 2 7 2" xfId="6880" xr:uid="{00000000-0005-0000-0000-00009D190000}"/>
    <cellStyle name="Normal 5 3 3 2 2 7 2 2" xfId="16206" xr:uid="{517A5F39-76D4-4CCD-9601-B00C60BAF719}"/>
    <cellStyle name="Normal 5 3 3 2 2 7 3" xfId="11989" xr:uid="{3F2321B9-65A8-447C-BD6D-C748083E47F7}"/>
    <cellStyle name="Normal 5 3 3 2 2 8" xfId="4815" xr:uid="{00000000-0005-0000-0000-00009E190000}"/>
    <cellStyle name="Normal 5 3 3 2 2 8 2" xfId="14141" xr:uid="{9235C9BF-3C15-4312-9924-87FF43A5E08D}"/>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F4F14DDB-E515-49BE-8B96-C1877FAA3C70}"/>
    <cellStyle name="Normal 5 3 3 2 3 2 2 3" xfId="12484" xr:uid="{7F2A4240-C265-4385-A351-D22797AE1F0A}"/>
    <cellStyle name="Normal 5 3 3 2 3 2 3" xfId="5230" xr:uid="{00000000-0005-0000-0000-0000A3190000}"/>
    <cellStyle name="Normal 5 3 3 2 3 2 3 2" xfId="14556" xr:uid="{3A77A930-336C-461F-A8EF-05A3D1806F16}"/>
    <cellStyle name="Normal 5 3 3 2 3 2 4" xfId="9464" xr:uid="{6A182EEF-0879-47AD-839A-17D560B4AF3D}"/>
    <cellStyle name="Normal 5 3 3 2 3 2 5" xfId="10339" xr:uid="{14CF551A-2633-471B-9A8C-EEF1C3007B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63E89794-C191-4B2E-991F-8D370749C4FB}"/>
    <cellStyle name="Normal 5 3 3 2 3 3 2 3" xfId="12897" xr:uid="{315528E1-51FC-4B2B-9602-831D73765B5E}"/>
    <cellStyle name="Normal 5 3 3 2 3 3 3" xfId="5643" xr:uid="{00000000-0005-0000-0000-0000A7190000}"/>
    <cellStyle name="Normal 5 3 3 2 3 3 3 2" xfId="14969" xr:uid="{567E649C-5931-4817-8E20-2B583D4F6FDD}"/>
    <cellStyle name="Normal 5 3 3 2 3 3 4" xfId="10752" xr:uid="{E047A589-AE7B-4CA2-AFA4-67EC215754DF}"/>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DFBEFF4A-3D05-49A2-8108-697F33948FFD}"/>
    <cellStyle name="Normal 5 3 3 2 3 4 2 3" xfId="13310" xr:uid="{1C572A14-6700-452C-8DC6-ADF79595C2EA}"/>
    <cellStyle name="Normal 5 3 3 2 3 4 3" xfId="6056" xr:uid="{00000000-0005-0000-0000-0000AB190000}"/>
    <cellStyle name="Normal 5 3 3 2 3 4 3 2" xfId="15382" xr:uid="{5ABDF9F9-13E1-43A2-BF40-4E60939CE261}"/>
    <cellStyle name="Normal 5 3 3 2 3 4 4" xfId="11165" xr:uid="{3FA41F27-7408-4DC9-9065-638DF55F8235}"/>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DBAD8389-1F4D-4CCB-90D5-AAEB20460D9C}"/>
    <cellStyle name="Normal 5 3 3 2 3 5 2 3" xfId="13723" xr:uid="{F865FA4E-4D8A-414D-A127-FC9830FABC9A}"/>
    <cellStyle name="Normal 5 3 3 2 3 5 3" xfId="6469" xr:uid="{00000000-0005-0000-0000-0000AF190000}"/>
    <cellStyle name="Normal 5 3 3 2 3 5 3 2" xfId="15795" xr:uid="{EEA3BCCD-D00B-42E8-884D-5126080D0712}"/>
    <cellStyle name="Normal 5 3 3 2 3 5 4" xfId="11578" xr:uid="{EFA80125-E8F2-42DB-A812-D32A1A8323DF}"/>
    <cellStyle name="Normal 5 3 3 2 3 6" xfId="2599" xr:uid="{00000000-0005-0000-0000-0000B0190000}"/>
    <cellStyle name="Normal 5 3 3 2 3 6 2" xfId="6882" xr:uid="{00000000-0005-0000-0000-0000B1190000}"/>
    <cellStyle name="Normal 5 3 3 2 3 6 2 2" xfId="16208" xr:uid="{5F0F4AAD-65EA-42DB-971E-FBE7C056AB75}"/>
    <cellStyle name="Normal 5 3 3 2 3 6 3" xfId="11991" xr:uid="{DA050A31-97E2-487F-90FE-7CEE604AFA98}"/>
    <cellStyle name="Normal 5 3 3 2 3 7" xfId="4817" xr:uid="{00000000-0005-0000-0000-0000B2190000}"/>
    <cellStyle name="Normal 5 3 3 2 3 7 2" xfId="14143" xr:uid="{9C0B5395-21D5-4F2E-B45F-ACA3467DFC17}"/>
    <cellStyle name="Normal 5 3 3 2 3 8" xfId="9039" xr:uid="{84D80CE6-A0CA-4841-8673-26EA7EC6806D}"/>
    <cellStyle name="Normal 5 3 3 2 3 9" xfId="9926" xr:uid="{43E4CDB6-410E-4213-86F0-10B2F0264DE3}"/>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42B16162-853A-4CFE-98F6-5AE435666229}"/>
    <cellStyle name="Normal 5 3 3 2 4 2 3" xfId="12481" xr:uid="{ADC99AD4-0AB5-4EF6-A62E-92674E1B43DA}"/>
    <cellStyle name="Normal 5 3 3 2 4 3" xfId="5227" xr:uid="{00000000-0005-0000-0000-0000B6190000}"/>
    <cellStyle name="Normal 5 3 3 2 4 3 2" xfId="14553" xr:uid="{E19A05D3-F0DB-47B3-A6DD-685778E1275E}"/>
    <cellStyle name="Normal 5 3 3 2 4 4" xfId="9257" xr:uid="{E6656214-6E5B-491F-B1E3-227CB6568726}"/>
    <cellStyle name="Normal 5 3 3 2 4 5" xfId="10336" xr:uid="{E8D6C448-2398-4B7A-B6C9-3E8D442FA7BF}"/>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2EC80081-5A66-45C0-8357-849AE7F80816}"/>
    <cellStyle name="Normal 5 3 3 2 5 2 3" xfId="12894" xr:uid="{388C5BBE-1B0B-41AB-9EBB-CEE5F3559C5D}"/>
    <cellStyle name="Normal 5 3 3 2 5 3" xfId="5640" xr:uid="{00000000-0005-0000-0000-0000BA190000}"/>
    <cellStyle name="Normal 5 3 3 2 5 3 2" xfId="14966" xr:uid="{6CB5C562-7332-4FFF-AD16-B78078B0AAD9}"/>
    <cellStyle name="Normal 5 3 3 2 5 4" xfId="10749" xr:uid="{B91F18CA-2B20-47A8-BDE5-4679E624860C}"/>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CFF23BE6-382A-4B7D-BCA0-50B08C98E3C0}"/>
    <cellStyle name="Normal 5 3 3 2 6 2 3" xfId="13307" xr:uid="{5DF12058-387D-4BDB-8F0A-6A752A0FD606}"/>
    <cellStyle name="Normal 5 3 3 2 6 3" xfId="6053" xr:uid="{00000000-0005-0000-0000-0000BE190000}"/>
    <cellStyle name="Normal 5 3 3 2 6 3 2" xfId="15379" xr:uid="{523FDC2D-3E49-49C3-9649-ADF74EC9A2E4}"/>
    <cellStyle name="Normal 5 3 3 2 6 4" xfId="11162" xr:uid="{80AB2131-5E1E-4B22-8EBB-70B212E37344}"/>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D7E8B2AC-C8D1-49C7-AC99-4704D1CB4303}"/>
    <cellStyle name="Normal 5 3 3 2 7 2 3" xfId="13720" xr:uid="{80E1971D-5727-466E-A8F8-C793F28186DB}"/>
    <cellStyle name="Normal 5 3 3 2 7 3" xfId="6466" xr:uid="{00000000-0005-0000-0000-0000C2190000}"/>
    <cellStyle name="Normal 5 3 3 2 7 3 2" xfId="15792" xr:uid="{423CA6CA-3285-478A-938C-3951FFB9EFF8}"/>
    <cellStyle name="Normal 5 3 3 2 7 4" xfId="11575" xr:uid="{1144344E-F712-4084-8F28-4F493C354401}"/>
    <cellStyle name="Normal 5 3 3 2 8" xfId="2596" xr:uid="{00000000-0005-0000-0000-0000C3190000}"/>
    <cellStyle name="Normal 5 3 3 2 8 2" xfId="6879" xr:uid="{00000000-0005-0000-0000-0000C4190000}"/>
    <cellStyle name="Normal 5 3 3 2 8 2 2" xfId="16205" xr:uid="{97E0C9A9-A2A8-4144-8A5C-9406700EDEE8}"/>
    <cellStyle name="Normal 5 3 3 2 8 3" xfId="11988" xr:uid="{D58B39A7-8922-4BA8-B1CF-1698BB646158}"/>
    <cellStyle name="Normal 5 3 3 2 9" xfId="4814" xr:uid="{00000000-0005-0000-0000-0000C5190000}"/>
    <cellStyle name="Normal 5 3 3 2 9 2" xfId="14140" xr:uid="{08EE1BBA-305B-43C8-A579-A590BCBFFFD6}"/>
    <cellStyle name="Normal 5 3 3 3" xfId="446" xr:uid="{00000000-0005-0000-0000-0000C6190000}"/>
    <cellStyle name="Normal 5 3 3 3 10" xfId="9927" xr:uid="{28FEF7DE-F7B8-4487-86A2-F631D77B9895}"/>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82D4AEC2-184D-499B-8AF3-FC5862A92819}"/>
    <cellStyle name="Normal 5 3 3 3 2 2 2 3" xfId="12486" xr:uid="{2D540115-27FB-4075-811A-ADF7B876002A}"/>
    <cellStyle name="Normal 5 3 3 3 2 2 3" xfId="5232" xr:uid="{00000000-0005-0000-0000-0000CB190000}"/>
    <cellStyle name="Normal 5 3 3 3 2 2 3 2" xfId="14558" xr:uid="{EC1B2D08-A5D0-4AFC-B4C8-F30BDBEBB458}"/>
    <cellStyle name="Normal 5 3 3 3 2 2 4" xfId="9517" xr:uid="{EA62A3B1-8ED5-4A6F-ACE0-B924BC16AA9E}"/>
    <cellStyle name="Normal 5 3 3 3 2 2 5" xfId="10341" xr:uid="{6633BB55-BA1C-492B-868F-1D27AF3D0D97}"/>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DEFD1BE8-BF10-49E5-9730-753F2F84EFEA}"/>
    <cellStyle name="Normal 5 3 3 3 2 3 2 3" xfId="12899" xr:uid="{86FE9BF0-1239-4A4A-AE98-11A153018477}"/>
    <cellStyle name="Normal 5 3 3 3 2 3 3" xfId="5645" xr:uid="{00000000-0005-0000-0000-0000CF190000}"/>
    <cellStyle name="Normal 5 3 3 3 2 3 3 2" xfId="14971" xr:uid="{F4766422-036E-4665-87FB-09457142505F}"/>
    <cellStyle name="Normal 5 3 3 3 2 3 4" xfId="10754" xr:uid="{900758DB-4F0D-4BB6-A30F-5B127D79893A}"/>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0E06E534-19AB-428B-81BA-FD5BC77E6029}"/>
    <cellStyle name="Normal 5 3 3 3 2 4 2 3" xfId="13312" xr:uid="{33EEBA3A-0F21-4E31-8E7A-73B2406E9521}"/>
    <cellStyle name="Normal 5 3 3 3 2 4 3" xfId="6058" xr:uid="{00000000-0005-0000-0000-0000D3190000}"/>
    <cellStyle name="Normal 5 3 3 3 2 4 3 2" xfId="15384" xr:uid="{8FD48FC8-C308-4F35-83D4-1F8CCDCE4EDA}"/>
    <cellStyle name="Normal 5 3 3 3 2 4 4" xfId="11167" xr:uid="{92740B73-0B90-4978-A7B4-AFD72983B7B8}"/>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158573F8-1D6C-4707-A505-783E1D1CA2B4}"/>
    <cellStyle name="Normal 5 3 3 3 2 5 2 3" xfId="13725" xr:uid="{18E8A172-8C47-465F-9741-B5D0E46686FC}"/>
    <cellStyle name="Normal 5 3 3 3 2 5 3" xfId="6471" xr:uid="{00000000-0005-0000-0000-0000D7190000}"/>
    <cellStyle name="Normal 5 3 3 3 2 5 3 2" xfId="15797" xr:uid="{401A60E0-0BFA-4559-88B4-EC69E91DB00B}"/>
    <cellStyle name="Normal 5 3 3 3 2 5 4" xfId="11580" xr:uid="{425CEFD7-133A-49A0-AB5F-202641CBBDEB}"/>
    <cellStyle name="Normal 5 3 3 3 2 6" xfId="2601" xr:uid="{00000000-0005-0000-0000-0000D8190000}"/>
    <cellStyle name="Normal 5 3 3 3 2 6 2" xfId="6884" xr:uid="{00000000-0005-0000-0000-0000D9190000}"/>
    <cellStyle name="Normal 5 3 3 3 2 6 2 2" xfId="16210" xr:uid="{D999C5E9-C1E6-420D-BB7F-0CFA7CA6527E}"/>
    <cellStyle name="Normal 5 3 3 3 2 6 3" xfId="11993" xr:uid="{ECE575DC-3E82-4FEF-B9C6-EDB45A90AEBB}"/>
    <cellStyle name="Normal 5 3 3 3 2 7" xfId="4819" xr:uid="{00000000-0005-0000-0000-0000DA190000}"/>
    <cellStyle name="Normal 5 3 3 3 2 7 2" xfId="14145" xr:uid="{F0CCB86F-EC9F-48DF-ACC5-21465A5459C2}"/>
    <cellStyle name="Normal 5 3 3 3 2 8" xfId="9092" xr:uid="{A018BC5E-3880-4BA4-8CFB-322C89A13B5F}"/>
    <cellStyle name="Normal 5 3 3 3 2 9" xfId="9928" xr:uid="{336E7388-343D-4834-BFBA-2EA0498F3879}"/>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EC2F09B1-FFAE-46FB-874C-823075F53A41}"/>
    <cellStyle name="Normal 5 3 3 3 3 2 3" xfId="12485" xr:uid="{A1B89D9B-F7F2-4404-8F58-8F36E6B8E7F0}"/>
    <cellStyle name="Normal 5 3 3 3 3 3" xfId="5231" xr:uid="{00000000-0005-0000-0000-0000DE190000}"/>
    <cellStyle name="Normal 5 3 3 3 3 3 2" xfId="14557" xr:uid="{7B412E6E-E6F0-4510-A2F3-FC7EF4941C99}"/>
    <cellStyle name="Normal 5 3 3 3 3 4" xfId="9310" xr:uid="{D169C31A-17C5-4934-97DF-D90479FD2654}"/>
    <cellStyle name="Normal 5 3 3 3 3 5" xfId="10340" xr:uid="{8B0F0F77-1123-48A2-BF5F-21CA62272FC9}"/>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FC81FA17-7957-48B6-85ED-831C4748681B}"/>
    <cellStyle name="Normal 5 3 3 3 4 2 3" xfId="12898" xr:uid="{B438D6F8-E9EB-4C73-B82E-150FB4B3F273}"/>
    <cellStyle name="Normal 5 3 3 3 4 3" xfId="5644" xr:uid="{00000000-0005-0000-0000-0000E2190000}"/>
    <cellStyle name="Normal 5 3 3 3 4 3 2" xfId="14970" xr:uid="{CA03874F-79A0-4640-AC2F-AFCD90546FA5}"/>
    <cellStyle name="Normal 5 3 3 3 4 4" xfId="10753" xr:uid="{5083F299-E3B8-44CC-B761-8C9717AB132E}"/>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45E40BA3-92F2-4EC5-89D3-8AFEE8F56310}"/>
    <cellStyle name="Normal 5 3 3 3 5 2 3" xfId="13311" xr:uid="{5A0764F1-9525-40AF-85B2-0C4562579827}"/>
    <cellStyle name="Normal 5 3 3 3 5 3" xfId="6057" xr:uid="{00000000-0005-0000-0000-0000E6190000}"/>
    <cellStyle name="Normal 5 3 3 3 5 3 2" xfId="15383" xr:uid="{96D8263F-1D06-4D9A-8B92-3AA10F58F1A1}"/>
    <cellStyle name="Normal 5 3 3 3 5 4" xfId="11166" xr:uid="{A1AA6341-8114-4A51-BA95-54D84B093C3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2DCBB31F-5F89-4B76-8D73-7936FE3ED429}"/>
    <cellStyle name="Normal 5 3 3 3 6 2 3" xfId="13724" xr:uid="{359AE63C-ED7B-46A2-8BCD-48DA4EBE6F1F}"/>
    <cellStyle name="Normal 5 3 3 3 6 3" xfId="6470" xr:uid="{00000000-0005-0000-0000-0000EA190000}"/>
    <cellStyle name="Normal 5 3 3 3 6 3 2" xfId="15796" xr:uid="{30F3D9FF-6657-4AC7-91D2-50EF7F4F03F7}"/>
    <cellStyle name="Normal 5 3 3 3 6 4" xfId="11579" xr:uid="{C252F56D-9991-4985-89F5-D008EBCC50B1}"/>
    <cellStyle name="Normal 5 3 3 3 7" xfId="2600" xr:uid="{00000000-0005-0000-0000-0000EB190000}"/>
    <cellStyle name="Normal 5 3 3 3 7 2" xfId="6883" xr:uid="{00000000-0005-0000-0000-0000EC190000}"/>
    <cellStyle name="Normal 5 3 3 3 7 2 2" xfId="16209" xr:uid="{4E0DCF7F-488B-4AC1-982E-509C330B5670}"/>
    <cellStyle name="Normal 5 3 3 3 7 3" xfId="11992" xr:uid="{BD13448D-719E-4D81-8F29-BE5E1F80936D}"/>
    <cellStyle name="Normal 5 3 3 3 8" xfId="4818" xr:uid="{00000000-0005-0000-0000-0000ED190000}"/>
    <cellStyle name="Normal 5 3 3 3 8 2" xfId="14144" xr:uid="{C121E7E6-57D5-4B5E-BE72-0E3C5BF597E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1822BD37-9C96-4BA0-BC76-91547B724B8D}"/>
    <cellStyle name="Normal 5 3 3 4 2 2 3" xfId="12487" xr:uid="{4EDAB487-B383-471A-B69B-C73B579E2390}"/>
    <cellStyle name="Normal 5 3 3 4 2 3" xfId="5233" xr:uid="{00000000-0005-0000-0000-0000F2190000}"/>
    <cellStyle name="Normal 5 3 3 4 2 3 2" xfId="14559" xr:uid="{06B711FA-8C5C-41C2-9370-EFE46067A03C}"/>
    <cellStyle name="Normal 5 3 3 4 2 4" xfId="9414" xr:uid="{BD781A4C-FDA7-4D11-87F3-3D38EC19B37A}"/>
    <cellStyle name="Normal 5 3 3 4 2 5" xfId="10342" xr:uid="{8CB9498F-F4B7-4C10-A156-539A6EA01958}"/>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AAD998FD-FE0F-4AFB-B107-33ED5B53167C}"/>
    <cellStyle name="Normal 5 3 3 4 3 2 3" xfId="12900" xr:uid="{80DA5A5A-7089-40A0-BBD4-84152E64A9E6}"/>
    <cellStyle name="Normal 5 3 3 4 3 3" xfId="5646" xr:uid="{00000000-0005-0000-0000-0000F6190000}"/>
    <cellStyle name="Normal 5 3 3 4 3 3 2" xfId="14972" xr:uid="{FB3B8880-4E5D-4327-8D62-6DE1C0BC80A6}"/>
    <cellStyle name="Normal 5 3 3 4 3 4" xfId="10755" xr:uid="{F90006AC-D7FE-4AFF-85A4-F740BE8DE3E1}"/>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6DA68A6A-69C8-4448-909C-21E8CAE2E84A}"/>
    <cellStyle name="Normal 5 3 3 4 4 2 3" xfId="13313" xr:uid="{926124B1-1D13-4A9B-8A8B-8A33961C4A8F}"/>
    <cellStyle name="Normal 5 3 3 4 4 3" xfId="6059" xr:uid="{00000000-0005-0000-0000-0000FA190000}"/>
    <cellStyle name="Normal 5 3 3 4 4 3 2" xfId="15385" xr:uid="{317ACF93-1E64-4DA7-B613-29C2F44EF0AD}"/>
    <cellStyle name="Normal 5 3 3 4 4 4" xfId="11168" xr:uid="{9CFB10FB-20DF-4829-B780-41491C9C1837}"/>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3B605339-AEBF-43E5-BEBE-767347D1F9A3}"/>
    <cellStyle name="Normal 5 3 3 4 5 2 3" xfId="13726" xr:uid="{5797B21F-B7C6-4B85-B1D8-9716F5BE6E4F}"/>
    <cellStyle name="Normal 5 3 3 4 5 3" xfId="6472" xr:uid="{00000000-0005-0000-0000-0000FE190000}"/>
    <cellStyle name="Normal 5 3 3 4 5 3 2" xfId="15798" xr:uid="{89996F72-1DD4-4C12-A6DC-E2808020F959}"/>
    <cellStyle name="Normal 5 3 3 4 5 4" xfId="11581" xr:uid="{A12B69CF-2F93-456B-BD4A-EC65A91BADC3}"/>
    <cellStyle name="Normal 5 3 3 4 6" xfId="2602" xr:uid="{00000000-0005-0000-0000-0000FF190000}"/>
    <cellStyle name="Normal 5 3 3 4 6 2" xfId="6885" xr:uid="{00000000-0005-0000-0000-0000001A0000}"/>
    <cellStyle name="Normal 5 3 3 4 6 2 2" xfId="16211" xr:uid="{3D5B170A-F856-4A02-9CC8-F2FF05EDF391}"/>
    <cellStyle name="Normal 5 3 3 4 6 3" xfId="11994" xr:uid="{D4FB803A-107D-4C67-8ECC-34F80AE33180}"/>
    <cellStyle name="Normal 5 3 3 4 7" xfId="4820" xr:uid="{00000000-0005-0000-0000-0000011A0000}"/>
    <cellStyle name="Normal 5 3 3 4 7 2" xfId="14146" xr:uid="{6208F877-6CD2-4752-B1B8-B7763FAEEA6A}"/>
    <cellStyle name="Normal 5 3 3 4 8" xfId="8989" xr:uid="{20FA1483-98E6-46C4-B00B-4EAF7957981D}"/>
    <cellStyle name="Normal 5 3 3 4 9" xfId="9929" xr:uid="{4DAF483F-4CF0-4548-8D2B-8823BB089E56}"/>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7FC59C3E-D709-4453-8A25-E070591D0FFF}"/>
    <cellStyle name="Normal 5 3 3 5 2 3" xfId="12480" xr:uid="{8FD3A549-CF29-4679-897F-413F4FCE7FD2}"/>
    <cellStyle name="Normal 5 3 3 5 3" xfId="5226" xr:uid="{00000000-0005-0000-0000-0000051A0000}"/>
    <cellStyle name="Normal 5 3 3 5 3 2" xfId="14552" xr:uid="{EE516C34-769D-4135-B9F7-E2B64D57F8F6}"/>
    <cellStyle name="Normal 5 3 3 5 4" xfId="9206" xr:uid="{CA749CBB-EAB5-483B-862D-D7B95A23D45C}"/>
    <cellStyle name="Normal 5 3 3 5 5" xfId="10335" xr:uid="{852DF871-B514-47E2-93F7-D84DA02B872E}"/>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874B8291-E071-427F-A5F9-A3F641FADEA2}"/>
    <cellStyle name="Normal 5 3 3 6 2 3" xfId="12893" xr:uid="{73DC98CF-3248-437B-A424-2CD8B4A7183F}"/>
    <cellStyle name="Normal 5 3 3 6 3" xfId="5639" xr:uid="{00000000-0005-0000-0000-0000091A0000}"/>
    <cellStyle name="Normal 5 3 3 6 3 2" xfId="14965" xr:uid="{9FD47E4C-EBA6-4F6D-99ED-4CBA800098EC}"/>
    <cellStyle name="Normal 5 3 3 6 4" xfId="10748" xr:uid="{56DA19B8-329D-4A50-9C10-DC2E78845FF8}"/>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35EDB599-A0E2-4EED-A484-15566C32DDA2}"/>
    <cellStyle name="Normal 5 3 3 7 2 3" xfId="13306" xr:uid="{C5B7B3B0-6AD9-4E12-A32E-60BAC735B915}"/>
    <cellStyle name="Normal 5 3 3 7 3" xfId="6052" xr:uid="{00000000-0005-0000-0000-00000D1A0000}"/>
    <cellStyle name="Normal 5 3 3 7 3 2" xfId="15378" xr:uid="{5D109D01-92AC-4AF2-8D00-536BF108C642}"/>
    <cellStyle name="Normal 5 3 3 7 4" xfId="11161" xr:uid="{8630B726-7A9F-489B-802E-BAD18B2018F7}"/>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DF5E4A1E-155E-4AB0-9E5E-7E793D74EC8B}"/>
    <cellStyle name="Normal 5 3 3 8 2 3" xfId="13719" xr:uid="{1D028F0C-964C-47FE-98C2-360E7381E035}"/>
    <cellStyle name="Normal 5 3 3 8 3" xfId="6465" xr:uid="{00000000-0005-0000-0000-0000111A0000}"/>
    <cellStyle name="Normal 5 3 3 8 3 2" xfId="15791" xr:uid="{104E684C-5ECC-4647-9554-8B0DCC4C30FA}"/>
    <cellStyle name="Normal 5 3 3 8 4" xfId="11574" xr:uid="{365FD3FB-7E29-457D-A811-67F768B0DF58}"/>
    <cellStyle name="Normal 5 3 3 9" xfId="2595" xr:uid="{00000000-0005-0000-0000-0000121A0000}"/>
    <cellStyle name="Normal 5 3 3 9 2" xfId="6878" xr:uid="{00000000-0005-0000-0000-0000131A0000}"/>
    <cellStyle name="Normal 5 3 3 9 2 2" xfId="16204" xr:uid="{79CEF4CC-7B55-412F-A3F6-2A1D0E174F3D}"/>
    <cellStyle name="Normal 5 3 3 9 3" xfId="11987" xr:uid="{BD7E4B84-9CE7-4643-A6BE-7C8A117F39BF}"/>
    <cellStyle name="Normal 5 3 4" xfId="449" xr:uid="{00000000-0005-0000-0000-0000141A0000}"/>
    <cellStyle name="Normal 5 3 4 10" xfId="8831" xr:uid="{39AD872D-FBC2-4C4A-B537-79F8014E4247}"/>
    <cellStyle name="Normal 5 3 4 11" xfId="9930" xr:uid="{3FF09ECB-9BD0-4E27-9E6C-4C6F041D2868}"/>
    <cellStyle name="Normal 5 3 4 2" xfId="450" xr:uid="{00000000-0005-0000-0000-0000151A0000}"/>
    <cellStyle name="Normal 5 3 4 2 10" xfId="9931" xr:uid="{00A31ADF-DFE0-40B3-B5F5-F6F2818C91C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704043E2-EAA4-4530-826F-D5FC62CC6018}"/>
    <cellStyle name="Normal 5 3 4 2 2 2 2 3" xfId="12490" xr:uid="{FD53AE84-B80C-4FA1-8437-ACCF991EF3FF}"/>
    <cellStyle name="Normal 5 3 4 2 2 2 3" xfId="5236" xr:uid="{00000000-0005-0000-0000-00001A1A0000}"/>
    <cellStyle name="Normal 5 3 4 2 2 2 3 2" xfId="14562" xr:uid="{F443CAFF-174E-4412-A0C4-4B2E8173E1AF}"/>
    <cellStyle name="Normal 5 3 4 2 2 2 4" xfId="9566" xr:uid="{D483C248-9680-462F-989C-42C712CD6EB7}"/>
    <cellStyle name="Normal 5 3 4 2 2 2 5" xfId="10345" xr:uid="{2CC7F632-ADDD-4838-9685-945B7A2C88F3}"/>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8C49F0A5-F9FA-4175-87B3-A031946A6BE8}"/>
    <cellStyle name="Normal 5 3 4 2 2 3 2 3" xfId="12903" xr:uid="{D5E5901F-CC7F-4661-9B44-A1A461A279AC}"/>
    <cellStyle name="Normal 5 3 4 2 2 3 3" xfId="5649" xr:uid="{00000000-0005-0000-0000-00001E1A0000}"/>
    <cellStyle name="Normal 5 3 4 2 2 3 3 2" xfId="14975" xr:uid="{A946744C-59F3-4353-ABC0-EE1D73135AF4}"/>
    <cellStyle name="Normal 5 3 4 2 2 3 4" xfId="10758" xr:uid="{CB875EC9-7DAE-4E9E-87F4-C69D8B3A4078}"/>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DFB6CC3C-E21F-49CA-8937-454B22141076}"/>
    <cellStyle name="Normal 5 3 4 2 2 4 2 3" xfId="13316" xr:uid="{1A52E598-4B33-4CF6-9E4B-47FE2D45E45F}"/>
    <cellStyle name="Normal 5 3 4 2 2 4 3" xfId="6062" xr:uid="{00000000-0005-0000-0000-0000221A0000}"/>
    <cellStyle name="Normal 5 3 4 2 2 4 3 2" xfId="15388" xr:uid="{88108187-A4B0-48A4-A2A3-B0802DEC6042}"/>
    <cellStyle name="Normal 5 3 4 2 2 4 4" xfId="11171" xr:uid="{1DDBD225-613F-4CD3-9EDA-3EAA52A637FD}"/>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2F66EEB5-9701-4AFF-88E2-14F2C051A9DD}"/>
    <cellStyle name="Normal 5 3 4 2 2 5 2 3" xfId="13729" xr:uid="{89165A88-259C-4A93-A018-48857506D72B}"/>
    <cellStyle name="Normal 5 3 4 2 2 5 3" xfId="6475" xr:uid="{00000000-0005-0000-0000-0000261A0000}"/>
    <cellStyle name="Normal 5 3 4 2 2 5 3 2" xfId="15801" xr:uid="{F2BB536C-9A07-45A0-91F1-B81AA2E7EE11}"/>
    <cellStyle name="Normal 5 3 4 2 2 5 4" xfId="11584" xr:uid="{99D4EF9A-0962-4F91-94B3-D437B4952742}"/>
    <cellStyle name="Normal 5 3 4 2 2 6" xfId="2605" xr:uid="{00000000-0005-0000-0000-0000271A0000}"/>
    <cellStyle name="Normal 5 3 4 2 2 6 2" xfId="6888" xr:uid="{00000000-0005-0000-0000-0000281A0000}"/>
    <cellStyle name="Normal 5 3 4 2 2 6 2 2" xfId="16214" xr:uid="{64E310B7-8E2A-4E53-9797-0C8B20B12E80}"/>
    <cellStyle name="Normal 5 3 4 2 2 6 3" xfId="11997" xr:uid="{3A6BB5A7-AA0D-417D-81C6-460976E74942}"/>
    <cellStyle name="Normal 5 3 4 2 2 7" xfId="4823" xr:uid="{00000000-0005-0000-0000-0000291A0000}"/>
    <cellStyle name="Normal 5 3 4 2 2 7 2" xfId="14149" xr:uid="{7B6CD34C-1879-4168-88D0-6EB2BD1BAB3A}"/>
    <cellStyle name="Normal 5 3 4 2 2 8" xfId="9141" xr:uid="{6B63A6D0-0E60-498B-8E53-451D5144533A}"/>
    <cellStyle name="Normal 5 3 4 2 2 9" xfId="9932" xr:uid="{8AF613B7-CFAC-4E47-8F23-5E8E373230C1}"/>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EA801401-40CE-4E59-ACE2-C0D2494EB848}"/>
    <cellStyle name="Normal 5 3 4 2 3 2 3" xfId="12489" xr:uid="{D402336E-C77C-4213-A048-23768892BC59}"/>
    <cellStyle name="Normal 5 3 4 2 3 3" xfId="5235" xr:uid="{00000000-0005-0000-0000-00002D1A0000}"/>
    <cellStyle name="Normal 5 3 4 2 3 3 2" xfId="14561" xr:uid="{EA6AF52B-2DDB-4924-A487-3250B120C903}"/>
    <cellStyle name="Normal 5 3 4 2 3 4" xfId="9359" xr:uid="{FAC41203-2BC4-411F-9296-10781BA4F1AB}"/>
    <cellStyle name="Normal 5 3 4 2 3 5" xfId="10344" xr:uid="{23F9FE69-48F6-461F-A859-6AC590D47A57}"/>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516B7762-EF22-4E95-9E72-21235B006E10}"/>
    <cellStyle name="Normal 5 3 4 2 4 2 3" xfId="12902" xr:uid="{19F14188-322E-4DAD-8E15-65353B829F94}"/>
    <cellStyle name="Normal 5 3 4 2 4 3" xfId="5648" xr:uid="{00000000-0005-0000-0000-0000311A0000}"/>
    <cellStyle name="Normal 5 3 4 2 4 3 2" xfId="14974" xr:uid="{0D42BD5A-131C-4752-9E73-A362730F650A}"/>
    <cellStyle name="Normal 5 3 4 2 4 4" xfId="10757" xr:uid="{8B1B4261-B35E-45DB-97D0-B938F3791900}"/>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D6DDD8C6-8D2B-406D-8DDD-D4AE5CCD1055}"/>
    <cellStyle name="Normal 5 3 4 2 5 2 3" xfId="13315" xr:uid="{38CB3D88-F9DC-4AE2-802B-C9D1BFAEBD3C}"/>
    <cellStyle name="Normal 5 3 4 2 5 3" xfId="6061" xr:uid="{00000000-0005-0000-0000-0000351A0000}"/>
    <cellStyle name="Normal 5 3 4 2 5 3 2" xfId="15387" xr:uid="{16010832-9B46-490D-874C-7C7DF478B282}"/>
    <cellStyle name="Normal 5 3 4 2 5 4" xfId="11170" xr:uid="{AEF8C23D-4238-4082-BDB0-6AECFBBE7E1B}"/>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F40C20AE-13B4-4466-A5B4-AE734E9F0650}"/>
    <cellStyle name="Normal 5 3 4 2 6 2 3" xfId="13728" xr:uid="{BA8CC1A7-4930-4DCB-9A7D-692633874E00}"/>
    <cellStyle name="Normal 5 3 4 2 6 3" xfId="6474" xr:uid="{00000000-0005-0000-0000-0000391A0000}"/>
    <cellStyle name="Normal 5 3 4 2 6 3 2" xfId="15800" xr:uid="{3B506D0C-DF22-4E41-B729-740914C11C21}"/>
    <cellStyle name="Normal 5 3 4 2 6 4" xfId="11583" xr:uid="{142BE42E-4221-4A8F-BB6C-00B54E8EEA80}"/>
    <cellStyle name="Normal 5 3 4 2 7" xfId="2604" xr:uid="{00000000-0005-0000-0000-00003A1A0000}"/>
    <cellStyle name="Normal 5 3 4 2 7 2" xfId="6887" xr:uid="{00000000-0005-0000-0000-00003B1A0000}"/>
    <cellStyle name="Normal 5 3 4 2 7 2 2" xfId="16213" xr:uid="{311529E1-F742-4254-B68D-732D836A6018}"/>
    <cellStyle name="Normal 5 3 4 2 7 3" xfId="11996" xr:uid="{A6851A04-E073-4C5B-BF7A-9CF9C084CB8E}"/>
    <cellStyle name="Normal 5 3 4 2 8" xfId="4822" xr:uid="{00000000-0005-0000-0000-00003C1A0000}"/>
    <cellStyle name="Normal 5 3 4 2 8 2" xfId="14148" xr:uid="{256BC339-B297-4CF2-9B24-FD80108A1A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9DD34058-9F1C-413C-AEDD-9A803DF66A3B}"/>
    <cellStyle name="Normal 5 3 4 3 2 2 3" xfId="12491" xr:uid="{D8A6E940-93A7-4F66-8E7E-36FEDD30CA08}"/>
    <cellStyle name="Normal 5 3 4 3 2 3" xfId="5237" xr:uid="{00000000-0005-0000-0000-0000411A0000}"/>
    <cellStyle name="Normal 5 3 4 3 2 3 2" xfId="14563" xr:uid="{DBD0BB8E-485B-4602-AF0A-94C0874D3621}"/>
    <cellStyle name="Normal 5 3 4 3 2 4" xfId="9463" xr:uid="{1CC38E89-013B-404F-9F3E-11BABC37F656}"/>
    <cellStyle name="Normal 5 3 4 3 2 5" xfId="10346" xr:uid="{B6F406C9-E96F-4568-BC10-A9DDD78C84A1}"/>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88172D1C-8E37-4170-B76D-D59A1E83291B}"/>
    <cellStyle name="Normal 5 3 4 3 3 2 3" xfId="12904" xr:uid="{A2ED897F-6CED-46C2-8D72-4C0437FEEEC6}"/>
    <cellStyle name="Normal 5 3 4 3 3 3" xfId="5650" xr:uid="{00000000-0005-0000-0000-0000451A0000}"/>
    <cellStyle name="Normal 5 3 4 3 3 3 2" xfId="14976" xr:uid="{A379FD5C-2FBD-4158-8F34-796378F7365A}"/>
    <cellStyle name="Normal 5 3 4 3 3 4" xfId="10759" xr:uid="{0D06869D-8554-4921-A74C-3D6DBD762169}"/>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2CCF01DC-013C-4455-A9B4-DFBF59B54A56}"/>
    <cellStyle name="Normal 5 3 4 3 4 2 3" xfId="13317" xr:uid="{D6984FE0-A32A-433D-A621-3DED40D57608}"/>
    <cellStyle name="Normal 5 3 4 3 4 3" xfId="6063" xr:uid="{00000000-0005-0000-0000-0000491A0000}"/>
    <cellStyle name="Normal 5 3 4 3 4 3 2" xfId="15389" xr:uid="{DD0956D0-5940-42DA-94C4-2AAEC39D8552}"/>
    <cellStyle name="Normal 5 3 4 3 4 4" xfId="11172" xr:uid="{B2D590B6-4E56-46A0-B759-4B24570E45E2}"/>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4489B944-C3EC-409B-9BE0-D382A1F8C0B1}"/>
    <cellStyle name="Normal 5 3 4 3 5 2 3" xfId="13730" xr:uid="{61ADF087-4853-40C9-890D-41F2D78A0690}"/>
    <cellStyle name="Normal 5 3 4 3 5 3" xfId="6476" xr:uid="{00000000-0005-0000-0000-00004D1A0000}"/>
    <cellStyle name="Normal 5 3 4 3 5 3 2" xfId="15802" xr:uid="{3718AF33-F958-4BFF-A1B4-A7591D6A4C7C}"/>
    <cellStyle name="Normal 5 3 4 3 5 4" xfId="11585" xr:uid="{E0379E62-9FF8-4C07-AFE3-C478F27006BE}"/>
    <cellStyle name="Normal 5 3 4 3 6" xfId="2606" xr:uid="{00000000-0005-0000-0000-00004E1A0000}"/>
    <cellStyle name="Normal 5 3 4 3 6 2" xfId="6889" xr:uid="{00000000-0005-0000-0000-00004F1A0000}"/>
    <cellStyle name="Normal 5 3 4 3 6 2 2" xfId="16215" xr:uid="{2601F1E8-E8D4-4AF4-9E22-D14373AD9ACE}"/>
    <cellStyle name="Normal 5 3 4 3 6 3" xfId="11998" xr:uid="{A12B0DD8-4A7A-4D24-A5CA-E4F3EE4E92D9}"/>
    <cellStyle name="Normal 5 3 4 3 7" xfId="4824" xr:uid="{00000000-0005-0000-0000-0000501A0000}"/>
    <cellStyle name="Normal 5 3 4 3 7 2" xfId="14150" xr:uid="{1F8294D1-1E51-476D-9D56-0886FE56B55A}"/>
    <cellStyle name="Normal 5 3 4 3 8" xfId="9038" xr:uid="{15024032-E3C2-4FDD-B674-481D39A836C5}"/>
    <cellStyle name="Normal 5 3 4 3 9" xfId="9933" xr:uid="{DFA199E1-8034-4925-8238-2B316DE373DB}"/>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21AAAA68-49C3-40BC-BFA8-8CD2DA8F05DC}"/>
    <cellStyle name="Normal 5 3 4 4 2 3" xfId="12488" xr:uid="{68290CE9-7A43-41F4-AF87-AFCB00CB98D4}"/>
    <cellStyle name="Normal 5 3 4 4 3" xfId="5234" xr:uid="{00000000-0005-0000-0000-0000541A0000}"/>
    <cellStyle name="Normal 5 3 4 4 3 2" xfId="14560" xr:uid="{F4D10DD0-FFDE-43CE-B497-F125F8A7B872}"/>
    <cellStyle name="Normal 5 3 4 4 4" xfId="9256" xr:uid="{69A14F57-2B46-4294-8CA5-E21858516C25}"/>
    <cellStyle name="Normal 5 3 4 4 5" xfId="10343" xr:uid="{645E2493-0B8B-48BB-8267-E5DB8415FE57}"/>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AE4AA155-853A-4E03-900F-33961FF3AE8C}"/>
    <cellStyle name="Normal 5 3 4 5 2 3" xfId="12901" xr:uid="{DDAEFD5E-2AE1-47C0-B4B0-B0A3A6A4B9D5}"/>
    <cellStyle name="Normal 5 3 4 5 3" xfId="5647" xr:uid="{00000000-0005-0000-0000-0000581A0000}"/>
    <cellStyle name="Normal 5 3 4 5 3 2" xfId="14973" xr:uid="{756D9519-C7AB-44AD-B085-1ECB12840346}"/>
    <cellStyle name="Normal 5 3 4 5 4" xfId="10756" xr:uid="{A49118C8-2D60-4C06-99EC-2B580020292F}"/>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9AEA0E60-B71B-48B3-A2B3-8F1297C5FAFF}"/>
    <cellStyle name="Normal 5 3 4 6 2 3" xfId="13314" xr:uid="{C508167A-D9BB-47F1-BCF3-90D829EFF47E}"/>
    <cellStyle name="Normal 5 3 4 6 3" xfId="6060" xr:uid="{00000000-0005-0000-0000-00005C1A0000}"/>
    <cellStyle name="Normal 5 3 4 6 3 2" xfId="15386" xr:uid="{8754C35C-EE8D-4DE1-9329-F07BFB333AF9}"/>
    <cellStyle name="Normal 5 3 4 6 4" xfId="11169" xr:uid="{96465E0C-2C4C-4743-B405-A615AE700779}"/>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AEF73772-F091-4E6B-9D92-42C2ACD951D9}"/>
    <cellStyle name="Normal 5 3 4 7 2 3" xfId="13727" xr:uid="{B3F2D89C-9E77-4834-B5C6-1472502BCDBC}"/>
    <cellStyle name="Normal 5 3 4 7 3" xfId="6473" xr:uid="{00000000-0005-0000-0000-0000601A0000}"/>
    <cellStyle name="Normal 5 3 4 7 3 2" xfId="15799" xr:uid="{AE44582B-1DBA-4CC2-8B65-ADEC062C9C45}"/>
    <cellStyle name="Normal 5 3 4 7 4" xfId="11582" xr:uid="{A2C21DE0-6D41-4E5E-B227-219BAD235FD1}"/>
    <cellStyle name="Normal 5 3 4 8" xfId="2603" xr:uid="{00000000-0005-0000-0000-0000611A0000}"/>
    <cellStyle name="Normal 5 3 4 8 2" xfId="6886" xr:uid="{00000000-0005-0000-0000-0000621A0000}"/>
    <cellStyle name="Normal 5 3 4 8 2 2" xfId="16212" xr:uid="{F61676EB-50E1-49FF-8C86-8707FEA6FADB}"/>
    <cellStyle name="Normal 5 3 4 8 3" xfId="11995" xr:uid="{AA123E0D-553D-4CD7-898D-D6C863724AB2}"/>
    <cellStyle name="Normal 5 3 4 9" xfId="4821" xr:uid="{00000000-0005-0000-0000-0000631A0000}"/>
    <cellStyle name="Normal 5 3 4 9 2" xfId="14147" xr:uid="{3CC74EB3-60EF-4FAB-821A-43F6CDABB67C}"/>
    <cellStyle name="Normal 5 3 5" xfId="453" xr:uid="{00000000-0005-0000-0000-0000641A0000}"/>
    <cellStyle name="Normal 5 3 5 10" xfId="9934" xr:uid="{2F4708FE-8B76-4731-A851-6251FEBD3EBF}"/>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1DF1A7B2-4D1A-4637-B5A4-AE2AB071621D}"/>
    <cellStyle name="Normal 5 3 5 2 2 2 3" xfId="12493" xr:uid="{DEC093A9-9FC7-416C-9E51-F6CC1302CBA2}"/>
    <cellStyle name="Normal 5 3 5 2 2 3" xfId="5239" xr:uid="{00000000-0005-0000-0000-0000691A0000}"/>
    <cellStyle name="Normal 5 3 5 2 2 3 2" xfId="14565" xr:uid="{0727BCDD-806E-4F3A-9A36-4EFB50EB31B9}"/>
    <cellStyle name="Normal 5 3 5 2 2 4" xfId="9485" xr:uid="{E88A0512-4544-44F7-B02F-696DEB177F8E}"/>
    <cellStyle name="Normal 5 3 5 2 2 5" xfId="10348" xr:uid="{4374D79E-E088-443D-B714-432B01F6EA59}"/>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C8545A58-C04A-4042-ABBA-F40E6353D92B}"/>
    <cellStyle name="Normal 5 3 5 2 3 2 3" xfId="12906" xr:uid="{C66ECA5B-7EF2-48B2-A143-7AEFA88904F4}"/>
    <cellStyle name="Normal 5 3 5 2 3 3" xfId="5652" xr:uid="{00000000-0005-0000-0000-00006D1A0000}"/>
    <cellStyle name="Normal 5 3 5 2 3 3 2" xfId="14978" xr:uid="{EFA27EE3-45DF-40D3-B9BA-F68C25B029B0}"/>
    <cellStyle name="Normal 5 3 5 2 3 4" xfId="10761" xr:uid="{BA874C77-5D69-405B-8BCB-9A0AD3C9ACD7}"/>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6ECDB4C6-9F5C-4A7C-8F18-12440CDF6FDB}"/>
    <cellStyle name="Normal 5 3 5 2 4 2 3" xfId="13319" xr:uid="{C8A720C7-B9AC-46D6-9A5B-7B7ED8924332}"/>
    <cellStyle name="Normal 5 3 5 2 4 3" xfId="6065" xr:uid="{00000000-0005-0000-0000-0000711A0000}"/>
    <cellStyle name="Normal 5 3 5 2 4 3 2" xfId="15391" xr:uid="{26C9ACD1-A3CA-4D6F-AC0B-292C2B3DCF15}"/>
    <cellStyle name="Normal 5 3 5 2 4 4" xfId="11174" xr:uid="{BE31399C-81D1-463E-9089-7A422431434A}"/>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3B7CED47-3D31-41F9-BACE-FFB3B1024C4A}"/>
    <cellStyle name="Normal 5 3 5 2 5 2 3" xfId="13732" xr:uid="{83F673AC-7986-4CAC-BEC4-36D82239B37A}"/>
    <cellStyle name="Normal 5 3 5 2 5 3" xfId="6478" xr:uid="{00000000-0005-0000-0000-0000751A0000}"/>
    <cellStyle name="Normal 5 3 5 2 5 3 2" xfId="15804" xr:uid="{53993B60-8A9D-4CC8-9113-9BF29A315F52}"/>
    <cellStyle name="Normal 5 3 5 2 5 4" xfId="11587" xr:uid="{CE4FD792-F514-4BC1-9B9F-5DCE4756B8C3}"/>
    <cellStyle name="Normal 5 3 5 2 6" xfId="2608" xr:uid="{00000000-0005-0000-0000-0000761A0000}"/>
    <cellStyle name="Normal 5 3 5 2 6 2" xfId="6891" xr:uid="{00000000-0005-0000-0000-0000771A0000}"/>
    <cellStyle name="Normal 5 3 5 2 6 2 2" xfId="16217" xr:uid="{2B3D3DDA-3C72-4B2D-A898-98570C944012}"/>
    <cellStyle name="Normal 5 3 5 2 6 3" xfId="12000" xr:uid="{52647381-2E1C-46AF-AEB6-814FBCBCEF77}"/>
    <cellStyle name="Normal 5 3 5 2 7" xfId="4826" xr:uid="{00000000-0005-0000-0000-0000781A0000}"/>
    <cellStyle name="Normal 5 3 5 2 7 2" xfId="14152" xr:uid="{FB027E20-CE3D-467E-A052-4DEE554CA611}"/>
    <cellStyle name="Normal 5 3 5 2 8" xfId="9060" xr:uid="{D76124DC-5753-46E4-97E7-1D76E6E20EEE}"/>
    <cellStyle name="Normal 5 3 5 2 9" xfId="9935" xr:uid="{51B013E5-F343-4390-AE41-BC336908953F}"/>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A8E32B79-C3CF-449C-855A-DEDA9E9B1652}"/>
    <cellStyle name="Normal 5 3 5 3 2 3" xfId="12492" xr:uid="{08CE23FF-FD13-4E0B-B25E-6B5FF44EA905}"/>
    <cellStyle name="Normal 5 3 5 3 3" xfId="5238" xr:uid="{00000000-0005-0000-0000-00007C1A0000}"/>
    <cellStyle name="Normal 5 3 5 3 3 2" xfId="14564" xr:uid="{61DC13A1-46A0-4F96-B46D-8F7C2D6CF33C}"/>
    <cellStyle name="Normal 5 3 5 3 4" xfId="9278" xr:uid="{6197750A-97CA-41EF-A67C-63E25EE58E9E}"/>
    <cellStyle name="Normal 5 3 5 3 5" xfId="10347" xr:uid="{D70108D4-C5EB-43DF-98FE-79A69B7E4758}"/>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41F263C7-0A46-4D47-8A4D-BA99DAA31786}"/>
    <cellStyle name="Normal 5 3 5 4 2 3" xfId="12905" xr:uid="{4C07CE13-21AC-49F3-80BE-1E0CF924C48F}"/>
    <cellStyle name="Normal 5 3 5 4 3" xfId="5651" xr:uid="{00000000-0005-0000-0000-0000801A0000}"/>
    <cellStyle name="Normal 5 3 5 4 3 2" xfId="14977" xr:uid="{A81E789F-9658-4DA8-BAFC-04082CBE6791}"/>
    <cellStyle name="Normal 5 3 5 4 4" xfId="10760" xr:uid="{09FC8D60-5382-42FA-A0D5-09714B7A0251}"/>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BEF86E70-22DF-4DDE-A27C-4F4F82D5B90F}"/>
    <cellStyle name="Normal 5 3 5 5 2 3" xfId="13318" xr:uid="{6FE380F5-7C0F-494F-8E7E-3C09F04C84F0}"/>
    <cellStyle name="Normal 5 3 5 5 3" xfId="6064" xr:uid="{00000000-0005-0000-0000-0000841A0000}"/>
    <cellStyle name="Normal 5 3 5 5 3 2" xfId="15390" xr:uid="{A2B6B421-76CB-4363-8513-8CACF3F2E7FF}"/>
    <cellStyle name="Normal 5 3 5 5 4" xfId="11173" xr:uid="{BCF4E876-E484-480F-BB7D-E4281825DCD4}"/>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45309789-1234-4F04-810D-80EBAA8D0A1D}"/>
    <cellStyle name="Normal 5 3 5 6 2 3" xfId="13731" xr:uid="{EF2AA07D-E428-46DE-B898-18F7D345F265}"/>
    <cellStyle name="Normal 5 3 5 6 3" xfId="6477" xr:uid="{00000000-0005-0000-0000-0000881A0000}"/>
    <cellStyle name="Normal 5 3 5 6 3 2" xfId="15803" xr:uid="{FB2A00D0-E54C-43F2-9693-028BC8645DC3}"/>
    <cellStyle name="Normal 5 3 5 6 4" xfId="11586" xr:uid="{80AD2A66-4481-41C8-9DC9-B1A969FB3273}"/>
    <cellStyle name="Normal 5 3 5 7" xfId="2607" xr:uid="{00000000-0005-0000-0000-0000891A0000}"/>
    <cellStyle name="Normal 5 3 5 7 2" xfId="6890" xr:uid="{00000000-0005-0000-0000-00008A1A0000}"/>
    <cellStyle name="Normal 5 3 5 7 2 2" xfId="16216" xr:uid="{C9A94AD2-2FE7-4868-A1B2-9BA503BF1D0B}"/>
    <cellStyle name="Normal 5 3 5 7 3" xfId="11999" xr:uid="{5B85028B-8DB4-45E3-96FA-4BD7412C6571}"/>
    <cellStyle name="Normal 5 3 5 8" xfId="4825" xr:uid="{00000000-0005-0000-0000-00008B1A0000}"/>
    <cellStyle name="Normal 5 3 5 8 2" xfId="14151" xr:uid="{1537C31F-952A-4330-816A-F0B0CF388AFE}"/>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56AA8F38-1D7A-46C5-B060-446B759625EF}"/>
    <cellStyle name="Normal 5 3 6 2 2 3" xfId="12494" xr:uid="{929E6F87-06A5-4997-B058-56178A3AD069}"/>
    <cellStyle name="Normal 5 3 6 2 3" xfId="5240" xr:uid="{00000000-0005-0000-0000-0000901A0000}"/>
    <cellStyle name="Normal 5 3 6 2 3 2" xfId="14566" xr:uid="{E3401C1C-F057-4FD3-8F05-BA6BAE96B6D4}"/>
    <cellStyle name="Normal 5 3 6 2 4" xfId="9394" xr:uid="{040FDD8C-10C9-4583-9A6E-8F76047ECA0C}"/>
    <cellStyle name="Normal 5 3 6 2 5" xfId="10349" xr:uid="{C9313444-57C5-47D7-A5BE-4F5E4D678D49}"/>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1B55021D-434B-45A6-BA20-15C7F42F4FE3}"/>
    <cellStyle name="Normal 5 3 6 3 2 3" xfId="12907" xr:uid="{6C0558C5-B91F-4CFF-BBDA-739324A3EED0}"/>
    <cellStyle name="Normal 5 3 6 3 3" xfId="5653" xr:uid="{00000000-0005-0000-0000-0000941A0000}"/>
    <cellStyle name="Normal 5 3 6 3 3 2" xfId="14979" xr:uid="{C2A5C478-70F9-4E2A-99F5-3DD549969CE9}"/>
    <cellStyle name="Normal 5 3 6 3 4" xfId="10762" xr:uid="{BEE1A6C4-C3AF-4523-B7FD-9B074BAC88C3}"/>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2D3A49A4-11E0-4C49-905E-A809C66A94CE}"/>
    <cellStyle name="Normal 5 3 6 4 2 3" xfId="13320" xr:uid="{BE3B6959-3541-4CD1-86DA-CFD811C199A9}"/>
    <cellStyle name="Normal 5 3 6 4 3" xfId="6066" xr:uid="{00000000-0005-0000-0000-0000981A0000}"/>
    <cellStyle name="Normal 5 3 6 4 3 2" xfId="15392" xr:uid="{34FA0913-7595-4DDA-BDCE-F13092984CCE}"/>
    <cellStyle name="Normal 5 3 6 4 4" xfId="11175" xr:uid="{8D58C395-F4B9-4F26-9B73-B83CE75B207E}"/>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9C21524E-160A-4DC5-94EA-BD34B735DAC9}"/>
    <cellStyle name="Normal 5 3 6 5 2 3" xfId="13733" xr:uid="{6392ADB2-9A93-42B4-A503-53B1909DD742}"/>
    <cellStyle name="Normal 5 3 6 5 3" xfId="6479" xr:uid="{00000000-0005-0000-0000-00009C1A0000}"/>
    <cellStyle name="Normal 5 3 6 5 3 2" xfId="15805" xr:uid="{B1925833-531C-4639-9CF7-2EEABD70EBF6}"/>
    <cellStyle name="Normal 5 3 6 5 4" xfId="11588" xr:uid="{82408C6C-D614-4390-A55E-6C403CAB1EF8}"/>
    <cellStyle name="Normal 5 3 6 6" xfId="2609" xr:uid="{00000000-0005-0000-0000-00009D1A0000}"/>
    <cellStyle name="Normal 5 3 6 6 2" xfId="6892" xr:uid="{00000000-0005-0000-0000-00009E1A0000}"/>
    <cellStyle name="Normal 5 3 6 6 2 2" xfId="16218" xr:uid="{209AE479-FE9D-4558-AA92-52A0DC8B251C}"/>
    <cellStyle name="Normal 5 3 6 6 3" xfId="12001" xr:uid="{331EDBBC-C6A5-43EE-A6E9-5B5196C796A1}"/>
    <cellStyle name="Normal 5 3 6 7" xfId="4827" xr:uid="{00000000-0005-0000-0000-00009F1A0000}"/>
    <cellStyle name="Normal 5 3 6 7 2" xfId="14153" xr:uid="{DF96BCB9-B6E4-4CBA-BBB5-8171F2A187B8}"/>
    <cellStyle name="Normal 5 3 6 8" xfId="8969" xr:uid="{FA7ABEAF-BFEA-4D3E-A53B-E23F3117BFD8}"/>
    <cellStyle name="Normal 5 3 6 9" xfId="9936" xr:uid="{D133B4C4-BEA1-49B1-87F7-29D06F194890}"/>
    <cellStyle name="Normal 5 3 7" xfId="913" xr:uid="{00000000-0005-0000-0000-0000A01A0000}"/>
    <cellStyle name="Normal 5 3 7 2" xfId="3148" xr:uid="{00000000-0005-0000-0000-0000A11A0000}"/>
    <cellStyle name="Normal 5 3 7 2 2" xfId="7370" xr:uid="{00000000-0005-0000-0000-0000A21A0000}"/>
    <cellStyle name="Normal 5 3 7 2 2 2" xfId="16696" xr:uid="{E003C5DF-A61F-4734-AF5A-B3303ADA87A1}"/>
    <cellStyle name="Normal 5 3 7 2 3" xfId="12479" xr:uid="{0EE9CF6F-9F14-4840-9EB4-7790C5BBA183}"/>
    <cellStyle name="Normal 5 3 7 3" xfId="5225" xr:uid="{00000000-0005-0000-0000-0000A31A0000}"/>
    <cellStyle name="Normal 5 3 7 3 2" xfId="14551" xr:uid="{DA3F0321-21CA-4A9A-B146-5ED29291D68A}"/>
    <cellStyle name="Normal 5 3 7 4" xfId="9172" xr:uid="{5609ABAF-B913-41DD-9CCE-B28C6A880815}"/>
    <cellStyle name="Normal 5 3 7 5" xfId="10334" xr:uid="{4FD4235A-7982-4277-A42A-E5704BE35E8C}"/>
    <cellStyle name="Normal 5 3 8" xfId="1331" xr:uid="{00000000-0005-0000-0000-0000A41A0000}"/>
    <cellStyle name="Normal 5 3 8 2" xfId="3561" xr:uid="{00000000-0005-0000-0000-0000A51A0000}"/>
    <cellStyle name="Normal 5 3 8 2 2" xfId="7783" xr:uid="{00000000-0005-0000-0000-0000A61A0000}"/>
    <cellStyle name="Normal 5 3 8 2 2 2" xfId="17109" xr:uid="{10EB2A81-06B7-4293-B81C-E4C067D8DD15}"/>
    <cellStyle name="Normal 5 3 8 2 3" xfId="12892" xr:uid="{6C29D95E-4467-455F-A474-E0C9E9B04D77}"/>
    <cellStyle name="Normal 5 3 8 3" xfId="5638" xr:uid="{00000000-0005-0000-0000-0000A71A0000}"/>
    <cellStyle name="Normal 5 3 8 3 2" xfId="14964" xr:uid="{A5217E4D-1BB1-4534-9AEE-568F53654A54}"/>
    <cellStyle name="Normal 5 3 8 4" xfId="10747" xr:uid="{B183964F-58AF-40D5-AB07-9C1A83D934F7}"/>
    <cellStyle name="Normal 5 3 9" xfId="1744" xr:uid="{00000000-0005-0000-0000-0000A81A0000}"/>
    <cellStyle name="Normal 5 3 9 2" xfId="3974" xr:uid="{00000000-0005-0000-0000-0000A91A0000}"/>
    <cellStyle name="Normal 5 3 9 2 2" xfId="8196" xr:uid="{00000000-0005-0000-0000-0000AA1A0000}"/>
    <cellStyle name="Normal 5 3 9 2 2 2" xfId="17522" xr:uid="{D27012E0-E68D-437A-90B1-EDFE1E5544DF}"/>
    <cellStyle name="Normal 5 3 9 2 3" xfId="13305" xr:uid="{FC40CA7B-BC9C-4E10-85D5-7FCC5ABB3FC6}"/>
    <cellStyle name="Normal 5 3 9 3" xfId="6051" xr:uid="{00000000-0005-0000-0000-0000AB1A0000}"/>
    <cellStyle name="Normal 5 3 9 3 2" xfId="15377" xr:uid="{E0111E5C-1A28-47E5-97DC-3DEB9D7945E9}"/>
    <cellStyle name="Normal 5 3 9 4" xfId="11160" xr:uid="{E4CB622C-7A3E-4DFE-9C04-3F016F96C6A4}"/>
    <cellStyle name="Normal 5 4" xfId="456" xr:uid="{00000000-0005-0000-0000-0000AC1A0000}"/>
    <cellStyle name="Normal 5 4 10" xfId="4828" xr:uid="{00000000-0005-0000-0000-0000AD1A0000}"/>
    <cellStyle name="Normal 5 4 10 2" xfId="14154" xr:uid="{45ABCD11-0036-4B41-A244-59BC8777E8D4}"/>
    <cellStyle name="Normal 5 4 11" xfId="8773" xr:uid="{50472F80-32FD-428C-B078-8DE338D6CA16}"/>
    <cellStyle name="Normal 5 4 12" xfId="9937" xr:uid="{3862A077-41B4-448B-8138-094A128992D7}"/>
    <cellStyle name="Normal 5 4 2" xfId="457" xr:uid="{00000000-0005-0000-0000-0000AE1A0000}"/>
    <cellStyle name="Normal 5 4 2 10" xfId="8833" xr:uid="{6EA55230-8E5B-4EF6-B83C-8DF4202F8C31}"/>
    <cellStyle name="Normal 5 4 2 11" xfId="9938" xr:uid="{86C7005B-5294-4938-B229-0916FEBDBC71}"/>
    <cellStyle name="Normal 5 4 2 2" xfId="458" xr:uid="{00000000-0005-0000-0000-0000AF1A0000}"/>
    <cellStyle name="Normal 5 4 2 2 10" xfId="9939" xr:uid="{1115211B-4368-4908-AC73-6FFF63D75964}"/>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E6BC367F-1392-419B-92E4-CEE0DC1D1D73}"/>
    <cellStyle name="Normal 5 4 2 2 2 2 2 3" xfId="12498" xr:uid="{43827FD7-FD06-44B3-BD27-97BD98463CC4}"/>
    <cellStyle name="Normal 5 4 2 2 2 2 3" xfId="5244" xr:uid="{00000000-0005-0000-0000-0000B41A0000}"/>
    <cellStyle name="Normal 5 4 2 2 2 2 3 2" xfId="14570" xr:uid="{C5524DBB-40AA-4F17-80BC-97DB4CBF7279}"/>
    <cellStyle name="Normal 5 4 2 2 2 2 4" xfId="9568" xr:uid="{C9922021-D284-4633-BD4E-F2DB1197482A}"/>
    <cellStyle name="Normal 5 4 2 2 2 2 5" xfId="10353" xr:uid="{9A18C959-190D-4DE1-B85F-A37600B962AF}"/>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6C226C66-D4BA-4695-81AD-8A8ED7749F04}"/>
    <cellStyle name="Normal 5 4 2 2 2 3 2 3" xfId="12911" xr:uid="{1A5535A2-6CD7-4893-819E-3300F90E904A}"/>
    <cellStyle name="Normal 5 4 2 2 2 3 3" xfId="5657" xr:uid="{00000000-0005-0000-0000-0000B81A0000}"/>
    <cellStyle name="Normal 5 4 2 2 2 3 3 2" xfId="14983" xr:uid="{8FD011DB-DBDA-42B8-B80B-3EAAADF1FA93}"/>
    <cellStyle name="Normal 5 4 2 2 2 3 4" xfId="10766" xr:uid="{88A0944E-6EFB-4B74-AEF1-4BE2B439C1D9}"/>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4007805A-5E98-4AD8-A99A-BFA728D61B72}"/>
    <cellStyle name="Normal 5 4 2 2 2 4 2 3" xfId="13324" xr:uid="{55EE7058-9990-4070-B6CC-A239E26C73B9}"/>
    <cellStyle name="Normal 5 4 2 2 2 4 3" xfId="6070" xr:uid="{00000000-0005-0000-0000-0000BC1A0000}"/>
    <cellStyle name="Normal 5 4 2 2 2 4 3 2" xfId="15396" xr:uid="{6456641C-778A-4656-9B73-DBF2CB4EA197}"/>
    <cellStyle name="Normal 5 4 2 2 2 4 4" xfId="11179" xr:uid="{A3C50098-76C2-4449-922B-C7B086BCB895}"/>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D504112C-8B77-4269-A60D-F4E307DCE9DE}"/>
    <cellStyle name="Normal 5 4 2 2 2 5 2 3" xfId="13737" xr:uid="{ED28E877-56D3-49B5-AA4D-28C84F4DAA5A}"/>
    <cellStyle name="Normal 5 4 2 2 2 5 3" xfId="6483" xr:uid="{00000000-0005-0000-0000-0000C01A0000}"/>
    <cellStyle name="Normal 5 4 2 2 2 5 3 2" xfId="15809" xr:uid="{784E8440-5870-44EA-B8E1-BDC7AFCBCA8D}"/>
    <cellStyle name="Normal 5 4 2 2 2 5 4" xfId="11592" xr:uid="{99A412BB-6B13-4070-919F-44563D6A6603}"/>
    <cellStyle name="Normal 5 4 2 2 2 6" xfId="2613" xr:uid="{00000000-0005-0000-0000-0000C11A0000}"/>
    <cellStyle name="Normal 5 4 2 2 2 6 2" xfId="6896" xr:uid="{00000000-0005-0000-0000-0000C21A0000}"/>
    <cellStyle name="Normal 5 4 2 2 2 6 2 2" xfId="16222" xr:uid="{4B28A32C-08FE-40A4-9903-81E3C0AFE87C}"/>
    <cellStyle name="Normal 5 4 2 2 2 6 3" xfId="12005" xr:uid="{83FF246F-214B-4B78-908E-0188DD0525C0}"/>
    <cellStyle name="Normal 5 4 2 2 2 7" xfId="4831" xr:uid="{00000000-0005-0000-0000-0000C31A0000}"/>
    <cellStyle name="Normal 5 4 2 2 2 7 2" xfId="14157" xr:uid="{62F7C36B-07C1-4BCA-A9F4-6CB79B3ACE43}"/>
    <cellStyle name="Normal 5 4 2 2 2 8" xfId="9143" xr:uid="{C8F15FA9-FDFE-4358-95A8-17B14299B14C}"/>
    <cellStyle name="Normal 5 4 2 2 2 9" xfId="9940" xr:uid="{9A8B0285-2318-4F07-BAB5-EC4496187AAF}"/>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C5F58F15-3177-4719-A318-980C4C83787C}"/>
    <cellStyle name="Normal 5 4 2 2 3 2 3" xfId="12497" xr:uid="{E914D9E6-BC1E-44B6-8065-28CCF35B80F5}"/>
    <cellStyle name="Normal 5 4 2 2 3 3" xfId="5243" xr:uid="{00000000-0005-0000-0000-0000C71A0000}"/>
    <cellStyle name="Normal 5 4 2 2 3 3 2" xfId="14569" xr:uid="{FE87BF59-93BE-4D52-801D-0FEBB726043B}"/>
    <cellStyle name="Normal 5 4 2 2 3 4" xfId="9361" xr:uid="{421F0FC8-8E8F-498F-BD31-B00CB58D5B43}"/>
    <cellStyle name="Normal 5 4 2 2 3 5" xfId="10352" xr:uid="{85E7BFA6-F46F-4F72-827D-767C1A0050E4}"/>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18E57AB5-85AB-413D-BAF2-2F671F18164C}"/>
    <cellStyle name="Normal 5 4 2 2 4 2 3" xfId="12910" xr:uid="{9AFAAC99-CFE2-45FA-86FB-C6B1F4B21C05}"/>
    <cellStyle name="Normal 5 4 2 2 4 3" xfId="5656" xr:uid="{00000000-0005-0000-0000-0000CB1A0000}"/>
    <cellStyle name="Normal 5 4 2 2 4 3 2" xfId="14982" xr:uid="{A0470851-91D3-4CC5-BD98-51879E079EDE}"/>
    <cellStyle name="Normal 5 4 2 2 4 4" xfId="10765" xr:uid="{F358D963-99BC-4A03-A800-24268FFA5174}"/>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F924BDC1-1369-4785-AE9C-3F2D7B7B1334}"/>
    <cellStyle name="Normal 5 4 2 2 5 2 3" xfId="13323" xr:uid="{17DA47EC-25D2-4A06-819C-24E1E819AAC6}"/>
    <cellStyle name="Normal 5 4 2 2 5 3" xfId="6069" xr:uid="{00000000-0005-0000-0000-0000CF1A0000}"/>
    <cellStyle name="Normal 5 4 2 2 5 3 2" xfId="15395" xr:uid="{86D6886C-DD98-402D-90AB-6907C87F1415}"/>
    <cellStyle name="Normal 5 4 2 2 5 4" xfId="11178" xr:uid="{6C7CDA63-4370-4419-A49E-A45C1251147E}"/>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99A058DA-DB65-46E1-8FC6-DE173449CC99}"/>
    <cellStyle name="Normal 5 4 2 2 6 2 3" xfId="13736" xr:uid="{9EF4E113-CE4A-4035-9220-FEE69439091F}"/>
    <cellStyle name="Normal 5 4 2 2 6 3" xfId="6482" xr:uid="{00000000-0005-0000-0000-0000D31A0000}"/>
    <cellStyle name="Normal 5 4 2 2 6 3 2" xfId="15808" xr:uid="{0AA8D597-EB29-4E72-988B-8CFA49EFB6F6}"/>
    <cellStyle name="Normal 5 4 2 2 6 4" xfId="11591" xr:uid="{CD184D37-BE16-43D0-85F5-321471637654}"/>
    <cellStyle name="Normal 5 4 2 2 7" xfId="2612" xr:uid="{00000000-0005-0000-0000-0000D41A0000}"/>
    <cellStyle name="Normal 5 4 2 2 7 2" xfId="6895" xr:uid="{00000000-0005-0000-0000-0000D51A0000}"/>
    <cellStyle name="Normal 5 4 2 2 7 2 2" xfId="16221" xr:uid="{28186844-5CD7-4C45-BD5F-AF7FE48095DE}"/>
    <cellStyle name="Normal 5 4 2 2 7 3" xfId="12004" xr:uid="{FC618BE8-59A5-44B5-A355-8EAA412A2826}"/>
    <cellStyle name="Normal 5 4 2 2 8" xfId="4830" xr:uid="{00000000-0005-0000-0000-0000D61A0000}"/>
    <cellStyle name="Normal 5 4 2 2 8 2" xfId="14156" xr:uid="{7A3F05E8-58CD-45E5-98A7-57F28D46C998}"/>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EEDE1871-259B-4EAF-ADD3-DC62971EC6D0}"/>
    <cellStyle name="Normal 5 4 2 3 2 2 3" xfId="12499" xr:uid="{00FA7FC3-5017-45F0-8782-F66865191D26}"/>
    <cellStyle name="Normal 5 4 2 3 2 3" xfId="5245" xr:uid="{00000000-0005-0000-0000-0000DB1A0000}"/>
    <cellStyle name="Normal 5 4 2 3 2 3 2" xfId="14571" xr:uid="{A48E88DE-EC1F-420E-9540-36FA5D4836D8}"/>
    <cellStyle name="Normal 5 4 2 3 2 4" xfId="9465" xr:uid="{B8459C73-266B-467B-A163-FFDFF015A460}"/>
    <cellStyle name="Normal 5 4 2 3 2 5" xfId="10354" xr:uid="{46FFFC78-9A87-4620-8141-C3C591F50CF6}"/>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51422A60-79DB-4F85-B5F9-9FC137D44466}"/>
    <cellStyle name="Normal 5 4 2 3 3 2 3" xfId="12912" xr:uid="{B2DD09E1-12C0-4043-88FD-6F5F93965CB0}"/>
    <cellStyle name="Normal 5 4 2 3 3 3" xfId="5658" xr:uid="{00000000-0005-0000-0000-0000DF1A0000}"/>
    <cellStyle name="Normal 5 4 2 3 3 3 2" xfId="14984" xr:uid="{67DDAB4A-4815-47DA-B46C-E57066FD4758}"/>
    <cellStyle name="Normal 5 4 2 3 3 4" xfId="10767" xr:uid="{8546B44C-F9AD-4CD0-A508-AE807789A5B7}"/>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429CF069-9953-4009-B440-DB1A42660783}"/>
    <cellStyle name="Normal 5 4 2 3 4 2 3" xfId="13325" xr:uid="{57FE8EA3-3957-4FF2-8EDA-DE773B43745E}"/>
    <cellStyle name="Normal 5 4 2 3 4 3" xfId="6071" xr:uid="{00000000-0005-0000-0000-0000E31A0000}"/>
    <cellStyle name="Normal 5 4 2 3 4 3 2" xfId="15397" xr:uid="{97726F3A-0830-4681-8A1F-C4398EED41DC}"/>
    <cellStyle name="Normal 5 4 2 3 4 4" xfId="11180" xr:uid="{F47EBD0D-8BB3-4FAB-A703-015120A67E1F}"/>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C3E90FC0-CF8C-4FE4-833C-822AB6F1F56F}"/>
    <cellStyle name="Normal 5 4 2 3 5 2 3" xfId="13738" xr:uid="{097294F9-EEEC-4497-B38A-90BA06D7699F}"/>
    <cellStyle name="Normal 5 4 2 3 5 3" xfId="6484" xr:uid="{00000000-0005-0000-0000-0000E71A0000}"/>
    <cellStyle name="Normal 5 4 2 3 5 3 2" xfId="15810" xr:uid="{06E3E6C1-3516-4425-8183-E88F5474C184}"/>
    <cellStyle name="Normal 5 4 2 3 5 4" xfId="11593" xr:uid="{6A544A23-B876-4385-9295-28CD77B93C82}"/>
    <cellStyle name="Normal 5 4 2 3 6" xfId="2614" xr:uid="{00000000-0005-0000-0000-0000E81A0000}"/>
    <cellStyle name="Normal 5 4 2 3 6 2" xfId="6897" xr:uid="{00000000-0005-0000-0000-0000E91A0000}"/>
    <cellStyle name="Normal 5 4 2 3 6 2 2" xfId="16223" xr:uid="{404D422C-D254-4A0B-955F-243F23FF49E1}"/>
    <cellStyle name="Normal 5 4 2 3 6 3" xfId="12006" xr:uid="{E199BFEC-89D3-4431-91EF-833D7FF1E2CE}"/>
    <cellStyle name="Normal 5 4 2 3 7" xfId="4832" xr:uid="{00000000-0005-0000-0000-0000EA1A0000}"/>
    <cellStyle name="Normal 5 4 2 3 7 2" xfId="14158" xr:uid="{4776C58A-3D82-40EA-8C49-875E45D517D0}"/>
    <cellStyle name="Normal 5 4 2 3 8" xfId="9040" xr:uid="{D68CAB17-BB41-4D9B-AA76-76FE511392DC}"/>
    <cellStyle name="Normal 5 4 2 3 9" xfId="9941" xr:uid="{D13EFEF6-027F-4A85-9221-53FCFDE7C529}"/>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ADBBEDB4-7D50-4AA9-AD13-E255B2FE82FE}"/>
    <cellStyle name="Normal 5 4 2 4 2 3" xfId="12496" xr:uid="{1659CC81-33E2-4416-B499-56C4BE0B2BCE}"/>
    <cellStyle name="Normal 5 4 2 4 3" xfId="5242" xr:uid="{00000000-0005-0000-0000-0000EE1A0000}"/>
    <cellStyle name="Normal 5 4 2 4 3 2" xfId="14568" xr:uid="{22FAEF2E-68A8-4458-AD67-87F46AFA8818}"/>
    <cellStyle name="Normal 5 4 2 4 4" xfId="9258" xr:uid="{971C48A9-8200-405B-A9BE-B3AFD2CDDA76}"/>
    <cellStyle name="Normal 5 4 2 4 5" xfId="10351" xr:uid="{2E904CF6-E6CB-48BE-9209-E77CD86552DC}"/>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FEBD3BC5-D21A-4080-99F2-69C9D27232EF}"/>
    <cellStyle name="Normal 5 4 2 5 2 3" xfId="12909" xr:uid="{890A03C2-24A5-4391-BC4C-AEF645B2D239}"/>
    <cellStyle name="Normal 5 4 2 5 3" xfId="5655" xr:uid="{00000000-0005-0000-0000-0000F21A0000}"/>
    <cellStyle name="Normal 5 4 2 5 3 2" xfId="14981" xr:uid="{FC94F6FD-AFEC-4D6E-8519-1394B85AFC1E}"/>
    <cellStyle name="Normal 5 4 2 5 4" xfId="10764" xr:uid="{5BABA025-2E93-4B02-A6C4-BA1A0C224CE2}"/>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FDE2EB92-53AE-4F97-BE0F-12B5CD5C1D69}"/>
    <cellStyle name="Normal 5 4 2 6 2 3" xfId="13322" xr:uid="{3AE98571-D37E-4E0B-B019-77B8106B70AB}"/>
    <cellStyle name="Normal 5 4 2 6 3" xfId="6068" xr:uid="{00000000-0005-0000-0000-0000F61A0000}"/>
    <cellStyle name="Normal 5 4 2 6 3 2" xfId="15394" xr:uid="{ECA31499-D958-4728-B03E-3811E69105F6}"/>
    <cellStyle name="Normal 5 4 2 6 4" xfId="11177" xr:uid="{F5294913-C824-431D-B135-52BA8D5A5CF8}"/>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31CA9804-3E6D-4DAB-8D6C-3DFF90FC8270}"/>
    <cellStyle name="Normal 5 4 2 7 2 3" xfId="13735" xr:uid="{818856EC-40B1-4133-95F3-974B595C305F}"/>
    <cellStyle name="Normal 5 4 2 7 3" xfId="6481" xr:uid="{00000000-0005-0000-0000-0000FA1A0000}"/>
    <cellStyle name="Normal 5 4 2 7 3 2" xfId="15807" xr:uid="{7F38E974-BA33-416B-A96D-672EBB4C90FE}"/>
    <cellStyle name="Normal 5 4 2 7 4" xfId="11590" xr:uid="{84C85361-50B1-4935-918F-89FC26E1DBFD}"/>
    <cellStyle name="Normal 5 4 2 8" xfId="2611" xr:uid="{00000000-0005-0000-0000-0000FB1A0000}"/>
    <cellStyle name="Normal 5 4 2 8 2" xfId="6894" xr:uid="{00000000-0005-0000-0000-0000FC1A0000}"/>
    <cellStyle name="Normal 5 4 2 8 2 2" xfId="16220" xr:uid="{6945D7CC-F4F2-44FB-BFF9-66865B460708}"/>
    <cellStyle name="Normal 5 4 2 8 3" xfId="12003" xr:uid="{53A12BB8-2AD9-4663-8595-7EB13A0E72A2}"/>
    <cellStyle name="Normal 5 4 2 9" xfId="4829" xr:uid="{00000000-0005-0000-0000-0000FD1A0000}"/>
    <cellStyle name="Normal 5 4 2 9 2" xfId="14155" xr:uid="{7E62CFC5-C900-4A42-8E47-11AAA8A9AF26}"/>
    <cellStyle name="Normal 5 4 3" xfId="461" xr:uid="{00000000-0005-0000-0000-0000FE1A0000}"/>
    <cellStyle name="Normal 5 4 3 10" xfId="9942" xr:uid="{0ADDCF26-3581-4CA7-934F-6A86BD8B5BCC}"/>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80CD8B9D-C41B-4BA8-AFF7-FB533E4F3D14}"/>
    <cellStyle name="Normal 5 4 3 2 2 2 3" xfId="12501" xr:uid="{DD32A07C-62FC-431B-B667-22CF3EE6374F}"/>
    <cellStyle name="Normal 5 4 3 2 2 3" xfId="5247" xr:uid="{00000000-0005-0000-0000-0000031B0000}"/>
    <cellStyle name="Normal 5 4 3 2 2 3 2" xfId="14573" xr:uid="{903D0FCA-61D3-4459-A553-30888510E50B}"/>
    <cellStyle name="Normal 5 4 3 2 2 4" xfId="9508" xr:uid="{1F9B5A8F-2A45-43C5-9422-E8BC84424A55}"/>
    <cellStyle name="Normal 5 4 3 2 2 5" xfId="10356" xr:uid="{2D126491-50E1-450D-8E03-A77B77D7BDF3}"/>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83CB3069-5308-4E8F-8FC4-B03E1E0B78C0}"/>
    <cellStyle name="Normal 5 4 3 2 3 2 3" xfId="12914" xr:uid="{34AEB32D-BBDD-4B25-A884-0A30E1E786AB}"/>
    <cellStyle name="Normal 5 4 3 2 3 3" xfId="5660" xr:uid="{00000000-0005-0000-0000-0000071B0000}"/>
    <cellStyle name="Normal 5 4 3 2 3 3 2" xfId="14986" xr:uid="{552D734B-9431-4D6F-AC7E-0060CBFB9B9C}"/>
    <cellStyle name="Normal 5 4 3 2 3 4" xfId="10769" xr:uid="{5B565DEA-52D5-4F5A-85F2-917BBEE3E291}"/>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097C8C48-B970-4818-86A1-98A51A195AF6}"/>
    <cellStyle name="Normal 5 4 3 2 4 2 3" xfId="13327" xr:uid="{C044ABF0-DBD4-4008-8B43-78093564849B}"/>
    <cellStyle name="Normal 5 4 3 2 4 3" xfId="6073" xr:uid="{00000000-0005-0000-0000-00000B1B0000}"/>
    <cellStyle name="Normal 5 4 3 2 4 3 2" xfId="15399" xr:uid="{31C5A638-0C9F-45F9-BACA-F1A0F12EF1BD}"/>
    <cellStyle name="Normal 5 4 3 2 4 4" xfId="11182" xr:uid="{941F5C3C-B52F-449F-BEB1-FF799288DC17}"/>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019D57E9-FEEA-4B42-A11E-755DE54D1233}"/>
    <cellStyle name="Normal 5 4 3 2 5 2 3" xfId="13740" xr:uid="{3AD1CCEB-EF0A-495E-972D-A949635C2DF2}"/>
    <cellStyle name="Normal 5 4 3 2 5 3" xfId="6486" xr:uid="{00000000-0005-0000-0000-00000F1B0000}"/>
    <cellStyle name="Normal 5 4 3 2 5 3 2" xfId="15812" xr:uid="{A392DC60-75AB-42E0-AB99-405D621B6651}"/>
    <cellStyle name="Normal 5 4 3 2 5 4" xfId="11595" xr:uid="{1E2E101F-2155-4DAC-B25B-FA2F7937EFDF}"/>
    <cellStyle name="Normal 5 4 3 2 6" xfId="2616" xr:uid="{00000000-0005-0000-0000-0000101B0000}"/>
    <cellStyle name="Normal 5 4 3 2 6 2" xfId="6899" xr:uid="{00000000-0005-0000-0000-0000111B0000}"/>
    <cellStyle name="Normal 5 4 3 2 6 2 2" xfId="16225" xr:uid="{BDEFCC6B-15F4-4476-A7AA-E8EA676F3DA8}"/>
    <cellStyle name="Normal 5 4 3 2 6 3" xfId="12008" xr:uid="{46E4C91C-15AE-45AA-896D-761FEEFBBF02}"/>
    <cellStyle name="Normal 5 4 3 2 7" xfId="4834" xr:uid="{00000000-0005-0000-0000-0000121B0000}"/>
    <cellStyle name="Normal 5 4 3 2 7 2" xfId="14160" xr:uid="{B86F8B86-5B83-4F95-9683-5D14EE450A9A}"/>
    <cellStyle name="Normal 5 4 3 2 8" xfId="9083" xr:uid="{206384C8-6AD8-4D28-8F99-3033A80D68FC}"/>
    <cellStyle name="Normal 5 4 3 2 9" xfId="9943" xr:uid="{D7CD24ED-B142-4A8D-88C1-3A2AB7F5C764}"/>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7E78CC38-6789-4667-B855-C87587240147}"/>
    <cellStyle name="Normal 5 4 3 3 2 3" xfId="12500" xr:uid="{699765A1-DF63-4959-8F7F-F478546B47BA}"/>
    <cellStyle name="Normal 5 4 3 3 3" xfId="5246" xr:uid="{00000000-0005-0000-0000-0000161B0000}"/>
    <cellStyle name="Normal 5 4 3 3 3 2" xfId="14572" xr:uid="{37EA0075-07DC-4D07-8A56-7E4FD3CEB0EC}"/>
    <cellStyle name="Normal 5 4 3 3 4" xfId="9301" xr:uid="{CB02BBE7-2E3D-4C67-A62E-BA84DE882039}"/>
    <cellStyle name="Normal 5 4 3 3 5" xfId="10355" xr:uid="{6F25A57E-BCC5-4FAB-BAB5-206F20C52654}"/>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965EE4D2-14AF-45BB-B64A-38AD4257D918}"/>
    <cellStyle name="Normal 5 4 3 4 2 3" xfId="12913" xr:uid="{F7D214A3-F785-4EA6-B60A-82CC693123F6}"/>
    <cellStyle name="Normal 5 4 3 4 3" xfId="5659" xr:uid="{00000000-0005-0000-0000-00001A1B0000}"/>
    <cellStyle name="Normal 5 4 3 4 3 2" xfId="14985" xr:uid="{D71C3E03-76BC-4EAF-A547-937EA4632E33}"/>
    <cellStyle name="Normal 5 4 3 4 4" xfId="10768" xr:uid="{3E9E813D-8F00-4C63-B494-A2DA1F4A0D42}"/>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9FD1C0DB-E535-4BFD-A926-7AC14F0E1DF6}"/>
    <cellStyle name="Normal 5 4 3 5 2 3" xfId="13326" xr:uid="{10CAED7C-A880-47E8-9656-12B7EA5A6F5F}"/>
    <cellStyle name="Normal 5 4 3 5 3" xfId="6072" xr:uid="{00000000-0005-0000-0000-00001E1B0000}"/>
    <cellStyle name="Normal 5 4 3 5 3 2" xfId="15398" xr:uid="{922BC757-7591-4DA2-A891-954235E86F98}"/>
    <cellStyle name="Normal 5 4 3 5 4" xfId="11181" xr:uid="{BF508C38-4FD8-4D7B-A015-2F02E4114E9E}"/>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BD8F4A2F-B618-477C-84F0-1CA07805AD81}"/>
    <cellStyle name="Normal 5 4 3 6 2 3" xfId="13739" xr:uid="{44161F7A-EA71-404B-BC7D-016BD5F2CA4A}"/>
    <cellStyle name="Normal 5 4 3 6 3" xfId="6485" xr:uid="{00000000-0005-0000-0000-0000221B0000}"/>
    <cellStyle name="Normal 5 4 3 6 3 2" xfId="15811" xr:uid="{6D5A13BD-F8A8-42D1-9C55-AA91940EF27D}"/>
    <cellStyle name="Normal 5 4 3 6 4" xfId="11594" xr:uid="{F7867185-01F5-4525-B6E9-C884E9D8423A}"/>
    <cellStyle name="Normal 5 4 3 7" xfId="2615" xr:uid="{00000000-0005-0000-0000-0000231B0000}"/>
    <cellStyle name="Normal 5 4 3 7 2" xfId="6898" xr:uid="{00000000-0005-0000-0000-0000241B0000}"/>
    <cellStyle name="Normal 5 4 3 7 2 2" xfId="16224" xr:uid="{695EAD9E-682D-4F46-B188-C07B4469A03F}"/>
    <cellStyle name="Normal 5 4 3 7 3" xfId="12007" xr:uid="{18DA2AA2-0EB9-4DEF-8746-616FD0C6876E}"/>
    <cellStyle name="Normal 5 4 3 8" xfId="4833" xr:uid="{00000000-0005-0000-0000-0000251B0000}"/>
    <cellStyle name="Normal 5 4 3 8 2" xfId="14159" xr:uid="{2411BA95-6A58-475D-A2A0-65BF60528552}"/>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7061A492-2325-45E0-AC1D-29AD4DD474AB}"/>
    <cellStyle name="Normal 5 4 4 2 2 3" xfId="12502" xr:uid="{C90D9D6D-2374-4076-8644-B0543C0CCA6D}"/>
    <cellStyle name="Normal 5 4 4 2 3" xfId="5248" xr:uid="{00000000-0005-0000-0000-00002A1B0000}"/>
    <cellStyle name="Normal 5 4 4 2 3 2" xfId="14574" xr:uid="{52BAE8C9-2FF3-4468-9E87-5A17D6F9907E}"/>
    <cellStyle name="Normal 5 4 4 2 4" xfId="9405" xr:uid="{F05DE0DC-A0AA-4CEB-9ABC-0D70F781B819}"/>
    <cellStyle name="Normal 5 4 4 2 5" xfId="10357" xr:uid="{F72AF795-BDBB-46B9-B631-42227B5E0F08}"/>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A76E0D57-D9AE-4190-92D2-F1FA0313F093}"/>
    <cellStyle name="Normal 5 4 4 3 2 3" xfId="12915" xr:uid="{241A31D1-2550-4837-ACE9-6557AC1CA25A}"/>
    <cellStyle name="Normal 5 4 4 3 3" xfId="5661" xr:uid="{00000000-0005-0000-0000-00002E1B0000}"/>
    <cellStyle name="Normal 5 4 4 3 3 2" xfId="14987" xr:uid="{C1C4F031-D47B-46BA-95C0-F5106B4DF30B}"/>
    <cellStyle name="Normal 5 4 4 3 4" xfId="10770" xr:uid="{EED82630-C091-44DE-8023-91B085D326C6}"/>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0D79E9FD-C108-40D9-A219-10EA8D6FA5AA}"/>
    <cellStyle name="Normal 5 4 4 4 2 3" xfId="13328" xr:uid="{F5A15E7A-60CC-48BB-974C-FA301AE9004C}"/>
    <cellStyle name="Normal 5 4 4 4 3" xfId="6074" xr:uid="{00000000-0005-0000-0000-0000321B0000}"/>
    <cellStyle name="Normal 5 4 4 4 3 2" xfId="15400" xr:uid="{3A6B12B1-A3B9-4325-B5F7-208440AFDD49}"/>
    <cellStyle name="Normal 5 4 4 4 4" xfId="11183" xr:uid="{FEE1AA0D-1A1A-4EAD-ACAF-A30B7F7D2A0A}"/>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1D3D16E4-697F-43F3-A265-EA9E1B30EB16}"/>
    <cellStyle name="Normal 5 4 4 5 2 3" xfId="13741" xr:uid="{EC31EACD-900D-460D-BA69-7D68AF8E1699}"/>
    <cellStyle name="Normal 5 4 4 5 3" xfId="6487" xr:uid="{00000000-0005-0000-0000-0000361B0000}"/>
    <cellStyle name="Normal 5 4 4 5 3 2" xfId="15813" xr:uid="{7A065E2E-DDE2-4815-8E82-1E817A90FB3E}"/>
    <cellStyle name="Normal 5 4 4 5 4" xfId="11596" xr:uid="{BE5980C6-3E12-4256-95C9-BC1E60C2445E}"/>
    <cellStyle name="Normal 5 4 4 6" xfId="2617" xr:uid="{00000000-0005-0000-0000-0000371B0000}"/>
    <cellStyle name="Normal 5 4 4 6 2" xfId="6900" xr:uid="{00000000-0005-0000-0000-0000381B0000}"/>
    <cellStyle name="Normal 5 4 4 6 2 2" xfId="16226" xr:uid="{74E469CD-A3B4-428C-935F-EFD6C6EFE861}"/>
    <cellStyle name="Normal 5 4 4 6 3" xfId="12009" xr:uid="{A4F58349-09DF-4AA4-9566-E4CA31B38C60}"/>
    <cellStyle name="Normal 5 4 4 7" xfId="4835" xr:uid="{00000000-0005-0000-0000-0000391B0000}"/>
    <cellStyle name="Normal 5 4 4 7 2" xfId="14161" xr:uid="{E428C137-019A-4932-AD8F-E29B12BE220F}"/>
    <cellStyle name="Normal 5 4 4 8" xfId="8980" xr:uid="{B1DB48A4-94CB-4CC2-8D4B-8FD478363D48}"/>
    <cellStyle name="Normal 5 4 4 9" xfId="9944" xr:uid="{AE145D1C-7401-4F7E-A9A1-B437D30A65C8}"/>
    <cellStyle name="Normal 5 4 5" xfId="930" xr:uid="{00000000-0005-0000-0000-00003A1B0000}"/>
    <cellStyle name="Normal 5 4 5 2" xfId="3164" xr:uid="{00000000-0005-0000-0000-00003B1B0000}"/>
    <cellStyle name="Normal 5 4 5 2 2" xfId="7386" xr:uid="{00000000-0005-0000-0000-00003C1B0000}"/>
    <cellStyle name="Normal 5 4 5 2 2 2" xfId="16712" xr:uid="{74732192-ECC2-4443-B21F-527163B67EFE}"/>
    <cellStyle name="Normal 5 4 5 2 3" xfId="12495" xr:uid="{F80210ED-6C0B-43B9-B993-F66ADDA77934}"/>
    <cellStyle name="Normal 5 4 5 3" xfId="5241" xr:uid="{00000000-0005-0000-0000-00003D1B0000}"/>
    <cellStyle name="Normal 5 4 5 3 2" xfId="14567" xr:uid="{82459E6B-A7CB-45B2-B37D-3C1A9204A106}"/>
    <cellStyle name="Normal 5 4 5 4" xfId="9197" xr:uid="{44FF0EFB-444B-4C40-B695-8C256ADB5563}"/>
    <cellStyle name="Normal 5 4 5 5" xfId="10350" xr:uid="{2AA18BF7-ED48-438C-A7D1-5C99109AF25C}"/>
    <cellStyle name="Normal 5 4 6" xfId="1347" xr:uid="{00000000-0005-0000-0000-00003E1B0000}"/>
    <cellStyle name="Normal 5 4 6 2" xfId="3577" xr:uid="{00000000-0005-0000-0000-00003F1B0000}"/>
    <cellStyle name="Normal 5 4 6 2 2" xfId="7799" xr:uid="{00000000-0005-0000-0000-0000401B0000}"/>
    <cellStyle name="Normal 5 4 6 2 2 2" xfId="17125" xr:uid="{BB0C379C-27DB-411F-810E-BC73E84A0D96}"/>
    <cellStyle name="Normal 5 4 6 2 3" xfId="12908" xr:uid="{37BA93C9-963B-4083-A4FF-A2BBB4D0362F}"/>
    <cellStyle name="Normal 5 4 6 3" xfId="5654" xr:uid="{00000000-0005-0000-0000-0000411B0000}"/>
    <cellStyle name="Normal 5 4 6 3 2" xfId="14980" xr:uid="{AE41E71A-6B28-418B-93EE-E4E6A1393CB6}"/>
    <cellStyle name="Normal 5 4 6 4" xfId="10763" xr:uid="{65246068-FBB5-4F71-AD73-CF253E4025C6}"/>
    <cellStyle name="Normal 5 4 7" xfId="1760" xr:uid="{00000000-0005-0000-0000-0000421B0000}"/>
    <cellStyle name="Normal 5 4 7 2" xfId="3990" xr:uid="{00000000-0005-0000-0000-0000431B0000}"/>
    <cellStyle name="Normal 5 4 7 2 2" xfId="8212" xr:uid="{00000000-0005-0000-0000-0000441B0000}"/>
    <cellStyle name="Normal 5 4 7 2 2 2" xfId="17538" xr:uid="{6D895E34-0C27-4065-A142-E165B19D06A6}"/>
    <cellStyle name="Normal 5 4 7 2 3" xfId="13321" xr:uid="{A96F3503-7176-4351-8D36-CD234894F348}"/>
    <cellStyle name="Normal 5 4 7 3" xfId="6067" xr:uid="{00000000-0005-0000-0000-0000451B0000}"/>
    <cellStyle name="Normal 5 4 7 3 2" xfId="15393" xr:uid="{87A30421-A82A-4E9E-9D71-59E4C8782D91}"/>
    <cellStyle name="Normal 5 4 7 4" xfId="11176" xr:uid="{B942F562-A9EF-4F84-9377-F99B1C1DC4C9}"/>
    <cellStyle name="Normal 5 4 8" xfId="2174" xr:uid="{00000000-0005-0000-0000-0000461B0000}"/>
    <cellStyle name="Normal 5 4 8 2" xfId="4403" xr:uid="{00000000-0005-0000-0000-0000471B0000}"/>
    <cellStyle name="Normal 5 4 8 2 2" xfId="8625" xr:uid="{00000000-0005-0000-0000-0000481B0000}"/>
    <cellStyle name="Normal 5 4 8 2 2 2" xfId="17951" xr:uid="{80131320-F774-4BA0-98FE-051B07B0EBA5}"/>
    <cellStyle name="Normal 5 4 8 2 3" xfId="13734" xr:uid="{26D82C2C-6604-462C-87DD-2E712A588B60}"/>
    <cellStyle name="Normal 5 4 8 3" xfId="6480" xr:uid="{00000000-0005-0000-0000-0000491B0000}"/>
    <cellStyle name="Normal 5 4 8 3 2" xfId="15806" xr:uid="{E5A77263-894A-46A8-BA57-82C9050CD09C}"/>
    <cellStyle name="Normal 5 4 8 4" xfId="11589" xr:uid="{67086338-BA83-4605-BAC7-594BE91D45D4}"/>
    <cellStyle name="Normal 5 4 9" xfId="2610" xr:uid="{00000000-0005-0000-0000-00004A1B0000}"/>
    <cellStyle name="Normal 5 4 9 2" xfId="6893" xr:uid="{00000000-0005-0000-0000-00004B1B0000}"/>
    <cellStyle name="Normal 5 4 9 2 2" xfId="16219" xr:uid="{58C3FF0E-FD5E-487D-8D8A-4575B07FB142}"/>
    <cellStyle name="Normal 5 4 9 3" xfId="12002" xr:uid="{67D29580-A298-4BFA-A294-B0D5E3373D42}"/>
    <cellStyle name="Normal 5 5" xfId="464" xr:uid="{00000000-0005-0000-0000-00004C1B0000}"/>
    <cellStyle name="Normal 5 5 10" xfId="8826" xr:uid="{5746674A-546A-44BF-97FB-6D298BF3AD61}"/>
    <cellStyle name="Normal 5 5 11" xfId="9945" xr:uid="{25AC4646-A325-49B0-B9A3-69642D0CAC2C}"/>
    <cellStyle name="Normal 5 5 2" xfId="465" xr:uid="{00000000-0005-0000-0000-00004D1B0000}"/>
    <cellStyle name="Normal 5 5 2 10" xfId="9946" xr:uid="{5100467E-9E5A-4535-AEE9-387B47488685}"/>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AE9FA165-DBE3-4628-B9C9-4981A23E9E68}"/>
    <cellStyle name="Normal 5 5 2 2 2 2 3" xfId="12505" xr:uid="{582BED4B-AB3F-4B0C-9403-FBD9EFAEE1EF}"/>
    <cellStyle name="Normal 5 5 2 2 2 3" xfId="5251" xr:uid="{00000000-0005-0000-0000-0000521B0000}"/>
    <cellStyle name="Normal 5 5 2 2 2 3 2" xfId="14577" xr:uid="{12F38C5B-3372-46F7-A7B4-68DFE995DE54}"/>
    <cellStyle name="Normal 5 5 2 2 2 4" xfId="9561" xr:uid="{FF1EB4DD-E23E-4228-816B-D59B021F724D}"/>
    <cellStyle name="Normal 5 5 2 2 2 5" xfId="10360" xr:uid="{BA7CF348-1DF5-411E-9E75-50CB6BAF3390}"/>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F51386F0-2AA4-48B6-B445-8ABCE39EFF73}"/>
    <cellStyle name="Normal 5 5 2 2 3 2 3" xfId="12918" xr:uid="{C56AD336-5CB2-4351-AAB1-F6546FE78CE7}"/>
    <cellStyle name="Normal 5 5 2 2 3 3" xfId="5664" xr:uid="{00000000-0005-0000-0000-0000561B0000}"/>
    <cellStyle name="Normal 5 5 2 2 3 3 2" xfId="14990" xr:uid="{241D5DD8-8D3C-4088-9028-09A225D469F5}"/>
    <cellStyle name="Normal 5 5 2 2 3 4" xfId="10773" xr:uid="{FA1C6EB9-86E1-41B1-9937-C079584A5FAB}"/>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9CC377AA-D1B4-4611-A96C-AE7CC086529C}"/>
    <cellStyle name="Normal 5 5 2 2 4 2 3" xfId="13331" xr:uid="{3105BC19-5418-46E1-840B-67A4F08C6715}"/>
    <cellStyle name="Normal 5 5 2 2 4 3" xfId="6077" xr:uid="{00000000-0005-0000-0000-00005A1B0000}"/>
    <cellStyle name="Normal 5 5 2 2 4 3 2" xfId="15403" xr:uid="{EF97AE84-29D2-4729-B6C3-6A0E2B2F0FB9}"/>
    <cellStyle name="Normal 5 5 2 2 4 4" xfId="11186" xr:uid="{EDF7A0AD-A9F3-4C23-8E30-C0BC4CF9AC9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860DAFA2-DB87-471A-B824-43A2E2CA43D6}"/>
    <cellStyle name="Normal 5 5 2 2 5 2 3" xfId="13744" xr:uid="{639958A2-987F-496B-8869-8022E669156D}"/>
    <cellStyle name="Normal 5 5 2 2 5 3" xfId="6490" xr:uid="{00000000-0005-0000-0000-00005E1B0000}"/>
    <cellStyle name="Normal 5 5 2 2 5 3 2" xfId="15816" xr:uid="{185B44A8-83D6-40EC-8DF0-FD78ED4A1CB4}"/>
    <cellStyle name="Normal 5 5 2 2 5 4" xfId="11599" xr:uid="{EC9DF77B-8F3F-43BF-A66B-D51571EC1CD2}"/>
    <cellStyle name="Normal 5 5 2 2 6" xfId="2620" xr:uid="{00000000-0005-0000-0000-00005F1B0000}"/>
    <cellStyle name="Normal 5 5 2 2 6 2" xfId="6903" xr:uid="{00000000-0005-0000-0000-0000601B0000}"/>
    <cellStyle name="Normal 5 5 2 2 6 2 2" xfId="16229" xr:uid="{1967A85A-F80D-4F68-B714-956BD38B4807}"/>
    <cellStyle name="Normal 5 5 2 2 6 3" xfId="12012" xr:uid="{B7E8F2DF-F9C8-466B-ACC1-CFC21A3EDC28}"/>
    <cellStyle name="Normal 5 5 2 2 7" xfId="4838" xr:uid="{00000000-0005-0000-0000-0000611B0000}"/>
    <cellStyle name="Normal 5 5 2 2 7 2" xfId="14164" xr:uid="{913A8050-F0F3-4BF1-A9BF-0E1D440AFC5F}"/>
    <cellStyle name="Normal 5 5 2 2 8" xfId="9136" xr:uid="{D41453B5-3BE6-4F01-B336-45A274529844}"/>
    <cellStyle name="Normal 5 5 2 2 9" xfId="9947" xr:uid="{337A7D6F-9F46-4BA7-9B06-1E579C03A071}"/>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E16BE0AE-3061-4295-B395-D0E7F47138A4}"/>
    <cellStyle name="Normal 5 5 2 3 2 3" xfId="12504" xr:uid="{F846404A-5B95-418D-86A0-C8BD2DA7E081}"/>
    <cellStyle name="Normal 5 5 2 3 3" xfId="5250" xr:uid="{00000000-0005-0000-0000-0000651B0000}"/>
    <cellStyle name="Normal 5 5 2 3 3 2" xfId="14576" xr:uid="{E6C8BC95-A228-4062-BEC1-1050B24906D7}"/>
    <cellStyle name="Normal 5 5 2 3 4" xfId="9354" xr:uid="{3251F49D-E700-469D-9840-28045D408641}"/>
    <cellStyle name="Normal 5 5 2 3 5" xfId="10359" xr:uid="{4C7A0499-D03A-4F31-9F9E-1E5B811A02AF}"/>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F5D1381E-87CB-4163-81EA-6AC904F3FE66}"/>
    <cellStyle name="Normal 5 5 2 4 2 3" xfId="12917" xr:uid="{894E6125-2D3F-4D1A-9665-138CACA0D523}"/>
    <cellStyle name="Normal 5 5 2 4 3" xfId="5663" xr:uid="{00000000-0005-0000-0000-0000691B0000}"/>
    <cellStyle name="Normal 5 5 2 4 3 2" xfId="14989" xr:uid="{5440ECAD-3ADF-45A2-A78A-FFF319060A85}"/>
    <cellStyle name="Normal 5 5 2 4 4" xfId="10772" xr:uid="{244F1484-F980-4FFB-9E59-0D8D7EB52B4E}"/>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2E0DA2D6-A693-4097-AD81-709549DF408F}"/>
    <cellStyle name="Normal 5 5 2 5 2 3" xfId="13330" xr:uid="{81F9C67D-40BA-42C2-98A3-D6BDB187CC89}"/>
    <cellStyle name="Normal 5 5 2 5 3" xfId="6076" xr:uid="{00000000-0005-0000-0000-00006D1B0000}"/>
    <cellStyle name="Normal 5 5 2 5 3 2" xfId="15402" xr:uid="{E05CEC47-4C4A-46D2-8237-F360E8781FC2}"/>
    <cellStyle name="Normal 5 5 2 5 4" xfId="11185" xr:uid="{E641C89B-1E44-4185-8421-20FECDCCCD37}"/>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02F33731-D4B4-4B59-B88A-5146B23F46E9}"/>
    <cellStyle name="Normal 5 5 2 6 2 3" xfId="13743" xr:uid="{D7C7FE7D-E5C7-46CE-9144-A7E428522F04}"/>
    <cellStyle name="Normal 5 5 2 6 3" xfId="6489" xr:uid="{00000000-0005-0000-0000-0000711B0000}"/>
    <cellStyle name="Normal 5 5 2 6 3 2" xfId="15815" xr:uid="{48FA088F-2D0E-436C-A09E-5ED709FF5220}"/>
    <cellStyle name="Normal 5 5 2 6 4" xfId="11598" xr:uid="{1F303F37-74C3-4740-A6E0-88652008236D}"/>
    <cellStyle name="Normal 5 5 2 7" xfId="2619" xr:uid="{00000000-0005-0000-0000-0000721B0000}"/>
    <cellStyle name="Normal 5 5 2 7 2" xfId="6902" xr:uid="{00000000-0005-0000-0000-0000731B0000}"/>
    <cellStyle name="Normal 5 5 2 7 2 2" xfId="16228" xr:uid="{60433EFC-F9AF-477F-AF0F-51DC17043849}"/>
    <cellStyle name="Normal 5 5 2 7 3" xfId="12011" xr:uid="{CFB5C42C-DAF6-4659-A8DA-7C611B864B74}"/>
    <cellStyle name="Normal 5 5 2 8" xfId="4837" xr:uid="{00000000-0005-0000-0000-0000741B0000}"/>
    <cellStyle name="Normal 5 5 2 8 2" xfId="14163" xr:uid="{28D38CC5-9C35-45AC-AE21-53B0BD37970A}"/>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3456AC3B-D0EA-4865-9E93-7C3968254EED}"/>
    <cellStyle name="Normal 5 5 3 2 2 3" xfId="12506" xr:uid="{B94784DD-F156-4D61-9BDA-6B9C4EDF4A32}"/>
    <cellStyle name="Normal 5 5 3 2 3" xfId="5252" xr:uid="{00000000-0005-0000-0000-0000791B0000}"/>
    <cellStyle name="Normal 5 5 3 2 3 2" xfId="14578" xr:uid="{01C9B710-22B3-46FD-80BF-86E2CFB2DA2F}"/>
    <cellStyle name="Normal 5 5 3 2 4" xfId="9458" xr:uid="{8AD16727-CFBF-4DB5-B58F-04D48E2B564D}"/>
    <cellStyle name="Normal 5 5 3 2 5" xfId="10361" xr:uid="{5FC8EEFB-3C55-49DF-9B9F-53201DE96EE6}"/>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8ABAF9C6-EC94-4E2E-B494-8424DF0334A9}"/>
    <cellStyle name="Normal 5 5 3 3 2 3" xfId="12919" xr:uid="{591F4A31-1830-483A-AC8F-8813DABC4400}"/>
    <cellStyle name="Normal 5 5 3 3 3" xfId="5665" xr:uid="{00000000-0005-0000-0000-00007D1B0000}"/>
    <cellStyle name="Normal 5 5 3 3 3 2" xfId="14991" xr:uid="{FAEBAD32-A28F-412C-8CE0-72812978B29C}"/>
    <cellStyle name="Normal 5 5 3 3 4" xfId="10774" xr:uid="{12806150-61D3-4F4A-AE6C-E8C910D4F47E}"/>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80B340AF-FFD4-467F-AD03-10CF8467BCE9}"/>
    <cellStyle name="Normal 5 5 3 4 2 3" xfId="13332" xr:uid="{9C6E49ED-79BC-463B-9A20-429ED79BEFBA}"/>
    <cellStyle name="Normal 5 5 3 4 3" xfId="6078" xr:uid="{00000000-0005-0000-0000-0000811B0000}"/>
    <cellStyle name="Normal 5 5 3 4 3 2" xfId="15404" xr:uid="{EEBE0DB1-30F4-413A-8807-CD4CD2CDD300}"/>
    <cellStyle name="Normal 5 5 3 4 4" xfId="11187" xr:uid="{7AEE7DA6-FBB6-4249-B5AB-94237D741B0E}"/>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9215F62B-E9F7-4CDF-9FA2-5EEB8F5388EA}"/>
    <cellStyle name="Normal 5 5 3 5 2 3" xfId="13745" xr:uid="{0599A36B-E1FC-42EF-809B-0641432C3CCA}"/>
    <cellStyle name="Normal 5 5 3 5 3" xfId="6491" xr:uid="{00000000-0005-0000-0000-0000851B0000}"/>
    <cellStyle name="Normal 5 5 3 5 3 2" xfId="15817" xr:uid="{36D36688-CD53-4354-BF67-D6F4E13B7EFE}"/>
    <cellStyle name="Normal 5 5 3 5 4" xfId="11600" xr:uid="{3CCC9699-D372-470E-A1E2-8B90A0F6D92A}"/>
    <cellStyle name="Normal 5 5 3 6" xfId="2621" xr:uid="{00000000-0005-0000-0000-0000861B0000}"/>
    <cellStyle name="Normal 5 5 3 6 2" xfId="6904" xr:uid="{00000000-0005-0000-0000-0000871B0000}"/>
    <cellStyle name="Normal 5 5 3 6 2 2" xfId="16230" xr:uid="{1B0FC646-D513-41F8-B74E-A248C4A20F71}"/>
    <cellStyle name="Normal 5 5 3 6 3" xfId="12013" xr:uid="{B19548DE-FFF3-4AD4-B0B7-D59ED4FD637E}"/>
    <cellStyle name="Normal 5 5 3 7" xfId="4839" xr:uid="{00000000-0005-0000-0000-0000881B0000}"/>
    <cellStyle name="Normal 5 5 3 7 2" xfId="14165" xr:uid="{77DAD466-69F4-4AA3-B01D-9127E9F29F09}"/>
    <cellStyle name="Normal 5 5 3 8" xfId="9033" xr:uid="{08F77EF7-8D03-42D9-B538-FE3582C4B971}"/>
    <cellStyle name="Normal 5 5 3 9" xfId="9948" xr:uid="{ED5B95A9-A040-49EE-BB19-4A2540A7B861}"/>
    <cellStyle name="Normal 5 5 4" xfId="938" xr:uid="{00000000-0005-0000-0000-0000891B0000}"/>
    <cellStyle name="Normal 5 5 4 2" xfId="3172" xr:uid="{00000000-0005-0000-0000-00008A1B0000}"/>
    <cellStyle name="Normal 5 5 4 2 2" xfId="7394" xr:uid="{00000000-0005-0000-0000-00008B1B0000}"/>
    <cellStyle name="Normal 5 5 4 2 2 2" xfId="16720" xr:uid="{7D17E82D-AD3D-4BBF-853C-575BE47AAE39}"/>
    <cellStyle name="Normal 5 5 4 2 3" xfId="12503" xr:uid="{FFC820ED-C048-40F7-B4C5-DBE400D30B0B}"/>
    <cellStyle name="Normal 5 5 4 3" xfId="5249" xr:uid="{00000000-0005-0000-0000-00008C1B0000}"/>
    <cellStyle name="Normal 5 5 4 3 2" xfId="14575" xr:uid="{D7A388A7-D6A4-4324-8C70-0D81F2FA6CF8}"/>
    <cellStyle name="Normal 5 5 4 4" xfId="9251" xr:uid="{4EAD9E35-D3C9-46BE-AE4D-29A1C6D5A6F7}"/>
    <cellStyle name="Normal 5 5 4 5" xfId="10358" xr:uid="{09EA3609-BC87-4713-873A-9088D3D70214}"/>
    <cellStyle name="Normal 5 5 5" xfId="1355" xr:uid="{00000000-0005-0000-0000-00008D1B0000}"/>
    <cellStyle name="Normal 5 5 5 2" xfId="3585" xr:uid="{00000000-0005-0000-0000-00008E1B0000}"/>
    <cellStyle name="Normal 5 5 5 2 2" xfId="7807" xr:uid="{00000000-0005-0000-0000-00008F1B0000}"/>
    <cellStyle name="Normal 5 5 5 2 2 2" xfId="17133" xr:uid="{8ACAFAA9-D358-40BB-9B91-828E427AA0B8}"/>
    <cellStyle name="Normal 5 5 5 2 3" xfId="12916" xr:uid="{052FA922-29E2-4074-91F0-1EB2B49162BF}"/>
    <cellStyle name="Normal 5 5 5 3" xfId="5662" xr:uid="{00000000-0005-0000-0000-0000901B0000}"/>
    <cellStyle name="Normal 5 5 5 3 2" xfId="14988" xr:uid="{6B444695-578C-40D7-B795-AED7BE40A016}"/>
    <cellStyle name="Normal 5 5 5 4" xfId="10771" xr:uid="{2650F272-F98B-4ECD-A47E-79AD3F56CD92}"/>
    <cellStyle name="Normal 5 5 6" xfId="1768" xr:uid="{00000000-0005-0000-0000-0000911B0000}"/>
    <cellStyle name="Normal 5 5 6 2" xfId="3998" xr:uid="{00000000-0005-0000-0000-0000921B0000}"/>
    <cellStyle name="Normal 5 5 6 2 2" xfId="8220" xr:uid="{00000000-0005-0000-0000-0000931B0000}"/>
    <cellStyle name="Normal 5 5 6 2 2 2" xfId="17546" xr:uid="{E245B769-6D3E-45EA-B1C3-D3AF9FEACF4B}"/>
    <cellStyle name="Normal 5 5 6 2 3" xfId="13329" xr:uid="{95BE0357-0158-4668-97A0-0E4A86F1BD64}"/>
    <cellStyle name="Normal 5 5 6 3" xfId="6075" xr:uid="{00000000-0005-0000-0000-0000941B0000}"/>
    <cellStyle name="Normal 5 5 6 3 2" xfId="15401" xr:uid="{2E26B6E2-D1FA-48C7-A2FA-52AF6A11AD71}"/>
    <cellStyle name="Normal 5 5 6 4" xfId="11184" xr:uid="{B7714AB1-5CD6-4178-A0D3-C570D803861D}"/>
    <cellStyle name="Normal 5 5 7" xfId="2182" xr:uid="{00000000-0005-0000-0000-0000951B0000}"/>
    <cellStyle name="Normal 5 5 7 2" xfId="4411" xr:uid="{00000000-0005-0000-0000-0000961B0000}"/>
    <cellStyle name="Normal 5 5 7 2 2" xfId="8633" xr:uid="{00000000-0005-0000-0000-0000971B0000}"/>
    <cellStyle name="Normal 5 5 7 2 2 2" xfId="17959" xr:uid="{A91C3BFF-6D2A-4E15-B33F-3FAA80270EA1}"/>
    <cellStyle name="Normal 5 5 7 2 3" xfId="13742" xr:uid="{4BAC3B6C-C672-49ED-AA13-34674800883C}"/>
    <cellStyle name="Normal 5 5 7 3" xfId="6488" xr:uid="{00000000-0005-0000-0000-0000981B0000}"/>
    <cellStyle name="Normal 5 5 7 3 2" xfId="15814" xr:uid="{E6814FCE-1F7C-4AC7-84F0-58C37BD51177}"/>
    <cellStyle name="Normal 5 5 7 4" xfId="11597" xr:uid="{B26AF875-1273-4F34-8667-C4EA1A234ACE}"/>
    <cellStyle name="Normal 5 5 8" xfId="2618" xr:uid="{00000000-0005-0000-0000-0000991B0000}"/>
    <cellStyle name="Normal 5 5 8 2" xfId="6901" xr:uid="{00000000-0005-0000-0000-00009A1B0000}"/>
    <cellStyle name="Normal 5 5 8 2 2" xfId="16227" xr:uid="{6991C0DC-49D4-494F-B457-155817D8E03F}"/>
    <cellStyle name="Normal 5 5 8 3" xfId="12010" xr:uid="{6BC31CE0-C974-4674-85CF-CE62CF6B75ED}"/>
    <cellStyle name="Normal 5 5 9" xfId="4836" xr:uid="{00000000-0005-0000-0000-00009B1B0000}"/>
    <cellStyle name="Normal 5 5 9 2" xfId="14162" xr:uid="{B99EA2E0-98B1-4360-978C-DEEAF8471AFA}"/>
    <cellStyle name="Normal 5 6" xfId="468" xr:uid="{00000000-0005-0000-0000-00009C1B0000}"/>
    <cellStyle name="Normal 5 6 10" xfId="9949" xr:uid="{F837937B-D6E4-4B6C-9431-BFB8FEE463D2}"/>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D3EE7B93-F42C-4AF8-9926-B152F621FD69}"/>
    <cellStyle name="Normal 5 6 2 2 2 3" xfId="12508" xr:uid="{3C045A06-EF44-4B19-87AD-54B4C54548E4}"/>
    <cellStyle name="Normal 5 6 2 2 3" xfId="5254" xr:uid="{00000000-0005-0000-0000-0000A11B0000}"/>
    <cellStyle name="Normal 5 6 2 2 3 2" xfId="14580" xr:uid="{DE2B7AC8-43C0-4BEB-A055-F42A510415DA}"/>
    <cellStyle name="Normal 5 6 2 2 4" xfId="9476" xr:uid="{3B3E6CA1-4D97-4B11-99D5-4F82314AA0E0}"/>
    <cellStyle name="Normal 5 6 2 2 5" xfId="10363" xr:uid="{D737CC23-48FC-4B54-A89B-682CD76FB7C9}"/>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316D4192-DFBA-4DC5-8C99-94B9BB4C3535}"/>
    <cellStyle name="Normal 5 6 2 3 2 3" xfId="12921" xr:uid="{B02C4B55-4496-42B8-BC43-5A7152D19CAC}"/>
    <cellStyle name="Normal 5 6 2 3 3" xfId="5667" xr:uid="{00000000-0005-0000-0000-0000A51B0000}"/>
    <cellStyle name="Normal 5 6 2 3 3 2" xfId="14993" xr:uid="{54C79E9B-70BD-4CE0-B79E-DC572CEA6C9F}"/>
    <cellStyle name="Normal 5 6 2 3 4" xfId="10776" xr:uid="{4A92E6CA-B463-44B7-9A84-5D08D22FBAED}"/>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2CB99DA2-FDC7-4A91-87DC-636BFC32A5A9}"/>
    <cellStyle name="Normal 5 6 2 4 2 3" xfId="13334" xr:uid="{8AF0CD62-3B38-409D-B19A-0AEFC067C97A}"/>
    <cellStyle name="Normal 5 6 2 4 3" xfId="6080" xr:uid="{00000000-0005-0000-0000-0000A91B0000}"/>
    <cellStyle name="Normal 5 6 2 4 3 2" xfId="15406" xr:uid="{CF4CEE6C-46D2-43C1-BABB-76264AC72669}"/>
    <cellStyle name="Normal 5 6 2 4 4" xfId="11189" xr:uid="{5DE9DC11-949C-498F-899A-2F236CB762E2}"/>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3FCB9440-FFF9-47C8-BDBB-D083BFD7480E}"/>
    <cellStyle name="Normal 5 6 2 5 2 3" xfId="13747" xr:uid="{A06BBE05-1FD5-4CDE-823F-BFC3A691377D}"/>
    <cellStyle name="Normal 5 6 2 5 3" xfId="6493" xr:uid="{00000000-0005-0000-0000-0000AD1B0000}"/>
    <cellStyle name="Normal 5 6 2 5 3 2" xfId="15819" xr:uid="{CE08E0E9-13E6-4B84-9603-32E5396BB5A6}"/>
    <cellStyle name="Normal 5 6 2 5 4" xfId="11602" xr:uid="{66AAAEBC-95AB-41EF-82E7-50FFF0F9E041}"/>
    <cellStyle name="Normal 5 6 2 6" xfId="2623" xr:uid="{00000000-0005-0000-0000-0000AE1B0000}"/>
    <cellStyle name="Normal 5 6 2 6 2" xfId="6906" xr:uid="{00000000-0005-0000-0000-0000AF1B0000}"/>
    <cellStyle name="Normal 5 6 2 6 2 2" xfId="16232" xr:uid="{2F5F355D-B893-41A4-BDA0-305AD5C009A2}"/>
    <cellStyle name="Normal 5 6 2 6 3" xfId="12015" xr:uid="{4964C548-CA62-4ADD-A63E-F6FD8A59A2C6}"/>
    <cellStyle name="Normal 5 6 2 7" xfId="4841" xr:uid="{00000000-0005-0000-0000-0000B01B0000}"/>
    <cellStyle name="Normal 5 6 2 7 2" xfId="14167" xr:uid="{0F493E1C-47E1-4955-BFB3-2954712D91E8}"/>
    <cellStyle name="Normal 5 6 2 8" xfId="9051" xr:uid="{97C72229-9AC1-4DA9-8A0B-8B4B6D970DE8}"/>
    <cellStyle name="Normal 5 6 2 9" xfId="9950" xr:uid="{9279F526-EC24-4986-A81E-EB60F6496310}"/>
    <cellStyle name="Normal 5 6 3" xfId="942" xr:uid="{00000000-0005-0000-0000-0000B11B0000}"/>
    <cellStyle name="Normal 5 6 3 2" xfId="3176" xr:uid="{00000000-0005-0000-0000-0000B21B0000}"/>
    <cellStyle name="Normal 5 6 3 2 2" xfId="7398" xr:uid="{00000000-0005-0000-0000-0000B31B0000}"/>
    <cellStyle name="Normal 5 6 3 2 2 2" xfId="16724" xr:uid="{9CBDD201-9C75-4FB2-866D-8AF6A0B4EC7F}"/>
    <cellStyle name="Normal 5 6 3 2 3" xfId="12507" xr:uid="{06E2084C-3E0E-49C6-BA91-9157C2093762}"/>
    <cellStyle name="Normal 5 6 3 3" xfId="5253" xr:uid="{00000000-0005-0000-0000-0000B41B0000}"/>
    <cellStyle name="Normal 5 6 3 3 2" xfId="14579" xr:uid="{8A57C8B1-7C9F-412C-B631-905FE9989D41}"/>
    <cellStyle name="Normal 5 6 3 4" xfId="9269" xr:uid="{7D6728A0-C210-4F3F-8114-143B9AE0BFB4}"/>
    <cellStyle name="Normal 5 6 3 5" xfId="10362" xr:uid="{CD457C32-F233-4C6B-BB23-27C2E3A8003F}"/>
    <cellStyle name="Normal 5 6 4" xfId="1359" xr:uid="{00000000-0005-0000-0000-0000B51B0000}"/>
    <cellStyle name="Normal 5 6 4 2" xfId="3589" xr:uid="{00000000-0005-0000-0000-0000B61B0000}"/>
    <cellStyle name="Normal 5 6 4 2 2" xfId="7811" xr:uid="{00000000-0005-0000-0000-0000B71B0000}"/>
    <cellStyle name="Normal 5 6 4 2 2 2" xfId="17137" xr:uid="{88E62EF7-F6E1-478A-A4BE-98983405A0DC}"/>
    <cellStyle name="Normal 5 6 4 2 3" xfId="12920" xr:uid="{3EBFCAEE-A18A-48BD-B98A-859E6E77D3BB}"/>
    <cellStyle name="Normal 5 6 4 3" xfId="5666" xr:uid="{00000000-0005-0000-0000-0000B81B0000}"/>
    <cellStyle name="Normal 5 6 4 3 2" xfId="14992" xr:uid="{8C531F0A-FD4E-409E-A5E6-D78355DAEA81}"/>
    <cellStyle name="Normal 5 6 4 4" xfId="10775" xr:uid="{337C197D-35DA-47F2-91F1-BB783467EA19}"/>
    <cellStyle name="Normal 5 6 5" xfId="1772" xr:uid="{00000000-0005-0000-0000-0000B91B0000}"/>
    <cellStyle name="Normal 5 6 5 2" xfId="4002" xr:uid="{00000000-0005-0000-0000-0000BA1B0000}"/>
    <cellStyle name="Normal 5 6 5 2 2" xfId="8224" xr:uid="{00000000-0005-0000-0000-0000BB1B0000}"/>
    <cellStyle name="Normal 5 6 5 2 2 2" xfId="17550" xr:uid="{D9C3B7D2-2277-4AC0-9EF3-0EBFFCBFD63B}"/>
    <cellStyle name="Normal 5 6 5 2 3" xfId="13333" xr:uid="{2EC319B3-79A8-4612-B552-BEADDAC6B228}"/>
    <cellStyle name="Normal 5 6 5 3" xfId="6079" xr:uid="{00000000-0005-0000-0000-0000BC1B0000}"/>
    <cellStyle name="Normal 5 6 5 3 2" xfId="15405" xr:uid="{1EE537BF-9621-4EA7-BC1F-74295B2756E3}"/>
    <cellStyle name="Normal 5 6 5 4" xfId="11188" xr:uid="{E019FA68-77D5-4CAE-B0D9-2A84C453BF26}"/>
    <cellStyle name="Normal 5 6 6" xfId="2186" xr:uid="{00000000-0005-0000-0000-0000BD1B0000}"/>
    <cellStyle name="Normal 5 6 6 2" xfId="4415" xr:uid="{00000000-0005-0000-0000-0000BE1B0000}"/>
    <cellStyle name="Normal 5 6 6 2 2" xfId="8637" xr:uid="{00000000-0005-0000-0000-0000BF1B0000}"/>
    <cellStyle name="Normal 5 6 6 2 2 2" xfId="17963" xr:uid="{3E039C01-5E74-46E0-A8FD-38DDD4D393C4}"/>
    <cellStyle name="Normal 5 6 6 2 3" xfId="13746" xr:uid="{E99F299D-05D0-4EC0-B96F-B4E04413BF12}"/>
    <cellStyle name="Normal 5 6 6 3" xfId="6492" xr:uid="{00000000-0005-0000-0000-0000C01B0000}"/>
    <cellStyle name="Normal 5 6 6 3 2" xfId="15818" xr:uid="{250CEC18-BF53-40E3-9116-0BFD70781620}"/>
    <cellStyle name="Normal 5 6 6 4" xfId="11601" xr:uid="{B7A754C4-DF2D-4F12-B28B-DC835178CA55}"/>
    <cellStyle name="Normal 5 6 7" xfId="2622" xr:uid="{00000000-0005-0000-0000-0000C11B0000}"/>
    <cellStyle name="Normal 5 6 7 2" xfId="6905" xr:uid="{00000000-0005-0000-0000-0000C21B0000}"/>
    <cellStyle name="Normal 5 6 7 2 2" xfId="16231" xr:uid="{31701DE9-826C-4D11-9B4D-EC9289C0A7B4}"/>
    <cellStyle name="Normal 5 6 7 3" xfId="12014" xr:uid="{5AF1989D-F5C5-409D-AE1C-38BBE69900FF}"/>
    <cellStyle name="Normal 5 6 8" xfId="4840" xr:uid="{00000000-0005-0000-0000-0000C31B0000}"/>
    <cellStyle name="Normal 5 6 8 2" xfId="14166" xr:uid="{33309F5F-54F1-46C0-8220-1B90A9E75B6D}"/>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C6AFFC70-B86F-47C1-8204-E5313862F8E8}"/>
    <cellStyle name="Normal 5 7 2 2 3" xfId="12509" xr:uid="{BB4AF5B6-3628-4E87-ADC5-983AE16A61FC}"/>
    <cellStyle name="Normal 5 7 2 3" xfId="5255" xr:uid="{00000000-0005-0000-0000-0000C81B0000}"/>
    <cellStyle name="Normal 5 7 2 3 2" xfId="14581" xr:uid="{BF6C5CBF-A0F2-4680-8031-D872087BD19C}"/>
    <cellStyle name="Normal 5 7 2 4" xfId="9385" xr:uid="{2E4A3B0A-2E42-41AC-9564-09D1598995A2}"/>
    <cellStyle name="Normal 5 7 2 5" xfId="10364" xr:uid="{FE0AA53D-95E7-4E60-8733-4F44B89F3190}"/>
    <cellStyle name="Normal 5 7 3" xfId="1361" xr:uid="{00000000-0005-0000-0000-0000C91B0000}"/>
    <cellStyle name="Normal 5 7 3 2" xfId="3591" xr:uid="{00000000-0005-0000-0000-0000CA1B0000}"/>
    <cellStyle name="Normal 5 7 3 2 2" xfId="7813" xr:uid="{00000000-0005-0000-0000-0000CB1B0000}"/>
    <cellStyle name="Normal 5 7 3 2 2 2" xfId="17139" xr:uid="{21630EFF-B80E-461B-AA35-73A55C008AED}"/>
    <cellStyle name="Normal 5 7 3 2 3" xfId="12922" xr:uid="{EF135F47-364A-466C-ACDB-A19CCE591FC3}"/>
    <cellStyle name="Normal 5 7 3 3" xfId="5668" xr:uid="{00000000-0005-0000-0000-0000CC1B0000}"/>
    <cellStyle name="Normal 5 7 3 3 2" xfId="14994" xr:uid="{6D4EDF4B-2C58-4911-91CB-E47BF6C98890}"/>
    <cellStyle name="Normal 5 7 3 4" xfId="10777" xr:uid="{92A0BB3D-E545-4506-AB73-19B9CEFDCC2A}"/>
    <cellStyle name="Normal 5 7 4" xfId="1774" xr:uid="{00000000-0005-0000-0000-0000CD1B0000}"/>
    <cellStyle name="Normal 5 7 4 2" xfId="4004" xr:uid="{00000000-0005-0000-0000-0000CE1B0000}"/>
    <cellStyle name="Normal 5 7 4 2 2" xfId="8226" xr:uid="{00000000-0005-0000-0000-0000CF1B0000}"/>
    <cellStyle name="Normal 5 7 4 2 2 2" xfId="17552" xr:uid="{060893D5-46A8-4886-9D4B-E25B3DFC8362}"/>
    <cellStyle name="Normal 5 7 4 2 3" xfId="13335" xr:uid="{F28F88AE-E69A-452B-9FF4-15124CDB5D3C}"/>
    <cellStyle name="Normal 5 7 4 3" xfId="6081" xr:uid="{00000000-0005-0000-0000-0000D01B0000}"/>
    <cellStyle name="Normal 5 7 4 3 2" xfId="15407" xr:uid="{2AAF6A50-C072-4231-8810-C5491045E5FC}"/>
    <cellStyle name="Normal 5 7 4 4" xfId="11190" xr:uid="{165BF129-4C3D-4BD7-AA75-4B21B86CC815}"/>
    <cellStyle name="Normal 5 7 5" xfId="2188" xr:uid="{00000000-0005-0000-0000-0000D11B0000}"/>
    <cellStyle name="Normal 5 7 5 2" xfId="4417" xr:uid="{00000000-0005-0000-0000-0000D21B0000}"/>
    <cellStyle name="Normal 5 7 5 2 2" xfId="8639" xr:uid="{00000000-0005-0000-0000-0000D31B0000}"/>
    <cellStyle name="Normal 5 7 5 2 2 2" xfId="17965" xr:uid="{0D953C8F-23A3-4327-B7C2-E2271EC99EBE}"/>
    <cellStyle name="Normal 5 7 5 2 3" xfId="13748" xr:uid="{8D38C93E-20AE-46AF-8E46-2D5EA07EBD97}"/>
    <cellStyle name="Normal 5 7 5 3" xfId="6494" xr:uid="{00000000-0005-0000-0000-0000D41B0000}"/>
    <cellStyle name="Normal 5 7 5 3 2" xfId="15820" xr:uid="{2FB33D33-3855-4F12-9FEF-87DA0ABCD759}"/>
    <cellStyle name="Normal 5 7 5 4" xfId="11603" xr:uid="{2C49120E-E581-438C-9BBB-C766CF39C0B4}"/>
    <cellStyle name="Normal 5 7 6" xfId="2624" xr:uid="{00000000-0005-0000-0000-0000D51B0000}"/>
    <cellStyle name="Normal 5 7 6 2" xfId="6907" xr:uid="{00000000-0005-0000-0000-0000D61B0000}"/>
    <cellStyle name="Normal 5 7 6 2 2" xfId="16233" xr:uid="{AA329EC2-F1F2-4B50-ADAE-5B9DE2A82531}"/>
    <cellStyle name="Normal 5 7 6 3" xfId="12016" xr:uid="{C20C03BE-36DF-471B-BBED-18A68086468E}"/>
    <cellStyle name="Normal 5 7 7" xfId="4842" xr:uid="{00000000-0005-0000-0000-0000D71B0000}"/>
    <cellStyle name="Normal 5 7 7 2" xfId="14168" xr:uid="{490C9C21-78B4-4D11-901D-5683DDC50220}"/>
    <cellStyle name="Normal 5 7 8" xfId="8960" xr:uid="{F4BEC964-53C9-4393-B7F1-69B47FC1FF25}"/>
    <cellStyle name="Normal 5 7 9" xfId="9951" xr:uid="{2F5FBA45-2D23-462D-ACAD-B42F477481CF}"/>
    <cellStyle name="Normal 5 8" xfId="880" xr:uid="{00000000-0005-0000-0000-0000D81B0000}"/>
    <cellStyle name="Normal 5 8 2" xfId="3115" xr:uid="{00000000-0005-0000-0000-0000D91B0000}"/>
    <cellStyle name="Normal 5 8 2 2" xfId="7337" xr:uid="{00000000-0005-0000-0000-0000DA1B0000}"/>
    <cellStyle name="Normal 5 8 2 2 2" xfId="16663" xr:uid="{D9D8A198-440C-44E7-90D7-82924EE548C3}"/>
    <cellStyle name="Normal 5 8 2 3" xfId="12446" xr:uid="{DB4639FC-B32A-42B6-86DD-E9937F10FB3C}"/>
    <cellStyle name="Normal 5 8 3" xfId="5192" xr:uid="{00000000-0005-0000-0000-0000DB1B0000}"/>
    <cellStyle name="Normal 5 8 3 2" xfId="14518" xr:uid="{F501A1D9-F2A1-472E-8ED1-74EC0E6D2CE0}"/>
    <cellStyle name="Normal 5 8 4" xfId="9163" xr:uid="{44C7CAD4-DD7C-48E0-9142-8ED22123C662}"/>
    <cellStyle name="Normal 5 8 5" xfId="10301" xr:uid="{B6F9FB8A-D423-417A-8712-DD0DF596763A}"/>
    <cellStyle name="Normal 5 9" xfId="1298" xr:uid="{00000000-0005-0000-0000-0000DC1B0000}"/>
    <cellStyle name="Normal 5 9 2" xfId="3528" xr:uid="{00000000-0005-0000-0000-0000DD1B0000}"/>
    <cellStyle name="Normal 5 9 2 2" xfId="7750" xr:uid="{00000000-0005-0000-0000-0000DE1B0000}"/>
    <cellStyle name="Normal 5 9 2 2 2" xfId="17076" xr:uid="{BE76DEA2-4745-4C08-8202-A61C36ABBB1F}"/>
    <cellStyle name="Normal 5 9 2 3" xfId="12859" xr:uid="{096B3181-9C0B-41C3-A4B6-68792F2398FE}"/>
    <cellStyle name="Normal 5 9 3" xfId="5605" xr:uid="{00000000-0005-0000-0000-0000DF1B0000}"/>
    <cellStyle name="Normal 5 9 3 2" xfId="14931" xr:uid="{B8E944CF-A22E-47E3-93EE-8860712DA88A}"/>
    <cellStyle name="Normal 5 9 4" xfId="10714" xr:uid="{DCEAE9CC-6CE3-4EF4-8AA4-6BACD7CC69F5}"/>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7078FCD0-16F7-496A-84B9-1F3B9136384A}"/>
    <cellStyle name="Normal 8 10 2 3" xfId="13749" xr:uid="{E500CCDB-93E3-4FC5-A537-5182980576C4}"/>
    <cellStyle name="Normal 8 10 3" xfId="6495" xr:uid="{00000000-0005-0000-0000-0000EB1B0000}"/>
    <cellStyle name="Normal 8 10 3 2" xfId="15821" xr:uid="{DC04329B-8D98-45EE-B194-5F5B74564227}"/>
    <cellStyle name="Normal 8 10 4" xfId="11604" xr:uid="{22799BAE-3896-4268-9504-F0DB5086317F}"/>
    <cellStyle name="Normal 8 11" xfId="2625" xr:uid="{00000000-0005-0000-0000-0000EC1B0000}"/>
    <cellStyle name="Normal 8 11 2" xfId="6908" xr:uid="{00000000-0005-0000-0000-0000ED1B0000}"/>
    <cellStyle name="Normal 8 11 2 2" xfId="16234" xr:uid="{7C165BDB-CE19-4184-9304-8E1B729F85DD}"/>
    <cellStyle name="Normal 8 11 3" xfId="12017" xr:uid="{CE78794D-4A9D-49BA-807A-6EF77F6B0906}"/>
    <cellStyle name="Normal 8 12" xfId="4843" xr:uid="{00000000-0005-0000-0000-0000EE1B0000}"/>
    <cellStyle name="Normal 8 12 2" xfId="14169" xr:uid="{1E66C23C-3F28-4C52-9827-835587FC9CA8}"/>
    <cellStyle name="Normal 8 13" xfId="8742" xr:uid="{AF36CBBC-3EEB-4AC8-923B-65C7C2418AB0}"/>
    <cellStyle name="Normal 8 14" xfId="9952" xr:uid="{CB897577-EFDA-4790-877C-4F519D4646E4}"/>
    <cellStyle name="Normal 8 2" xfId="479" xr:uid="{00000000-0005-0000-0000-0000EF1B0000}"/>
    <cellStyle name="Normal 8 2 10" xfId="2626" xr:uid="{00000000-0005-0000-0000-0000F01B0000}"/>
    <cellStyle name="Normal 8 2 10 2" xfId="6909" xr:uid="{00000000-0005-0000-0000-0000F11B0000}"/>
    <cellStyle name="Normal 8 2 10 2 2" xfId="16235" xr:uid="{AED28370-A88E-4511-8E58-827EA636617D}"/>
    <cellStyle name="Normal 8 2 10 3" xfId="12018" xr:uid="{FFCE2D9A-C5AB-485A-9D41-7C9749BCE8DA}"/>
    <cellStyle name="Normal 8 2 11" xfId="4844" xr:uid="{00000000-0005-0000-0000-0000F21B0000}"/>
    <cellStyle name="Normal 8 2 11 2" xfId="14170" xr:uid="{E5462A9B-616A-4737-ADFB-CF44D628179C}"/>
    <cellStyle name="Normal 8 2 12" xfId="8751" xr:uid="{476D0553-3387-4D9F-B05B-56EC7A36F7A1}"/>
    <cellStyle name="Normal 8 2 13" xfId="9953" xr:uid="{D1B83DD3-4B10-4CFB-AF23-F3B752E0CE6D}"/>
    <cellStyle name="Normal 8 2 2" xfId="480" xr:uid="{00000000-0005-0000-0000-0000F31B0000}"/>
    <cellStyle name="Normal 8 2 2 10" xfId="4845" xr:uid="{00000000-0005-0000-0000-0000F41B0000}"/>
    <cellStyle name="Normal 8 2 2 10 2" xfId="14171" xr:uid="{E52B4548-1E82-4D1B-B349-B2BF2A624C10}"/>
    <cellStyle name="Normal 8 2 2 11" xfId="8783" xr:uid="{3C426022-C415-47DA-A8EF-1D6CE72527BD}"/>
    <cellStyle name="Normal 8 2 2 12" xfId="9954" xr:uid="{20699615-D613-404C-AA07-5A62F9C9B166}"/>
    <cellStyle name="Normal 8 2 2 2" xfId="481" xr:uid="{00000000-0005-0000-0000-0000F51B0000}"/>
    <cellStyle name="Normal 8 2 2 2 10" xfId="8836" xr:uid="{870E50AF-610D-4E0C-BDE0-389D6B32A0FA}"/>
    <cellStyle name="Normal 8 2 2 2 11" xfId="9955" xr:uid="{FDDFF225-8A30-409A-B61C-4993696E6CE8}"/>
    <cellStyle name="Normal 8 2 2 2 2" xfId="482" xr:uid="{00000000-0005-0000-0000-0000F61B0000}"/>
    <cellStyle name="Normal 8 2 2 2 2 10" xfId="9956" xr:uid="{ABBA8A9D-D7AE-4791-9B8E-444CF855EE69}"/>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2DD80F26-E30A-489E-A61F-E8DE0D889A4F}"/>
    <cellStyle name="Normal 8 2 2 2 2 2 2 2 3" xfId="12515" xr:uid="{3EE8089B-BE86-41A8-980C-D611E0AE5318}"/>
    <cellStyle name="Normal 8 2 2 2 2 2 2 3" xfId="5261" xr:uid="{00000000-0005-0000-0000-0000FB1B0000}"/>
    <cellStyle name="Normal 8 2 2 2 2 2 2 3 2" xfId="14587" xr:uid="{B868F4C8-35DE-4E16-9CA9-CDBC9806F808}"/>
    <cellStyle name="Normal 8 2 2 2 2 2 2 4" xfId="9571" xr:uid="{B467C179-FE08-45F9-B1E6-E66379D80EBC}"/>
    <cellStyle name="Normal 8 2 2 2 2 2 2 5" xfId="10370" xr:uid="{BBF368D4-6548-49DB-9E0B-893A03D27BD8}"/>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51E8E6A3-82BC-4829-B0F4-FB60EC6529C6}"/>
    <cellStyle name="Normal 8 2 2 2 2 2 3 2 3" xfId="12928" xr:uid="{1D3214F2-5294-4CD1-BDFF-BA018C3FCD5E}"/>
    <cellStyle name="Normal 8 2 2 2 2 2 3 3" xfId="5674" xr:uid="{00000000-0005-0000-0000-0000FF1B0000}"/>
    <cellStyle name="Normal 8 2 2 2 2 2 3 3 2" xfId="15000" xr:uid="{58BF7977-1C02-4870-B76C-713B096D4072}"/>
    <cellStyle name="Normal 8 2 2 2 2 2 3 4" xfId="10783" xr:uid="{C84BF1B5-EFD3-4ADE-AD97-DEEFDD66CBDE}"/>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CC3DA7E9-C342-4E54-BCFF-0F9D365C3472}"/>
    <cellStyle name="Normal 8 2 2 2 2 2 4 2 3" xfId="13341" xr:uid="{92935BD0-AE81-432A-B591-23FE4EE1BEAE}"/>
    <cellStyle name="Normal 8 2 2 2 2 2 4 3" xfId="6087" xr:uid="{00000000-0005-0000-0000-0000031C0000}"/>
    <cellStyle name="Normal 8 2 2 2 2 2 4 3 2" xfId="15413" xr:uid="{F35F1BA4-D341-4496-8107-5BE84CAD8152}"/>
    <cellStyle name="Normal 8 2 2 2 2 2 4 4" xfId="11196" xr:uid="{11C16B1D-A949-4096-BAE9-9156A07A0822}"/>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27D3A22B-B8FA-4956-BB72-6B4CA5E442D2}"/>
    <cellStyle name="Normal 8 2 2 2 2 2 5 2 3" xfId="13754" xr:uid="{6C69B344-5A09-4BFF-A56E-F066E52201E3}"/>
    <cellStyle name="Normal 8 2 2 2 2 2 5 3" xfId="6500" xr:uid="{00000000-0005-0000-0000-0000071C0000}"/>
    <cellStyle name="Normal 8 2 2 2 2 2 5 3 2" xfId="15826" xr:uid="{F2264C08-940F-42B1-9B46-B17CBAE6BFFC}"/>
    <cellStyle name="Normal 8 2 2 2 2 2 5 4" xfId="11609" xr:uid="{59D44013-BA3C-406B-BCD4-484456E0AB6C}"/>
    <cellStyle name="Normal 8 2 2 2 2 2 6" xfId="2630" xr:uid="{00000000-0005-0000-0000-0000081C0000}"/>
    <cellStyle name="Normal 8 2 2 2 2 2 6 2" xfId="6913" xr:uid="{00000000-0005-0000-0000-0000091C0000}"/>
    <cellStyle name="Normal 8 2 2 2 2 2 6 2 2" xfId="16239" xr:uid="{C4F2B8BA-5A35-4035-B934-071FBC472B78}"/>
    <cellStyle name="Normal 8 2 2 2 2 2 6 3" xfId="12022" xr:uid="{93CD8A2F-EEFC-4B18-A348-62119DC0EE64}"/>
    <cellStyle name="Normal 8 2 2 2 2 2 7" xfId="4848" xr:uid="{00000000-0005-0000-0000-00000A1C0000}"/>
    <cellStyle name="Normal 8 2 2 2 2 2 7 2" xfId="14174" xr:uid="{2BAEA5DA-2F5C-4406-8F5B-9858C2EC0408}"/>
    <cellStyle name="Normal 8 2 2 2 2 2 8" xfId="9146" xr:uid="{0E570703-055D-406D-8BD9-575AF6037A75}"/>
    <cellStyle name="Normal 8 2 2 2 2 2 9" xfId="9957" xr:uid="{68B28E2C-84CA-4FE0-A7D2-D0113CA0A59B}"/>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B7DBC4D3-D2EA-4303-8560-F9DDFCDE869B}"/>
    <cellStyle name="Normal 8 2 2 2 2 3 2 3" xfId="12514" xr:uid="{25E24C72-2ECF-4A80-B503-099D8343F40D}"/>
    <cellStyle name="Normal 8 2 2 2 2 3 3" xfId="5260" xr:uid="{00000000-0005-0000-0000-00000E1C0000}"/>
    <cellStyle name="Normal 8 2 2 2 2 3 3 2" xfId="14586" xr:uid="{E00157BC-AB8D-45AE-91E0-634595E450B1}"/>
    <cellStyle name="Normal 8 2 2 2 2 3 4" xfId="9364" xr:uid="{21426B7C-FC96-483C-B560-AC4767107497}"/>
    <cellStyle name="Normal 8 2 2 2 2 3 5" xfId="10369" xr:uid="{96EC6A2A-C2FB-4808-96B6-99B5D6B6DF7A}"/>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5379EEE6-3290-4891-94F6-86625D8609D6}"/>
    <cellStyle name="Normal 8 2 2 2 2 4 2 3" xfId="12927" xr:uid="{F8D5CA58-2F60-4F9D-A46D-898604CB9F8F}"/>
    <cellStyle name="Normal 8 2 2 2 2 4 3" xfId="5673" xr:uid="{00000000-0005-0000-0000-0000121C0000}"/>
    <cellStyle name="Normal 8 2 2 2 2 4 3 2" xfId="14999" xr:uid="{049DE709-BC6A-4C01-BA9E-EDE35249BECE}"/>
    <cellStyle name="Normal 8 2 2 2 2 4 4" xfId="10782" xr:uid="{62EC5626-8895-435A-A378-3AB96741BFC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81394D6F-502F-4297-8069-747A5A9DF08E}"/>
    <cellStyle name="Normal 8 2 2 2 2 5 2 3" xfId="13340" xr:uid="{74D9414B-162A-4C4C-8A50-8E3F2AE0576B}"/>
    <cellStyle name="Normal 8 2 2 2 2 5 3" xfId="6086" xr:uid="{00000000-0005-0000-0000-0000161C0000}"/>
    <cellStyle name="Normal 8 2 2 2 2 5 3 2" xfId="15412" xr:uid="{ED447633-B862-46C3-BCF7-048A3009EB7E}"/>
    <cellStyle name="Normal 8 2 2 2 2 5 4" xfId="11195" xr:uid="{A435612F-AD9A-45AC-BE50-F65DB4FF3867}"/>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FE8904DE-CF17-4C55-9779-74FBEF78DC53}"/>
    <cellStyle name="Normal 8 2 2 2 2 6 2 3" xfId="13753" xr:uid="{EADDEBBC-715A-46BF-95A0-1818454809BA}"/>
    <cellStyle name="Normal 8 2 2 2 2 6 3" xfId="6499" xr:uid="{00000000-0005-0000-0000-00001A1C0000}"/>
    <cellStyle name="Normal 8 2 2 2 2 6 3 2" xfId="15825" xr:uid="{19E38337-C6F8-47A2-A7A7-64E034222AA1}"/>
    <cellStyle name="Normal 8 2 2 2 2 6 4" xfId="11608" xr:uid="{BDA8D68B-0603-4027-906E-3A10B29D55B5}"/>
    <cellStyle name="Normal 8 2 2 2 2 7" xfId="2629" xr:uid="{00000000-0005-0000-0000-00001B1C0000}"/>
    <cellStyle name="Normal 8 2 2 2 2 7 2" xfId="6912" xr:uid="{00000000-0005-0000-0000-00001C1C0000}"/>
    <cellStyle name="Normal 8 2 2 2 2 7 2 2" xfId="16238" xr:uid="{0C7206D7-BB5B-4781-A832-883C9EE91F11}"/>
    <cellStyle name="Normal 8 2 2 2 2 7 3" xfId="12021" xr:uid="{AA4DBBB2-911F-439F-ADEC-86BC8AA224D9}"/>
    <cellStyle name="Normal 8 2 2 2 2 8" xfId="4847" xr:uid="{00000000-0005-0000-0000-00001D1C0000}"/>
    <cellStyle name="Normal 8 2 2 2 2 8 2" xfId="14173" xr:uid="{FE60BC13-5268-4EE3-9C50-3F9BFF51BE22}"/>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5E52E248-1E5E-42C1-9F2A-4D56714DD397}"/>
    <cellStyle name="Normal 8 2 2 2 3 2 2 3" xfId="12516" xr:uid="{686492DB-6FCA-44B3-A6E8-7B80E0F1E4D9}"/>
    <cellStyle name="Normal 8 2 2 2 3 2 3" xfId="5262" xr:uid="{00000000-0005-0000-0000-0000221C0000}"/>
    <cellStyle name="Normal 8 2 2 2 3 2 3 2" xfId="14588" xr:uid="{E7890D14-812D-4377-BCE6-8D5A0B17A243}"/>
    <cellStyle name="Normal 8 2 2 2 3 2 4" xfId="9468" xr:uid="{8CC4AD0E-72B4-4935-8967-B171D7B5EF8D}"/>
    <cellStyle name="Normal 8 2 2 2 3 2 5" xfId="10371" xr:uid="{34B86B95-A4F0-41D8-894E-0B0AEC37382C}"/>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906BD6C4-A909-4F5D-BB6D-B8A792A4E35B}"/>
    <cellStyle name="Normal 8 2 2 2 3 3 2 3" xfId="12929" xr:uid="{36739ED8-2912-48A5-8D2F-C29F6A898D67}"/>
    <cellStyle name="Normal 8 2 2 2 3 3 3" xfId="5675" xr:uid="{00000000-0005-0000-0000-0000261C0000}"/>
    <cellStyle name="Normal 8 2 2 2 3 3 3 2" xfId="15001" xr:uid="{00D09416-2102-4AF5-A9BB-BB65CE09F933}"/>
    <cellStyle name="Normal 8 2 2 2 3 3 4" xfId="10784" xr:uid="{140B0FEE-0A71-4333-8B86-6496AE922687}"/>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8ACC87D9-1D88-4609-9BDE-7046A55771BA}"/>
    <cellStyle name="Normal 8 2 2 2 3 4 2 3" xfId="13342" xr:uid="{0A318E77-7C0B-4EF3-9D5C-A60A606D6FBC}"/>
    <cellStyle name="Normal 8 2 2 2 3 4 3" xfId="6088" xr:uid="{00000000-0005-0000-0000-00002A1C0000}"/>
    <cellStyle name="Normal 8 2 2 2 3 4 3 2" xfId="15414" xr:uid="{78767F0F-8DA2-42EF-BE89-44B389D7079D}"/>
    <cellStyle name="Normal 8 2 2 2 3 4 4" xfId="11197" xr:uid="{3C6506F9-80DA-451D-96CA-9990B97CD10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AA055D30-ABEC-4A48-975D-D1F8281FCFCC}"/>
    <cellStyle name="Normal 8 2 2 2 3 5 2 3" xfId="13755" xr:uid="{D3F6869C-0819-41A2-A383-B542DBD30805}"/>
    <cellStyle name="Normal 8 2 2 2 3 5 3" xfId="6501" xr:uid="{00000000-0005-0000-0000-00002E1C0000}"/>
    <cellStyle name="Normal 8 2 2 2 3 5 3 2" xfId="15827" xr:uid="{BAAF0BB5-5DA3-4AD2-883E-23584FFC5663}"/>
    <cellStyle name="Normal 8 2 2 2 3 5 4" xfId="11610" xr:uid="{B60E75AC-19A8-4C35-9D16-301FEC5AED24}"/>
    <cellStyle name="Normal 8 2 2 2 3 6" xfId="2631" xr:uid="{00000000-0005-0000-0000-00002F1C0000}"/>
    <cellStyle name="Normal 8 2 2 2 3 6 2" xfId="6914" xr:uid="{00000000-0005-0000-0000-0000301C0000}"/>
    <cellStyle name="Normal 8 2 2 2 3 6 2 2" xfId="16240" xr:uid="{A5580C15-A85E-4FBA-84B1-73793512BC08}"/>
    <cellStyle name="Normal 8 2 2 2 3 6 3" xfId="12023" xr:uid="{CCD13E61-725A-4F3F-8D5D-9D6DCFF417D5}"/>
    <cellStyle name="Normal 8 2 2 2 3 7" xfId="4849" xr:uid="{00000000-0005-0000-0000-0000311C0000}"/>
    <cellStyle name="Normal 8 2 2 2 3 7 2" xfId="14175" xr:uid="{2A8519AA-F9CB-4794-90F6-DDA417F2DF6F}"/>
    <cellStyle name="Normal 8 2 2 2 3 8" xfId="9043" xr:uid="{BAC463DF-40A7-4F07-ADD3-7274E57F505C}"/>
    <cellStyle name="Normal 8 2 2 2 3 9" xfId="9958" xr:uid="{F224D80C-64F3-4083-800A-A944F73E10C8}"/>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F329FEFC-4560-45BB-BD08-EEBFC6BC664B}"/>
    <cellStyle name="Normal 8 2 2 2 4 2 3" xfId="12513" xr:uid="{10F2DEAE-1E0C-4C7A-B66C-A0F59D40151E}"/>
    <cellStyle name="Normal 8 2 2 2 4 3" xfId="5259" xr:uid="{00000000-0005-0000-0000-0000351C0000}"/>
    <cellStyle name="Normal 8 2 2 2 4 3 2" xfId="14585" xr:uid="{320774FF-3B9C-4CEC-8004-FCB860316901}"/>
    <cellStyle name="Normal 8 2 2 2 4 4" xfId="9261" xr:uid="{70C29865-A6DE-4682-9EB1-83E4E07FD0A7}"/>
    <cellStyle name="Normal 8 2 2 2 4 5" xfId="10368" xr:uid="{ECEB2CCA-4977-4581-B347-0B7D0261862D}"/>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B7665396-30FF-4E6C-AB8C-5B9C1AB232A3}"/>
    <cellStyle name="Normal 8 2 2 2 5 2 3" xfId="12926" xr:uid="{592F8940-16AF-4A1C-9FD0-97718895691F}"/>
    <cellStyle name="Normal 8 2 2 2 5 3" xfId="5672" xr:uid="{00000000-0005-0000-0000-0000391C0000}"/>
    <cellStyle name="Normal 8 2 2 2 5 3 2" xfId="14998" xr:uid="{C3B8DFD6-14A1-42CC-AE7B-1C8F97C2743B}"/>
    <cellStyle name="Normal 8 2 2 2 5 4" xfId="10781" xr:uid="{20C4B6FE-A0A0-40EB-ACF6-93EF91979B35}"/>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9FBD62C0-01AC-4DCE-AD8C-7DEB01324C44}"/>
    <cellStyle name="Normal 8 2 2 2 6 2 3" xfId="13339" xr:uid="{517A5D04-9D86-4642-8276-A909329EEE3D}"/>
    <cellStyle name="Normal 8 2 2 2 6 3" xfId="6085" xr:uid="{00000000-0005-0000-0000-00003D1C0000}"/>
    <cellStyle name="Normal 8 2 2 2 6 3 2" xfId="15411" xr:uid="{4D0338CD-D797-4BFF-8485-7AEBAD09732B}"/>
    <cellStyle name="Normal 8 2 2 2 6 4" xfId="11194" xr:uid="{9F6B8FBF-B5C7-45C9-99FA-664AE87485D2}"/>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40E51D26-B9E2-481B-9719-A3CEF1730FD8}"/>
    <cellStyle name="Normal 8 2 2 2 7 2 3" xfId="13752" xr:uid="{F8F46024-3A2B-4206-9130-61CD31061557}"/>
    <cellStyle name="Normal 8 2 2 2 7 3" xfId="6498" xr:uid="{00000000-0005-0000-0000-0000411C0000}"/>
    <cellStyle name="Normal 8 2 2 2 7 3 2" xfId="15824" xr:uid="{2F15B5B3-D49F-4737-88BA-3F1F0C75FF1C}"/>
    <cellStyle name="Normal 8 2 2 2 7 4" xfId="11607" xr:uid="{9F244A02-2CB9-422D-AD0C-D1A754F4FB7E}"/>
    <cellStyle name="Normal 8 2 2 2 8" xfId="2628" xr:uid="{00000000-0005-0000-0000-0000421C0000}"/>
    <cellStyle name="Normal 8 2 2 2 8 2" xfId="6911" xr:uid="{00000000-0005-0000-0000-0000431C0000}"/>
    <cellStyle name="Normal 8 2 2 2 8 2 2" xfId="16237" xr:uid="{1373C161-62E9-42CE-9482-8CE91553B594}"/>
    <cellStyle name="Normal 8 2 2 2 8 3" xfId="12020" xr:uid="{AF693130-6A8F-428E-9690-40F4AD366369}"/>
    <cellStyle name="Normal 8 2 2 2 9" xfId="4846" xr:uid="{00000000-0005-0000-0000-0000441C0000}"/>
    <cellStyle name="Normal 8 2 2 2 9 2" xfId="14172" xr:uid="{D98FDFFC-96F9-4D85-8CD8-74B0D8222C6D}"/>
    <cellStyle name="Normal 8 2 2 3" xfId="485" xr:uid="{00000000-0005-0000-0000-0000451C0000}"/>
    <cellStyle name="Normal 8 2 2 3 10" xfId="9959" xr:uid="{B13C0D7E-F5EC-448E-928B-33D5ABDA599D}"/>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567CA366-953B-44DD-A663-4ED0B3E1EDDE}"/>
    <cellStyle name="Normal 8 2 2 3 2 2 2 3" xfId="12518" xr:uid="{586F9212-D909-4CE9-961F-5DBDC89588E4}"/>
    <cellStyle name="Normal 8 2 2 3 2 2 3" xfId="5264" xr:uid="{00000000-0005-0000-0000-00004A1C0000}"/>
    <cellStyle name="Normal 8 2 2 3 2 2 3 2" xfId="14590" xr:uid="{C205B8D9-72F5-4C04-B708-BBAB5CDACCA8}"/>
    <cellStyle name="Normal 8 2 2 3 2 2 4" xfId="9518" xr:uid="{FDE93D5E-A6D1-456B-8726-FC2AB8FD16A4}"/>
    <cellStyle name="Normal 8 2 2 3 2 2 5" xfId="10373" xr:uid="{44C04BA9-4DD0-479A-B708-60396304CF1C}"/>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48982B9C-E065-4CB2-93CA-9FAEF9608F92}"/>
    <cellStyle name="Normal 8 2 2 3 2 3 2 3" xfId="12931" xr:uid="{9F0F80E1-F9CA-46D8-B750-1E7AC9965628}"/>
    <cellStyle name="Normal 8 2 2 3 2 3 3" xfId="5677" xr:uid="{00000000-0005-0000-0000-00004E1C0000}"/>
    <cellStyle name="Normal 8 2 2 3 2 3 3 2" xfId="15003" xr:uid="{CC988B58-A3C7-4C66-A5FC-5EBB857CD923}"/>
    <cellStyle name="Normal 8 2 2 3 2 3 4" xfId="10786" xr:uid="{4B10B9F8-B20E-40D6-9B65-1385E09851D2}"/>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B8FB4D08-9B49-4B73-905D-FD04B007E126}"/>
    <cellStyle name="Normal 8 2 2 3 2 4 2 3" xfId="13344" xr:uid="{4F926FBA-5E7A-4420-A859-B03C22A71C2A}"/>
    <cellStyle name="Normal 8 2 2 3 2 4 3" xfId="6090" xr:uid="{00000000-0005-0000-0000-0000521C0000}"/>
    <cellStyle name="Normal 8 2 2 3 2 4 3 2" xfId="15416" xr:uid="{F9DD026C-3828-405D-98A1-03DB6C54F36A}"/>
    <cellStyle name="Normal 8 2 2 3 2 4 4" xfId="11199" xr:uid="{6F3223EF-DD3E-4524-99F9-1027DA7E75F5}"/>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548E27E1-268E-440B-A7EC-0A65B1D625B0}"/>
    <cellStyle name="Normal 8 2 2 3 2 5 2 3" xfId="13757" xr:uid="{42B6E59B-7DB8-4C57-AFC2-70D4C04FED3C}"/>
    <cellStyle name="Normal 8 2 2 3 2 5 3" xfId="6503" xr:uid="{00000000-0005-0000-0000-0000561C0000}"/>
    <cellStyle name="Normal 8 2 2 3 2 5 3 2" xfId="15829" xr:uid="{43CD99AA-5DB2-4706-BB86-859F03D77244}"/>
    <cellStyle name="Normal 8 2 2 3 2 5 4" xfId="11612" xr:uid="{F393824C-3FD3-4999-AB71-0B13DF29E356}"/>
    <cellStyle name="Normal 8 2 2 3 2 6" xfId="2633" xr:uid="{00000000-0005-0000-0000-0000571C0000}"/>
    <cellStyle name="Normal 8 2 2 3 2 6 2" xfId="6916" xr:uid="{00000000-0005-0000-0000-0000581C0000}"/>
    <cellStyle name="Normal 8 2 2 3 2 6 2 2" xfId="16242" xr:uid="{43568DAF-B5D1-45FD-9729-702F8AAD31F6}"/>
    <cellStyle name="Normal 8 2 2 3 2 6 3" xfId="12025" xr:uid="{C3437A29-8DF6-4481-9548-5CA57F907D69}"/>
    <cellStyle name="Normal 8 2 2 3 2 7" xfId="4851" xr:uid="{00000000-0005-0000-0000-0000591C0000}"/>
    <cellStyle name="Normal 8 2 2 3 2 7 2" xfId="14177" xr:uid="{30C3F021-2E65-46B2-A1CE-24E7C470678B}"/>
    <cellStyle name="Normal 8 2 2 3 2 8" xfId="9093" xr:uid="{ADE34C72-BCCB-477C-B66A-BE7159CEB281}"/>
    <cellStyle name="Normal 8 2 2 3 2 9" xfId="9960" xr:uid="{2E4C8D7A-5FBD-437C-BD0A-ECF1C7AC6E6F}"/>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D5AE5880-B1F1-4767-935B-D8E11978760F}"/>
    <cellStyle name="Normal 8 2 2 3 3 2 3" xfId="12517" xr:uid="{85F7AD61-70CC-4897-828F-5F86169DD8C2}"/>
    <cellStyle name="Normal 8 2 2 3 3 3" xfId="5263" xr:uid="{00000000-0005-0000-0000-00005D1C0000}"/>
    <cellStyle name="Normal 8 2 2 3 3 3 2" xfId="14589" xr:uid="{50233152-267F-4996-B8EF-382C9DE1D07D}"/>
    <cellStyle name="Normal 8 2 2 3 3 4" xfId="9311" xr:uid="{F4618F1E-1235-4269-B5C6-B09BE5034F6C}"/>
    <cellStyle name="Normal 8 2 2 3 3 5" xfId="10372" xr:uid="{2A70A642-1A4D-4D9D-9F4D-D2A1D8012EE8}"/>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EB0F9622-C131-4B95-BA5B-F6E1937BE670}"/>
    <cellStyle name="Normal 8 2 2 3 4 2 3" xfId="12930" xr:uid="{9D4CC3E7-DA2B-4ED0-B416-5CA5A5590E2D}"/>
    <cellStyle name="Normal 8 2 2 3 4 3" xfId="5676" xr:uid="{00000000-0005-0000-0000-0000611C0000}"/>
    <cellStyle name="Normal 8 2 2 3 4 3 2" xfId="15002" xr:uid="{0AF92CBF-5B5E-4248-B96C-5417AB65C350}"/>
    <cellStyle name="Normal 8 2 2 3 4 4" xfId="10785" xr:uid="{DDB8F2B7-C15E-4C0F-9A5D-A8C0E0849314}"/>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AB0F2C13-5660-447E-BECF-CDB5B77BEC33}"/>
    <cellStyle name="Normal 8 2 2 3 5 2 3" xfId="13343" xr:uid="{3B77977B-0B5C-4AB8-840A-98A61C123507}"/>
    <cellStyle name="Normal 8 2 2 3 5 3" xfId="6089" xr:uid="{00000000-0005-0000-0000-0000651C0000}"/>
    <cellStyle name="Normal 8 2 2 3 5 3 2" xfId="15415" xr:uid="{6FD08660-684B-43AB-8B4D-D34846EDD41A}"/>
    <cellStyle name="Normal 8 2 2 3 5 4" xfId="11198" xr:uid="{21CCB0FE-7B6F-478F-9359-B7D5CDCA7912}"/>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DA0616DC-FC21-4C1E-BEA4-C24B4666BFC2}"/>
    <cellStyle name="Normal 8 2 2 3 6 2 3" xfId="13756" xr:uid="{F96ADFBC-FD97-4F4B-B8D2-9477149FAC66}"/>
    <cellStyle name="Normal 8 2 2 3 6 3" xfId="6502" xr:uid="{00000000-0005-0000-0000-0000691C0000}"/>
    <cellStyle name="Normal 8 2 2 3 6 3 2" xfId="15828" xr:uid="{FD555DDE-1AC8-4A6C-8A68-509CBA34B3C4}"/>
    <cellStyle name="Normal 8 2 2 3 6 4" xfId="11611" xr:uid="{C66734F7-E5D6-4A03-8955-BF2D4FFAB2AB}"/>
    <cellStyle name="Normal 8 2 2 3 7" xfId="2632" xr:uid="{00000000-0005-0000-0000-00006A1C0000}"/>
    <cellStyle name="Normal 8 2 2 3 7 2" xfId="6915" xr:uid="{00000000-0005-0000-0000-00006B1C0000}"/>
    <cellStyle name="Normal 8 2 2 3 7 2 2" xfId="16241" xr:uid="{CCF9B18A-FC50-409E-B578-390163C38616}"/>
    <cellStyle name="Normal 8 2 2 3 7 3" xfId="12024" xr:uid="{DF58DA40-87C9-44DB-A5D3-57805B87DAF6}"/>
    <cellStyle name="Normal 8 2 2 3 8" xfId="4850" xr:uid="{00000000-0005-0000-0000-00006C1C0000}"/>
    <cellStyle name="Normal 8 2 2 3 8 2" xfId="14176" xr:uid="{154090DE-40C2-4DB1-927E-4B4B61881043}"/>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F20852FF-94A0-4B56-9C2E-2073928ADE6B}"/>
    <cellStyle name="Normal 8 2 2 4 2 2 3" xfId="12519" xr:uid="{F5FEC4B0-2801-4D1C-AA68-22AD75FEEA6F}"/>
    <cellStyle name="Normal 8 2 2 4 2 3" xfId="5265" xr:uid="{00000000-0005-0000-0000-0000711C0000}"/>
    <cellStyle name="Normal 8 2 2 4 2 3 2" xfId="14591" xr:uid="{92FC02D3-85A4-469D-9466-58FE277BBEBF}"/>
    <cellStyle name="Normal 8 2 2 4 2 4" xfId="9415" xr:uid="{88D7FF95-DEA9-4369-BE01-487FC7B2B7E8}"/>
    <cellStyle name="Normal 8 2 2 4 2 5" xfId="10374" xr:uid="{41A7DD96-F210-4740-B6E9-EF2808CD2BE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659BA16B-D5B7-4BF8-BBC0-C0FA1671F64B}"/>
    <cellStyle name="Normal 8 2 2 4 3 2 3" xfId="12932" xr:uid="{E784598F-0CC7-44F8-B35F-5BBDA0C97B56}"/>
    <cellStyle name="Normal 8 2 2 4 3 3" xfId="5678" xr:uid="{00000000-0005-0000-0000-0000751C0000}"/>
    <cellStyle name="Normal 8 2 2 4 3 3 2" xfId="15004" xr:uid="{010F5A69-3144-4EEC-9C74-57876A63C737}"/>
    <cellStyle name="Normal 8 2 2 4 3 4" xfId="10787" xr:uid="{20A78366-B47E-415E-B943-39EA48536E61}"/>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5BE88E93-328F-445A-9EC0-AEFE0A762624}"/>
    <cellStyle name="Normal 8 2 2 4 4 2 3" xfId="13345" xr:uid="{F6074813-0001-4966-94D6-5EEEC78126BB}"/>
    <cellStyle name="Normal 8 2 2 4 4 3" xfId="6091" xr:uid="{00000000-0005-0000-0000-0000791C0000}"/>
    <cellStyle name="Normal 8 2 2 4 4 3 2" xfId="15417" xr:uid="{DE00EAAF-6E29-496A-9B74-D5F926674250}"/>
    <cellStyle name="Normal 8 2 2 4 4 4" xfId="11200" xr:uid="{1F987AF5-6FE1-4365-B848-FA3FA0B7D658}"/>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D9DC5275-A87F-4A56-BD39-C2D961BAFB94}"/>
    <cellStyle name="Normal 8 2 2 4 5 2 3" xfId="13758" xr:uid="{56286008-C114-4D87-8CF3-381516B56F52}"/>
    <cellStyle name="Normal 8 2 2 4 5 3" xfId="6504" xr:uid="{00000000-0005-0000-0000-00007D1C0000}"/>
    <cellStyle name="Normal 8 2 2 4 5 3 2" xfId="15830" xr:uid="{61AABCB6-0521-46DA-A0A9-197124F157EC}"/>
    <cellStyle name="Normal 8 2 2 4 5 4" xfId="11613" xr:uid="{D0E3A21B-024A-4758-A6F8-DE05FB07FB1F}"/>
    <cellStyle name="Normal 8 2 2 4 6" xfId="2634" xr:uid="{00000000-0005-0000-0000-00007E1C0000}"/>
    <cellStyle name="Normal 8 2 2 4 6 2" xfId="6917" xr:uid="{00000000-0005-0000-0000-00007F1C0000}"/>
    <cellStyle name="Normal 8 2 2 4 6 2 2" xfId="16243" xr:uid="{C85CA69A-C79F-4661-9636-D0F109F85562}"/>
    <cellStyle name="Normal 8 2 2 4 6 3" xfId="12026" xr:uid="{D7526E5A-9912-4C13-91F4-FE87C31F7F6E}"/>
    <cellStyle name="Normal 8 2 2 4 7" xfId="4852" xr:uid="{00000000-0005-0000-0000-0000801C0000}"/>
    <cellStyle name="Normal 8 2 2 4 7 2" xfId="14178" xr:uid="{06DCC9C4-36E6-467D-9BA5-B31EE1C42106}"/>
    <cellStyle name="Normal 8 2 2 4 8" xfId="8990" xr:uid="{F08D85C9-EB04-4227-BEA0-1B51DDB63DFA}"/>
    <cellStyle name="Normal 8 2 2 4 9" xfId="9961" xr:uid="{CEF37F25-1EB5-40B4-A0BB-CA41A26E41EA}"/>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7B33546D-A65B-4178-B297-E698A733ED97}"/>
    <cellStyle name="Normal 8 2 2 5 2 3" xfId="12512" xr:uid="{133B0E7C-F8AE-442E-8357-68507DD070EC}"/>
    <cellStyle name="Normal 8 2 2 5 3" xfId="5258" xr:uid="{00000000-0005-0000-0000-0000841C0000}"/>
    <cellStyle name="Normal 8 2 2 5 3 2" xfId="14584" xr:uid="{DBE4E73A-314D-47D9-8AA9-70509A92077A}"/>
    <cellStyle name="Normal 8 2 2 5 4" xfId="9207" xr:uid="{D4CDC4D2-5794-400F-B850-1B259D26C1FE}"/>
    <cellStyle name="Normal 8 2 2 5 5" xfId="10367" xr:uid="{882B841A-FB4E-4FC2-8875-0C65ABE8F46F}"/>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32C3FDE6-8DFC-45C9-913C-26C78B465379}"/>
    <cellStyle name="Normal 8 2 2 6 2 3" xfId="12925" xr:uid="{015B9D3A-F1A0-457C-A843-7DE90F4E84F0}"/>
    <cellStyle name="Normal 8 2 2 6 3" xfId="5671" xr:uid="{00000000-0005-0000-0000-0000881C0000}"/>
    <cellStyle name="Normal 8 2 2 6 3 2" xfId="14997" xr:uid="{9B01E3F2-4889-4B1F-A54B-A446654B6E72}"/>
    <cellStyle name="Normal 8 2 2 6 4" xfId="10780" xr:uid="{BC9BCB3D-940E-4E74-988F-C64A35FD252F}"/>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829F306B-DD57-4D55-ACE9-4D36CC270990}"/>
    <cellStyle name="Normal 8 2 2 7 2 3" xfId="13338" xr:uid="{DFAD206E-8575-4FFE-85AF-7CAA5987A55A}"/>
    <cellStyle name="Normal 8 2 2 7 3" xfId="6084" xr:uid="{00000000-0005-0000-0000-00008C1C0000}"/>
    <cellStyle name="Normal 8 2 2 7 3 2" xfId="15410" xr:uid="{F325DAA0-4A30-4C1A-852B-6A9316F0D671}"/>
    <cellStyle name="Normal 8 2 2 7 4" xfId="11193" xr:uid="{AAEDAD0F-9520-40F9-9F5B-2334A30C8128}"/>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06C936B0-E473-4B16-AE88-7B820E17B9C9}"/>
    <cellStyle name="Normal 8 2 2 8 2 3" xfId="13751" xr:uid="{2776891C-D8EA-4B22-A801-8CB7C7A650EA}"/>
    <cellStyle name="Normal 8 2 2 8 3" xfId="6497" xr:uid="{00000000-0005-0000-0000-0000901C0000}"/>
    <cellStyle name="Normal 8 2 2 8 3 2" xfId="15823" xr:uid="{5A840C6A-6857-4631-9FD6-D693010568D6}"/>
    <cellStyle name="Normal 8 2 2 8 4" xfId="11606" xr:uid="{DDB1AC14-E78E-4EF2-9F88-AF8B7B0214E9}"/>
    <cellStyle name="Normal 8 2 2 9" xfId="2627" xr:uid="{00000000-0005-0000-0000-0000911C0000}"/>
    <cellStyle name="Normal 8 2 2 9 2" xfId="6910" xr:uid="{00000000-0005-0000-0000-0000921C0000}"/>
    <cellStyle name="Normal 8 2 2 9 2 2" xfId="16236" xr:uid="{953CAD7D-C13C-44A1-8159-016AAF3ED6FF}"/>
    <cellStyle name="Normal 8 2 2 9 3" xfId="12019" xr:uid="{C0749D11-EC52-44BF-A3C6-C8B86571ED86}"/>
    <cellStyle name="Normal 8 2 3" xfId="488" xr:uid="{00000000-0005-0000-0000-0000931C0000}"/>
    <cellStyle name="Normal 8 2 3 10" xfId="8835" xr:uid="{2F0FB8B3-D08B-41EB-93AB-2D83A1BD6036}"/>
    <cellStyle name="Normal 8 2 3 11" xfId="9962" xr:uid="{805F2E52-52FE-4EE2-893D-DF7BAD866308}"/>
    <cellStyle name="Normal 8 2 3 2" xfId="489" xr:uid="{00000000-0005-0000-0000-0000941C0000}"/>
    <cellStyle name="Normal 8 2 3 2 10" xfId="9963" xr:uid="{32FDC559-612B-4A4C-9CBD-F60D9C144E59}"/>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6EC398DB-8D75-4A22-BD16-FEEC6A48D617}"/>
    <cellStyle name="Normal 8 2 3 2 2 2 2 3" xfId="12522" xr:uid="{D7A74CB4-6A87-4E10-961A-9E0630F486EA}"/>
    <cellStyle name="Normal 8 2 3 2 2 2 3" xfId="5268" xr:uid="{00000000-0005-0000-0000-0000991C0000}"/>
    <cellStyle name="Normal 8 2 3 2 2 2 3 2" xfId="14594" xr:uid="{4ECCA695-5113-4B5D-8E40-FE5FB0406CEC}"/>
    <cellStyle name="Normal 8 2 3 2 2 2 4" xfId="9570" xr:uid="{BA9732E0-D9E4-47DB-882D-D871A821FA55}"/>
    <cellStyle name="Normal 8 2 3 2 2 2 5" xfId="10377" xr:uid="{635A51A5-CA9F-4E34-A175-71517090E988}"/>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0439E574-FF3C-4C27-A4C7-43F48CF70A84}"/>
    <cellStyle name="Normal 8 2 3 2 2 3 2 3" xfId="12935" xr:uid="{D9EB1850-2CDA-4E50-9C26-CD9597BD03D9}"/>
    <cellStyle name="Normal 8 2 3 2 2 3 3" xfId="5681" xr:uid="{00000000-0005-0000-0000-00009D1C0000}"/>
    <cellStyle name="Normal 8 2 3 2 2 3 3 2" xfId="15007" xr:uid="{76B26FB4-1F25-4A4D-A0C6-11F5355DF963}"/>
    <cellStyle name="Normal 8 2 3 2 2 3 4" xfId="10790" xr:uid="{DD1FBF92-BE86-4320-9EB4-9E9F232CAA8E}"/>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FADF1B6B-2B64-42A3-9F7D-6A13A3FB199E}"/>
    <cellStyle name="Normal 8 2 3 2 2 4 2 3" xfId="13348" xr:uid="{763062C6-3213-499E-9A0D-7D68E7AB9EE8}"/>
    <cellStyle name="Normal 8 2 3 2 2 4 3" xfId="6094" xr:uid="{00000000-0005-0000-0000-0000A11C0000}"/>
    <cellStyle name="Normal 8 2 3 2 2 4 3 2" xfId="15420" xr:uid="{5A79E96D-03CE-42C7-BD3D-11BBAF66BEAB}"/>
    <cellStyle name="Normal 8 2 3 2 2 4 4" xfId="11203" xr:uid="{2B7FDB7A-9E1D-4701-98F2-168E51401E3C}"/>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70E5328B-9CD8-49D1-A1CA-7F0747034D96}"/>
    <cellStyle name="Normal 8 2 3 2 2 5 2 3" xfId="13761" xr:uid="{7C5364B0-E442-47DA-BD88-67D738F06A0F}"/>
    <cellStyle name="Normal 8 2 3 2 2 5 3" xfId="6507" xr:uid="{00000000-0005-0000-0000-0000A51C0000}"/>
    <cellStyle name="Normal 8 2 3 2 2 5 3 2" xfId="15833" xr:uid="{46ACDABB-3A5E-43FC-B92F-98B7715E40D4}"/>
    <cellStyle name="Normal 8 2 3 2 2 5 4" xfId="11616" xr:uid="{CD340023-D0F9-4DC0-B0BF-921B7C101030}"/>
    <cellStyle name="Normal 8 2 3 2 2 6" xfId="2637" xr:uid="{00000000-0005-0000-0000-0000A61C0000}"/>
    <cellStyle name="Normal 8 2 3 2 2 6 2" xfId="6920" xr:uid="{00000000-0005-0000-0000-0000A71C0000}"/>
    <cellStyle name="Normal 8 2 3 2 2 6 2 2" xfId="16246" xr:uid="{9BBBF60A-E85C-4EF9-B0BB-1568A00610A0}"/>
    <cellStyle name="Normal 8 2 3 2 2 6 3" xfId="12029" xr:uid="{7741055B-BCE8-4774-B999-DEFB6BCA3B86}"/>
    <cellStyle name="Normal 8 2 3 2 2 7" xfId="4855" xr:uid="{00000000-0005-0000-0000-0000A81C0000}"/>
    <cellStyle name="Normal 8 2 3 2 2 7 2" xfId="14181" xr:uid="{433D5D13-64B1-4220-B185-E16DED3C2886}"/>
    <cellStyle name="Normal 8 2 3 2 2 8" xfId="9145" xr:uid="{C71E6005-187D-4837-92B4-619AF06B3A3B}"/>
    <cellStyle name="Normal 8 2 3 2 2 9" xfId="9964" xr:uid="{380699CE-D57C-4324-99E0-31719FD37CCF}"/>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20393197-CABC-44B5-99AB-7E7D85869F11}"/>
    <cellStyle name="Normal 8 2 3 2 3 2 3" xfId="12521" xr:uid="{50AD8AB1-0895-49CC-99D5-25776F3BDE3A}"/>
    <cellStyle name="Normal 8 2 3 2 3 3" xfId="5267" xr:uid="{00000000-0005-0000-0000-0000AC1C0000}"/>
    <cellStyle name="Normal 8 2 3 2 3 3 2" xfId="14593" xr:uid="{C99B4BF0-C0B0-416D-A106-B0CE887447DE}"/>
    <cellStyle name="Normal 8 2 3 2 3 4" xfId="9363" xr:uid="{C94C6C98-A8BC-4AC9-B084-0D2219E89AA8}"/>
    <cellStyle name="Normal 8 2 3 2 3 5" xfId="10376" xr:uid="{C176E235-579B-4A86-B702-7E2976B5D3D9}"/>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98736747-BF3C-418E-AB7B-CBC61E0C8916}"/>
    <cellStyle name="Normal 8 2 3 2 4 2 3" xfId="12934" xr:uid="{88F2DCDC-B595-44AC-8E24-BE4CBD6EBDFC}"/>
    <cellStyle name="Normal 8 2 3 2 4 3" xfId="5680" xr:uid="{00000000-0005-0000-0000-0000B01C0000}"/>
    <cellStyle name="Normal 8 2 3 2 4 3 2" xfId="15006" xr:uid="{BCC50B7F-8A74-470D-9812-50366321C2CB}"/>
    <cellStyle name="Normal 8 2 3 2 4 4" xfId="10789" xr:uid="{232E4F65-4A7D-46F7-B802-C897434AF5E1}"/>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98448BED-4BF3-473E-B365-62543C7FE8BF}"/>
    <cellStyle name="Normal 8 2 3 2 5 2 3" xfId="13347" xr:uid="{2B6208F5-D875-4A61-A063-F8FAB4F3B036}"/>
    <cellStyle name="Normal 8 2 3 2 5 3" xfId="6093" xr:uid="{00000000-0005-0000-0000-0000B41C0000}"/>
    <cellStyle name="Normal 8 2 3 2 5 3 2" xfId="15419" xr:uid="{25C82217-86D0-4E73-87EB-7E79387410D0}"/>
    <cellStyle name="Normal 8 2 3 2 5 4" xfId="11202" xr:uid="{A42DDDD3-B644-4BBC-8000-28364A741515}"/>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7B951E7F-1355-4C9A-A901-D79941062848}"/>
    <cellStyle name="Normal 8 2 3 2 6 2 3" xfId="13760" xr:uid="{E84A9F4A-79F0-4444-B901-482E23BC92A2}"/>
    <cellStyle name="Normal 8 2 3 2 6 3" xfId="6506" xr:uid="{00000000-0005-0000-0000-0000B81C0000}"/>
    <cellStyle name="Normal 8 2 3 2 6 3 2" xfId="15832" xr:uid="{3A70D1F6-1B90-4EA9-ABCC-0C8E12E42F7A}"/>
    <cellStyle name="Normal 8 2 3 2 6 4" xfId="11615" xr:uid="{07C76AEB-B7A2-47CA-A91D-D14AB0D0F1BB}"/>
    <cellStyle name="Normal 8 2 3 2 7" xfId="2636" xr:uid="{00000000-0005-0000-0000-0000B91C0000}"/>
    <cellStyle name="Normal 8 2 3 2 7 2" xfId="6919" xr:uid="{00000000-0005-0000-0000-0000BA1C0000}"/>
    <cellStyle name="Normal 8 2 3 2 7 2 2" xfId="16245" xr:uid="{A9FD3784-1944-42A8-8DF6-2D974BC8A6F0}"/>
    <cellStyle name="Normal 8 2 3 2 7 3" xfId="12028" xr:uid="{5450A64B-3A9A-4B2C-92A3-8F6BF25A047C}"/>
    <cellStyle name="Normal 8 2 3 2 8" xfId="4854" xr:uid="{00000000-0005-0000-0000-0000BB1C0000}"/>
    <cellStyle name="Normal 8 2 3 2 8 2" xfId="14180" xr:uid="{C54C9258-3A48-4490-AFA2-77D7DE76B282}"/>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E9594AD7-B447-4C07-B24A-60FF5DFDAF76}"/>
    <cellStyle name="Normal 8 2 3 3 2 2 3" xfId="12523" xr:uid="{60E01017-6EA4-4ADA-A03C-A86657493DC9}"/>
    <cellStyle name="Normal 8 2 3 3 2 3" xfId="5269" xr:uid="{00000000-0005-0000-0000-0000C01C0000}"/>
    <cellStyle name="Normal 8 2 3 3 2 3 2" xfId="14595" xr:uid="{64D4174B-8458-4B46-B3BD-D0613E811B2A}"/>
    <cellStyle name="Normal 8 2 3 3 2 4" xfId="9467" xr:uid="{C16001D7-8508-4511-808F-E990F8EA0FE3}"/>
    <cellStyle name="Normal 8 2 3 3 2 5" xfId="10378" xr:uid="{6C33D1F6-0AEC-4CAF-BED3-D8F3DED22068}"/>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AC423189-DD80-49A0-A698-D35EB0ED73BF}"/>
    <cellStyle name="Normal 8 2 3 3 3 2 3" xfId="12936" xr:uid="{A18A818F-8E5B-4728-9673-E21A35D36810}"/>
    <cellStyle name="Normal 8 2 3 3 3 3" xfId="5682" xr:uid="{00000000-0005-0000-0000-0000C41C0000}"/>
    <cellStyle name="Normal 8 2 3 3 3 3 2" xfId="15008" xr:uid="{2ACC7162-AFA0-4875-8D39-3B852967BE18}"/>
    <cellStyle name="Normal 8 2 3 3 3 4" xfId="10791" xr:uid="{D705E575-4A78-4D12-9192-3D075ACACF30}"/>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7F81814F-E5D4-4392-9B67-84DF1747D6DB}"/>
    <cellStyle name="Normal 8 2 3 3 4 2 3" xfId="13349" xr:uid="{D333C66F-100D-4EDF-9A80-4E2617A1C4BA}"/>
    <cellStyle name="Normal 8 2 3 3 4 3" xfId="6095" xr:uid="{00000000-0005-0000-0000-0000C81C0000}"/>
    <cellStyle name="Normal 8 2 3 3 4 3 2" xfId="15421" xr:uid="{2C3C0418-7116-4AB4-B60D-82E05CAD7B96}"/>
    <cellStyle name="Normal 8 2 3 3 4 4" xfId="11204" xr:uid="{5ED4B5E9-0B8C-45F1-A5F5-DC83D20BE177}"/>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1D2A1E1A-2EB3-490B-BBBB-20CA47A967C4}"/>
    <cellStyle name="Normal 8 2 3 3 5 2 3" xfId="13762" xr:uid="{691AD975-9708-49AB-963D-37BE019F0EC5}"/>
    <cellStyle name="Normal 8 2 3 3 5 3" xfId="6508" xr:uid="{00000000-0005-0000-0000-0000CC1C0000}"/>
    <cellStyle name="Normal 8 2 3 3 5 3 2" xfId="15834" xr:uid="{B75FF68F-77F6-4EBF-A7A8-F9BFF6A49332}"/>
    <cellStyle name="Normal 8 2 3 3 5 4" xfId="11617" xr:uid="{8301FE41-58CA-4ABD-9261-B5D40D3AA1F3}"/>
    <cellStyle name="Normal 8 2 3 3 6" xfId="2638" xr:uid="{00000000-0005-0000-0000-0000CD1C0000}"/>
    <cellStyle name="Normal 8 2 3 3 6 2" xfId="6921" xr:uid="{00000000-0005-0000-0000-0000CE1C0000}"/>
    <cellStyle name="Normal 8 2 3 3 6 2 2" xfId="16247" xr:uid="{A2597B64-06D0-4D97-A663-15C362636B77}"/>
    <cellStyle name="Normal 8 2 3 3 6 3" xfId="12030" xr:uid="{E3F2904A-AB4C-42A9-94AD-5A244B212E1E}"/>
    <cellStyle name="Normal 8 2 3 3 7" xfId="4856" xr:uid="{00000000-0005-0000-0000-0000CF1C0000}"/>
    <cellStyle name="Normal 8 2 3 3 7 2" xfId="14182" xr:uid="{B021B2B0-BC7D-4399-AEE6-0EBEEA003A67}"/>
    <cellStyle name="Normal 8 2 3 3 8" xfId="9042" xr:uid="{D820ED39-BAB1-48C1-A68D-2017E247E432}"/>
    <cellStyle name="Normal 8 2 3 3 9" xfId="9965" xr:uid="{2146BB5F-EDAB-4AFA-9D0A-D8B28273099D}"/>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8BC2C432-BBE3-427C-8C6E-923A4CC1C023}"/>
    <cellStyle name="Normal 8 2 3 4 2 3" xfId="12520" xr:uid="{77A0886D-2A3F-4B91-8E87-C86E35A733AC}"/>
    <cellStyle name="Normal 8 2 3 4 3" xfId="5266" xr:uid="{00000000-0005-0000-0000-0000D31C0000}"/>
    <cellStyle name="Normal 8 2 3 4 3 2" xfId="14592" xr:uid="{A1AAAD59-8188-4C1F-B765-4B85B902A1AB}"/>
    <cellStyle name="Normal 8 2 3 4 4" xfId="9260" xr:uid="{70FF5A16-C89A-42B7-A603-E23A7C2F443C}"/>
    <cellStyle name="Normal 8 2 3 4 5" xfId="10375" xr:uid="{EA60C418-CA5C-4DD9-9890-C3CD693D5EA3}"/>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D4BBF935-C64C-4505-823C-3758EDBEA64C}"/>
    <cellStyle name="Normal 8 2 3 5 2 3" xfId="12933" xr:uid="{015E56CC-E99E-4A15-8BB4-BF5B19E2BC49}"/>
    <cellStyle name="Normal 8 2 3 5 3" xfId="5679" xr:uid="{00000000-0005-0000-0000-0000D71C0000}"/>
    <cellStyle name="Normal 8 2 3 5 3 2" xfId="15005" xr:uid="{1424811C-B563-4EA9-AB23-59C42AD03488}"/>
    <cellStyle name="Normal 8 2 3 5 4" xfId="10788" xr:uid="{BA7CF92A-BC2F-401E-9BB5-E94C22778BBB}"/>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FAEA0A12-7124-40ED-BAAD-4FDEF3487746}"/>
    <cellStyle name="Normal 8 2 3 6 2 3" xfId="13346" xr:uid="{E11C41C5-C34C-4E91-9912-EDC7F4238D4E}"/>
    <cellStyle name="Normal 8 2 3 6 3" xfId="6092" xr:uid="{00000000-0005-0000-0000-0000DB1C0000}"/>
    <cellStyle name="Normal 8 2 3 6 3 2" xfId="15418" xr:uid="{65F7565D-330A-4BD0-BDC3-87E12D521EBE}"/>
    <cellStyle name="Normal 8 2 3 6 4" xfId="11201" xr:uid="{C0537103-A7D8-4B68-9F65-AF0B5C0F2A2E}"/>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859AED2B-9784-47F8-BE2B-9AC2E7B0C4DD}"/>
    <cellStyle name="Normal 8 2 3 7 2 3" xfId="13759" xr:uid="{E354F055-EC4B-4423-A87B-F6256E9CEEAC}"/>
    <cellStyle name="Normal 8 2 3 7 3" xfId="6505" xr:uid="{00000000-0005-0000-0000-0000DF1C0000}"/>
    <cellStyle name="Normal 8 2 3 7 3 2" xfId="15831" xr:uid="{631D8E84-DB9C-42AC-9C6E-D655FF110E9B}"/>
    <cellStyle name="Normal 8 2 3 7 4" xfId="11614" xr:uid="{71922A3A-461F-4E72-988B-DDC1E52036A6}"/>
    <cellStyle name="Normal 8 2 3 8" xfId="2635" xr:uid="{00000000-0005-0000-0000-0000E01C0000}"/>
    <cellStyle name="Normal 8 2 3 8 2" xfId="6918" xr:uid="{00000000-0005-0000-0000-0000E11C0000}"/>
    <cellStyle name="Normal 8 2 3 8 2 2" xfId="16244" xr:uid="{515A0A0A-160C-4D29-B6BC-C641E4299B33}"/>
    <cellStyle name="Normal 8 2 3 8 3" xfId="12027" xr:uid="{738E798A-0BA3-4A51-AA33-5481AF0214B4}"/>
    <cellStyle name="Normal 8 2 3 9" xfId="4853" xr:uid="{00000000-0005-0000-0000-0000E21C0000}"/>
    <cellStyle name="Normal 8 2 3 9 2" xfId="14179" xr:uid="{0D0C1C82-AD75-45E6-B9BB-0FA660FB6BE5}"/>
    <cellStyle name="Normal 8 2 4" xfId="492" xr:uid="{00000000-0005-0000-0000-0000E31C0000}"/>
    <cellStyle name="Normal 8 2 4 10" xfId="9966" xr:uid="{49B39A72-10A5-456E-A593-25EC65257616}"/>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D7A5ABDA-E1D3-4583-AE96-957495DB88E1}"/>
    <cellStyle name="Normal 8 2 4 2 2 2 3" xfId="12525" xr:uid="{7D0ED096-EDD7-4AA6-A7D5-E24FA730DA7B}"/>
    <cellStyle name="Normal 8 2 4 2 2 3" xfId="5271" xr:uid="{00000000-0005-0000-0000-0000E81C0000}"/>
    <cellStyle name="Normal 8 2 4 2 2 3 2" xfId="14597" xr:uid="{213981F1-997A-45AC-9509-6D9C3390F5E1}"/>
    <cellStyle name="Normal 8 2 4 2 2 4" xfId="9486" xr:uid="{9F6EBE4C-F02F-43A6-A388-D5EACB1B3099}"/>
    <cellStyle name="Normal 8 2 4 2 2 5" xfId="10380" xr:uid="{A8D6ECEA-9003-4077-BA8D-DCDAB6D13388}"/>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D340800D-42AE-437C-88D0-ABA304309CD1}"/>
    <cellStyle name="Normal 8 2 4 2 3 2 3" xfId="12938" xr:uid="{3728D511-9324-4F02-AE8F-F6E0E7BAA46B}"/>
    <cellStyle name="Normal 8 2 4 2 3 3" xfId="5684" xr:uid="{00000000-0005-0000-0000-0000EC1C0000}"/>
    <cellStyle name="Normal 8 2 4 2 3 3 2" xfId="15010" xr:uid="{F1EF1906-526D-4A48-B1BB-6B3A711D49ED}"/>
    <cellStyle name="Normal 8 2 4 2 3 4" xfId="10793" xr:uid="{865ACAB1-4002-4F4A-B095-94452B23AFD9}"/>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8327954E-60FE-475A-8943-6F831F06E758}"/>
    <cellStyle name="Normal 8 2 4 2 4 2 3" xfId="13351" xr:uid="{171B8A2B-9701-45BC-A93A-D637FDF70087}"/>
    <cellStyle name="Normal 8 2 4 2 4 3" xfId="6097" xr:uid="{00000000-0005-0000-0000-0000F01C0000}"/>
    <cellStyle name="Normal 8 2 4 2 4 3 2" xfId="15423" xr:uid="{AAB76C0C-FB74-4DD2-B0A9-2E2E94AA458C}"/>
    <cellStyle name="Normal 8 2 4 2 4 4" xfId="11206" xr:uid="{3365B4D9-3F35-4683-B7C7-E252B58F4A43}"/>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28418B64-5006-48E4-BD77-585FD7619D0C}"/>
    <cellStyle name="Normal 8 2 4 2 5 2 3" xfId="13764" xr:uid="{4FE1DED0-4677-49E7-A22E-48B96110D38A}"/>
    <cellStyle name="Normal 8 2 4 2 5 3" xfId="6510" xr:uid="{00000000-0005-0000-0000-0000F41C0000}"/>
    <cellStyle name="Normal 8 2 4 2 5 3 2" xfId="15836" xr:uid="{BD5401DC-A0D8-48BA-94A9-0BB096356F5E}"/>
    <cellStyle name="Normal 8 2 4 2 5 4" xfId="11619" xr:uid="{D3AE6552-B5E3-4432-AD4C-5E52285E0DA7}"/>
    <cellStyle name="Normal 8 2 4 2 6" xfId="2640" xr:uid="{00000000-0005-0000-0000-0000F51C0000}"/>
    <cellStyle name="Normal 8 2 4 2 6 2" xfId="6923" xr:uid="{00000000-0005-0000-0000-0000F61C0000}"/>
    <cellStyle name="Normal 8 2 4 2 6 2 2" xfId="16249" xr:uid="{C3B88452-9C8B-4BFC-8076-5A7974706649}"/>
    <cellStyle name="Normal 8 2 4 2 6 3" xfId="12032" xr:uid="{C7DF56A6-58DE-48F7-8B86-FFF0EE6707A0}"/>
    <cellStyle name="Normal 8 2 4 2 7" xfId="4858" xr:uid="{00000000-0005-0000-0000-0000F71C0000}"/>
    <cellStyle name="Normal 8 2 4 2 7 2" xfId="14184" xr:uid="{D69A3A28-2566-4796-9AC7-417FB03BF73F}"/>
    <cellStyle name="Normal 8 2 4 2 8" xfId="9061" xr:uid="{7295DB82-9441-436C-AA3E-91B68F6E59B3}"/>
    <cellStyle name="Normal 8 2 4 2 9" xfId="9967" xr:uid="{FBBA392C-D98F-4B40-ACA7-16D0B6E5A0A8}"/>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5EA3EA3A-CDF4-40BA-BEBC-B1D990929DB9}"/>
    <cellStyle name="Normal 8 2 4 3 2 3" xfId="12524" xr:uid="{7AC0C3E4-F24E-441B-A2D6-C13A85AE5EBC}"/>
    <cellStyle name="Normal 8 2 4 3 3" xfId="5270" xr:uid="{00000000-0005-0000-0000-0000FB1C0000}"/>
    <cellStyle name="Normal 8 2 4 3 3 2" xfId="14596" xr:uid="{FF242498-9C92-4B42-9C24-5B7C2A22FCBE}"/>
    <cellStyle name="Normal 8 2 4 3 4" xfId="9279" xr:uid="{BA09D30D-BEBA-4223-83E6-57FB46A1EFA8}"/>
    <cellStyle name="Normal 8 2 4 3 5" xfId="10379" xr:uid="{B3F6B50F-80D8-4302-90FF-27E31167B752}"/>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4312DA0A-F6C6-4045-A39C-3452A209A926}"/>
    <cellStyle name="Normal 8 2 4 4 2 3" xfId="12937" xr:uid="{422550FB-25E1-4CD3-B927-1A2615336464}"/>
    <cellStyle name="Normal 8 2 4 4 3" xfId="5683" xr:uid="{00000000-0005-0000-0000-0000FF1C0000}"/>
    <cellStyle name="Normal 8 2 4 4 3 2" xfId="15009" xr:uid="{3AA6386E-CCDE-4137-9312-E509FEC82F81}"/>
    <cellStyle name="Normal 8 2 4 4 4" xfId="10792" xr:uid="{700F4E04-A3BE-4C61-96BB-02E2E1C4A022}"/>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77347DDB-1788-41FC-8412-F8089A3571E8}"/>
    <cellStyle name="Normal 8 2 4 5 2 3" xfId="13350" xr:uid="{7321F3FA-44F4-4F98-9288-2FBE18CF5902}"/>
    <cellStyle name="Normal 8 2 4 5 3" xfId="6096" xr:uid="{00000000-0005-0000-0000-0000031D0000}"/>
    <cellStyle name="Normal 8 2 4 5 3 2" xfId="15422" xr:uid="{AD52E39B-B502-4D62-9429-8C78C9D475E4}"/>
    <cellStyle name="Normal 8 2 4 5 4" xfId="11205" xr:uid="{15FB62FD-1BEA-494A-BB31-424ADAA9E10D}"/>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2AED7653-93A3-4B85-8DD3-A9A729903680}"/>
    <cellStyle name="Normal 8 2 4 6 2 3" xfId="13763" xr:uid="{7F1222D9-A5ED-4CA0-B90C-AD427E0B3AB8}"/>
    <cellStyle name="Normal 8 2 4 6 3" xfId="6509" xr:uid="{00000000-0005-0000-0000-0000071D0000}"/>
    <cellStyle name="Normal 8 2 4 6 3 2" xfId="15835" xr:uid="{42C6D608-0B63-480C-909A-79D0EED45E83}"/>
    <cellStyle name="Normal 8 2 4 6 4" xfId="11618" xr:uid="{0B932BA4-CD48-49D2-8A27-18443E2C9420}"/>
    <cellStyle name="Normal 8 2 4 7" xfId="2639" xr:uid="{00000000-0005-0000-0000-0000081D0000}"/>
    <cellStyle name="Normal 8 2 4 7 2" xfId="6922" xr:uid="{00000000-0005-0000-0000-0000091D0000}"/>
    <cellStyle name="Normal 8 2 4 7 2 2" xfId="16248" xr:uid="{BAB68BF4-E602-4639-97CB-0148A74F64D7}"/>
    <cellStyle name="Normal 8 2 4 7 3" xfId="12031" xr:uid="{8FBB65D1-F260-4649-A7C6-E9B8E499ABE0}"/>
    <cellStyle name="Normal 8 2 4 8" xfId="4857" xr:uid="{00000000-0005-0000-0000-00000A1D0000}"/>
    <cellStyle name="Normal 8 2 4 8 2" xfId="14183" xr:uid="{2E179047-4BEC-4F8A-83A3-DEE4D184B826}"/>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68170561-DE4F-426A-AEEB-FF39A51D4E55}"/>
    <cellStyle name="Normal 8 2 5 2 2 3" xfId="12526" xr:uid="{22AE6478-B0D5-4C7E-B719-F34252BF805C}"/>
    <cellStyle name="Normal 8 2 5 2 3" xfId="5272" xr:uid="{00000000-0005-0000-0000-00000F1D0000}"/>
    <cellStyle name="Normal 8 2 5 2 3 2" xfId="14598" xr:uid="{8AEEDC8F-3061-48CA-B911-A84BA35DC9E9}"/>
    <cellStyle name="Normal 8 2 5 2 4" xfId="9395" xr:uid="{D5766EF3-6042-484F-B510-7448518CF571}"/>
    <cellStyle name="Normal 8 2 5 2 5" xfId="10381" xr:uid="{7C23EB22-BEF6-499F-A764-37DA645738B9}"/>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1106A3C6-7A02-4548-811C-AE2D8A5CD54D}"/>
    <cellStyle name="Normal 8 2 5 3 2 3" xfId="12939" xr:uid="{CA8668CC-2354-4770-8EA6-5825CB6B8173}"/>
    <cellStyle name="Normal 8 2 5 3 3" xfId="5685" xr:uid="{00000000-0005-0000-0000-0000131D0000}"/>
    <cellStyle name="Normal 8 2 5 3 3 2" xfId="15011" xr:uid="{E4626955-F4C2-428A-ACF7-EC1F1C136019}"/>
    <cellStyle name="Normal 8 2 5 3 4" xfId="10794" xr:uid="{700244FE-D6B1-4495-87AE-896C478065A1}"/>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1B0CFE15-C1B4-4677-8B8A-A94080803EB2}"/>
    <cellStyle name="Normal 8 2 5 4 2 3" xfId="13352" xr:uid="{04658ED7-B9CA-468F-A21D-63D7067DF1EB}"/>
    <cellStyle name="Normal 8 2 5 4 3" xfId="6098" xr:uid="{00000000-0005-0000-0000-0000171D0000}"/>
    <cellStyle name="Normal 8 2 5 4 3 2" xfId="15424" xr:uid="{06D3119C-D5FA-47A7-B72C-F0916378161B}"/>
    <cellStyle name="Normal 8 2 5 4 4" xfId="11207" xr:uid="{694C17C9-CD75-4ABC-AA12-1B043438DCAC}"/>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9C4CCD9C-D173-499F-9FAC-F34FD891BE24}"/>
    <cellStyle name="Normal 8 2 5 5 2 3" xfId="13765" xr:uid="{23AA5080-502F-423F-BD93-A2632CCB526D}"/>
    <cellStyle name="Normal 8 2 5 5 3" xfId="6511" xr:uid="{00000000-0005-0000-0000-00001B1D0000}"/>
    <cellStyle name="Normal 8 2 5 5 3 2" xfId="15837" xr:uid="{6C3C3E96-BEA0-49C3-A571-ADF4361176B4}"/>
    <cellStyle name="Normal 8 2 5 5 4" xfId="11620" xr:uid="{38A10A99-37C0-42AB-8D55-07FA25B1A8BE}"/>
    <cellStyle name="Normal 8 2 5 6" xfId="2641" xr:uid="{00000000-0005-0000-0000-00001C1D0000}"/>
    <cellStyle name="Normal 8 2 5 6 2" xfId="6924" xr:uid="{00000000-0005-0000-0000-00001D1D0000}"/>
    <cellStyle name="Normal 8 2 5 6 2 2" xfId="16250" xr:uid="{1DA3B61C-3E86-4128-A5F6-F4CB63C78665}"/>
    <cellStyle name="Normal 8 2 5 6 3" xfId="12033" xr:uid="{31B1CF48-945C-45A4-ABE2-71CEAACE0C39}"/>
    <cellStyle name="Normal 8 2 5 7" xfId="4859" xr:uid="{00000000-0005-0000-0000-00001E1D0000}"/>
    <cellStyle name="Normal 8 2 5 7 2" xfId="14185" xr:uid="{BCF4FC94-4F59-41E8-9989-20E5AD4B7B40}"/>
    <cellStyle name="Normal 8 2 5 8" xfId="8970" xr:uid="{7E9ACEFF-1680-45D8-BC32-8CA9BA1D63D4}"/>
    <cellStyle name="Normal 8 2 5 9" xfId="9968" xr:uid="{2C24B850-B80A-444F-AAD5-6A278970DCAC}"/>
    <cellStyle name="Normal 8 2 6" xfId="946" xr:uid="{00000000-0005-0000-0000-00001F1D0000}"/>
    <cellStyle name="Normal 8 2 6 2" xfId="3180" xr:uid="{00000000-0005-0000-0000-0000201D0000}"/>
    <cellStyle name="Normal 8 2 6 2 2" xfId="7402" xr:uid="{00000000-0005-0000-0000-0000211D0000}"/>
    <cellStyle name="Normal 8 2 6 2 2 2" xfId="16728" xr:uid="{7F61FAAD-636B-4AD9-A3E0-AB2716B2D600}"/>
    <cellStyle name="Normal 8 2 6 2 3" xfId="12511" xr:uid="{55DAF19E-1722-49A5-908E-BAA7A02D2405}"/>
    <cellStyle name="Normal 8 2 6 3" xfId="5257" xr:uid="{00000000-0005-0000-0000-0000221D0000}"/>
    <cellStyle name="Normal 8 2 6 3 2" xfId="14583" xr:uid="{173CC159-60C9-43FF-A006-BD0F3900F854}"/>
    <cellStyle name="Normal 8 2 6 4" xfId="9173" xr:uid="{C36295B3-E6F0-4A6D-AEE5-72C8177C13EE}"/>
    <cellStyle name="Normal 8 2 6 5" xfId="10366" xr:uid="{A187067F-4DB8-46DA-AD8C-9B3098589C9F}"/>
    <cellStyle name="Normal 8 2 7" xfId="1363" xr:uid="{00000000-0005-0000-0000-0000231D0000}"/>
    <cellStyle name="Normal 8 2 7 2" xfId="3593" xr:uid="{00000000-0005-0000-0000-0000241D0000}"/>
    <cellStyle name="Normal 8 2 7 2 2" xfId="7815" xr:uid="{00000000-0005-0000-0000-0000251D0000}"/>
    <cellStyle name="Normal 8 2 7 2 2 2" xfId="17141" xr:uid="{BB7BBAA8-BE7C-49B6-B948-FEF3F7C890BF}"/>
    <cellStyle name="Normal 8 2 7 2 3" xfId="12924" xr:uid="{96ADA664-505A-4EDA-8742-8ADBCA6D8B11}"/>
    <cellStyle name="Normal 8 2 7 3" xfId="5670" xr:uid="{00000000-0005-0000-0000-0000261D0000}"/>
    <cellStyle name="Normal 8 2 7 3 2" xfId="14996" xr:uid="{7DAD4622-4A82-4E6B-8569-1698E7D5E6ED}"/>
    <cellStyle name="Normal 8 2 7 4" xfId="10779" xr:uid="{41E7E2D3-4A12-4C9D-BE9D-D1E8EED566D2}"/>
    <cellStyle name="Normal 8 2 8" xfId="1776" xr:uid="{00000000-0005-0000-0000-0000271D0000}"/>
    <cellStyle name="Normal 8 2 8 2" xfId="4006" xr:uid="{00000000-0005-0000-0000-0000281D0000}"/>
    <cellStyle name="Normal 8 2 8 2 2" xfId="8228" xr:uid="{00000000-0005-0000-0000-0000291D0000}"/>
    <cellStyle name="Normal 8 2 8 2 2 2" xfId="17554" xr:uid="{44959378-E8DB-4D2F-96D8-4785A8375842}"/>
    <cellStyle name="Normal 8 2 8 2 3" xfId="13337" xr:uid="{05FAEB2E-D290-491D-A41B-D6E8DE111771}"/>
    <cellStyle name="Normal 8 2 8 3" xfId="6083" xr:uid="{00000000-0005-0000-0000-00002A1D0000}"/>
    <cellStyle name="Normal 8 2 8 3 2" xfId="15409" xr:uid="{2449B0B8-430E-41C2-BD4F-6B4E24C3533E}"/>
    <cellStyle name="Normal 8 2 8 4" xfId="11192" xr:uid="{556AC047-D049-40B2-87BF-92FBFA309919}"/>
    <cellStyle name="Normal 8 2 9" xfId="2190" xr:uid="{00000000-0005-0000-0000-00002B1D0000}"/>
    <cellStyle name="Normal 8 2 9 2" xfId="4419" xr:uid="{00000000-0005-0000-0000-00002C1D0000}"/>
    <cellStyle name="Normal 8 2 9 2 2" xfId="8641" xr:uid="{00000000-0005-0000-0000-00002D1D0000}"/>
    <cellStyle name="Normal 8 2 9 2 2 2" xfId="17967" xr:uid="{8EFDA710-5FF2-4DA3-9ACA-39F6CB0F3414}"/>
    <cellStyle name="Normal 8 2 9 2 3" xfId="13750" xr:uid="{34CC5A9A-5319-491C-9F0B-11377EA3C9B4}"/>
    <cellStyle name="Normal 8 2 9 3" xfId="6496" xr:uid="{00000000-0005-0000-0000-00002E1D0000}"/>
    <cellStyle name="Normal 8 2 9 3 2" xfId="15822" xr:uid="{B95FA9C3-9FB6-483B-8E4A-B08CC6936BF8}"/>
    <cellStyle name="Normal 8 2 9 4" xfId="11605" xr:uid="{1843E807-2ACE-48D2-BBBF-04D4516F4E29}"/>
    <cellStyle name="Normal 8 3" xfId="495" xr:uid="{00000000-0005-0000-0000-00002F1D0000}"/>
    <cellStyle name="Normal 8 3 10" xfId="4860" xr:uid="{00000000-0005-0000-0000-0000301D0000}"/>
    <cellStyle name="Normal 8 3 10 2" xfId="14186" xr:uid="{AEEBF460-E174-4C2B-986B-D32C34D737DF}"/>
    <cellStyle name="Normal 8 3 11" xfId="8774" xr:uid="{81BDDADD-940D-4F3A-BD6C-7E4719C8A3D2}"/>
    <cellStyle name="Normal 8 3 12" xfId="9969" xr:uid="{17059625-1DA6-45FA-8904-E5A2C1502529}"/>
    <cellStyle name="Normal 8 3 2" xfId="496" xr:uid="{00000000-0005-0000-0000-0000311D0000}"/>
    <cellStyle name="Normal 8 3 2 10" xfId="8837" xr:uid="{392842AA-84B1-4A71-AE94-A1B631487B7E}"/>
    <cellStyle name="Normal 8 3 2 11" xfId="9970" xr:uid="{30B65C5A-7DC2-46D6-AE32-7C2708F24369}"/>
    <cellStyle name="Normal 8 3 2 2" xfId="497" xr:uid="{00000000-0005-0000-0000-0000321D0000}"/>
    <cellStyle name="Normal 8 3 2 2 10" xfId="9971" xr:uid="{0EA1EA87-2BE4-4459-A150-D306E1AD5B15}"/>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3DD0D27A-93B5-4EA8-BC93-E83B733201A7}"/>
    <cellStyle name="Normal 8 3 2 2 2 2 2 3" xfId="12530" xr:uid="{0BF984B6-F989-414A-967D-54AE5A3559D3}"/>
    <cellStyle name="Normal 8 3 2 2 2 2 3" xfId="5276" xr:uid="{00000000-0005-0000-0000-0000371D0000}"/>
    <cellStyle name="Normal 8 3 2 2 2 2 3 2" xfId="14602" xr:uid="{A91CEF4C-2A4E-40C9-B5E7-BE54EB1B2D2E}"/>
    <cellStyle name="Normal 8 3 2 2 2 2 4" xfId="9572" xr:uid="{83269435-2305-4677-BD8B-8CB801DC108A}"/>
    <cellStyle name="Normal 8 3 2 2 2 2 5" xfId="10385" xr:uid="{69A13107-96D0-4736-B7E6-29280B19C8CB}"/>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2E3F92E5-0E48-47EA-B93B-125824045746}"/>
    <cellStyle name="Normal 8 3 2 2 2 3 2 3" xfId="12943" xr:uid="{67CBEEFE-0266-45A7-A171-83F108353E7E}"/>
    <cellStyle name="Normal 8 3 2 2 2 3 3" xfId="5689" xr:uid="{00000000-0005-0000-0000-00003B1D0000}"/>
    <cellStyle name="Normal 8 3 2 2 2 3 3 2" xfId="15015" xr:uid="{21E5026F-B4FC-4CB0-9277-9702FCC2EE35}"/>
    <cellStyle name="Normal 8 3 2 2 2 3 4" xfId="10798" xr:uid="{44A45F48-CC1E-487B-BF6B-CDC64E35311C}"/>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0D5C349B-A753-4681-835F-E150267708B0}"/>
    <cellStyle name="Normal 8 3 2 2 2 4 2 3" xfId="13356" xr:uid="{403CC2FF-BBCA-45B5-A722-953EA1CD3A83}"/>
    <cellStyle name="Normal 8 3 2 2 2 4 3" xfId="6102" xr:uid="{00000000-0005-0000-0000-00003F1D0000}"/>
    <cellStyle name="Normal 8 3 2 2 2 4 3 2" xfId="15428" xr:uid="{DC93377C-5F51-4847-A718-132AC8164CD8}"/>
    <cellStyle name="Normal 8 3 2 2 2 4 4" xfId="11211" xr:uid="{0D8C7939-9FEB-4361-819C-6A43BBE0C0FD}"/>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C28AFD15-5282-4498-93FA-5B552C87AFE6}"/>
    <cellStyle name="Normal 8 3 2 2 2 5 2 3" xfId="13769" xr:uid="{338D23C5-6CD4-4AC2-AF12-776C8CD48A87}"/>
    <cellStyle name="Normal 8 3 2 2 2 5 3" xfId="6515" xr:uid="{00000000-0005-0000-0000-0000431D0000}"/>
    <cellStyle name="Normal 8 3 2 2 2 5 3 2" xfId="15841" xr:uid="{A3232882-FAF4-43E1-B2B3-F8ED8BF374CB}"/>
    <cellStyle name="Normal 8 3 2 2 2 5 4" xfId="11624" xr:uid="{995AE1B2-55AC-4F69-8A7F-E8D49ED92298}"/>
    <cellStyle name="Normal 8 3 2 2 2 6" xfId="2645" xr:uid="{00000000-0005-0000-0000-0000441D0000}"/>
    <cellStyle name="Normal 8 3 2 2 2 6 2" xfId="6928" xr:uid="{00000000-0005-0000-0000-0000451D0000}"/>
    <cellStyle name="Normal 8 3 2 2 2 6 2 2" xfId="16254" xr:uid="{B62897D4-820F-426E-B27A-8815D707CCE8}"/>
    <cellStyle name="Normal 8 3 2 2 2 6 3" xfId="12037" xr:uid="{3CFBE8AA-69DE-4F87-9320-1D1DD4D4AB56}"/>
    <cellStyle name="Normal 8 3 2 2 2 7" xfId="4863" xr:uid="{00000000-0005-0000-0000-0000461D0000}"/>
    <cellStyle name="Normal 8 3 2 2 2 7 2" xfId="14189" xr:uid="{4EE4B347-C6BB-4990-B1A0-2F7C7316F78D}"/>
    <cellStyle name="Normal 8 3 2 2 2 8" xfId="9147" xr:uid="{16780743-13F5-44BF-919B-157B86988913}"/>
    <cellStyle name="Normal 8 3 2 2 2 9" xfId="9972" xr:uid="{424AD218-FE16-4F28-B79B-7701768F2F6E}"/>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1915047D-1DA8-4288-974D-AF03965AF1CF}"/>
    <cellStyle name="Normal 8 3 2 2 3 2 3" xfId="12529" xr:uid="{7C1FC214-1E5D-4FCF-9FA7-87942DCB29CB}"/>
    <cellStyle name="Normal 8 3 2 2 3 3" xfId="5275" xr:uid="{00000000-0005-0000-0000-00004A1D0000}"/>
    <cellStyle name="Normal 8 3 2 2 3 3 2" xfId="14601" xr:uid="{A81E9A2C-5E73-48CC-AEDB-39DCE99DB917}"/>
    <cellStyle name="Normal 8 3 2 2 3 4" xfId="9365" xr:uid="{47FF7C14-7484-41B9-856F-11398F7B2C7C}"/>
    <cellStyle name="Normal 8 3 2 2 3 5" xfId="10384" xr:uid="{235CAE90-4F80-43B6-8E65-E4800669B739}"/>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16671922-9856-4FEF-83BF-CFB9C76C00F9}"/>
    <cellStyle name="Normal 8 3 2 2 4 2 3" xfId="12942" xr:uid="{43493310-FB1D-46F9-8C9D-C0EDFCC54962}"/>
    <cellStyle name="Normal 8 3 2 2 4 3" xfId="5688" xr:uid="{00000000-0005-0000-0000-00004E1D0000}"/>
    <cellStyle name="Normal 8 3 2 2 4 3 2" xfId="15014" xr:uid="{7287358C-35AA-40F5-9029-A9E786CF278F}"/>
    <cellStyle name="Normal 8 3 2 2 4 4" xfId="10797" xr:uid="{0B8B1629-1885-4392-831D-751CB886D9E8}"/>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4345D77D-A0DB-4CAC-A0F4-E61EF9D7B802}"/>
    <cellStyle name="Normal 8 3 2 2 5 2 3" xfId="13355" xr:uid="{2947A38F-0844-4B87-9009-19E56FC6206F}"/>
    <cellStyle name="Normal 8 3 2 2 5 3" xfId="6101" xr:uid="{00000000-0005-0000-0000-0000521D0000}"/>
    <cellStyle name="Normal 8 3 2 2 5 3 2" xfId="15427" xr:uid="{BD47D777-929D-4C00-B0B8-A4A048E268D0}"/>
    <cellStyle name="Normal 8 3 2 2 5 4" xfId="11210" xr:uid="{5653617F-D14C-4EDC-A401-FD818A754FEC}"/>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A2838D21-51A7-4022-B1C8-4AA100792294}"/>
    <cellStyle name="Normal 8 3 2 2 6 2 3" xfId="13768" xr:uid="{7D69BDE6-1CD6-4FFA-B45E-A24D8DEFEB65}"/>
    <cellStyle name="Normal 8 3 2 2 6 3" xfId="6514" xr:uid="{00000000-0005-0000-0000-0000561D0000}"/>
    <cellStyle name="Normal 8 3 2 2 6 3 2" xfId="15840" xr:uid="{AD2FADE2-DBEC-480F-A09B-18A5D0FCA7C9}"/>
    <cellStyle name="Normal 8 3 2 2 6 4" xfId="11623" xr:uid="{C6E9D814-E003-46FF-AB28-0106C3C58264}"/>
    <cellStyle name="Normal 8 3 2 2 7" xfId="2644" xr:uid="{00000000-0005-0000-0000-0000571D0000}"/>
    <cellStyle name="Normal 8 3 2 2 7 2" xfId="6927" xr:uid="{00000000-0005-0000-0000-0000581D0000}"/>
    <cellStyle name="Normal 8 3 2 2 7 2 2" xfId="16253" xr:uid="{974FDC81-B2EC-468D-ACDB-4BEDD06A60BD}"/>
    <cellStyle name="Normal 8 3 2 2 7 3" xfId="12036" xr:uid="{63960523-6852-4C0E-8BD5-C65E3C187467}"/>
    <cellStyle name="Normal 8 3 2 2 8" xfId="4862" xr:uid="{00000000-0005-0000-0000-0000591D0000}"/>
    <cellStyle name="Normal 8 3 2 2 8 2" xfId="14188" xr:uid="{39A71300-6E6A-4DF6-BC00-68884572D342}"/>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F4C66F21-32E8-44F1-8BC5-D49936EBF90E}"/>
    <cellStyle name="Normal 8 3 2 3 2 2 3" xfId="12531" xr:uid="{E888FCD0-32CF-4CD3-A4F9-BFAD41082173}"/>
    <cellStyle name="Normal 8 3 2 3 2 3" xfId="5277" xr:uid="{00000000-0005-0000-0000-00005E1D0000}"/>
    <cellStyle name="Normal 8 3 2 3 2 3 2" xfId="14603" xr:uid="{951C441C-F2D2-4CAD-8FEE-CFDA93628238}"/>
    <cellStyle name="Normal 8 3 2 3 2 4" xfId="9469" xr:uid="{7CA6C380-A6E9-4AF4-A29A-E40C8E9B5B5F}"/>
    <cellStyle name="Normal 8 3 2 3 2 5" xfId="10386" xr:uid="{113216A5-E240-4A47-923F-996802B386BC}"/>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FBFB68EE-4A75-4B0B-B939-B8160E7E2768}"/>
    <cellStyle name="Normal 8 3 2 3 3 2 3" xfId="12944" xr:uid="{132F81E5-CB3A-4775-A67E-0CA3B11AF47C}"/>
    <cellStyle name="Normal 8 3 2 3 3 3" xfId="5690" xr:uid="{00000000-0005-0000-0000-0000621D0000}"/>
    <cellStyle name="Normal 8 3 2 3 3 3 2" xfId="15016" xr:uid="{E2FB8F48-4769-493E-B202-37850FB75831}"/>
    <cellStyle name="Normal 8 3 2 3 3 4" xfId="10799" xr:uid="{038C9F4E-8ABC-447C-989E-506E002CD4C0}"/>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B3BE7CE7-25D9-404E-918A-6D8C827BAA0A}"/>
    <cellStyle name="Normal 8 3 2 3 4 2 3" xfId="13357" xr:uid="{DAEC6B1A-8537-4F4C-B943-F7ABCEBCFE45}"/>
    <cellStyle name="Normal 8 3 2 3 4 3" xfId="6103" xr:uid="{00000000-0005-0000-0000-0000661D0000}"/>
    <cellStyle name="Normal 8 3 2 3 4 3 2" xfId="15429" xr:uid="{C7BACF71-B486-476A-AD62-F020403B4E60}"/>
    <cellStyle name="Normal 8 3 2 3 4 4" xfId="11212" xr:uid="{7C539B3B-5E8E-4E68-AA42-E9AE45B98917}"/>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39B21CF0-434F-4353-9C60-04B548AC2DE8}"/>
    <cellStyle name="Normal 8 3 2 3 5 2 3" xfId="13770" xr:uid="{2EB892BA-E8E4-4991-A012-96916D06C678}"/>
    <cellStyle name="Normal 8 3 2 3 5 3" xfId="6516" xr:uid="{00000000-0005-0000-0000-00006A1D0000}"/>
    <cellStyle name="Normal 8 3 2 3 5 3 2" xfId="15842" xr:uid="{8B151F89-A526-434E-A418-23455CBEBA60}"/>
    <cellStyle name="Normal 8 3 2 3 5 4" xfId="11625" xr:uid="{DB21B9A3-C439-436C-B0D8-CAA105F4E281}"/>
    <cellStyle name="Normal 8 3 2 3 6" xfId="2646" xr:uid="{00000000-0005-0000-0000-00006B1D0000}"/>
    <cellStyle name="Normal 8 3 2 3 6 2" xfId="6929" xr:uid="{00000000-0005-0000-0000-00006C1D0000}"/>
    <cellStyle name="Normal 8 3 2 3 6 2 2" xfId="16255" xr:uid="{88EC9866-C4EF-48BC-95A0-4C7E19334C7D}"/>
    <cellStyle name="Normal 8 3 2 3 6 3" xfId="12038" xr:uid="{F2A4207A-BED8-43EF-A9E1-932BAA1899C9}"/>
    <cellStyle name="Normal 8 3 2 3 7" xfId="4864" xr:uid="{00000000-0005-0000-0000-00006D1D0000}"/>
    <cellStyle name="Normal 8 3 2 3 7 2" xfId="14190" xr:uid="{E45EDCF7-29EB-45CC-9D9B-B85713B94A8F}"/>
    <cellStyle name="Normal 8 3 2 3 8" xfId="9044" xr:uid="{5ED49706-9CA9-4EE9-B01D-112CD1DB587C}"/>
    <cellStyle name="Normal 8 3 2 3 9" xfId="9973" xr:uid="{1C21D974-0590-40D6-8D98-6A2FF62C7AE1}"/>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4E9CC8B7-2307-4B5B-B7D2-F106F1E044C1}"/>
    <cellStyle name="Normal 8 3 2 4 2 3" xfId="12528" xr:uid="{AC338BCA-9D9A-4F8B-8E22-082E616618B6}"/>
    <cellStyle name="Normal 8 3 2 4 3" xfId="5274" xr:uid="{00000000-0005-0000-0000-0000711D0000}"/>
    <cellStyle name="Normal 8 3 2 4 3 2" xfId="14600" xr:uid="{4235ED2F-54EC-4D36-A198-E9C7FC94FE9D}"/>
    <cellStyle name="Normal 8 3 2 4 4" xfId="9262" xr:uid="{8842595C-CD28-4B10-9BE6-37883B4C2AA9}"/>
    <cellStyle name="Normal 8 3 2 4 5" xfId="10383" xr:uid="{BBDA654B-CCAE-498E-A606-3D2221667348}"/>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B72B5D41-4636-4B54-BF7C-0820D5E01E1A}"/>
    <cellStyle name="Normal 8 3 2 5 2 3" xfId="12941" xr:uid="{6A51AA87-A9A8-4C44-9C9E-C7289B03E7F2}"/>
    <cellStyle name="Normal 8 3 2 5 3" xfId="5687" xr:uid="{00000000-0005-0000-0000-0000751D0000}"/>
    <cellStyle name="Normal 8 3 2 5 3 2" xfId="15013" xr:uid="{F529D5F8-A06B-42B2-8252-F7C786C1FE9F}"/>
    <cellStyle name="Normal 8 3 2 5 4" xfId="10796" xr:uid="{164EB64C-84C5-448D-B12C-9C537A1234DD}"/>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A4491569-0FF4-430B-BDBF-5F76D90089A8}"/>
    <cellStyle name="Normal 8 3 2 6 2 3" xfId="13354" xr:uid="{9491542E-836E-413F-BE55-A1B41B6086BC}"/>
    <cellStyle name="Normal 8 3 2 6 3" xfId="6100" xr:uid="{00000000-0005-0000-0000-0000791D0000}"/>
    <cellStyle name="Normal 8 3 2 6 3 2" xfId="15426" xr:uid="{A51FA38D-B9E8-4292-AE60-EB2CA19057FB}"/>
    <cellStyle name="Normal 8 3 2 6 4" xfId="11209" xr:uid="{03E61927-8A07-4131-9916-E0E2B54D3409}"/>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7AFFC371-F4D1-45DC-B7DE-E3AE573FE0CB}"/>
    <cellStyle name="Normal 8 3 2 7 2 3" xfId="13767" xr:uid="{1823D57C-C70A-4565-8DE2-5D62D6BB3E8A}"/>
    <cellStyle name="Normal 8 3 2 7 3" xfId="6513" xr:uid="{00000000-0005-0000-0000-00007D1D0000}"/>
    <cellStyle name="Normal 8 3 2 7 3 2" xfId="15839" xr:uid="{989E1DF4-07AF-4775-ACEC-8F55572751B8}"/>
    <cellStyle name="Normal 8 3 2 7 4" xfId="11622" xr:uid="{758F3EB3-8107-49ED-AF5B-C0E7DBE2FA40}"/>
    <cellStyle name="Normal 8 3 2 8" xfId="2643" xr:uid="{00000000-0005-0000-0000-00007E1D0000}"/>
    <cellStyle name="Normal 8 3 2 8 2" xfId="6926" xr:uid="{00000000-0005-0000-0000-00007F1D0000}"/>
    <cellStyle name="Normal 8 3 2 8 2 2" xfId="16252" xr:uid="{06423E31-9253-403E-A9D5-2E2C2B2CD2A3}"/>
    <cellStyle name="Normal 8 3 2 8 3" xfId="12035" xr:uid="{20176903-EA9B-40CD-BCA2-F98987AA1363}"/>
    <cellStyle name="Normal 8 3 2 9" xfId="4861" xr:uid="{00000000-0005-0000-0000-0000801D0000}"/>
    <cellStyle name="Normal 8 3 2 9 2" xfId="14187" xr:uid="{84A9E79C-DC82-4134-AD61-AB4C49062E15}"/>
    <cellStyle name="Normal 8 3 3" xfId="500" xr:uid="{00000000-0005-0000-0000-0000811D0000}"/>
    <cellStyle name="Normal 8 3 3 10" xfId="9974" xr:uid="{B9B24C96-DDFA-46DE-942F-1C46D81BFD19}"/>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8DBBE68F-5951-47B0-8FCC-42588DAA2C6D}"/>
    <cellStyle name="Normal 8 3 3 2 2 2 3" xfId="12533" xr:uid="{B559E155-B6CD-4A1D-A648-B332958B7B39}"/>
    <cellStyle name="Normal 8 3 3 2 2 3" xfId="5279" xr:uid="{00000000-0005-0000-0000-0000861D0000}"/>
    <cellStyle name="Normal 8 3 3 2 2 3 2" xfId="14605" xr:uid="{5EE64686-3CD1-47DE-9DCD-A3C6AAC1120F}"/>
    <cellStyle name="Normal 8 3 3 2 2 4" xfId="9509" xr:uid="{3B4378D3-7C51-4B91-822B-758528BFF352}"/>
    <cellStyle name="Normal 8 3 3 2 2 5" xfId="10388" xr:uid="{6955B803-962F-44CF-A830-CAD8A734833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2F454435-14C3-4C65-9AD5-E02E268A2188}"/>
    <cellStyle name="Normal 8 3 3 2 3 2 3" xfId="12946" xr:uid="{6CD48115-11F1-411B-BC19-3C931C137216}"/>
    <cellStyle name="Normal 8 3 3 2 3 3" xfId="5692" xr:uid="{00000000-0005-0000-0000-00008A1D0000}"/>
    <cellStyle name="Normal 8 3 3 2 3 3 2" xfId="15018" xr:uid="{1B05E901-4DED-4790-93C2-019517E5EBCB}"/>
    <cellStyle name="Normal 8 3 3 2 3 4" xfId="10801" xr:uid="{DD9E291A-1FFA-4A7B-AE67-81A09688E35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81165E3C-DEEB-4F71-B614-16DA0FF01CDA}"/>
    <cellStyle name="Normal 8 3 3 2 4 2 3" xfId="13359" xr:uid="{CC727445-56F2-44CB-8571-ACF4CC9BC6FA}"/>
    <cellStyle name="Normal 8 3 3 2 4 3" xfId="6105" xr:uid="{00000000-0005-0000-0000-00008E1D0000}"/>
    <cellStyle name="Normal 8 3 3 2 4 3 2" xfId="15431" xr:uid="{99A3E08B-530E-45C2-87B4-0515728E28E8}"/>
    <cellStyle name="Normal 8 3 3 2 4 4" xfId="11214" xr:uid="{68448906-6718-4A49-836E-F1430E7182A7}"/>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7FE8181F-8810-4B2D-8A47-AD5ECF1DC615}"/>
    <cellStyle name="Normal 8 3 3 2 5 2 3" xfId="13772" xr:uid="{340E2228-E3CC-4E01-B092-8F3CD7991126}"/>
    <cellStyle name="Normal 8 3 3 2 5 3" xfId="6518" xr:uid="{00000000-0005-0000-0000-0000921D0000}"/>
    <cellStyle name="Normal 8 3 3 2 5 3 2" xfId="15844" xr:uid="{A71A4BFD-DCC8-4B77-855E-A0550FD48EE1}"/>
    <cellStyle name="Normal 8 3 3 2 5 4" xfId="11627" xr:uid="{F093AFD8-5B87-474C-9947-1A1EE4EA9522}"/>
    <cellStyle name="Normal 8 3 3 2 6" xfId="2648" xr:uid="{00000000-0005-0000-0000-0000931D0000}"/>
    <cellStyle name="Normal 8 3 3 2 6 2" xfId="6931" xr:uid="{00000000-0005-0000-0000-0000941D0000}"/>
    <cellStyle name="Normal 8 3 3 2 6 2 2" xfId="16257" xr:uid="{E61D91B5-6C27-4838-91FB-06A1647C4A38}"/>
    <cellStyle name="Normal 8 3 3 2 6 3" xfId="12040" xr:uid="{6F1FBC7F-3327-42BA-B3B9-16984EDEF122}"/>
    <cellStyle name="Normal 8 3 3 2 7" xfId="4866" xr:uid="{00000000-0005-0000-0000-0000951D0000}"/>
    <cellStyle name="Normal 8 3 3 2 7 2" xfId="14192" xr:uid="{05D9D1E9-E78D-4DE9-9A07-1C91A960000E}"/>
    <cellStyle name="Normal 8 3 3 2 8" xfId="9084" xr:uid="{94243AB7-0454-4C95-8E94-054E46718167}"/>
    <cellStyle name="Normal 8 3 3 2 9" xfId="9975" xr:uid="{20E50D1E-8454-45A9-856D-A25655132FF1}"/>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D4A7365C-0B77-4A14-88A8-950A4897AB34}"/>
    <cellStyle name="Normal 8 3 3 3 2 3" xfId="12532" xr:uid="{1658F78C-D472-419A-AE12-A99D74780FDD}"/>
    <cellStyle name="Normal 8 3 3 3 3" xfId="5278" xr:uid="{00000000-0005-0000-0000-0000991D0000}"/>
    <cellStyle name="Normal 8 3 3 3 3 2" xfId="14604" xr:uid="{F94CC129-7031-4B4A-9574-0D3052C3C720}"/>
    <cellStyle name="Normal 8 3 3 3 4" xfId="9302" xr:uid="{3985B908-2B56-4F9B-BEA3-8962926FD004}"/>
    <cellStyle name="Normal 8 3 3 3 5" xfId="10387" xr:uid="{939EE9C1-9E18-4DCB-9F88-EBB5A543925A}"/>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89251FB3-439C-4D52-9391-966F6E7A01FE}"/>
    <cellStyle name="Normal 8 3 3 4 2 3" xfId="12945" xr:uid="{908D0E4C-C308-4771-8552-05B18D1A7004}"/>
    <cellStyle name="Normal 8 3 3 4 3" xfId="5691" xr:uid="{00000000-0005-0000-0000-00009D1D0000}"/>
    <cellStyle name="Normal 8 3 3 4 3 2" xfId="15017" xr:uid="{AA7FDACC-E6FE-40A3-B92F-8DB12C2831CA}"/>
    <cellStyle name="Normal 8 3 3 4 4" xfId="10800" xr:uid="{6215DF09-D3E5-4974-B65B-B5B0E088B170}"/>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7A46E3A5-B1D6-472C-B1FA-74B89146CF50}"/>
    <cellStyle name="Normal 8 3 3 5 2 3" xfId="13358" xr:uid="{70AF4BBA-A93B-4A8F-87FD-057CF9BC2563}"/>
    <cellStyle name="Normal 8 3 3 5 3" xfId="6104" xr:uid="{00000000-0005-0000-0000-0000A11D0000}"/>
    <cellStyle name="Normal 8 3 3 5 3 2" xfId="15430" xr:uid="{F0B97CD2-75C7-41F1-BC58-CC5E4BF57B3C}"/>
    <cellStyle name="Normal 8 3 3 5 4" xfId="11213" xr:uid="{71970BCE-7872-4F5F-B7E6-116DC20CE9E4}"/>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D689A621-B80A-42CC-8CB3-37521EDCC8BB}"/>
    <cellStyle name="Normal 8 3 3 6 2 3" xfId="13771" xr:uid="{6FFD9334-6CF7-4B23-924F-D5E809452DCD}"/>
    <cellStyle name="Normal 8 3 3 6 3" xfId="6517" xr:uid="{00000000-0005-0000-0000-0000A51D0000}"/>
    <cellStyle name="Normal 8 3 3 6 3 2" xfId="15843" xr:uid="{70F15B6B-A239-4C3D-8248-AD25D323CADC}"/>
    <cellStyle name="Normal 8 3 3 6 4" xfId="11626" xr:uid="{5CAA0F46-7E26-4046-BD68-9DC17729014B}"/>
    <cellStyle name="Normal 8 3 3 7" xfId="2647" xr:uid="{00000000-0005-0000-0000-0000A61D0000}"/>
    <cellStyle name="Normal 8 3 3 7 2" xfId="6930" xr:uid="{00000000-0005-0000-0000-0000A71D0000}"/>
    <cellStyle name="Normal 8 3 3 7 2 2" xfId="16256" xr:uid="{AAEB5D02-C368-4005-BACE-668967EF2C8A}"/>
    <cellStyle name="Normal 8 3 3 7 3" xfId="12039" xr:uid="{C0923D13-EBDE-4C70-A23D-43CCED19B8C6}"/>
    <cellStyle name="Normal 8 3 3 8" xfId="4865" xr:uid="{00000000-0005-0000-0000-0000A81D0000}"/>
    <cellStyle name="Normal 8 3 3 8 2" xfId="14191" xr:uid="{18A9C36E-6412-4994-A09B-3CEAF4E9A6C9}"/>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C976CC07-AED2-4761-A6D9-BDE2EDA90DAB}"/>
    <cellStyle name="Normal 8 3 4 2 2 3" xfId="12534" xr:uid="{878AA23F-5D03-4A19-9835-B1CC6261CEFE}"/>
    <cellStyle name="Normal 8 3 4 2 3" xfId="5280" xr:uid="{00000000-0005-0000-0000-0000AD1D0000}"/>
    <cellStyle name="Normal 8 3 4 2 3 2" xfId="14606" xr:uid="{B68A38EA-2B62-4413-919E-5EFADBEFBD41}"/>
    <cellStyle name="Normal 8 3 4 2 4" xfId="9406" xr:uid="{8751BE45-E47B-4A0A-B0DE-04C14FAEA88D}"/>
    <cellStyle name="Normal 8 3 4 2 5" xfId="10389" xr:uid="{3CCD0374-5109-43B0-B484-79093E4ADE11}"/>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C82870F7-BB99-479F-9537-906085A79F29}"/>
    <cellStyle name="Normal 8 3 4 3 2 3" xfId="12947" xr:uid="{5BD0D81A-04AA-4353-8B3B-749818454C93}"/>
    <cellStyle name="Normal 8 3 4 3 3" xfId="5693" xr:uid="{00000000-0005-0000-0000-0000B11D0000}"/>
    <cellStyle name="Normal 8 3 4 3 3 2" xfId="15019" xr:uid="{0DA12CFF-336C-45BE-90F4-DFAA96AD93A7}"/>
    <cellStyle name="Normal 8 3 4 3 4" xfId="10802" xr:uid="{10F1E158-4906-49F5-9221-598FA5B9D0FC}"/>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D6E51444-158A-4932-9046-DE71FCCEA651}"/>
    <cellStyle name="Normal 8 3 4 4 2 3" xfId="13360" xr:uid="{A2D6927B-12A2-4844-AC84-ED8507E0C27A}"/>
    <cellStyle name="Normal 8 3 4 4 3" xfId="6106" xr:uid="{00000000-0005-0000-0000-0000B51D0000}"/>
    <cellStyle name="Normal 8 3 4 4 3 2" xfId="15432" xr:uid="{F3929396-C806-492E-BF90-4C9926C5218F}"/>
    <cellStyle name="Normal 8 3 4 4 4" xfId="11215" xr:uid="{7DD98DBD-6A78-467A-AF88-6F28D8C63099}"/>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741E03BF-749E-4FD6-A52D-F81F9BB14F4C}"/>
    <cellStyle name="Normal 8 3 4 5 2 3" xfId="13773" xr:uid="{4DC37194-BAD1-49CF-9350-FCD930EE39BF}"/>
    <cellStyle name="Normal 8 3 4 5 3" xfId="6519" xr:uid="{00000000-0005-0000-0000-0000B91D0000}"/>
    <cellStyle name="Normal 8 3 4 5 3 2" xfId="15845" xr:uid="{119EF188-98E0-4D8A-AAC9-F9BAC25C49E8}"/>
    <cellStyle name="Normal 8 3 4 5 4" xfId="11628" xr:uid="{0E36130B-58F6-4890-842F-16BF6B0992DE}"/>
    <cellStyle name="Normal 8 3 4 6" xfId="2649" xr:uid="{00000000-0005-0000-0000-0000BA1D0000}"/>
    <cellStyle name="Normal 8 3 4 6 2" xfId="6932" xr:uid="{00000000-0005-0000-0000-0000BB1D0000}"/>
    <cellStyle name="Normal 8 3 4 6 2 2" xfId="16258" xr:uid="{168AD293-1A23-42CB-BF95-59B91911F9F2}"/>
    <cellStyle name="Normal 8 3 4 6 3" xfId="12041" xr:uid="{E4E2C5D0-186C-4DA5-9754-C8F992BCA985}"/>
    <cellStyle name="Normal 8 3 4 7" xfId="4867" xr:uid="{00000000-0005-0000-0000-0000BC1D0000}"/>
    <cellStyle name="Normal 8 3 4 7 2" xfId="14193" xr:uid="{ABC00CFE-BBE8-41E8-9049-5BE374053DE8}"/>
    <cellStyle name="Normal 8 3 4 8" xfId="8981" xr:uid="{BEE184E9-ECE6-4107-B29A-CC8BC7F28FA3}"/>
    <cellStyle name="Normal 8 3 4 9" xfId="9976" xr:uid="{84B29264-5DE7-47F1-9D9B-36C051F0D5F3}"/>
    <cellStyle name="Normal 8 3 5" xfId="962" xr:uid="{00000000-0005-0000-0000-0000BD1D0000}"/>
    <cellStyle name="Normal 8 3 5 2" xfId="3196" xr:uid="{00000000-0005-0000-0000-0000BE1D0000}"/>
    <cellStyle name="Normal 8 3 5 2 2" xfId="7418" xr:uid="{00000000-0005-0000-0000-0000BF1D0000}"/>
    <cellStyle name="Normal 8 3 5 2 2 2" xfId="16744" xr:uid="{94E6738B-AAFB-4FA3-9A28-008D40B5EE5A}"/>
    <cellStyle name="Normal 8 3 5 2 3" xfId="12527" xr:uid="{D0D7093A-5424-48E0-B45A-BDC0DCEFD212}"/>
    <cellStyle name="Normal 8 3 5 3" xfId="5273" xr:uid="{00000000-0005-0000-0000-0000C01D0000}"/>
    <cellStyle name="Normal 8 3 5 3 2" xfId="14599" xr:uid="{CED161D9-E63F-4F26-9A92-FCF6D2BDF2F8}"/>
    <cellStyle name="Normal 8 3 5 4" xfId="9198" xr:uid="{FA5A5C79-C3AC-4E17-9344-90C4E411EE0B}"/>
    <cellStyle name="Normal 8 3 5 5" xfId="10382" xr:uid="{6D901C19-698E-44A6-A520-3045A3057C04}"/>
    <cellStyle name="Normal 8 3 6" xfId="1379" xr:uid="{00000000-0005-0000-0000-0000C11D0000}"/>
    <cellStyle name="Normal 8 3 6 2" xfId="3609" xr:uid="{00000000-0005-0000-0000-0000C21D0000}"/>
    <cellStyle name="Normal 8 3 6 2 2" xfId="7831" xr:uid="{00000000-0005-0000-0000-0000C31D0000}"/>
    <cellStyle name="Normal 8 3 6 2 2 2" xfId="17157" xr:uid="{FCB0F1E8-E0EA-4691-A6A7-DC993DC067CF}"/>
    <cellStyle name="Normal 8 3 6 2 3" xfId="12940" xr:uid="{F1C33CC7-14DB-4466-A3BC-A304746F8978}"/>
    <cellStyle name="Normal 8 3 6 3" xfId="5686" xr:uid="{00000000-0005-0000-0000-0000C41D0000}"/>
    <cellStyle name="Normal 8 3 6 3 2" xfId="15012" xr:uid="{90C31BAA-CE56-4845-8C55-B04B587FA06F}"/>
    <cellStyle name="Normal 8 3 6 4" xfId="10795" xr:uid="{60E06B3C-45B0-4F40-B745-2FB8CA28205D}"/>
    <cellStyle name="Normal 8 3 7" xfId="1792" xr:uid="{00000000-0005-0000-0000-0000C51D0000}"/>
    <cellStyle name="Normal 8 3 7 2" xfId="4022" xr:uid="{00000000-0005-0000-0000-0000C61D0000}"/>
    <cellStyle name="Normal 8 3 7 2 2" xfId="8244" xr:uid="{00000000-0005-0000-0000-0000C71D0000}"/>
    <cellStyle name="Normal 8 3 7 2 2 2" xfId="17570" xr:uid="{C2B33580-7148-4077-8B76-A4214C27617D}"/>
    <cellStyle name="Normal 8 3 7 2 3" xfId="13353" xr:uid="{9910AEE8-FE63-432D-9ABF-56FB31995D4B}"/>
    <cellStyle name="Normal 8 3 7 3" xfId="6099" xr:uid="{00000000-0005-0000-0000-0000C81D0000}"/>
    <cellStyle name="Normal 8 3 7 3 2" xfId="15425" xr:uid="{E92D6ED5-5A65-49AB-BB32-A9AA4F973EB3}"/>
    <cellStyle name="Normal 8 3 7 4" xfId="11208" xr:uid="{15342E6C-BEDE-46EA-9D35-FECCAE199896}"/>
    <cellStyle name="Normal 8 3 8" xfId="2206" xr:uid="{00000000-0005-0000-0000-0000C91D0000}"/>
    <cellStyle name="Normal 8 3 8 2" xfId="4435" xr:uid="{00000000-0005-0000-0000-0000CA1D0000}"/>
    <cellStyle name="Normal 8 3 8 2 2" xfId="8657" xr:uid="{00000000-0005-0000-0000-0000CB1D0000}"/>
    <cellStyle name="Normal 8 3 8 2 2 2" xfId="17983" xr:uid="{F4A7188A-7EE8-4060-B2ED-E2F8702CE8DB}"/>
    <cellStyle name="Normal 8 3 8 2 3" xfId="13766" xr:uid="{16AE67E8-E8DC-4AF3-A97E-00B28CB485F5}"/>
    <cellStyle name="Normal 8 3 8 3" xfId="6512" xr:uid="{00000000-0005-0000-0000-0000CC1D0000}"/>
    <cellStyle name="Normal 8 3 8 3 2" xfId="15838" xr:uid="{32FE727E-8BE6-4C73-9C9F-4C623E6D00B9}"/>
    <cellStyle name="Normal 8 3 8 4" xfId="11621" xr:uid="{6F097840-FE40-4F75-A9C2-D67D2EB50CD5}"/>
    <cellStyle name="Normal 8 3 9" xfId="2642" xr:uid="{00000000-0005-0000-0000-0000CD1D0000}"/>
    <cellStyle name="Normal 8 3 9 2" xfId="6925" xr:uid="{00000000-0005-0000-0000-0000CE1D0000}"/>
    <cellStyle name="Normal 8 3 9 2 2" xfId="16251" xr:uid="{578F146D-8987-4281-90C5-452393D7AA2D}"/>
    <cellStyle name="Normal 8 3 9 3" xfId="12034" xr:uid="{4B3643C2-09C0-4BF6-A1B2-F2BA8888E1D5}"/>
    <cellStyle name="Normal 8 4" xfId="503" xr:uid="{00000000-0005-0000-0000-0000CF1D0000}"/>
    <cellStyle name="Normal 8 4 10" xfId="8834" xr:uid="{78848A4E-06FA-4050-B553-A3A7DEA1B047}"/>
    <cellStyle name="Normal 8 4 11" xfId="9977" xr:uid="{F5B3DB96-BBA7-4D31-BACF-E3DA1CF1EB0E}"/>
    <cellStyle name="Normal 8 4 2" xfId="504" xr:uid="{00000000-0005-0000-0000-0000D01D0000}"/>
    <cellStyle name="Normal 8 4 2 10" xfId="9978" xr:uid="{46DE1154-022B-4687-B497-ABFA50F620B7}"/>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5F025B4E-27D2-4928-B076-A17137C43D3B}"/>
    <cellStyle name="Normal 8 4 2 2 2 2 3" xfId="12537" xr:uid="{461EEB00-9B79-4607-93FC-ACA8FD2C06E5}"/>
    <cellStyle name="Normal 8 4 2 2 2 3" xfId="5283" xr:uid="{00000000-0005-0000-0000-0000D51D0000}"/>
    <cellStyle name="Normal 8 4 2 2 2 3 2" xfId="14609" xr:uid="{43E3A8E8-8B1A-4EF7-BAEF-407F01BEB97C}"/>
    <cellStyle name="Normal 8 4 2 2 2 4" xfId="9569" xr:uid="{F21122F8-27BB-4D46-891E-281F736F5353}"/>
    <cellStyle name="Normal 8 4 2 2 2 5" xfId="10392" xr:uid="{2105D13E-BFDB-4696-A07D-862BE7F90669}"/>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A1D6170A-6AFB-40C5-B8B7-1439EA686CC9}"/>
    <cellStyle name="Normal 8 4 2 2 3 2 3" xfId="12950" xr:uid="{C38BF3AB-628C-4D3F-B7A9-410852AC6730}"/>
    <cellStyle name="Normal 8 4 2 2 3 3" xfId="5696" xr:uid="{00000000-0005-0000-0000-0000D91D0000}"/>
    <cellStyle name="Normal 8 4 2 2 3 3 2" xfId="15022" xr:uid="{04EF01DC-E27E-4F3D-833D-B3C11559C5A9}"/>
    <cellStyle name="Normal 8 4 2 2 3 4" xfId="10805" xr:uid="{81C42D62-FD01-4218-8522-A17E7FE311F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3928F8C9-8939-468F-8B08-9048C792E670}"/>
    <cellStyle name="Normal 8 4 2 2 4 2 3" xfId="13363" xr:uid="{D63B43C5-AB7A-4E40-8FD5-225DDB9FAD90}"/>
    <cellStyle name="Normal 8 4 2 2 4 3" xfId="6109" xr:uid="{00000000-0005-0000-0000-0000DD1D0000}"/>
    <cellStyle name="Normal 8 4 2 2 4 3 2" xfId="15435" xr:uid="{9461E032-16E9-4B00-B4DF-BF83D0FE3541}"/>
    <cellStyle name="Normal 8 4 2 2 4 4" xfId="11218" xr:uid="{1677765D-EB77-47EF-9410-BB2C9B2BAF3E}"/>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228B0DF2-D5F8-4DF8-9058-39C557BC3727}"/>
    <cellStyle name="Normal 8 4 2 2 5 2 3" xfId="13776" xr:uid="{22A7B922-F360-4951-8479-AD31E04DC43B}"/>
    <cellStyle name="Normal 8 4 2 2 5 3" xfId="6522" xr:uid="{00000000-0005-0000-0000-0000E11D0000}"/>
    <cellStyle name="Normal 8 4 2 2 5 3 2" xfId="15848" xr:uid="{2A6CA923-1779-4C90-9D88-6912E30D30C7}"/>
    <cellStyle name="Normal 8 4 2 2 5 4" xfId="11631" xr:uid="{466BDACC-1CB9-4A7B-8386-FA44D54084C9}"/>
    <cellStyle name="Normal 8 4 2 2 6" xfId="2652" xr:uid="{00000000-0005-0000-0000-0000E21D0000}"/>
    <cellStyle name="Normal 8 4 2 2 6 2" xfId="6935" xr:uid="{00000000-0005-0000-0000-0000E31D0000}"/>
    <cellStyle name="Normal 8 4 2 2 6 2 2" xfId="16261" xr:uid="{D4F4BEE3-F25B-4A9E-9F46-B99F5E2462BD}"/>
    <cellStyle name="Normal 8 4 2 2 6 3" xfId="12044" xr:uid="{0A144E1E-FE01-4BE1-947E-ED25361D2B17}"/>
    <cellStyle name="Normal 8 4 2 2 7" xfId="4870" xr:uid="{00000000-0005-0000-0000-0000E41D0000}"/>
    <cellStyle name="Normal 8 4 2 2 7 2" xfId="14196" xr:uid="{09C1C861-2E38-4C1E-8FA3-DD72E56AD407}"/>
    <cellStyle name="Normal 8 4 2 2 8" xfId="9144" xr:uid="{EF6B0978-3DE8-47DC-990C-0B47AAC8F1DC}"/>
    <cellStyle name="Normal 8 4 2 2 9" xfId="9979" xr:uid="{147E4421-3995-4A64-B6D5-27F2C227309E}"/>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0C11AEE1-0D3C-4E5D-8E55-ECAA6E198104}"/>
    <cellStyle name="Normal 8 4 2 3 2 3" xfId="12536" xr:uid="{34AFD4A6-B5D0-4842-99FC-DCBC62BF6495}"/>
    <cellStyle name="Normal 8 4 2 3 3" xfId="5282" xr:uid="{00000000-0005-0000-0000-0000E81D0000}"/>
    <cellStyle name="Normal 8 4 2 3 3 2" xfId="14608" xr:uid="{14DD23EF-1876-404D-BDEF-52D3EE7199FC}"/>
    <cellStyle name="Normal 8 4 2 3 4" xfId="9362" xr:uid="{206856BB-FDDB-4012-ABFE-5E991E477A14}"/>
    <cellStyle name="Normal 8 4 2 3 5" xfId="10391" xr:uid="{F13E8596-C95B-48CB-AF89-0934CDCBD1E2}"/>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81A659A8-79FD-47E4-B8E5-F1EA6F263854}"/>
    <cellStyle name="Normal 8 4 2 4 2 3" xfId="12949" xr:uid="{D78D30F7-096B-4B77-9A7F-05740BE47339}"/>
    <cellStyle name="Normal 8 4 2 4 3" xfId="5695" xr:uid="{00000000-0005-0000-0000-0000EC1D0000}"/>
    <cellStyle name="Normal 8 4 2 4 3 2" xfId="15021" xr:uid="{327E7C50-7391-4FC7-B406-36D051CFCD7A}"/>
    <cellStyle name="Normal 8 4 2 4 4" xfId="10804" xr:uid="{DA26193A-18FF-44F4-856C-F9C49BB035F7}"/>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3B73C46A-8177-4699-A5CC-B2034675FC52}"/>
    <cellStyle name="Normal 8 4 2 5 2 3" xfId="13362" xr:uid="{8CD9F09C-AA18-4F46-AB05-C2BFCE3095DC}"/>
    <cellStyle name="Normal 8 4 2 5 3" xfId="6108" xr:uid="{00000000-0005-0000-0000-0000F01D0000}"/>
    <cellStyle name="Normal 8 4 2 5 3 2" xfId="15434" xr:uid="{8CC7A6FA-CEB9-4C4D-8A0F-30F05AF507E9}"/>
    <cellStyle name="Normal 8 4 2 5 4" xfId="11217" xr:uid="{E99CF2D5-5DE2-47B0-A9BE-7D9C96718064}"/>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0CECBD38-5A19-4C6C-8B07-C61087F3FB0D}"/>
    <cellStyle name="Normal 8 4 2 6 2 3" xfId="13775" xr:uid="{29219043-8BBB-44FE-A2D3-61426F318170}"/>
    <cellStyle name="Normal 8 4 2 6 3" xfId="6521" xr:uid="{00000000-0005-0000-0000-0000F41D0000}"/>
    <cellStyle name="Normal 8 4 2 6 3 2" xfId="15847" xr:uid="{6D525A9F-5D44-412F-9688-BF93399767D7}"/>
    <cellStyle name="Normal 8 4 2 6 4" xfId="11630" xr:uid="{A2D39FDE-5144-4562-8D48-7C7005026F15}"/>
    <cellStyle name="Normal 8 4 2 7" xfId="2651" xr:uid="{00000000-0005-0000-0000-0000F51D0000}"/>
    <cellStyle name="Normal 8 4 2 7 2" xfId="6934" xr:uid="{00000000-0005-0000-0000-0000F61D0000}"/>
    <cellStyle name="Normal 8 4 2 7 2 2" xfId="16260" xr:uid="{B790B7B8-3B8A-42A3-AB8D-377443FE8CAC}"/>
    <cellStyle name="Normal 8 4 2 7 3" xfId="12043" xr:uid="{1628F9F2-EFCB-4F58-9BC0-942C68586A8F}"/>
    <cellStyle name="Normal 8 4 2 8" xfId="4869" xr:uid="{00000000-0005-0000-0000-0000F71D0000}"/>
    <cellStyle name="Normal 8 4 2 8 2" xfId="14195" xr:uid="{8CD246AE-7BA8-4280-B376-6BF42C026888}"/>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00F8107E-942F-4833-ACC5-FB8EDA258C4A}"/>
    <cellStyle name="Normal 8 4 3 2 2 3" xfId="12538" xr:uid="{DF4A02B0-DD8F-4CDE-875E-9B662488DEAF}"/>
    <cellStyle name="Normal 8 4 3 2 3" xfId="5284" xr:uid="{00000000-0005-0000-0000-0000FC1D0000}"/>
    <cellStyle name="Normal 8 4 3 2 3 2" xfId="14610" xr:uid="{D70587C0-13A6-4498-95BE-E698AA0806D1}"/>
    <cellStyle name="Normal 8 4 3 2 4" xfId="9466" xr:uid="{4C42748F-6D34-4D0D-8AE2-FFD5C0CBE26F}"/>
    <cellStyle name="Normal 8 4 3 2 5" xfId="10393" xr:uid="{AF6C2321-0F3B-49A6-8EB2-CC1A224A9BF7}"/>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51ED5D5A-1FD3-4055-AFB4-A30F76DC6513}"/>
    <cellStyle name="Normal 8 4 3 3 2 3" xfId="12951" xr:uid="{B81FCFE0-1DF3-41A8-851B-0049B8D1F184}"/>
    <cellStyle name="Normal 8 4 3 3 3" xfId="5697" xr:uid="{00000000-0005-0000-0000-0000001E0000}"/>
    <cellStyle name="Normal 8 4 3 3 3 2" xfId="15023" xr:uid="{3A6793F9-98E1-428A-9176-0F60788EECBE}"/>
    <cellStyle name="Normal 8 4 3 3 4" xfId="10806" xr:uid="{58A6ECDF-E19A-433C-9B68-1E6CD99ED9B4}"/>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6EB97196-C89A-4874-9D78-D25176F5E9A2}"/>
    <cellStyle name="Normal 8 4 3 4 2 3" xfId="13364" xr:uid="{AB147FBA-0FE8-419C-AFC4-67C25221AF7F}"/>
    <cellStyle name="Normal 8 4 3 4 3" xfId="6110" xr:uid="{00000000-0005-0000-0000-0000041E0000}"/>
    <cellStyle name="Normal 8 4 3 4 3 2" xfId="15436" xr:uid="{569B7ADC-4641-400F-85B2-3A417F592EBE}"/>
    <cellStyle name="Normal 8 4 3 4 4" xfId="11219" xr:uid="{1FB5C342-9607-4C0E-A2EF-F90EAE403E86}"/>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53C16C27-35EC-46ED-99E1-811C7F24AB76}"/>
    <cellStyle name="Normal 8 4 3 5 2 3" xfId="13777" xr:uid="{769670F2-1F5C-44CD-8C4A-39A8EFCCF805}"/>
    <cellStyle name="Normal 8 4 3 5 3" xfId="6523" xr:uid="{00000000-0005-0000-0000-0000081E0000}"/>
    <cellStyle name="Normal 8 4 3 5 3 2" xfId="15849" xr:uid="{1E0FDA44-D2E3-491A-8B95-5D8F96B72EE4}"/>
    <cellStyle name="Normal 8 4 3 5 4" xfId="11632" xr:uid="{29FC3130-39DD-4787-A3F1-81EC635F738F}"/>
    <cellStyle name="Normal 8 4 3 6" xfId="2653" xr:uid="{00000000-0005-0000-0000-0000091E0000}"/>
    <cellStyle name="Normal 8 4 3 6 2" xfId="6936" xr:uid="{00000000-0005-0000-0000-00000A1E0000}"/>
    <cellStyle name="Normal 8 4 3 6 2 2" xfId="16262" xr:uid="{635BED5E-887B-4DED-B58A-46B822576706}"/>
    <cellStyle name="Normal 8 4 3 6 3" xfId="12045" xr:uid="{E0B48E06-F922-4145-96CC-75D21A8E6002}"/>
    <cellStyle name="Normal 8 4 3 7" xfId="4871" xr:uid="{00000000-0005-0000-0000-00000B1E0000}"/>
    <cellStyle name="Normal 8 4 3 7 2" xfId="14197" xr:uid="{76DF7C94-F17D-455E-B076-CDB16C5A1C8D}"/>
    <cellStyle name="Normal 8 4 3 8" xfId="9041" xr:uid="{3EA15F1E-D38A-4BB8-BEC6-98D9A94BB79B}"/>
    <cellStyle name="Normal 8 4 3 9" xfId="9980" xr:uid="{7133E84A-524D-4564-A854-A2B81C3D89DE}"/>
    <cellStyle name="Normal 8 4 4" xfId="970" xr:uid="{00000000-0005-0000-0000-00000C1E0000}"/>
    <cellStyle name="Normal 8 4 4 2" xfId="3204" xr:uid="{00000000-0005-0000-0000-00000D1E0000}"/>
    <cellStyle name="Normal 8 4 4 2 2" xfId="7426" xr:uid="{00000000-0005-0000-0000-00000E1E0000}"/>
    <cellStyle name="Normal 8 4 4 2 2 2" xfId="16752" xr:uid="{05499C23-9EE1-4732-A5CF-88A6A15E3F3D}"/>
    <cellStyle name="Normal 8 4 4 2 3" xfId="12535" xr:uid="{FE7F4561-50A5-4C09-AA50-1337EF06C98C}"/>
    <cellStyle name="Normal 8 4 4 3" xfId="5281" xr:uid="{00000000-0005-0000-0000-00000F1E0000}"/>
    <cellStyle name="Normal 8 4 4 3 2" xfId="14607" xr:uid="{66D8DF9F-6288-44E5-BCB5-E19D4E587141}"/>
    <cellStyle name="Normal 8 4 4 4" xfId="9259" xr:uid="{45904BAA-3C39-482B-A2B6-0FB84C0B889C}"/>
    <cellStyle name="Normal 8 4 4 5" xfId="10390" xr:uid="{219B2DA0-D574-41B0-BA4F-2C502C658DA5}"/>
    <cellStyle name="Normal 8 4 5" xfId="1387" xr:uid="{00000000-0005-0000-0000-0000101E0000}"/>
    <cellStyle name="Normal 8 4 5 2" xfId="3617" xr:uid="{00000000-0005-0000-0000-0000111E0000}"/>
    <cellStyle name="Normal 8 4 5 2 2" xfId="7839" xr:uid="{00000000-0005-0000-0000-0000121E0000}"/>
    <cellStyle name="Normal 8 4 5 2 2 2" xfId="17165" xr:uid="{1A871EE3-3981-4CFE-A14B-489E248B4E55}"/>
    <cellStyle name="Normal 8 4 5 2 3" xfId="12948" xr:uid="{85E6D438-129B-49FC-BB47-6C730CC082F3}"/>
    <cellStyle name="Normal 8 4 5 3" xfId="5694" xr:uid="{00000000-0005-0000-0000-0000131E0000}"/>
    <cellStyle name="Normal 8 4 5 3 2" xfId="15020" xr:uid="{76612C6D-1BDE-4E11-94D1-E708A72E12BD}"/>
    <cellStyle name="Normal 8 4 5 4" xfId="10803" xr:uid="{FB9C0348-005F-4BF8-B867-54CB41DFF717}"/>
    <cellStyle name="Normal 8 4 6" xfId="1800" xr:uid="{00000000-0005-0000-0000-0000141E0000}"/>
    <cellStyle name="Normal 8 4 6 2" xfId="4030" xr:uid="{00000000-0005-0000-0000-0000151E0000}"/>
    <cellStyle name="Normal 8 4 6 2 2" xfId="8252" xr:uid="{00000000-0005-0000-0000-0000161E0000}"/>
    <cellStyle name="Normal 8 4 6 2 2 2" xfId="17578" xr:uid="{290F69B9-9F51-4C83-92B8-2DB5C583FD38}"/>
    <cellStyle name="Normal 8 4 6 2 3" xfId="13361" xr:uid="{4F3DF778-E72A-4BA5-A161-D20CB840B3E7}"/>
    <cellStyle name="Normal 8 4 6 3" xfId="6107" xr:uid="{00000000-0005-0000-0000-0000171E0000}"/>
    <cellStyle name="Normal 8 4 6 3 2" xfId="15433" xr:uid="{BD755F39-EE5A-46D4-BB94-D6F8F94D9D7C}"/>
    <cellStyle name="Normal 8 4 6 4" xfId="11216" xr:uid="{2BEFC5DE-2E7D-4DC0-BE6E-A8C3E1EE2F8A}"/>
    <cellStyle name="Normal 8 4 7" xfId="2214" xr:uid="{00000000-0005-0000-0000-0000181E0000}"/>
    <cellStyle name="Normal 8 4 7 2" xfId="4443" xr:uid="{00000000-0005-0000-0000-0000191E0000}"/>
    <cellStyle name="Normal 8 4 7 2 2" xfId="8665" xr:uid="{00000000-0005-0000-0000-00001A1E0000}"/>
    <cellStyle name="Normal 8 4 7 2 2 2" xfId="17991" xr:uid="{A637077F-BC18-440F-B6AF-2DBAF115F313}"/>
    <cellStyle name="Normal 8 4 7 2 3" xfId="13774" xr:uid="{3291D86B-6E3D-4FAB-AF53-B3F3A37CCC4B}"/>
    <cellStyle name="Normal 8 4 7 3" xfId="6520" xr:uid="{00000000-0005-0000-0000-00001B1E0000}"/>
    <cellStyle name="Normal 8 4 7 3 2" xfId="15846" xr:uid="{CB10DAE3-D819-43A1-965D-6C92D22CD002}"/>
    <cellStyle name="Normal 8 4 7 4" xfId="11629" xr:uid="{1252638C-882E-4934-972C-92BBAA576519}"/>
    <cellStyle name="Normal 8 4 8" xfId="2650" xr:uid="{00000000-0005-0000-0000-00001C1E0000}"/>
    <cellStyle name="Normal 8 4 8 2" xfId="6933" xr:uid="{00000000-0005-0000-0000-00001D1E0000}"/>
    <cellStyle name="Normal 8 4 8 2 2" xfId="16259" xr:uid="{AFA9BD89-66AB-4A82-9BDE-D4D88A7B5261}"/>
    <cellStyle name="Normal 8 4 8 3" xfId="12042" xr:uid="{5E1AB1FD-9ED4-413A-8ED5-8803CEDC5D65}"/>
    <cellStyle name="Normal 8 4 9" xfId="4868" xr:uid="{00000000-0005-0000-0000-00001E1E0000}"/>
    <cellStyle name="Normal 8 4 9 2" xfId="14194" xr:uid="{9A00B3B6-62C3-4D15-9543-E1A56A54D1C3}"/>
    <cellStyle name="Normal 8 5" xfId="507" xr:uid="{00000000-0005-0000-0000-00001F1E0000}"/>
    <cellStyle name="Normal 8 5 10" xfId="9981" xr:uid="{FF599C64-30BA-42A6-BC08-DD7B9D0CB469}"/>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B87849FD-4808-460A-A686-A8DCF07A8895}"/>
    <cellStyle name="Normal 8 5 2 2 2 3" xfId="12540" xr:uid="{C087379B-36FA-4A2D-9962-4115A68C7ABD}"/>
    <cellStyle name="Normal 8 5 2 2 3" xfId="5286" xr:uid="{00000000-0005-0000-0000-0000241E0000}"/>
    <cellStyle name="Normal 8 5 2 2 3 2" xfId="14612" xr:uid="{863947CE-C305-422C-8FBA-5740D83DAA0B}"/>
    <cellStyle name="Normal 8 5 2 2 4" xfId="9477" xr:uid="{62ED1F43-6081-4B0B-94C3-5999D37D11C7}"/>
    <cellStyle name="Normal 8 5 2 2 5" xfId="10395" xr:uid="{F2C62A02-28D6-4503-A3EB-96F2D2AF6E75}"/>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6490FB85-E17F-426E-BB49-9F48074D4B21}"/>
    <cellStyle name="Normal 8 5 2 3 2 3" xfId="12953" xr:uid="{E027A537-DEBA-4A25-BBE7-417607EA2EA8}"/>
    <cellStyle name="Normal 8 5 2 3 3" xfId="5699" xr:uid="{00000000-0005-0000-0000-0000281E0000}"/>
    <cellStyle name="Normal 8 5 2 3 3 2" xfId="15025" xr:uid="{5962EB12-E4EE-4C43-A100-B2EA3F36B5F0}"/>
    <cellStyle name="Normal 8 5 2 3 4" xfId="10808" xr:uid="{9630ED8D-DE6D-4FFA-A673-51287C328B70}"/>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C397EEF6-D2F9-419B-A10F-036C45E14FD6}"/>
    <cellStyle name="Normal 8 5 2 4 2 3" xfId="13366" xr:uid="{C6FA1EDD-4252-45E1-9C83-3D770B929FC4}"/>
    <cellStyle name="Normal 8 5 2 4 3" xfId="6112" xr:uid="{00000000-0005-0000-0000-00002C1E0000}"/>
    <cellStyle name="Normal 8 5 2 4 3 2" xfId="15438" xr:uid="{94DE6CF5-DF3F-44A6-AF89-8C91A7ED204E}"/>
    <cellStyle name="Normal 8 5 2 4 4" xfId="11221" xr:uid="{A1891347-1422-40DD-9D8B-649666590464}"/>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404238CD-D4A2-43BD-88B4-361FF8A23016}"/>
    <cellStyle name="Normal 8 5 2 5 2 3" xfId="13779" xr:uid="{025D8217-54B2-4E9C-905F-716CCE082D64}"/>
    <cellStyle name="Normal 8 5 2 5 3" xfId="6525" xr:uid="{00000000-0005-0000-0000-0000301E0000}"/>
    <cellStyle name="Normal 8 5 2 5 3 2" xfId="15851" xr:uid="{20AEF4D6-CB8A-4126-B468-9048CF0D8135}"/>
    <cellStyle name="Normal 8 5 2 5 4" xfId="11634" xr:uid="{42574001-8747-4454-A3CE-A3C0F35D586E}"/>
    <cellStyle name="Normal 8 5 2 6" xfId="2655" xr:uid="{00000000-0005-0000-0000-0000311E0000}"/>
    <cellStyle name="Normal 8 5 2 6 2" xfId="6938" xr:uid="{00000000-0005-0000-0000-0000321E0000}"/>
    <cellStyle name="Normal 8 5 2 6 2 2" xfId="16264" xr:uid="{8BDD5101-1EDE-4C83-A2C9-195D3182D600}"/>
    <cellStyle name="Normal 8 5 2 6 3" xfId="12047" xr:uid="{0B644709-505C-4DF2-B164-AB3364C9D7FB}"/>
    <cellStyle name="Normal 8 5 2 7" xfId="4873" xr:uid="{00000000-0005-0000-0000-0000331E0000}"/>
    <cellStyle name="Normal 8 5 2 7 2" xfId="14199" xr:uid="{71691FF9-77AE-4F92-B311-B765644FDD1F}"/>
    <cellStyle name="Normal 8 5 2 8" xfId="9052" xr:uid="{D754D15A-EECE-4975-9542-AF3C340304E3}"/>
    <cellStyle name="Normal 8 5 2 9" xfId="9982" xr:uid="{67FA14E1-D14C-4C25-89E2-D69C666D8042}"/>
    <cellStyle name="Normal 8 5 3" xfId="974" xr:uid="{00000000-0005-0000-0000-0000341E0000}"/>
    <cellStyle name="Normal 8 5 3 2" xfId="3208" xr:uid="{00000000-0005-0000-0000-0000351E0000}"/>
    <cellStyle name="Normal 8 5 3 2 2" xfId="7430" xr:uid="{00000000-0005-0000-0000-0000361E0000}"/>
    <cellStyle name="Normal 8 5 3 2 2 2" xfId="16756" xr:uid="{E2028B3A-66B4-4A4F-A1CD-5591903A4FED}"/>
    <cellStyle name="Normal 8 5 3 2 3" xfId="12539" xr:uid="{093A6FC9-273E-43CA-9F74-25ABCDCE2134}"/>
    <cellStyle name="Normal 8 5 3 3" xfId="5285" xr:uid="{00000000-0005-0000-0000-0000371E0000}"/>
    <cellStyle name="Normal 8 5 3 3 2" xfId="14611" xr:uid="{F67EA028-B817-4036-9363-ADAC3E0940D2}"/>
    <cellStyle name="Normal 8 5 3 4" xfId="9270" xr:uid="{88F9D262-71F2-4DD2-A7F6-B0DCE74ABD45}"/>
    <cellStyle name="Normal 8 5 3 5" xfId="10394" xr:uid="{DE74990F-C5B8-4331-A507-52207A6AAA31}"/>
    <cellStyle name="Normal 8 5 4" xfId="1391" xr:uid="{00000000-0005-0000-0000-0000381E0000}"/>
    <cellStyle name="Normal 8 5 4 2" xfId="3621" xr:uid="{00000000-0005-0000-0000-0000391E0000}"/>
    <cellStyle name="Normal 8 5 4 2 2" xfId="7843" xr:uid="{00000000-0005-0000-0000-00003A1E0000}"/>
    <cellStyle name="Normal 8 5 4 2 2 2" xfId="17169" xr:uid="{11E8DE80-533F-4BEE-91B2-924D0E5D58D7}"/>
    <cellStyle name="Normal 8 5 4 2 3" xfId="12952" xr:uid="{26911F78-3627-4B67-BCB9-BE5AFD228279}"/>
    <cellStyle name="Normal 8 5 4 3" xfId="5698" xr:uid="{00000000-0005-0000-0000-00003B1E0000}"/>
    <cellStyle name="Normal 8 5 4 3 2" xfId="15024" xr:uid="{3DDA9E56-E042-41C0-9DC9-EC4EE1E31616}"/>
    <cellStyle name="Normal 8 5 4 4" xfId="10807" xr:uid="{779F7D76-B60C-4E22-BD5B-79FD201D8F04}"/>
    <cellStyle name="Normal 8 5 5" xfId="1804" xr:uid="{00000000-0005-0000-0000-00003C1E0000}"/>
    <cellStyle name="Normal 8 5 5 2" xfId="4034" xr:uid="{00000000-0005-0000-0000-00003D1E0000}"/>
    <cellStyle name="Normal 8 5 5 2 2" xfId="8256" xr:uid="{00000000-0005-0000-0000-00003E1E0000}"/>
    <cellStyle name="Normal 8 5 5 2 2 2" xfId="17582" xr:uid="{5FFF833B-1D2B-4BD7-A5C1-21DF6D6BB795}"/>
    <cellStyle name="Normal 8 5 5 2 3" xfId="13365" xr:uid="{D4DAFB78-967A-4048-9FBD-3C6B511BC802}"/>
    <cellStyle name="Normal 8 5 5 3" xfId="6111" xr:uid="{00000000-0005-0000-0000-00003F1E0000}"/>
    <cellStyle name="Normal 8 5 5 3 2" xfId="15437" xr:uid="{0F4E004C-491A-4E0B-820B-E9D9856ADABF}"/>
    <cellStyle name="Normal 8 5 5 4" xfId="11220" xr:uid="{0B54D7A5-8B0D-43F2-A2F3-D60868472DAC}"/>
    <cellStyle name="Normal 8 5 6" xfId="2218" xr:uid="{00000000-0005-0000-0000-0000401E0000}"/>
    <cellStyle name="Normal 8 5 6 2" xfId="4447" xr:uid="{00000000-0005-0000-0000-0000411E0000}"/>
    <cellStyle name="Normal 8 5 6 2 2" xfId="8669" xr:uid="{00000000-0005-0000-0000-0000421E0000}"/>
    <cellStyle name="Normal 8 5 6 2 2 2" xfId="17995" xr:uid="{03A2BDA5-A0A2-405F-9C66-D77D937EDA80}"/>
    <cellStyle name="Normal 8 5 6 2 3" xfId="13778" xr:uid="{67DDC175-5CFB-4AB4-8A8D-4EF3BE30872B}"/>
    <cellStyle name="Normal 8 5 6 3" xfId="6524" xr:uid="{00000000-0005-0000-0000-0000431E0000}"/>
    <cellStyle name="Normal 8 5 6 3 2" xfId="15850" xr:uid="{1C9E5060-E6AA-4874-A074-3B1BADB42646}"/>
    <cellStyle name="Normal 8 5 6 4" xfId="11633" xr:uid="{5B9CD23F-FC70-4132-937E-B29AEB024E03}"/>
    <cellStyle name="Normal 8 5 7" xfId="2654" xr:uid="{00000000-0005-0000-0000-0000441E0000}"/>
    <cellStyle name="Normal 8 5 7 2" xfId="6937" xr:uid="{00000000-0005-0000-0000-0000451E0000}"/>
    <cellStyle name="Normal 8 5 7 2 2" xfId="16263" xr:uid="{24989887-12FD-47BA-A47E-A6EC2E369721}"/>
    <cellStyle name="Normal 8 5 7 3" xfId="12046" xr:uid="{3125AD92-5DF6-41C7-9008-69F079F3A629}"/>
    <cellStyle name="Normal 8 5 8" xfId="4872" xr:uid="{00000000-0005-0000-0000-0000461E0000}"/>
    <cellStyle name="Normal 8 5 8 2" xfId="14198" xr:uid="{538489EF-85DC-4648-A512-F7E028E7949D}"/>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318C4208-0A49-475D-8C39-5AF607E968F0}"/>
    <cellStyle name="Normal 8 6 2 2 3" xfId="12541" xr:uid="{FDD22060-5F81-4BCF-B292-740D9D55E396}"/>
    <cellStyle name="Normal 8 6 2 3" xfId="5287" xr:uid="{00000000-0005-0000-0000-00004B1E0000}"/>
    <cellStyle name="Normal 8 6 2 3 2" xfId="14613" xr:uid="{63FCDBBC-82C4-46F7-8BB1-8B67E1EA667C}"/>
    <cellStyle name="Normal 8 6 2 4" xfId="9386" xr:uid="{45A5CE0D-B006-45BB-A53E-22B23F4367E3}"/>
    <cellStyle name="Normal 8 6 2 5" xfId="10396" xr:uid="{8AA7986C-B44B-425B-9388-27727519FFE8}"/>
    <cellStyle name="Normal 8 6 3" xfId="1393" xr:uid="{00000000-0005-0000-0000-00004C1E0000}"/>
    <cellStyle name="Normal 8 6 3 2" xfId="3623" xr:uid="{00000000-0005-0000-0000-00004D1E0000}"/>
    <cellStyle name="Normal 8 6 3 2 2" xfId="7845" xr:uid="{00000000-0005-0000-0000-00004E1E0000}"/>
    <cellStyle name="Normal 8 6 3 2 2 2" xfId="17171" xr:uid="{D79E39D9-E1A0-4773-A952-0892E2FD8159}"/>
    <cellStyle name="Normal 8 6 3 2 3" xfId="12954" xr:uid="{78D5C170-AE26-47DA-854C-DCBEAC40BC33}"/>
    <cellStyle name="Normal 8 6 3 3" xfId="5700" xr:uid="{00000000-0005-0000-0000-00004F1E0000}"/>
    <cellStyle name="Normal 8 6 3 3 2" xfId="15026" xr:uid="{E2FE7DBE-70A4-4C9C-B05C-93DA79ABB676}"/>
    <cellStyle name="Normal 8 6 3 4" xfId="10809" xr:uid="{33DADA02-37E3-4258-A4FB-97D622761995}"/>
    <cellStyle name="Normal 8 6 4" xfId="1806" xr:uid="{00000000-0005-0000-0000-0000501E0000}"/>
    <cellStyle name="Normal 8 6 4 2" xfId="4036" xr:uid="{00000000-0005-0000-0000-0000511E0000}"/>
    <cellStyle name="Normal 8 6 4 2 2" xfId="8258" xr:uid="{00000000-0005-0000-0000-0000521E0000}"/>
    <cellStyle name="Normal 8 6 4 2 2 2" xfId="17584" xr:uid="{5018B625-D651-401B-8C7C-20BBEEA0239D}"/>
    <cellStyle name="Normal 8 6 4 2 3" xfId="13367" xr:uid="{ECA76FD8-0676-4B49-BE23-5CFE531AECBF}"/>
    <cellStyle name="Normal 8 6 4 3" xfId="6113" xr:uid="{00000000-0005-0000-0000-0000531E0000}"/>
    <cellStyle name="Normal 8 6 4 3 2" xfId="15439" xr:uid="{8D5C4C85-7FA5-47D3-AE77-C6DEEE47BF00}"/>
    <cellStyle name="Normal 8 6 4 4" xfId="11222" xr:uid="{FA614D4B-5024-4DD3-8FB5-58031536BF8C}"/>
    <cellStyle name="Normal 8 6 5" xfId="2220" xr:uid="{00000000-0005-0000-0000-0000541E0000}"/>
    <cellStyle name="Normal 8 6 5 2" xfId="4449" xr:uid="{00000000-0005-0000-0000-0000551E0000}"/>
    <cellStyle name="Normal 8 6 5 2 2" xfId="8671" xr:uid="{00000000-0005-0000-0000-0000561E0000}"/>
    <cellStyle name="Normal 8 6 5 2 2 2" xfId="17997" xr:uid="{FA91D1A3-71A6-4530-B8DA-9EC42900BE8C}"/>
    <cellStyle name="Normal 8 6 5 2 3" xfId="13780" xr:uid="{18732E15-5CAA-4D6C-8665-6FB7E6A3CDB6}"/>
    <cellStyle name="Normal 8 6 5 3" xfId="6526" xr:uid="{00000000-0005-0000-0000-0000571E0000}"/>
    <cellStyle name="Normal 8 6 5 3 2" xfId="15852" xr:uid="{4E310A33-0650-4019-A11E-3AB7BB29EE95}"/>
    <cellStyle name="Normal 8 6 5 4" xfId="11635" xr:uid="{F98C602D-E6DD-4B78-90E5-1A122FE2A55E}"/>
    <cellStyle name="Normal 8 6 6" xfId="2656" xr:uid="{00000000-0005-0000-0000-0000581E0000}"/>
    <cellStyle name="Normal 8 6 6 2" xfId="6939" xr:uid="{00000000-0005-0000-0000-0000591E0000}"/>
    <cellStyle name="Normal 8 6 6 2 2" xfId="16265" xr:uid="{847B8CA9-22ED-40EA-AEC8-B787D5E0C92D}"/>
    <cellStyle name="Normal 8 6 6 3" xfId="12048" xr:uid="{EE2E7F33-AAFC-4770-BCBD-6FCBEF8F71CB}"/>
    <cellStyle name="Normal 8 6 7" xfId="4874" xr:uid="{00000000-0005-0000-0000-00005A1E0000}"/>
    <cellStyle name="Normal 8 6 7 2" xfId="14200" xr:uid="{3F807202-A595-4BE9-8EC6-BC16113E42AB}"/>
    <cellStyle name="Normal 8 6 8" xfId="8961" xr:uid="{36060843-7B38-46C3-B2F1-7172ECB11EEE}"/>
    <cellStyle name="Normal 8 6 9" xfId="9983" xr:uid="{B93BED11-A26D-49CD-A0F7-5668D15B0D1D}"/>
    <cellStyle name="Normal 8 7" xfId="945" xr:uid="{00000000-0005-0000-0000-00005B1E0000}"/>
    <cellStyle name="Normal 8 7 2" xfId="3179" xr:uid="{00000000-0005-0000-0000-00005C1E0000}"/>
    <cellStyle name="Normal 8 7 2 2" xfId="7401" xr:uid="{00000000-0005-0000-0000-00005D1E0000}"/>
    <cellStyle name="Normal 8 7 2 2 2" xfId="16727" xr:uid="{CCE6F779-CCD2-4438-BF53-B2112FF07D52}"/>
    <cellStyle name="Normal 8 7 2 3" xfId="12510" xr:uid="{9C27D2CA-CB17-467C-9F8E-7D6C6FAEAA8F}"/>
    <cellStyle name="Normal 8 7 3" xfId="5256" xr:uid="{00000000-0005-0000-0000-00005E1E0000}"/>
    <cellStyle name="Normal 8 7 3 2" xfId="14582" xr:uid="{ECBC0D7B-32DD-49FE-B34D-4C927A4CE39F}"/>
    <cellStyle name="Normal 8 7 4" xfId="9164" xr:uid="{EA2ADDDA-E9AC-4FF8-B08B-61B1D6489A46}"/>
    <cellStyle name="Normal 8 7 5" xfId="10365" xr:uid="{F486A2C2-492E-46C2-B22A-34C3A805679F}"/>
    <cellStyle name="Normal 8 8" xfId="1362" xr:uid="{00000000-0005-0000-0000-00005F1E0000}"/>
    <cellStyle name="Normal 8 8 2" xfId="3592" xr:uid="{00000000-0005-0000-0000-0000601E0000}"/>
    <cellStyle name="Normal 8 8 2 2" xfId="7814" xr:uid="{00000000-0005-0000-0000-0000611E0000}"/>
    <cellStyle name="Normal 8 8 2 2 2" xfId="17140" xr:uid="{1D1FAC22-28C2-46AB-A4B4-BCA46A1CFA7F}"/>
    <cellStyle name="Normal 8 8 2 3" xfId="12923" xr:uid="{84141A59-6D4D-4175-BD9B-B1F78362691E}"/>
    <cellStyle name="Normal 8 8 3" xfId="5669" xr:uid="{00000000-0005-0000-0000-0000621E0000}"/>
    <cellStyle name="Normal 8 8 3 2" xfId="14995" xr:uid="{722AA687-27E1-4EE4-BE45-61EC8C0F7E74}"/>
    <cellStyle name="Normal 8 8 4" xfId="10778" xr:uid="{935D8DB0-763E-4721-8C04-C1A3BDB4D6F1}"/>
    <cellStyle name="Normal 8 9" xfId="1775" xr:uid="{00000000-0005-0000-0000-0000631E0000}"/>
    <cellStyle name="Normal 8 9 2" xfId="4005" xr:uid="{00000000-0005-0000-0000-0000641E0000}"/>
    <cellStyle name="Normal 8 9 2 2" xfId="8227" xr:uid="{00000000-0005-0000-0000-0000651E0000}"/>
    <cellStyle name="Normal 8 9 2 2 2" xfId="17553" xr:uid="{2E602BB3-76FA-4D07-A982-5EA4E8D7FFF8}"/>
    <cellStyle name="Normal 8 9 2 3" xfId="13336" xr:uid="{EFE01230-2ACC-460E-9C52-662F5FBB27E4}"/>
    <cellStyle name="Normal 8 9 3" xfId="6082" xr:uid="{00000000-0005-0000-0000-0000661E0000}"/>
    <cellStyle name="Normal 8 9 3 2" xfId="15408" xr:uid="{75E3C967-440C-4756-B95B-9C50FE08819F}"/>
    <cellStyle name="Normal 8 9 4" xfId="11191" xr:uid="{A235AE6B-CCDB-4524-8EC0-51B1AD234DC5}"/>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9F7F7EB0-9ED0-4B8B-95B8-2AD59B702429}"/>
    <cellStyle name="Normal 9 2 10 3" xfId="12049" xr:uid="{8D144CA4-83BF-4E0A-957C-4EAD2284CC90}"/>
    <cellStyle name="Normal 9 2 11" xfId="4875" xr:uid="{00000000-0005-0000-0000-00006B1E0000}"/>
    <cellStyle name="Normal 9 2 11 2" xfId="14201" xr:uid="{50E6E5DD-3523-4B47-AB8A-CBF1B86A7B38}"/>
    <cellStyle name="Normal 9 2 12" xfId="8754" xr:uid="{9024D06A-4C5F-4C89-BCDB-29B8C924FF52}"/>
    <cellStyle name="Normal 9 2 13" xfId="9984" xr:uid="{F2E05290-F524-427F-9C8B-EA59C5DE5B41}"/>
    <cellStyle name="Normal 9 2 2" xfId="512" xr:uid="{00000000-0005-0000-0000-00006C1E0000}"/>
    <cellStyle name="Normal 9 2 2 10" xfId="4876" xr:uid="{00000000-0005-0000-0000-00006D1E0000}"/>
    <cellStyle name="Normal 9 2 2 10 2" xfId="14202" xr:uid="{D811188D-BAAA-4DD9-977E-4E22DD225B40}"/>
    <cellStyle name="Normal 9 2 2 11" xfId="8785" xr:uid="{3048542E-ED39-45ED-9C91-0140D2CF60D9}"/>
    <cellStyle name="Normal 9 2 2 12" xfId="9985" xr:uid="{39A9F250-7ED3-4850-A998-7A64479822EC}"/>
    <cellStyle name="Normal 9 2 2 2" xfId="513" xr:uid="{00000000-0005-0000-0000-00006E1E0000}"/>
    <cellStyle name="Normal 9 2 2 2 10" xfId="8839" xr:uid="{3B2DC7F4-4F49-4AE2-9279-EFD4857A149B}"/>
    <cellStyle name="Normal 9 2 2 2 11" xfId="9986" xr:uid="{A430B041-CD56-4204-94A1-7ABFD3AE84DB}"/>
    <cellStyle name="Normal 9 2 2 2 2" xfId="514" xr:uid="{00000000-0005-0000-0000-00006F1E0000}"/>
    <cellStyle name="Normal 9 2 2 2 2 10" xfId="9987" xr:uid="{8E923579-6DD6-486E-8E28-C02E4D74093F}"/>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D0CD03C6-33C1-4F90-B42C-694232CC3DBE}"/>
    <cellStyle name="Normal 9 2 2 2 2 2 2 2 3" xfId="12546" xr:uid="{381E3484-56CF-4E23-8E16-3F22DA78993D}"/>
    <cellStyle name="Normal 9 2 2 2 2 2 2 3" xfId="5292" xr:uid="{00000000-0005-0000-0000-0000741E0000}"/>
    <cellStyle name="Normal 9 2 2 2 2 2 2 3 2" xfId="14618" xr:uid="{74BF373D-1046-44D0-8914-602ED6AA2CFC}"/>
    <cellStyle name="Normal 9 2 2 2 2 2 2 4" xfId="9574" xr:uid="{00EB170D-8A20-4280-B781-E452C3590555}"/>
    <cellStyle name="Normal 9 2 2 2 2 2 2 5" xfId="10401" xr:uid="{D7B4AD4D-F897-459B-9547-339C7E6AF6AB}"/>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E1091925-665F-4295-A21A-E9F0B3F9E645}"/>
    <cellStyle name="Normal 9 2 2 2 2 2 3 2 3" xfId="12959" xr:uid="{29F722B1-4863-4729-84B5-9B65048E3FBA}"/>
    <cellStyle name="Normal 9 2 2 2 2 2 3 3" xfId="5705" xr:uid="{00000000-0005-0000-0000-0000781E0000}"/>
    <cellStyle name="Normal 9 2 2 2 2 2 3 3 2" xfId="15031" xr:uid="{0F79EDE4-B72B-4B38-B15A-21BA2A82AD12}"/>
    <cellStyle name="Normal 9 2 2 2 2 2 3 4" xfId="10814" xr:uid="{7E445587-BA6B-4ECA-BFA7-4B0FCCDA5093}"/>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B9C38F1F-E241-4A25-9390-98E984F18527}"/>
    <cellStyle name="Normal 9 2 2 2 2 2 4 2 3" xfId="13372" xr:uid="{53717A62-430F-434B-A498-A70C5D3EB971}"/>
    <cellStyle name="Normal 9 2 2 2 2 2 4 3" xfId="6118" xr:uid="{00000000-0005-0000-0000-00007C1E0000}"/>
    <cellStyle name="Normal 9 2 2 2 2 2 4 3 2" xfId="15444" xr:uid="{FE9E1D42-0538-43AC-A1B8-DC7B04A3512E}"/>
    <cellStyle name="Normal 9 2 2 2 2 2 4 4" xfId="11227" xr:uid="{7BCE0D19-BC66-483A-9DA3-586159008471}"/>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1410EE1E-F3CA-4C07-BD6B-F797C5BE1B91}"/>
    <cellStyle name="Normal 9 2 2 2 2 2 5 2 3" xfId="13785" xr:uid="{70A2422F-250F-4C94-A007-A81B9ABA0050}"/>
    <cellStyle name="Normal 9 2 2 2 2 2 5 3" xfId="6531" xr:uid="{00000000-0005-0000-0000-0000801E0000}"/>
    <cellStyle name="Normal 9 2 2 2 2 2 5 3 2" xfId="15857" xr:uid="{716B155E-9270-4595-9C0A-526179805D86}"/>
    <cellStyle name="Normal 9 2 2 2 2 2 5 4" xfId="11640" xr:uid="{C64E304A-36B1-49E6-9DCA-7050CE20D6CE}"/>
    <cellStyle name="Normal 9 2 2 2 2 2 6" xfId="2661" xr:uid="{00000000-0005-0000-0000-0000811E0000}"/>
    <cellStyle name="Normal 9 2 2 2 2 2 6 2" xfId="6944" xr:uid="{00000000-0005-0000-0000-0000821E0000}"/>
    <cellStyle name="Normal 9 2 2 2 2 2 6 2 2" xfId="16270" xr:uid="{9DB43561-9D2E-44C0-BD26-B0E1FA034573}"/>
    <cellStyle name="Normal 9 2 2 2 2 2 6 3" xfId="12053" xr:uid="{B801DDBD-A312-4648-92E3-1E880573B50B}"/>
    <cellStyle name="Normal 9 2 2 2 2 2 7" xfId="4879" xr:uid="{00000000-0005-0000-0000-0000831E0000}"/>
    <cellStyle name="Normal 9 2 2 2 2 2 7 2" xfId="14205" xr:uid="{68F49FCE-3CC0-4EAA-8843-9B0CAEE87AB2}"/>
    <cellStyle name="Normal 9 2 2 2 2 2 8" xfId="9149" xr:uid="{6C0BEC1E-EE3B-4956-830C-8775C93DB46A}"/>
    <cellStyle name="Normal 9 2 2 2 2 2 9" xfId="9988" xr:uid="{6BB12BB0-8346-42DB-86F8-828DD84DE80C}"/>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2D25A2E9-378E-448F-8BC4-C70878B14F29}"/>
    <cellStyle name="Normal 9 2 2 2 2 3 2 3" xfId="12545" xr:uid="{1AF1073A-C3B5-4A70-82E4-6E75968A5FFB}"/>
    <cellStyle name="Normal 9 2 2 2 2 3 3" xfId="5291" xr:uid="{00000000-0005-0000-0000-0000871E0000}"/>
    <cellStyle name="Normal 9 2 2 2 2 3 3 2" xfId="14617" xr:uid="{8AB47E5C-7052-4CAA-9718-79C7688531CC}"/>
    <cellStyle name="Normal 9 2 2 2 2 3 4" xfId="9367" xr:uid="{4A654E22-020A-4B0F-8753-639C44EA908A}"/>
    <cellStyle name="Normal 9 2 2 2 2 3 5" xfId="10400" xr:uid="{F332C71C-A07A-4C4C-B049-0E1514A0B4E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B7C7BF33-05D5-4350-96E0-4F82ADAC2497}"/>
    <cellStyle name="Normal 9 2 2 2 2 4 2 3" xfId="12958" xr:uid="{DFC74FFF-7480-49C6-A782-66E608C7BCA1}"/>
    <cellStyle name="Normal 9 2 2 2 2 4 3" xfId="5704" xr:uid="{00000000-0005-0000-0000-00008B1E0000}"/>
    <cellStyle name="Normal 9 2 2 2 2 4 3 2" xfId="15030" xr:uid="{F5F6CE4E-70AD-4693-AF50-3A9545F6947C}"/>
    <cellStyle name="Normal 9 2 2 2 2 4 4" xfId="10813" xr:uid="{1C557911-7CC0-48FE-99C4-BC31AE1702E9}"/>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1CB2CA38-EDD4-47BA-AAF5-942265D889CB}"/>
    <cellStyle name="Normal 9 2 2 2 2 5 2 3" xfId="13371" xr:uid="{B9332F1D-CD30-40A4-9607-0BEBB5214150}"/>
    <cellStyle name="Normal 9 2 2 2 2 5 3" xfId="6117" xr:uid="{00000000-0005-0000-0000-00008F1E0000}"/>
    <cellStyle name="Normal 9 2 2 2 2 5 3 2" xfId="15443" xr:uid="{57AD6EE8-FD77-446A-B0DF-43DD2CDE1074}"/>
    <cellStyle name="Normal 9 2 2 2 2 5 4" xfId="11226" xr:uid="{590578CC-8114-45D8-AF4F-0C92CC920088}"/>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54747B73-509F-4030-B5A2-F20FBEFBA8F1}"/>
    <cellStyle name="Normal 9 2 2 2 2 6 2 3" xfId="13784" xr:uid="{6D4470DA-7F9D-4D6D-B5E6-B1757D40316E}"/>
    <cellStyle name="Normal 9 2 2 2 2 6 3" xfId="6530" xr:uid="{00000000-0005-0000-0000-0000931E0000}"/>
    <cellStyle name="Normal 9 2 2 2 2 6 3 2" xfId="15856" xr:uid="{EBCE0505-FABB-46E2-AD69-C128805BCAC1}"/>
    <cellStyle name="Normal 9 2 2 2 2 6 4" xfId="11639" xr:uid="{B0798564-CAFD-4F36-BF08-DE876285DF68}"/>
    <cellStyle name="Normal 9 2 2 2 2 7" xfId="2660" xr:uid="{00000000-0005-0000-0000-0000941E0000}"/>
    <cellStyle name="Normal 9 2 2 2 2 7 2" xfId="6943" xr:uid="{00000000-0005-0000-0000-0000951E0000}"/>
    <cellStyle name="Normal 9 2 2 2 2 7 2 2" xfId="16269" xr:uid="{D7E5DBFC-3DCC-4963-B02E-771F7B315CB1}"/>
    <cellStyle name="Normal 9 2 2 2 2 7 3" xfId="12052" xr:uid="{E5E8DDEB-4748-4257-A5BE-D73B0533B156}"/>
    <cellStyle name="Normal 9 2 2 2 2 8" xfId="4878" xr:uid="{00000000-0005-0000-0000-0000961E0000}"/>
    <cellStyle name="Normal 9 2 2 2 2 8 2" xfId="14204" xr:uid="{7A30F854-BFA3-4F2C-97B6-48CA5ED38EE7}"/>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A5D69B90-6D19-494E-B15D-F691FC166CED}"/>
    <cellStyle name="Normal 9 2 2 2 3 2 2 3" xfId="12547" xr:uid="{413A6E8A-AE91-43CE-B4EA-97DD71CBD87C}"/>
    <cellStyle name="Normal 9 2 2 2 3 2 3" xfId="5293" xr:uid="{00000000-0005-0000-0000-00009B1E0000}"/>
    <cellStyle name="Normal 9 2 2 2 3 2 3 2" xfId="14619" xr:uid="{CAFA50C1-55D0-4240-ABBC-88E8F15BC6DA}"/>
    <cellStyle name="Normal 9 2 2 2 3 2 4" xfId="9471" xr:uid="{E472D827-532E-42C0-B781-9E63FEBCFCF5}"/>
    <cellStyle name="Normal 9 2 2 2 3 2 5" xfId="10402" xr:uid="{AEFD4660-3C6A-4D1B-8ED5-7D32D4E49AC2}"/>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42F76B07-2545-42F4-A1B9-B0E8F3126501}"/>
    <cellStyle name="Normal 9 2 2 2 3 3 2 3" xfId="12960" xr:uid="{5399996D-85C9-49FD-B704-08BFC5AFCEF5}"/>
    <cellStyle name="Normal 9 2 2 2 3 3 3" xfId="5706" xr:uid="{00000000-0005-0000-0000-00009F1E0000}"/>
    <cellStyle name="Normal 9 2 2 2 3 3 3 2" xfId="15032" xr:uid="{5C5FF8BB-FF52-4D95-92EE-5A032FC993E1}"/>
    <cellStyle name="Normal 9 2 2 2 3 3 4" xfId="10815" xr:uid="{1A87E2AD-0365-484C-912B-A81ABC9C5DAA}"/>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8612C05D-652D-4A1C-9E22-0E055BBD2CEE}"/>
    <cellStyle name="Normal 9 2 2 2 3 4 2 3" xfId="13373" xr:uid="{A4E4B7FE-5E14-417A-A903-8CC9B455340B}"/>
    <cellStyle name="Normal 9 2 2 2 3 4 3" xfId="6119" xr:uid="{00000000-0005-0000-0000-0000A31E0000}"/>
    <cellStyle name="Normal 9 2 2 2 3 4 3 2" xfId="15445" xr:uid="{A40E81F5-FCD0-4154-91B4-75B85BE61579}"/>
    <cellStyle name="Normal 9 2 2 2 3 4 4" xfId="11228" xr:uid="{22DD0245-11AD-47F6-A9D4-C06CF7A45A77}"/>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E65A0817-1B3B-4970-BEBE-33273015D0F8}"/>
    <cellStyle name="Normal 9 2 2 2 3 5 2 3" xfId="13786" xr:uid="{141CDFD0-6CC4-4E43-BD1E-2B0DFB2729A9}"/>
    <cellStyle name="Normal 9 2 2 2 3 5 3" xfId="6532" xr:uid="{00000000-0005-0000-0000-0000A71E0000}"/>
    <cellStyle name="Normal 9 2 2 2 3 5 3 2" xfId="15858" xr:uid="{BAA695AD-0111-4194-A68A-FBBF2429898A}"/>
    <cellStyle name="Normal 9 2 2 2 3 5 4" xfId="11641" xr:uid="{18192C65-6902-41D3-9E2F-97DE023BEFB5}"/>
    <cellStyle name="Normal 9 2 2 2 3 6" xfId="2662" xr:uid="{00000000-0005-0000-0000-0000A81E0000}"/>
    <cellStyle name="Normal 9 2 2 2 3 6 2" xfId="6945" xr:uid="{00000000-0005-0000-0000-0000A91E0000}"/>
    <cellStyle name="Normal 9 2 2 2 3 6 2 2" xfId="16271" xr:uid="{84DA304A-EE9E-44D8-9FEB-E9C8F70AAF85}"/>
    <cellStyle name="Normal 9 2 2 2 3 6 3" xfId="12054" xr:uid="{9C2A3529-5EB3-4915-A7CA-7904975E8BBD}"/>
    <cellStyle name="Normal 9 2 2 2 3 7" xfId="4880" xr:uid="{00000000-0005-0000-0000-0000AA1E0000}"/>
    <cellStyle name="Normal 9 2 2 2 3 7 2" xfId="14206" xr:uid="{13D41C61-EC54-47BA-8E6C-6569A0708345}"/>
    <cellStyle name="Normal 9 2 2 2 3 8" xfId="9046" xr:uid="{6B7E07C7-E90B-4AE9-8FE8-76EF28E8FC85}"/>
    <cellStyle name="Normal 9 2 2 2 3 9" xfId="9989" xr:uid="{97A788E1-47F1-4DA6-AEB7-DDD1E1545C39}"/>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3AFE403B-ADE1-440C-A93F-DCF3AA288D9B}"/>
    <cellStyle name="Normal 9 2 2 2 4 2 3" xfId="12544" xr:uid="{9D79A8F1-C58D-4396-98AD-84CA400ACFF6}"/>
    <cellStyle name="Normal 9 2 2 2 4 3" xfId="5290" xr:uid="{00000000-0005-0000-0000-0000AE1E0000}"/>
    <cellStyle name="Normal 9 2 2 2 4 3 2" xfId="14616" xr:uid="{A20466B0-7C59-4791-8E45-B3BBE06C8D06}"/>
    <cellStyle name="Normal 9 2 2 2 4 4" xfId="9264" xr:uid="{0137E036-48D9-4B3B-9B73-0002A19DDE9E}"/>
    <cellStyle name="Normal 9 2 2 2 4 5" xfId="10399" xr:uid="{189A37A1-BC52-4B06-B5D9-5DBD1802E27B}"/>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19074FB0-8E3C-4636-BF11-AE2C3F3847B0}"/>
    <cellStyle name="Normal 9 2 2 2 5 2 3" xfId="12957" xr:uid="{1F18229C-0F75-485C-8B73-BF2C2921508E}"/>
    <cellStyle name="Normal 9 2 2 2 5 3" xfId="5703" xr:uid="{00000000-0005-0000-0000-0000B21E0000}"/>
    <cellStyle name="Normal 9 2 2 2 5 3 2" xfId="15029" xr:uid="{4239B816-BBC9-4C12-84EB-C8C684C21E9C}"/>
    <cellStyle name="Normal 9 2 2 2 5 4" xfId="10812" xr:uid="{4D1DBC18-A60A-4C74-82C1-D558FA46CD19}"/>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78C4BE43-55A6-4730-A1A8-B4BA7984BFE5}"/>
    <cellStyle name="Normal 9 2 2 2 6 2 3" xfId="13370" xr:uid="{8A803F19-66A3-4861-A968-8681DDF587CD}"/>
    <cellStyle name="Normal 9 2 2 2 6 3" xfId="6116" xr:uid="{00000000-0005-0000-0000-0000B61E0000}"/>
    <cellStyle name="Normal 9 2 2 2 6 3 2" xfId="15442" xr:uid="{FC2169CD-B88F-4097-A30A-DDE8ECBBF7D9}"/>
    <cellStyle name="Normal 9 2 2 2 6 4" xfId="11225" xr:uid="{00ECE5F3-6C03-44AE-A6F6-282D9B81E625}"/>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28AE3060-DBF6-442C-8F4E-4D8CD2384039}"/>
    <cellStyle name="Normal 9 2 2 2 7 2 3" xfId="13783" xr:uid="{B4177C91-30A5-45E3-B3E5-EAC433258AD5}"/>
    <cellStyle name="Normal 9 2 2 2 7 3" xfId="6529" xr:uid="{00000000-0005-0000-0000-0000BA1E0000}"/>
    <cellStyle name="Normal 9 2 2 2 7 3 2" xfId="15855" xr:uid="{0D1B6390-F458-46A0-AFD9-59D911C13612}"/>
    <cellStyle name="Normal 9 2 2 2 7 4" xfId="11638" xr:uid="{A34B649F-0CEE-4DA6-9E97-AC5B53AD32C3}"/>
    <cellStyle name="Normal 9 2 2 2 8" xfId="2659" xr:uid="{00000000-0005-0000-0000-0000BB1E0000}"/>
    <cellStyle name="Normal 9 2 2 2 8 2" xfId="6942" xr:uid="{00000000-0005-0000-0000-0000BC1E0000}"/>
    <cellStyle name="Normal 9 2 2 2 8 2 2" xfId="16268" xr:uid="{1A8E6C92-72D9-4976-88A5-F02884F719B2}"/>
    <cellStyle name="Normal 9 2 2 2 8 3" xfId="12051" xr:uid="{8FC1D9AD-A03E-4A22-A2E7-75789900B255}"/>
    <cellStyle name="Normal 9 2 2 2 9" xfId="4877" xr:uid="{00000000-0005-0000-0000-0000BD1E0000}"/>
    <cellStyle name="Normal 9 2 2 2 9 2" xfId="14203" xr:uid="{381A60BA-FE1D-4B58-8B35-6C56B1ACBD0A}"/>
    <cellStyle name="Normal 9 2 2 3" xfId="517" xr:uid="{00000000-0005-0000-0000-0000BE1E0000}"/>
    <cellStyle name="Normal 9 2 2 3 10" xfId="9990" xr:uid="{B0C9ED0F-8322-4BFF-8262-8F1F3D6FA307}"/>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20C23690-02D2-4D24-BF22-7918C6BBBF29}"/>
    <cellStyle name="Normal 9 2 2 3 2 2 2 3" xfId="12549" xr:uid="{B54D2374-BD9E-4BC1-AD55-A7D4815296EB}"/>
    <cellStyle name="Normal 9 2 2 3 2 2 3" xfId="5295" xr:uid="{00000000-0005-0000-0000-0000C31E0000}"/>
    <cellStyle name="Normal 9 2 2 3 2 2 3 2" xfId="14621" xr:uid="{9F79085D-4C41-4D6E-B522-58613178D02C}"/>
    <cellStyle name="Normal 9 2 2 3 2 2 4" xfId="9520" xr:uid="{57CFBD10-691F-4DF8-8020-B75E98FF60DD}"/>
    <cellStyle name="Normal 9 2 2 3 2 2 5" xfId="10404" xr:uid="{A333F199-E366-4166-8B83-F6F2E446F20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E7ED00A3-9EAF-4210-8338-E3265809E642}"/>
    <cellStyle name="Normal 9 2 2 3 2 3 2 3" xfId="12962" xr:uid="{29E11F48-F841-40BB-9F54-2C8C36EB5BAB}"/>
    <cellStyle name="Normal 9 2 2 3 2 3 3" xfId="5708" xr:uid="{00000000-0005-0000-0000-0000C71E0000}"/>
    <cellStyle name="Normal 9 2 2 3 2 3 3 2" xfId="15034" xr:uid="{541D961A-3CC8-4CC8-80D7-1A766A8114B0}"/>
    <cellStyle name="Normal 9 2 2 3 2 3 4" xfId="10817" xr:uid="{4D56B571-AAD6-4E53-8A93-4224EC2ABB3F}"/>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CFDDD64B-BC57-48A1-B2BB-701B2D187BB4}"/>
    <cellStyle name="Normal 9 2 2 3 2 4 2 3" xfId="13375" xr:uid="{B986CBF7-CF84-4DDA-9DA8-C457EDC58D40}"/>
    <cellStyle name="Normal 9 2 2 3 2 4 3" xfId="6121" xr:uid="{00000000-0005-0000-0000-0000CB1E0000}"/>
    <cellStyle name="Normal 9 2 2 3 2 4 3 2" xfId="15447" xr:uid="{8A502189-404A-4CFF-B7AE-5566D6614FCB}"/>
    <cellStyle name="Normal 9 2 2 3 2 4 4" xfId="11230" xr:uid="{28F29A2C-17FC-4C4C-8103-BEDBF44B3E8A}"/>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2A0B7E63-D099-4896-8B05-9CDC6D3E237D}"/>
    <cellStyle name="Normal 9 2 2 3 2 5 2 3" xfId="13788" xr:uid="{739DFA50-A6F9-4538-8980-330E261D121C}"/>
    <cellStyle name="Normal 9 2 2 3 2 5 3" xfId="6534" xr:uid="{00000000-0005-0000-0000-0000CF1E0000}"/>
    <cellStyle name="Normal 9 2 2 3 2 5 3 2" xfId="15860" xr:uid="{44086645-B62B-43BA-9F0E-0A9E5BEBBDBD}"/>
    <cellStyle name="Normal 9 2 2 3 2 5 4" xfId="11643" xr:uid="{9C77273A-5ADB-4CF3-8E69-5259984240EC}"/>
    <cellStyle name="Normal 9 2 2 3 2 6" xfId="2664" xr:uid="{00000000-0005-0000-0000-0000D01E0000}"/>
    <cellStyle name="Normal 9 2 2 3 2 6 2" xfId="6947" xr:uid="{00000000-0005-0000-0000-0000D11E0000}"/>
    <cellStyle name="Normal 9 2 2 3 2 6 2 2" xfId="16273" xr:uid="{627CBD94-4EBD-462E-B703-DFF3E53B9C13}"/>
    <cellStyle name="Normal 9 2 2 3 2 6 3" xfId="12056" xr:uid="{248FD931-E508-40E1-90D2-485B1649170C}"/>
    <cellStyle name="Normal 9 2 2 3 2 7" xfId="4882" xr:uid="{00000000-0005-0000-0000-0000D21E0000}"/>
    <cellStyle name="Normal 9 2 2 3 2 7 2" xfId="14208" xr:uid="{3A6C10DF-DAB9-4E68-88F9-FD726F5D8031}"/>
    <cellStyle name="Normal 9 2 2 3 2 8" xfId="9095" xr:uid="{D95088B7-D227-4E97-A9B9-DA61436DD386}"/>
    <cellStyle name="Normal 9 2 2 3 2 9" xfId="9991" xr:uid="{86CFAE03-3EAB-42B8-8634-B5AE97506BB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98BA6F8C-2EBF-4E89-86CF-4A7B36355ABE}"/>
    <cellStyle name="Normal 9 2 2 3 3 2 3" xfId="12548" xr:uid="{55F5AA68-3016-4A84-9891-96E188D6BDBC}"/>
    <cellStyle name="Normal 9 2 2 3 3 3" xfId="5294" xr:uid="{00000000-0005-0000-0000-0000D61E0000}"/>
    <cellStyle name="Normal 9 2 2 3 3 3 2" xfId="14620" xr:uid="{1B781976-6582-42C3-977A-FF8711ACF610}"/>
    <cellStyle name="Normal 9 2 2 3 3 4" xfId="9313" xr:uid="{FDDC600D-FDDD-4FFC-9820-DFD7E0768F33}"/>
    <cellStyle name="Normal 9 2 2 3 3 5" xfId="10403" xr:uid="{F9798220-2156-461A-9C7D-EA76F6DEA63C}"/>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4183D494-AC8D-4AAC-9778-B72798724918}"/>
    <cellStyle name="Normal 9 2 2 3 4 2 3" xfId="12961" xr:uid="{BA5C433F-5F34-488A-BF7A-01834AF5D6F7}"/>
    <cellStyle name="Normal 9 2 2 3 4 3" xfId="5707" xr:uid="{00000000-0005-0000-0000-0000DA1E0000}"/>
    <cellStyle name="Normal 9 2 2 3 4 3 2" xfId="15033" xr:uid="{8B176ECC-B782-4397-9755-E011280C2181}"/>
    <cellStyle name="Normal 9 2 2 3 4 4" xfId="10816" xr:uid="{ED874B25-5B5C-49EB-A92D-59C990EB08A1}"/>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6F502BEE-A0FC-4FAB-9BC5-63399D4F483D}"/>
    <cellStyle name="Normal 9 2 2 3 5 2 3" xfId="13374" xr:uid="{8B91F356-C6FF-4468-8B89-AE6E2E0EACF2}"/>
    <cellStyle name="Normal 9 2 2 3 5 3" xfId="6120" xr:uid="{00000000-0005-0000-0000-0000DE1E0000}"/>
    <cellStyle name="Normal 9 2 2 3 5 3 2" xfId="15446" xr:uid="{7D22525F-44BA-4092-B436-93E8BCE5BFA3}"/>
    <cellStyle name="Normal 9 2 2 3 5 4" xfId="11229" xr:uid="{5A7A5235-FE70-4E05-AD01-5C2357B55A6C}"/>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28B0307D-1341-4D87-B685-4EECC0E86425}"/>
    <cellStyle name="Normal 9 2 2 3 6 2 3" xfId="13787" xr:uid="{8A95D356-1B1E-42DE-8F8E-3561EAA6678D}"/>
    <cellStyle name="Normal 9 2 2 3 6 3" xfId="6533" xr:uid="{00000000-0005-0000-0000-0000E21E0000}"/>
    <cellStyle name="Normal 9 2 2 3 6 3 2" xfId="15859" xr:uid="{8469995B-FE87-4F92-9F9A-6A4B8A33F2AE}"/>
    <cellStyle name="Normal 9 2 2 3 6 4" xfId="11642" xr:uid="{9368DF78-28E6-478A-892C-D4D5E03D1B7F}"/>
    <cellStyle name="Normal 9 2 2 3 7" xfId="2663" xr:uid="{00000000-0005-0000-0000-0000E31E0000}"/>
    <cellStyle name="Normal 9 2 2 3 7 2" xfId="6946" xr:uid="{00000000-0005-0000-0000-0000E41E0000}"/>
    <cellStyle name="Normal 9 2 2 3 7 2 2" xfId="16272" xr:uid="{6D5090C2-26BC-48BF-B43A-85BF562A1B58}"/>
    <cellStyle name="Normal 9 2 2 3 7 3" xfId="12055" xr:uid="{B56B81DD-2511-4701-B1BD-CC0F132950FD}"/>
    <cellStyle name="Normal 9 2 2 3 8" xfId="4881" xr:uid="{00000000-0005-0000-0000-0000E51E0000}"/>
    <cellStyle name="Normal 9 2 2 3 8 2" xfId="14207" xr:uid="{72C20443-BD14-4424-AD11-B092C780162F}"/>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56398FCB-B5E2-4F86-8607-8E0E36820995}"/>
    <cellStyle name="Normal 9 2 2 4 2 2 3" xfId="12550" xr:uid="{3324D7D7-B404-4900-B323-72A830EB31CC}"/>
    <cellStyle name="Normal 9 2 2 4 2 3" xfId="5296" xr:uid="{00000000-0005-0000-0000-0000EA1E0000}"/>
    <cellStyle name="Normal 9 2 2 4 2 3 2" xfId="14622" xr:uid="{BFEACD94-FC84-43F7-BFF4-CD22C01D1F1E}"/>
    <cellStyle name="Normal 9 2 2 4 2 4" xfId="9417" xr:uid="{FDB8A679-B5B8-4E9B-808D-E68F6CA01958}"/>
    <cellStyle name="Normal 9 2 2 4 2 5" xfId="10405" xr:uid="{C6E798C3-ADBC-4248-89A9-C94DFF0ACBED}"/>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D7C39100-3B7F-4CA3-8A84-D3833C52A53C}"/>
    <cellStyle name="Normal 9 2 2 4 3 2 3" xfId="12963" xr:uid="{B08C4A01-CCC6-4753-AF06-89FC8B2EA444}"/>
    <cellStyle name="Normal 9 2 2 4 3 3" xfId="5709" xr:uid="{00000000-0005-0000-0000-0000EE1E0000}"/>
    <cellStyle name="Normal 9 2 2 4 3 3 2" xfId="15035" xr:uid="{8FA565DC-0C1E-47D5-B35D-D3A875598765}"/>
    <cellStyle name="Normal 9 2 2 4 3 4" xfId="10818" xr:uid="{DF178650-007B-4675-8E27-AA11881BAA76}"/>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F598CA99-E451-48FB-962B-44334F1C377A}"/>
    <cellStyle name="Normal 9 2 2 4 4 2 3" xfId="13376" xr:uid="{FF65CF53-33B6-4BED-B7B8-7EBD8FD5E932}"/>
    <cellStyle name="Normal 9 2 2 4 4 3" xfId="6122" xr:uid="{00000000-0005-0000-0000-0000F21E0000}"/>
    <cellStyle name="Normal 9 2 2 4 4 3 2" xfId="15448" xr:uid="{554CB40C-B61F-474D-89FD-F953B68E8F84}"/>
    <cellStyle name="Normal 9 2 2 4 4 4" xfId="11231" xr:uid="{73329BDF-D636-48CD-A187-7CE50F64F2BA}"/>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424FA49D-C573-49D4-ABA6-9DAD245A29D9}"/>
    <cellStyle name="Normal 9 2 2 4 5 2 3" xfId="13789" xr:uid="{121F696F-ED66-4ABB-85BA-5F1BC44AD419}"/>
    <cellStyle name="Normal 9 2 2 4 5 3" xfId="6535" xr:uid="{00000000-0005-0000-0000-0000F61E0000}"/>
    <cellStyle name="Normal 9 2 2 4 5 3 2" xfId="15861" xr:uid="{D9189913-7E2D-4296-9A35-F34E998A7DA4}"/>
    <cellStyle name="Normal 9 2 2 4 5 4" xfId="11644" xr:uid="{42126C29-E884-43E8-9871-6DD332AB11BF}"/>
    <cellStyle name="Normal 9 2 2 4 6" xfId="2665" xr:uid="{00000000-0005-0000-0000-0000F71E0000}"/>
    <cellStyle name="Normal 9 2 2 4 6 2" xfId="6948" xr:uid="{00000000-0005-0000-0000-0000F81E0000}"/>
    <cellStyle name="Normal 9 2 2 4 6 2 2" xfId="16274" xr:uid="{D2866BC9-8F47-4CDB-9F28-FCAF1113067B}"/>
    <cellStyle name="Normal 9 2 2 4 6 3" xfId="12057" xr:uid="{C25AAFFC-999B-4D4C-BB90-5FB98557C845}"/>
    <cellStyle name="Normal 9 2 2 4 7" xfId="4883" xr:uid="{00000000-0005-0000-0000-0000F91E0000}"/>
    <cellStyle name="Normal 9 2 2 4 7 2" xfId="14209" xr:uid="{05171D3D-C26E-4A1A-9E39-C900D5ACD589}"/>
    <cellStyle name="Normal 9 2 2 4 8" xfId="8992" xr:uid="{8AFFF8AD-8552-4B33-AAFF-7DACAE25085E}"/>
    <cellStyle name="Normal 9 2 2 4 9" xfId="9992" xr:uid="{5FB7BA38-3AEB-4268-8AB1-4617BA2C3678}"/>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3F413628-68E8-466D-B5D6-966E0D71C27C}"/>
    <cellStyle name="Normal 9 2 2 5 2 3" xfId="12543" xr:uid="{8D39A7C3-96E9-44C7-9FC5-388931926DBD}"/>
    <cellStyle name="Normal 9 2 2 5 3" xfId="5289" xr:uid="{00000000-0005-0000-0000-0000FD1E0000}"/>
    <cellStyle name="Normal 9 2 2 5 3 2" xfId="14615" xr:uid="{58B1FAAC-452B-4F17-A64D-3E23D6D18FF3}"/>
    <cellStyle name="Normal 9 2 2 5 4" xfId="9209" xr:uid="{66E66B93-842C-41D8-A807-A065C03CFEBD}"/>
    <cellStyle name="Normal 9 2 2 5 5" xfId="10398" xr:uid="{5B537262-FE4B-4871-9CFC-17DBE6AF069C}"/>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1506FDB6-D035-42DD-9F24-DF9F5F5B4984}"/>
    <cellStyle name="Normal 9 2 2 6 2 3" xfId="12956" xr:uid="{8219D7B7-7C7D-40AE-8F5D-DFD21C7E3278}"/>
    <cellStyle name="Normal 9 2 2 6 3" xfId="5702" xr:uid="{00000000-0005-0000-0000-0000011F0000}"/>
    <cellStyle name="Normal 9 2 2 6 3 2" xfId="15028" xr:uid="{165FC8FC-D025-4A1F-A751-29CAE2486C28}"/>
    <cellStyle name="Normal 9 2 2 6 4" xfId="10811" xr:uid="{712A5335-1777-4162-8C2B-3AB59AE91181}"/>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2E527DCE-0602-45A3-AAC4-ADE8143F76C7}"/>
    <cellStyle name="Normal 9 2 2 7 2 3" xfId="13369" xr:uid="{FA888A3C-58C4-4B1B-AD57-A6A495DE7454}"/>
    <cellStyle name="Normal 9 2 2 7 3" xfId="6115" xr:uid="{00000000-0005-0000-0000-0000051F0000}"/>
    <cellStyle name="Normal 9 2 2 7 3 2" xfId="15441" xr:uid="{F15DD38B-A4D0-4384-982D-49F128C0CF11}"/>
    <cellStyle name="Normal 9 2 2 7 4" xfId="11224" xr:uid="{E84244AB-D4A3-4C56-9692-C4860D32064E}"/>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9A9F324C-99B1-4078-99DC-6D68F05D9326}"/>
    <cellStyle name="Normal 9 2 2 8 2 3" xfId="13782" xr:uid="{A39F4D76-297F-450C-82DC-B3DFAC3B0F42}"/>
    <cellStyle name="Normal 9 2 2 8 3" xfId="6528" xr:uid="{00000000-0005-0000-0000-0000091F0000}"/>
    <cellStyle name="Normal 9 2 2 8 3 2" xfId="15854" xr:uid="{42A780E7-5AC6-4373-860E-80852557AC34}"/>
    <cellStyle name="Normal 9 2 2 8 4" xfId="11637" xr:uid="{219294C1-9B1A-416B-A80E-5F2EBF073ABC}"/>
    <cellStyle name="Normal 9 2 2 9" xfId="2658" xr:uid="{00000000-0005-0000-0000-00000A1F0000}"/>
    <cellStyle name="Normal 9 2 2 9 2" xfId="6941" xr:uid="{00000000-0005-0000-0000-00000B1F0000}"/>
    <cellStyle name="Normal 9 2 2 9 2 2" xfId="16267" xr:uid="{D0382DD3-FCA0-4282-88F0-0D7563418B00}"/>
    <cellStyle name="Normal 9 2 2 9 3" xfId="12050" xr:uid="{FD0D41F5-AED5-4827-9846-9A2983CF9DE9}"/>
    <cellStyle name="Normal 9 2 3" xfId="520" xr:uid="{00000000-0005-0000-0000-00000C1F0000}"/>
    <cellStyle name="Normal 9 2 3 10" xfId="8838" xr:uid="{3F59BADF-95CF-4831-9CE1-8ACBDD585DF1}"/>
    <cellStyle name="Normal 9 2 3 11" xfId="9993" xr:uid="{FB5EDCF3-6730-4173-84AE-5EA867337067}"/>
    <cellStyle name="Normal 9 2 3 2" xfId="521" xr:uid="{00000000-0005-0000-0000-00000D1F0000}"/>
    <cellStyle name="Normal 9 2 3 2 10" xfId="9994" xr:uid="{C753E1DB-E545-43B3-A1DB-3B25C9C5C56A}"/>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0BCF0B72-3801-46A4-99E8-069975501115}"/>
    <cellStyle name="Normal 9 2 3 2 2 2 2 3" xfId="12553" xr:uid="{AC59C419-579D-476C-9A39-8ED703BB818A}"/>
    <cellStyle name="Normal 9 2 3 2 2 2 3" xfId="5299" xr:uid="{00000000-0005-0000-0000-0000121F0000}"/>
    <cellStyle name="Normal 9 2 3 2 2 2 3 2" xfId="14625" xr:uid="{30EB0A6C-72C7-49F6-AAE3-8780E61BCA73}"/>
    <cellStyle name="Normal 9 2 3 2 2 2 4" xfId="9573" xr:uid="{376F8566-2407-40B8-9531-D3E757BE7A23}"/>
    <cellStyle name="Normal 9 2 3 2 2 2 5" xfId="10408" xr:uid="{B219CDE5-F19C-4812-89CB-947C42AC4BBA}"/>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1D311E25-7671-4BD8-858A-90F1A7B1023F}"/>
    <cellStyle name="Normal 9 2 3 2 2 3 2 3" xfId="12966" xr:uid="{EF7FB9A0-A3C1-4D86-AA25-C07F86DE56C4}"/>
    <cellStyle name="Normal 9 2 3 2 2 3 3" xfId="5712" xr:uid="{00000000-0005-0000-0000-0000161F0000}"/>
    <cellStyle name="Normal 9 2 3 2 2 3 3 2" xfId="15038" xr:uid="{7F14742F-C153-473B-9354-42B50D6C3E39}"/>
    <cellStyle name="Normal 9 2 3 2 2 3 4" xfId="10821" xr:uid="{A82CD101-CB16-4A68-A6E1-4A11FD546CDE}"/>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D2AB7F71-ECAC-4556-9436-BAF20151CA51}"/>
    <cellStyle name="Normal 9 2 3 2 2 4 2 3" xfId="13379" xr:uid="{CEE986E0-F1CA-461E-8707-37C6A160DE43}"/>
    <cellStyle name="Normal 9 2 3 2 2 4 3" xfId="6125" xr:uid="{00000000-0005-0000-0000-00001A1F0000}"/>
    <cellStyle name="Normal 9 2 3 2 2 4 3 2" xfId="15451" xr:uid="{DAC0BAB0-7D6F-4A0A-9D7C-073FA4198C79}"/>
    <cellStyle name="Normal 9 2 3 2 2 4 4" xfId="11234" xr:uid="{8A7F5B0C-4723-462A-B988-6846AD448E48}"/>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1D2640CC-2606-4196-9FB7-D870E379C753}"/>
    <cellStyle name="Normal 9 2 3 2 2 5 2 3" xfId="13792" xr:uid="{39FA952C-323F-400F-9286-90AD7DB3804E}"/>
    <cellStyle name="Normal 9 2 3 2 2 5 3" xfId="6538" xr:uid="{00000000-0005-0000-0000-00001E1F0000}"/>
    <cellStyle name="Normal 9 2 3 2 2 5 3 2" xfId="15864" xr:uid="{BAD0D6F6-F5DA-4C3E-ABDF-6E7002B681D7}"/>
    <cellStyle name="Normal 9 2 3 2 2 5 4" xfId="11647" xr:uid="{B3B8AADB-DC29-4613-B30C-40DB19C15A14}"/>
    <cellStyle name="Normal 9 2 3 2 2 6" xfId="2668" xr:uid="{00000000-0005-0000-0000-00001F1F0000}"/>
    <cellStyle name="Normal 9 2 3 2 2 6 2" xfId="6951" xr:uid="{00000000-0005-0000-0000-0000201F0000}"/>
    <cellStyle name="Normal 9 2 3 2 2 6 2 2" xfId="16277" xr:uid="{1F581979-8A92-468F-807B-8040E7CD830A}"/>
    <cellStyle name="Normal 9 2 3 2 2 6 3" xfId="12060" xr:uid="{25934CD4-8E4C-4359-B5A8-E7E23E733071}"/>
    <cellStyle name="Normal 9 2 3 2 2 7" xfId="4886" xr:uid="{00000000-0005-0000-0000-0000211F0000}"/>
    <cellStyle name="Normal 9 2 3 2 2 7 2" xfId="14212" xr:uid="{39128BD4-2566-402A-A18A-6FBEF91D6A33}"/>
    <cellStyle name="Normal 9 2 3 2 2 8" xfId="9148" xr:uid="{E1A2F3F0-C8EA-47FA-BB37-18F117041A87}"/>
    <cellStyle name="Normal 9 2 3 2 2 9" xfId="9995" xr:uid="{2138C0D8-474D-4A17-8982-3A8981FED2B0}"/>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CF3DFF28-8167-4101-A421-231C8C8100E8}"/>
    <cellStyle name="Normal 9 2 3 2 3 2 3" xfId="12552" xr:uid="{7A6937FC-7C36-4933-BADD-B8D5B56E47B8}"/>
    <cellStyle name="Normal 9 2 3 2 3 3" xfId="5298" xr:uid="{00000000-0005-0000-0000-0000251F0000}"/>
    <cellStyle name="Normal 9 2 3 2 3 3 2" xfId="14624" xr:uid="{7FF02429-4A88-4A72-A5E9-CFC1DCF9482E}"/>
    <cellStyle name="Normal 9 2 3 2 3 4" xfId="9366" xr:uid="{136A6B94-9CAA-4F6C-B09D-7385900FCA38}"/>
    <cellStyle name="Normal 9 2 3 2 3 5" xfId="10407" xr:uid="{C3C37384-4296-4BB4-A7C8-9E6598268E31}"/>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0AE844A5-F8D5-4F8A-A3FB-4EEE9FD0A2C3}"/>
    <cellStyle name="Normal 9 2 3 2 4 2 3" xfId="12965" xr:uid="{126D753D-A84B-4494-9D4B-DB219E7645E3}"/>
    <cellStyle name="Normal 9 2 3 2 4 3" xfId="5711" xr:uid="{00000000-0005-0000-0000-0000291F0000}"/>
    <cellStyle name="Normal 9 2 3 2 4 3 2" xfId="15037" xr:uid="{F75ED707-F5CD-471B-BF25-32BAF176F840}"/>
    <cellStyle name="Normal 9 2 3 2 4 4" xfId="10820" xr:uid="{E9460F7C-A5FC-4FA9-B135-8E3A779B0166}"/>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D1E3A80E-309D-4218-804F-0D75F1500DE7}"/>
    <cellStyle name="Normal 9 2 3 2 5 2 3" xfId="13378" xr:uid="{E42EA453-B5D3-4A7B-A96D-5B792140829A}"/>
    <cellStyle name="Normal 9 2 3 2 5 3" xfId="6124" xr:uid="{00000000-0005-0000-0000-00002D1F0000}"/>
    <cellStyle name="Normal 9 2 3 2 5 3 2" xfId="15450" xr:uid="{EE13128A-EF86-4873-A025-54364185B8A1}"/>
    <cellStyle name="Normal 9 2 3 2 5 4" xfId="11233" xr:uid="{2AAA0CE1-BA55-42B5-A99E-8C5F3F1F46BA}"/>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FD00AC50-0207-4BB0-8CE0-B1C42C18AEC6}"/>
    <cellStyle name="Normal 9 2 3 2 6 2 3" xfId="13791" xr:uid="{5E1416C7-6C64-437C-96A1-71D626A27A87}"/>
    <cellStyle name="Normal 9 2 3 2 6 3" xfId="6537" xr:uid="{00000000-0005-0000-0000-0000311F0000}"/>
    <cellStyle name="Normal 9 2 3 2 6 3 2" xfId="15863" xr:uid="{2203D905-4E66-47EF-888F-2914C1F2C76F}"/>
    <cellStyle name="Normal 9 2 3 2 6 4" xfId="11646" xr:uid="{B5F40F06-04CC-4E95-B33F-BF9EC1F59B23}"/>
    <cellStyle name="Normal 9 2 3 2 7" xfId="2667" xr:uid="{00000000-0005-0000-0000-0000321F0000}"/>
    <cellStyle name="Normal 9 2 3 2 7 2" xfId="6950" xr:uid="{00000000-0005-0000-0000-0000331F0000}"/>
    <cellStyle name="Normal 9 2 3 2 7 2 2" xfId="16276" xr:uid="{8248B03E-B2F4-49D2-A542-549D2255C2BB}"/>
    <cellStyle name="Normal 9 2 3 2 7 3" xfId="12059" xr:uid="{F36F5E87-4EC2-4B72-91A9-6E6316728566}"/>
    <cellStyle name="Normal 9 2 3 2 8" xfId="4885" xr:uid="{00000000-0005-0000-0000-0000341F0000}"/>
    <cellStyle name="Normal 9 2 3 2 8 2" xfId="14211" xr:uid="{3E97C202-FDAB-449C-A7E6-49DD5AEEB84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7C86C015-A742-4CD9-BDF1-2B9CB891A8C7}"/>
    <cellStyle name="Normal 9 2 3 3 2 2 3" xfId="12554" xr:uid="{4CE99923-8DD9-4349-B02D-89F8B22E8E1F}"/>
    <cellStyle name="Normal 9 2 3 3 2 3" xfId="5300" xr:uid="{00000000-0005-0000-0000-0000391F0000}"/>
    <cellStyle name="Normal 9 2 3 3 2 3 2" xfId="14626" xr:uid="{BF92FE46-AA73-4317-ADBA-F20190680B5E}"/>
    <cellStyle name="Normal 9 2 3 3 2 4" xfId="9470" xr:uid="{B46EA5E7-4A9D-405A-94B0-2C155F0DE1F1}"/>
    <cellStyle name="Normal 9 2 3 3 2 5" xfId="10409" xr:uid="{E3540729-CF58-4184-B552-FAA42CA80D6E}"/>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2E0A72D8-5420-4B83-A5D8-D548D44DFC17}"/>
    <cellStyle name="Normal 9 2 3 3 3 2 3" xfId="12967" xr:uid="{16B1F87F-C30F-4FC9-98D5-CAF5594C71AF}"/>
    <cellStyle name="Normal 9 2 3 3 3 3" xfId="5713" xr:uid="{00000000-0005-0000-0000-00003D1F0000}"/>
    <cellStyle name="Normal 9 2 3 3 3 3 2" xfId="15039" xr:uid="{CC9FEAD3-9CCA-4B22-AA74-17BF6F44844E}"/>
    <cellStyle name="Normal 9 2 3 3 3 4" xfId="10822" xr:uid="{DDD652C7-01D2-4EAD-8B15-C3CDDDCAA57E}"/>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E8142017-3BBF-46A4-A116-381603FA8F1C}"/>
    <cellStyle name="Normal 9 2 3 3 4 2 3" xfId="13380" xr:uid="{60840D2A-208E-4C45-847D-3EFBEEBC83D1}"/>
    <cellStyle name="Normal 9 2 3 3 4 3" xfId="6126" xr:uid="{00000000-0005-0000-0000-0000411F0000}"/>
    <cellStyle name="Normal 9 2 3 3 4 3 2" xfId="15452" xr:uid="{E60669D7-518B-4F2C-94C8-9A6A711EF970}"/>
    <cellStyle name="Normal 9 2 3 3 4 4" xfId="11235" xr:uid="{2697DC9A-DE36-410C-8526-C21890396E0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6382ECD7-DFFE-42A5-B297-36F19655155E}"/>
    <cellStyle name="Normal 9 2 3 3 5 2 3" xfId="13793" xr:uid="{C5FD7B51-F89F-46EC-87E2-468339C6EC8F}"/>
    <cellStyle name="Normal 9 2 3 3 5 3" xfId="6539" xr:uid="{00000000-0005-0000-0000-0000451F0000}"/>
    <cellStyle name="Normal 9 2 3 3 5 3 2" xfId="15865" xr:uid="{E03AA968-43EA-4BBA-9207-CC24095AF339}"/>
    <cellStyle name="Normal 9 2 3 3 5 4" xfId="11648" xr:uid="{58087DDB-8855-43EA-A2E8-58E9FFF85463}"/>
    <cellStyle name="Normal 9 2 3 3 6" xfId="2669" xr:uid="{00000000-0005-0000-0000-0000461F0000}"/>
    <cellStyle name="Normal 9 2 3 3 6 2" xfId="6952" xr:uid="{00000000-0005-0000-0000-0000471F0000}"/>
    <cellStyle name="Normal 9 2 3 3 6 2 2" xfId="16278" xr:uid="{0862228B-A49B-447B-8646-AD9045D9EC21}"/>
    <cellStyle name="Normal 9 2 3 3 6 3" xfId="12061" xr:uid="{17C28FAE-6068-4C03-8CAB-CA96EACE1539}"/>
    <cellStyle name="Normal 9 2 3 3 7" xfId="4887" xr:uid="{00000000-0005-0000-0000-0000481F0000}"/>
    <cellStyle name="Normal 9 2 3 3 7 2" xfId="14213" xr:uid="{77B59470-1229-4168-92BF-471974BCA16C}"/>
    <cellStyle name="Normal 9 2 3 3 8" xfId="9045" xr:uid="{CD23D75F-FCE1-471A-A55A-DAC6FB15D069}"/>
    <cellStyle name="Normal 9 2 3 3 9" xfId="9996" xr:uid="{23555D26-E639-4F80-BF4F-8C49B21F36E0}"/>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23E60E95-BC86-4D2C-891B-4C7C2D7F2397}"/>
    <cellStyle name="Normal 9 2 3 4 2 3" xfId="12551" xr:uid="{7B63609D-0DD0-417B-841A-01ECFA92513F}"/>
    <cellStyle name="Normal 9 2 3 4 3" xfId="5297" xr:uid="{00000000-0005-0000-0000-00004C1F0000}"/>
    <cellStyle name="Normal 9 2 3 4 3 2" xfId="14623" xr:uid="{F3CFC5D0-0B0D-48BE-85D7-B96F671110E8}"/>
    <cellStyle name="Normal 9 2 3 4 4" xfId="9263" xr:uid="{8E7B719A-F76B-4A2B-A5A7-1A883FD6976F}"/>
    <cellStyle name="Normal 9 2 3 4 5" xfId="10406" xr:uid="{F41B6AD2-F206-4B45-887A-3A87D71D7F28}"/>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127BF358-8BBF-4BB0-8E58-6FF2F9840D6C}"/>
    <cellStyle name="Normal 9 2 3 5 2 3" xfId="12964" xr:uid="{9DE46998-9A3A-4612-B88D-BF059586FA28}"/>
    <cellStyle name="Normal 9 2 3 5 3" xfId="5710" xr:uid="{00000000-0005-0000-0000-0000501F0000}"/>
    <cellStyle name="Normal 9 2 3 5 3 2" xfId="15036" xr:uid="{01C0C84E-B6B4-41D2-BEFC-4C2F1DEC795D}"/>
    <cellStyle name="Normal 9 2 3 5 4" xfId="10819" xr:uid="{879619A9-4A10-4B46-AC25-942066DAF860}"/>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2B83B243-523B-4DA6-9DB5-BBE6494FF8D8}"/>
    <cellStyle name="Normal 9 2 3 6 2 3" xfId="13377" xr:uid="{04C74D9A-D546-48EB-8A87-3BBC5C376560}"/>
    <cellStyle name="Normal 9 2 3 6 3" xfId="6123" xr:uid="{00000000-0005-0000-0000-0000541F0000}"/>
    <cellStyle name="Normal 9 2 3 6 3 2" xfId="15449" xr:uid="{457F58CC-A6A9-45D2-BD71-C20053CE4CBD}"/>
    <cellStyle name="Normal 9 2 3 6 4" xfId="11232" xr:uid="{5A73DAEE-C596-4BBB-A20B-ED0C84E37613}"/>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A89C7C5B-6F73-4D1D-A220-D64CB90E729D}"/>
    <cellStyle name="Normal 9 2 3 7 2 3" xfId="13790" xr:uid="{FAC947AE-5091-4A45-BA51-7BD85F473738}"/>
    <cellStyle name="Normal 9 2 3 7 3" xfId="6536" xr:uid="{00000000-0005-0000-0000-0000581F0000}"/>
    <cellStyle name="Normal 9 2 3 7 3 2" xfId="15862" xr:uid="{0D999204-C7CE-4D09-ADA3-C58AAABCB3F9}"/>
    <cellStyle name="Normal 9 2 3 7 4" xfId="11645" xr:uid="{4FF7EE3A-E469-4230-805B-AEEB4D60B363}"/>
    <cellStyle name="Normal 9 2 3 8" xfId="2666" xr:uid="{00000000-0005-0000-0000-0000591F0000}"/>
    <cellStyle name="Normal 9 2 3 8 2" xfId="6949" xr:uid="{00000000-0005-0000-0000-00005A1F0000}"/>
    <cellStyle name="Normal 9 2 3 8 2 2" xfId="16275" xr:uid="{DA73E56E-8213-4ED2-8441-D6FBA0B65737}"/>
    <cellStyle name="Normal 9 2 3 8 3" xfId="12058" xr:uid="{B014704A-83AF-4CF0-BBD4-BB282DA2E43C}"/>
    <cellStyle name="Normal 9 2 3 9" xfId="4884" xr:uid="{00000000-0005-0000-0000-00005B1F0000}"/>
    <cellStyle name="Normal 9 2 3 9 2" xfId="14210" xr:uid="{60626C01-F7A9-41F9-8BD6-85FECC0DF179}"/>
    <cellStyle name="Normal 9 2 4" xfId="524" xr:uid="{00000000-0005-0000-0000-00005C1F0000}"/>
    <cellStyle name="Normal 9 2 4 10" xfId="9997" xr:uid="{A7096ADF-9334-4152-B1C7-E70961CD4721}"/>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91782B73-0FC1-4AC1-B7B4-35B5B8293BCE}"/>
    <cellStyle name="Normal 9 2 4 2 2 2 3" xfId="12556" xr:uid="{78CBE0D9-0D7C-4B4E-B17F-3B5EECE20670}"/>
    <cellStyle name="Normal 9 2 4 2 2 3" xfId="5302" xr:uid="{00000000-0005-0000-0000-0000611F0000}"/>
    <cellStyle name="Normal 9 2 4 2 2 3 2" xfId="14628" xr:uid="{48CC0F15-4350-4907-A9BC-0DAEF35F8180}"/>
    <cellStyle name="Normal 9 2 4 2 2 4" xfId="9489" xr:uid="{4BA9DC16-58A7-4D6B-90A6-6BB0C51A0279}"/>
    <cellStyle name="Normal 9 2 4 2 2 5" xfId="10411" xr:uid="{406B3E64-533A-4408-AA14-53D279C21701}"/>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D2A1B43F-7333-4B1A-99E5-6F1FEE44192E}"/>
    <cellStyle name="Normal 9 2 4 2 3 2 3" xfId="12969" xr:uid="{E5DC5AF4-76D0-4659-A9A0-96A013064179}"/>
    <cellStyle name="Normal 9 2 4 2 3 3" xfId="5715" xr:uid="{00000000-0005-0000-0000-0000651F0000}"/>
    <cellStyle name="Normal 9 2 4 2 3 3 2" xfId="15041" xr:uid="{2E4D8226-2035-4A18-93B8-DF48333E647E}"/>
    <cellStyle name="Normal 9 2 4 2 3 4" xfId="10824" xr:uid="{EF9C6F4D-3D32-413C-865E-2DA4E5D36287}"/>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4CB740E1-38C3-4A6A-97CF-190DDD8A7541}"/>
    <cellStyle name="Normal 9 2 4 2 4 2 3" xfId="13382" xr:uid="{D24CD46A-CCBA-45BE-8A51-38D37B9A74DD}"/>
    <cellStyle name="Normal 9 2 4 2 4 3" xfId="6128" xr:uid="{00000000-0005-0000-0000-0000691F0000}"/>
    <cellStyle name="Normal 9 2 4 2 4 3 2" xfId="15454" xr:uid="{AB88DC34-70BE-4CBD-B3C5-76E8D35CC58C}"/>
    <cellStyle name="Normal 9 2 4 2 4 4" xfId="11237" xr:uid="{282054BC-0DCC-4468-9D2B-A6C546C1AD07}"/>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EDCCB877-2CB5-4408-B504-85A8FCB37B98}"/>
    <cellStyle name="Normal 9 2 4 2 5 2 3" xfId="13795" xr:uid="{78B511A4-1F70-4C0F-9EBE-6CB739C1AE9B}"/>
    <cellStyle name="Normal 9 2 4 2 5 3" xfId="6541" xr:uid="{00000000-0005-0000-0000-00006D1F0000}"/>
    <cellStyle name="Normal 9 2 4 2 5 3 2" xfId="15867" xr:uid="{FBB84A5B-58AC-44A6-B6AC-5036E4E964FE}"/>
    <cellStyle name="Normal 9 2 4 2 5 4" xfId="11650" xr:uid="{A0C64E7F-8C27-4FCD-982B-0BC77EE77DBE}"/>
    <cellStyle name="Normal 9 2 4 2 6" xfId="2671" xr:uid="{00000000-0005-0000-0000-00006E1F0000}"/>
    <cellStyle name="Normal 9 2 4 2 6 2" xfId="6954" xr:uid="{00000000-0005-0000-0000-00006F1F0000}"/>
    <cellStyle name="Normal 9 2 4 2 6 2 2" xfId="16280" xr:uid="{17436D2F-78B3-44AB-B587-70AE4DC95531}"/>
    <cellStyle name="Normal 9 2 4 2 6 3" xfId="12063" xr:uid="{048EE16A-A808-4DE8-9A26-6C68B936228D}"/>
    <cellStyle name="Normal 9 2 4 2 7" xfId="4889" xr:uid="{00000000-0005-0000-0000-0000701F0000}"/>
    <cellStyle name="Normal 9 2 4 2 7 2" xfId="14215" xr:uid="{E26E4970-A721-4B11-A006-EABA6E0F209A}"/>
    <cellStyle name="Normal 9 2 4 2 8" xfId="9064" xr:uid="{7D4090C3-C767-4FFF-8A1F-282B2C8BAE68}"/>
    <cellStyle name="Normal 9 2 4 2 9" xfId="9998" xr:uid="{0EA851DC-D028-454D-807D-104E41446F34}"/>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C5C1FDA7-F98B-4740-BB19-A44D18D08BAA}"/>
    <cellStyle name="Normal 9 2 4 3 2 3" xfId="12555" xr:uid="{5FFE0320-A688-4F45-9279-9EB6F37AF4CE}"/>
    <cellStyle name="Normal 9 2 4 3 3" xfId="5301" xr:uid="{00000000-0005-0000-0000-0000741F0000}"/>
    <cellStyle name="Normal 9 2 4 3 3 2" xfId="14627" xr:uid="{FB14A2A3-EEFA-472C-943B-FB8244B86029}"/>
    <cellStyle name="Normal 9 2 4 3 4" xfId="9282" xr:uid="{2471E5AC-3D06-4E90-9462-C54FACA9B22B}"/>
    <cellStyle name="Normal 9 2 4 3 5" xfId="10410" xr:uid="{5EA4DF7C-8C26-4DB4-A63F-18BD1C3931BA}"/>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C7D8C118-A991-4180-928B-7CDB7400DEA8}"/>
    <cellStyle name="Normal 9 2 4 4 2 3" xfId="12968" xr:uid="{9D664DF5-4A45-4961-909D-F5F0563599B0}"/>
    <cellStyle name="Normal 9 2 4 4 3" xfId="5714" xr:uid="{00000000-0005-0000-0000-0000781F0000}"/>
    <cellStyle name="Normal 9 2 4 4 3 2" xfId="15040" xr:uid="{52874DB9-0C4B-40D3-AC05-3854F343C403}"/>
    <cellStyle name="Normal 9 2 4 4 4" xfId="10823" xr:uid="{EFAFDF47-9A23-4E75-B67B-8DE3305D50B7}"/>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12AC6767-28B7-4CE0-9A7A-6C28EAAA7BC2}"/>
    <cellStyle name="Normal 9 2 4 5 2 3" xfId="13381" xr:uid="{66D377F6-FA65-49DA-BEC1-4C14F43FAD01}"/>
    <cellStyle name="Normal 9 2 4 5 3" xfId="6127" xr:uid="{00000000-0005-0000-0000-00007C1F0000}"/>
    <cellStyle name="Normal 9 2 4 5 3 2" xfId="15453" xr:uid="{86E414F4-B4F0-4711-9D67-C76A8D602643}"/>
    <cellStyle name="Normal 9 2 4 5 4" xfId="11236" xr:uid="{7633A424-B5BF-43EE-BCF5-1E5A1B60CBAC}"/>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648B5C9E-F897-467B-9265-DA03F754CEC8}"/>
    <cellStyle name="Normal 9 2 4 6 2 3" xfId="13794" xr:uid="{6A055D28-FE8E-4E0F-A2B9-0680D0B85322}"/>
    <cellStyle name="Normal 9 2 4 6 3" xfId="6540" xr:uid="{00000000-0005-0000-0000-0000801F0000}"/>
    <cellStyle name="Normal 9 2 4 6 3 2" xfId="15866" xr:uid="{19ABE43F-22D8-4E67-AACB-DE97BC1E8BEB}"/>
    <cellStyle name="Normal 9 2 4 6 4" xfId="11649" xr:uid="{A3C70146-0A56-4AF9-BD7C-1408913D33F6}"/>
    <cellStyle name="Normal 9 2 4 7" xfId="2670" xr:uid="{00000000-0005-0000-0000-0000811F0000}"/>
    <cellStyle name="Normal 9 2 4 7 2" xfId="6953" xr:uid="{00000000-0005-0000-0000-0000821F0000}"/>
    <cellStyle name="Normal 9 2 4 7 2 2" xfId="16279" xr:uid="{16E9727C-CC99-4E39-9FBC-6FBC06D1DA72}"/>
    <cellStyle name="Normal 9 2 4 7 3" xfId="12062" xr:uid="{A78E90D6-0630-424C-94A9-7EAF5EF900A9}"/>
    <cellStyle name="Normal 9 2 4 8" xfId="4888" xr:uid="{00000000-0005-0000-0000-0000831F0000}"/>
    <cellStyle name="Normal 9 2 4 8 2" xfId="14214" xr:uid="{DDC4A917-4BDE-4E53-AD7B-C08D7B58FBFB}"/>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2F55C3EA-9F64-411E-9A7B-B2BBCC11CC6A}"/>
    <cellStyle name="Normal 9 2 5 2 2 3" xfId="12557" xr:uid="{92CCBBCF-418D-4C49-82B5-893AFC0AAF87}"/>
    <cellStyle name="Normal 9 2 5 2 3" xfId="5303" xr:uid="{00000000-0005-0000-0000-0000881F0000}"/>
    <cellStyle name="Normal 9 2 5 2 3 2" xfId="14629" xr:uid="{B302A017-30ED-44C0-86E6-B2ACFAFF6598}"/>
    <cellStyle name="Normal 9 2 5 2 4" xfId="9398" xr:uid="{5B2A416E-986C-4898-8893-9EAFDDDBCDD4}"/>
    <cellStyle name="Normal 9 2 5 2 5" xfId="10412" xr:uid="{072E1F99-223C-402A-B32E-60D21A1EB485}"/>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EFE307A3-7A42-48E8-8F5C-81631903F9F0}"/>
    <cellStyle name="Normal 9 2 5 3 2 3" xfId="12970" xr:uid="{527CF780-3A92-400C-AF84-9E4A80589117}"/>
    <cellStyle name="Normal 9 2 5 3 3" xfId="5716" xr:uid="{00000000-0005-0000-0000-00008C1F0000}"/>
    <cellStyle name="Normal 9 2 5 3 3 2" xfId="15042" xr:uid="{A04748B8-F006-4A3C-A015-19761F4DD226}"/>
    <cellStyle name="Normal 9 2 5 3 4" xfId="10825" xr:uid="{AEC48E59-F673-4E73-AB1A-ACAF5A1050DB}"/>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20FAFFED-FFE2-45B7-AC89-C6F9E38827BA}"/>
    <cellStyle name="Normal 9 2 5 4 2 3" xfId="13383" xr:uid="{A40D4D31-E3E8-487A-98A3-BB17511564CB}"/>
    <cellStyle name="Normal 9 2 5 4 3" xfId="6129" xr:uid="{00000000-0005-0000-0000-0000901F0000}"/>
    <cellStyle name="Normal 9 2 5 4 3 2" xfId="15455" xr:uid="{8BE3A31D-8470-4E61-9F59-A1453C04F859}"/>
    <cellStyle name="Normal 9 2 5 4 4" xfId="11238" xr:uid="{89A1981E-4673-409D-853B-8B483AA11E89}"/>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F2F99885-8366-47E7-B34A-455B5977A780}"/>
    <cellStyle name="Normal 9 2 5 5 2 3" xfId="13796" xr:uid="{1EF2477E-868B-4CF8-888F-38998E0CD8FD}"/>
    <cellStyle name="Normal 9 2 5 5 3" xfId="6542" xr:uid="{00000000-0005-0000-0000-0000941F0000}"/>
    <cellStyle name="Normal 9 2 5 5 3 2" xfId="15868" xr:uid="{FDB0AD03-940A-48D2-9633-B266E8644985}"/>
    <cellStyle name="Normal 9 2 5 5 4" xfId="11651" xr:uid="{7BD9A130-0893-4FBD-BD87-E92FE849EACE}"/>
    <cellStyle name="Normal 9 2 5 6" xfId="2672" xr:uid="{00000000-0005-0000-0000-0000951F0000}"/>
    <cellStyle name="Normal 9 2 5 6 2" xfId="6955" xr:uid="{00000000-0005-0000-0000-0000961F0000}"/>
    <cellStyle name="Normal 9 2 5 6 2 2" xfId="16281" xr:uid="{969ED90C-4AAD-4D72-BFC7-AFC26AFF3A79}"/>
    <cellStyle name="Normal 9 2 5 6 3" xfId="12064" xr:uid="{E15EC639-A423-42AA-8E88-82989A0FB462}"/>
    <cellStyle name="Normal 9 2 5 7" xfId="4890" xr:uid="{00000000-0005-0000-0000-0000971F0000}"/>
    <cellStyle name="Normal 9 2 5 7 2" xfId="14216" xr:uid="{3E71D665-BF6F-44EB-B9E1-28CBD30C5946}"/>
    <cellStyle name="Normal 9 2 5 8" xfId="8973" xr:uid="{BA9464C2-72F7-4B38-B1BD-6986FFA433D9}"/>
    <cellStyle name="Normal 9 2 5 9" xfId="9999" xr:uid="{389CDD60-D0B7-4090-9B64-5C1491D46B36}"/>
    <cellStyle name="Normal 9 2 6" xfId="978" xr:uid="{00000000-0005-0000-0000-0000981F0000}"/>
    <cellStyle name="Normal 9 2 6 2" xfId="3211" xr:uid="{00000000-0005-0000-0000-0000991F0000}"/>
    <cellStyle name="Normal 9 2 6 2 2" xfId="7433" xr:uid="{00000000-0005-0000-0000-00009A1F0000}"/>
    <cellStyle name="Normal 9 2 6 2 2 2" xfId="16759" xr:uid="{BA641BC7-18BC-4943-9A08-3062D0F94083}"/>
    <cellStyle name="Normal 9 2 6 2 3" xfId="12542" xr:uid="{F6B8ECA2-54C4-4B02-88D0-C811DF2CAB9D}"/>
    <cellStyle name="Normal 9 2 6 3" xfId="5288" xr:uid="{00000000-0005-0000-0000-00009B1F0000}"/>
    <cellStyle name="Normal 9 2 6 3 2" xfId="14614" xr:uid="{9882A4D4-B700-4335-8D98-32E49E980136}"/>
    <cellStyle name="Normal 9 2 6 4" xfId="9176" xr:uid="{F3933A08-5B20-47C9-B0FC-7B73F4B0BA7D}"/>
    <cellStyle name="Normal 9 2 6 5" xfId="10397" xr:uid="{3C2136DB-627A-4C9E-A163-7FAE7CC07F00}"/>
    <cellStyle name="Normal 9 2 7" xfId="1394" xr:uid="{00000000-0005-0000-0000-00009C1F0000}"/>
    <cellStyle name="Normal 9 2 7 2" xfId="3624" xr:uid="{00000000-0005-0000-0000-00009D1F0000}"/>
    <cellStyle name="Normal 9 2 7 2 2" xfId="7846" xr:uid="{00000000-0005-0000-0000-00009E1F0000}"/>
    <cellStyle name="Normal 9 2 7 2 2 2" xfId="17172" xr:uid="{0BAD7280-045D-44FE-8C6F-003C3D8BF5B3}"/>
    <cellStyle name="Normal 9 2 7 2 3" xfId="12955" xr:uid="{6CD0FCE4-3C62-49D8-9240-E59E45C5D69B}"/>
    <cellStyle name="Normal 9 2 7 3" xfId="5701" xr:uid="{00000000-0005-0000-0000-00009F1F0000}"/>
    <cellStyle name="Normal 9 2 7 3 2" xfId="15027" xr:uid="{BE6DB577-07EC-4CF5-8400-1488D3FB2BBA}"/>
    <cellStyle name="Normal 9 2 7 4" xfId="10810" xr:uid="{CBF4A0ED-1EF6-4378-943F-20288E1E1A0B}"/>
    <cellStyle name="Normal 9 2 8" xfId="1807" xr:uid="{00000000-0005-0000-0000-0000A01F0000}"/>
    <cellStyle name="Normal 9 2 8 2" xfId="4037" xr:uid="{00000000-0005-0000-0000-0000A11F0000}"/>
    <cellStyle name="Normal 9 2 8 2 2" xfId="8259" xr:uid="{00000000-0005-0000-0000-0000A21F0000}"/>
    <cellStyle name="Normal 9 2 8 2 2 2" xfId="17585" xr:uid="{F6866844-31BC-4548-A057-34A9157CF546}"/>
    <cellStyle name="Normal 9 2 8 2 3" xfId="13368" xr:uid="{D8671F99-F5F3-4DE4-B119-151977DD74D0}"/>
    <cellStyle name="Normal 9 2 8 3" xfId="6114" xr:uid="{00000000-0005-0000-0000-0000A31F0000}"/>
    <cellStyle name="Normal 9 2 8 3 2" xfId="15440" xr:uid="{B9B01813-B6B4-4C82-8489-9245D35EE772}"/>
    <cellStyle name="Normal 9 2 8 4" xfId="11223" xr:uid="{F359DFF1-0471-4F6F-B2BD-FF3A67453941}"/>
    <cellStyle name="Normal 9 2 9" xfId="2221" xr:uid="{00000000-0005-0000-0000-0000A41F0000}"/>
    <cellStyle name="Normal 9 2 9 2" xfId="4450" xr:uid="{00000000-0005-0000-0000-0000A51F0000}"/>
    <cellStyle name="Normal 9 2 9 2 2" xfId="8672" xr:uid="{00000000-0005-0000-0000-0000A61F0000}"/>
    <cellStyle name="Normal 9 2 9 2 2 2" xfId="17998" xr:uid="{4549E5C0-6589-45C3-99FE-3068C0D52B48}"/>
    <cellStyle name="Normal 9 2 9 2 3" xfId="13781" xr:uid="{6ACA9D9A-2A16-4D92-8EEF-83B77EB5741B}"/>
    <cellStyle name="Normal 9 2 9 3" xfId="6527" xr:uid="{00000000-0005-0000-0000-0000A71F0000}"/>
    <cellStyle name="Normal 9 2 9 3 2" xfId="15853" xr:uid="{30846C9A-2F82-4C42-BCEF-541079785B53}"/>
    <cellStyle name="Normal 9 2 9 4" xfId="11636" xr:uid="{29C531F1-D0A3-4B58-84FB-DB9D32EAB5BE}"/>
    <cellStyle name="Normal 9 3" xfId="527" xr:uid="{00000000-0005-0000-0000-0000A81F0000}"/>
    <cellStyle name="Normal 9 3 10" xfId="4891" xr:uid="{00000000-0005-0000-0000-0000A91F0000}"/>
    <cellStyle name="Normal 9 3 10 2" xfId="14217" xr:uid="{548A93DC-E782-4EDC-A145-768CF77D7B97}"/>
    <cellStyle name="Normal 9 3 11" xfId="8777" xr:uid="{1F3D7E21-FC22-4F0C-9371-3D8250746BB7}"/>
    <cellStyle name="Normal 9 3 12" xfId="10000" xr:uid="{5F7B7B35-1BAE-496E-A239-179690D048AD}"/>
    <cellStyle name="Normal 9 3 2" xfId="528" xr:uid="{00000000-0005-0000-0000-0000AA1F0000}"/>
    <cellStyle name="Normal 9 3 2 10" xfId="8840" xr:uid="{94797BE2-1721-4871-A768-79D4D45F48BB}"/>
    <cellStyle name="Normal 9 3 2 11" xfId="10001" xr:uid="{EF06B7F5-BDBE-4B6F-892B-C70FD8177F56}"/>
    <cellStyle name="Normal 9 3 2 2" xfId="529" xr:uid="{00000000-0005-0000-0000-0000AB1F0000}"/>
    <cellStyle name="Normal 9 3 2 2 10" xfId="10002" xr:uid="{97355417-6924-45FD-9F79-467BF35FEFA3}"/>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EFEC805F-A861-4A56-AA00-BB20526E923F}"/>
    <cellStyle name="Normal 9 3 2 2 2 2 2 3" xfId="12561" xr:uid="{69608026-4A01-47C5-ABF9-CCF935F7839A}"/>
    <cellStyle name="Normal 9 3 2 2 2 2 3" xfId="5307" xr:uid="{00000000-0005-0000-0000-0000B01F0000}"/>
    <cellStyle name="Normal 9 3 2 2 2 2 3 2" xfId="14633" xr:uid="{1BDF7E88-85B2-45BB-9A3C-C572DEDD0172}"/>
    <cellStyle name="Normal 9 3 2 2 2 2 4" xfId="9575" xr:uid="{DA05DE06-1987-4B8E-8439-C692853FF296}"/>
    <cellStyle name="Normal 9 3 2 2 2 2 5" xfId="10416" xr:uid="{1FDB1A79-7CCC-466E-A35D-B715A30C426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DA19FA24-333F-43B0-99ED-069D9B139E59}"/>
    <cellStyle name="Normal 9 3 2 2 2 3 2 3" xfId="12974" xr:uid="{BE211AE8-3D1E-45FA-AEAD-46AFA0B23D8A}"/>
    <cellStyle name="Normal 9 3 2 2 2 3 3" xfId="5720" xr:uid="{00000000-0005-0000-0000-0000B41F0000}"/>
    <cellStyle name="Normal 9 3 2 2 2 3 3 2" xfId="15046" xr:uid="{DA24A79A-675F-439A-8456-1CE380AD5FBA}"/>
    <cellStyle name="Normal 9 3 2 2 2 3 4" xfId="10829" xr:uid="{2C976DF0-8A91-4C71-BE25-1A2A127FD794}"/>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1AB5BE17-56A8-4B76-802B-5061023CFB9D}"/>
    <cellStyle name="Normal 9 3 2 2 2 4 2 3" xfId="13387" xr:uid="{ABD660DF-3B71-471A-AB5C-E5F857FA92D2}"/>
    <cellStyle name="Normal 9 3 2 2 2 4 3" xfId="6133" xr:uid="{00000000-0005-0000-0000-0000B81F0000}"/>
    <cellStyle name="Normal 9 3 2 2 2 4 3 2" xfId="15459" xr:uid="{D4B2E6E8-2F8B-490F-A66B-0E33B5DDAC92}"/>
    <cellStyle name="Normal 9 3 2 2 2 4 4" xfId="11242" xr:uid="{7F0FE977-774B-415B-97E0-67BDB4BDDF2D}"/>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B4A0AD33-6C78-4FCF-BA8E-E0E87F477D94}"/>
    <cellStyle name="Normal 9 3 2 2 2 5 2 3" xfId="13800" xr:uid="{4DDFDD9C-35E6-4087-8DC0-5F84E08B05E4}"/>
    <cellStyle name="Normal 9 3 2 2 2 5 3" xfId="6546" xr:uid="{00000000-0005-0000-0000-0000BC1F0000}"/>
    <cellStyle name="Normal 9 3 2 2 2 5 3 2" xfId="15872" xr:uid="{CD7C2527-394B-4031-B7E0-4BB85274DF9D}"/>
    <cellStyle name="Normal 9 3 2 2 2 5 4" xfId="11655" xr:uid="{C43D8BC8-8A00-4464-9A57-EC9D562E05EA}"/>
    <cellStyle name="Normal 9 3 2 2 2 6" xfId="2676" xr:uid="{00000000-0005-0000-0000-0000BD1F0000}"/>
    <cellStyle name="Normal 9 3 2 2 2 6 2" xfId="6959" xr:uid="{00000000-0005-0000-0000-0000BE1F0000}"/>
    <cellStyle name="Normal 9 3 2 2 2 6 2 2" xfId="16285" xr:uid="{9EC53C00-7C6B-41A3-BDF4-CAF5CEF7097A}"/>
    <cellStyle name="Normal 9 3 2 2 2 6 3" xfId="12068" xr:uid="{BDA178AC-E37E-47C3-B640-EAE40BE2199D}"/>
    <cellStyle name="Normal 9 3 2 2 2 7" xfId="4894" xr:uid="{00000000-0005-0000-0000-0000BF1F0000}"/>
    <cellStyle name="Normal 9 3 2 2 2 7 2" xfId="14220" xr:uid="{43791C33-FE1A-4CB4-8F58-ACD681B07E4A}"/>
    <cellStyle name="Normal 9 3 2 2 2 8" xfId="9150" xr:uid="{F54F74BE-A583-4C94-A198-8E0D27AD7F4F}"/>
    <cellStyle name="Normal 9 3 2 2 2 9" xfId="10003" xr:uid="{9A461565-AB10-45BD-AC11-497803EBA259}"/>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B8C6814C-EF13-43BB-9FD3-9D8F2BCC8D6B}"/>
    <cellStyle name="Normal 9 3 2 2 3 2 3" xfId="12560" xr:uid="{DD75E575-690B-43D3-BC25-0BA6A465B6E6}"/>
    <cellStyle name="Normal 9 3 2 2 3 3" xfId="5306" xr:uid="{00000000-0005-0000-0000-0000C31F0000}"/>
    <cellStyle name="Normal 9 3 2 2 3 3 2" xfId="14632" xr:uid="{BF7C26C1-F4A0-4523-AB43-C08AD10AAC25}"/>
    <cellStyle name="Normal 9 3 2 2 3 4" xfId="9368" xr:uid="{B3189122-1774-442D-BD5B-8DA329618536}"/>
    <cellStyle name="Normal 9 3 2 2 3 5" xfId="10415" xr:uid="{F984B398-7082-47BF-9427-804F03472E35}"/>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BB6AF698-0B82-4FF6-9A85-E6F64AA8ED08}"/>
    <cellStyle name="Normal 9 3 2 2 4 2 3" xfId="12973" xr:uid="{43AEA490-3EB0-4126-B31B-ED3C86CD4A9C}"/>
    <cellStyle name="Normal 9 3 2 2 4 3" xfId="5719" xr:uid="{00000000-0005-0000-0000-0000C71F0000}"/>
    <cellStyle name="Normal 9 3 2 2 4 3 2" xfId="15045" xr:uid="{D693E7B1-7BE0-4916-9AEA-A337ED4FE50A}"/>
    <cellStyle name="Normal 9 3 2 2 4 4" xfId="10828" xr:uid="{DB32845D-FC22-449F-8878-D55206E4F39D}"/>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633ED137-58C5-4E71-8DFA-B854ECC78FCD}"/>
    <cellStyle name="Normal 9 3 2 2 5 2 3" xfId="13386" xr:uid="{7DB35DAE-BF88-40CF-904D-2E2B633A4CCE}"/>
    <cellStyle name="Normal 9 3 2 2 5 3" xfId="6132" xr:uid="{00000000-0005-0000-0000-0000CB1F0000}"/>
    <cellStyle name="Normal 9 3 2 2 5 3 2" xfId="15458" xr:uid="{A8696781-9BD2-4F1B-B19D-74C59E5E3058}"/>
    <cellStyle name="Normal 9 3 2 2 5 4" xfId="11241" xr:uid="{F74E09FE-76F5-4869-B446-CC8C46938E1E}"/>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F8F964F4-9214-4EF3-81B1-0B50C499F845}"/>
    <cellStyle name="Normal 9 3 2 2 6 2 3" xfId="13799" xr:uid="{9E8020F8-0FD1-4A81-AF28-1E6E3317541E}"/>
    <cellStyle name="Normal 9 3 2 2 6 3" xfId="6545" xr:uid="{00000000-0005-0000-0000-0000CF1F0000}"/>
    <cellStyle name="Normal 9 3 2 2 6 3 2" xfId="15871" xr:uid="{D1115BBC-32A1-463A-ADDC-B8083CAB03ED}"/>
    <cellStyle name="Normal 9 3 2 2 6 4" xfId="11654" xr:uid="{CA02616B-172E-45F0-BBCA-B692AB895B80}"/>
    <cellStyle name="Normal 9 3 2 2 7" xfId="2675" xr:uid="{00000000-0005-0000-0000-0000D01F0000}"/>
    <cellStyle name="Normal 9 3 2 2 7 2" xfId="6958" xr:uid="{00000000-0005-0000-0000-0000D11F0000}"/>
    <cellStyle name="Normal 9 3 2 2 7 2 2" xfId="16284" xr:uid="{C688ED2C-8EC9-4714-BEFC-F4EF72BE86EC}"/>
    <cellStyle name="Normal 9 3 2 2 7 3" xfId="12067" xr:uid="{B33F714B-6EF3-4090-B8A9-9428A1C57EAE}"/>
    <cellStyle name="Normal 9 3 2 2 8" xfId="4893" xr:uid="{00000000-0005-0000-0000-0000D21F0000}"/>
    <cellStyle name="Normal 9 3 2 2 8 2" xfId="14219" xr:uid="{BA747036-C0AC-4874-BF17-169B6B7AF843}"/>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CA8E4A16-0FED-4EC9-AF01-F0DBCC7E99FC}"/>
    <cellStyle name="Normal 9 3 2 3 2 2 3" xfId="12562" xr:uid="{F5BBB7A6-304E-4A71-AD0E-EA739B7D20A8}"/>
    <cellStyle name="Normal 9 3 2 3 2 3" xfId="5308" xr:uid="{00000000-0005-0000-0000-0000D71F0000}"/>
    <cellStyle name="Normal 9 3 2 3 2 3 2" xfId="14634" xr:uid="{0154ED4C-84CB-4F61-8415-2B4AC585EA10}"/>
    <cellStyle name="Normal 9 3 2 3 2 4" xfId="9472" xr:uid="{427A8E71-9BC4-47C0-A855-6886AF96C97E}"/>
    <cellStyle name="Normal 9 3 2 3 2 5" xfId="10417" xr:uid="{2A5A5EFB-2A90-4EF6-8E19-3533BDB71BAF}"/>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97F1EEF0-E71A-43A2-9696-F4FECDEF68D9}"/>
    <cellStyle name="Normal 9 3 2 3 3 2 3" xfId="12975" xr:uid="{87B0D33B-F97E-4FBA-BF2E-6445CE38CA96}"/>
    <cellStyle name="Normal 9 3 2 3 3 3" xfId="5721" xr:uid="{00000000-0005-0000-0000-0000DB1F0000}"/>
    <cellStyle name="Normal 9 3 2 3 3 3 2" xfId="15047" xr:uid="{98347D5D-7CFC-4E86-9888-DB52C82D3BAD}"/>
    <cellStyle name="Normal 9 3 2 3 3 4" xfId="10830" xr:uid="{AADD4CB6-BC89-47B6-B724-827CAAF8FA72}"/>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78531AAE-F9E1-4228-AE27-EC84EAF6562A}"/>
    <cellStyle name="Normal 9 3 2 3 4 2 3" xfId="13388" xr:uid="{22BE9344-F966-4D79-9E00-FB96BAF8E15C}"/>
    <cellStyle name="Normal 9 3 2 3 4 3" xfId="6134" xr:uid="{00000000-0005-0000-0000-0000DF1F0000}"/>
    <cellStyle name="Normal 9 3 2 3 4 3 2" xfId="15460" xr:uid="{F980073B-1192-41AA-A3DE-27D3DC626B07}"/>
    <cellStyle name="Normal 9 3 2 3 4 4" xfId="11243" xr:uid="{EB7CA589-5B56-4A22-8019-82B707200A74}"/>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8CC352D2-90B6-414B-AE65-4134C17C110D}"/>
    <cellStyle name="Normal 9 3 2 3 5 2 3" xfId="13801" xr:uid="{14594C03-8601-41C3-A1E5-0936892F3F5F}"/>
    <cellStyle name="Normal 9 3 2 3 5 3" xfId="6547" xr:uid="{00000000-0005-0000-0000-0000E31F0000}"/>
    <cellStyle name="Normal 9 3 2 3 5 3 2" xfId="15873" xr:uid="{5292C2A8-8F72-490A-BDC7-232B103EFF58}"/>
    <cellStyle name="Normal 9 3 2 3 5 4" xfId="11656" xr:uid="{14E7C3D5-EB48-447D-834D-B56C9D0549B8}"/>
    <cellStyle name="Normal 9 3 2 3 6" xfId="2677" xr:uid="{00000000-0005-0000-0000-0000E41F0000}"/>
    <cellStyle name="Normal 9 3 2 3 6 2" xfId="6960" xr:uid="{00000000-0005-0000-0000-0000E51F0000}"/>
    <cellStyle name="Normal 9 3 2 3 6 2 2" xfId="16286" xr:uid="{916FA2D1-D16E-4DE3-8B9B-B4C3514B92AA}"/>
    <cellStyle name="Normal 9 3 2 3 6 3" xfId="12069" xr:uid="{93399682-F9EB-417D-B9CA-329D2FA02AB5}"/>
    <cellStyle name="Normal 9 3 2 3 7" xfId="4895" xr:uid="{00000000-0005-0000-0000-0000E61F0000}"/>
    <cellStyle name="Normal 9 3 2 3 7 2" xfId="14221" xr:uid="{C5076115-A729-43C2-B2E4-D3670738E618}"/>
    <cellStyle name="Normal 9 3 2 3 8" xfId="9047" xr:uid="{4CBBBE80-D24B-484D-910E-0072EA0E95DD}"/>
    <cellStyle name="Normal 9 3 2 3 9" xfId="10004" xr:uid="{4EAD4EEA-A650-4F98-ABEB-DD3A23A5EDC0}"/>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230C02C9-4DA2-4B01-8B42-BC35A6A9194B}"/>
    <cellStyle name="Normal 9 3 2 4 2 3" xfId="12559" xr:uid="{F89CD1C6-288E-4357-976D-8FB281FBC93D}"/>
    <cellStyle name="Normal 9 3 2 4 3" xfId="5305" xr:uid="{00000000-0005-0000-0000-0000EA1F0000}"/>
    <cellStyle name="Normal 9 3 2 4 3 2" xfId="14631" xr:uid="{9A7689DF-3FA4-41B9-8483-CED404216EF1}"/>
    <cellStyle name="Normal 9 3 2 4 4" xfId="9265" xr:uid="{BF00A9B8-67BA-48F6-8D48-0E4380D60577}"/>
    <cellStyle name="Normal 9 3 2 4 5" xfId="10414" xr:uid="{DA677948-CC4C-40A6-B7CE-BD47BC451F1F}"/>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048C19A4-C1A2-42DE-A178-0E3BF370E79B}"/>
    <cellStyle name="Normal 9 3 2 5 2 3" xfId="12972" xr:uid="{0DF53E72-7CE8-4192-91BB-FE6FE4DA7A2E}"/>
    <cellStyle name="Normal 9 3 2 5 3" xfId="5718" xr:uid="{00000000-0005-0000-0000-0000EE1F0000}"/>
    <cellStyle name="Normal 9 3 2 5 3 2" xfId="15044" xr:uid="{7B288CDB-AE7D-4E02-9AE4-ABAE6B5ABAA2}"/>
    <cellStyle name="Normal 9 3 2 5 4" xfId="10827" xr:uid="{5B65A5C4-FA18-4559-9486-8D54233E0693}"/>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DFC4601C-4E4B-47B1-AE69-5A4245E9A50D}"/>
    <cellStyle name="Normal 9 3 2 6 2 3" xfId="13385" xr:uid="{506BCAAD-605E-45F4-B165-5C4F88F78583}"/>
    <cellStyle name="Normal 9 3 2 6 3" xfId="6131" xr:uid="{00000000-0005-0000-0000-0000F21F0000}"/>
    <cellStyle name="Normal 9 3 2 6 3 2" xfId="15457" xr:uid="{E4AC692E-CAC1-4D30-ABF3-94F819F84190}"/>
    <cellStyle name="Normal 9 3 2 6 4" xfId="11240" xr:uid="{CF21F6AE-AE0E-401D-8988-34B3A249DE0B}"/>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2B914175-16A2-4EA9-AEE2-90CCCD39B0C1}"/>
    <cellStyle name="Normal 9 3 2 7 2 3" xfId="13798" xr:uid="{F60E3DCB-16F5-434E-A041-A4928B8E46D8}"/>
    <cellStyle name="Normal 9 3 2 7 3" xfId="6544" xr:uid="{00000000-0005-0000-0000-0000F61F0000}"/>
    <cellStyle name="Normal 9 3 2 7 3 2" xfId="15870" xr:uid="{C90C952D-C1DD-4D8C-9CA4-0F1FF8D2BB25}"/>
    <cellStyle name="Normal 9 3 2 7 4" xfId="11653" xr:uid="{9C2BFC82-5FE7-47E8-861C-E37925B71F95}"/>
    <cellStyle name="Normal 9 3 2 8" xfId="2674" xr:uid="{00000000-0005-0000-0000-0000F71F0000}"/>
    <cellStyle name="Normal 9 3 2 8 2" xfId="6957" xr:uid="{00000000-0005-0000-0000-0000F81F0000}"/>
    <cellStyle name="Normal 9 3 2 8 2 2" xfId="16283" xr:uid="{E6857EB1-D766-4E1B-AE57-FD5393EE9D82}"/>
    <cellStyle name="Normal 9 3 2 8 3" xfId="12066" xr:uid="{6715BE4E-4718-44DD-93E9-FED7BD703A08}"/>
    <cellStyle name="Normal 9 3 2 9" xfId="4892" xr:uid="{00000000-0005-0000-0000-0000F91F0000}"/>
    <cellStyle name="Normal 9 3 2 9 2" xfId="14218" xr:uid="{13F06907-29F8-499A-9986-CD5CEEA5E28D}"/>
    <cellStyle name="Normal 9 3 3" xfId="532" xr:uid="{00000000-0005-0000-0000-0000FA1F0000}"/>
    <cellStyle name="Normal 9 3 3 10" xfId="10005" xr:uid="{5D117A6C-329B-4404-8391-CABE4C685CC9}"/>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4B048C66-7B3A-48D2-BE99-9D4EB2DDE693}"/>
    <cellStyle name="Normal 9 3 3 2 2 2 3" xfId="12564" xr:uid="{49348C2B-3E90-419D-9CF8-DF18FF18F373}"/>
    <cellStyle name="Normal 9 3 3 2 2 3" xfId="5310" xr:uid="{00000000-0005-0000-0000-0000FF1F0000}"/>
    <cellStyle name="Normal 9 3 3 2 2 3 2" xfId="14636" xr:uid="{57CC7AE2-53BE-4CF8-8020-F9492005A884}"/>
    <cellStyle name="Normal 9 3 3 2 2 4" xfId="9512" xr:uid="{2D87B26D-94B2-43FF-B3AD-59DF0A117D21}"/>
    <cellStyle name="Normal 9 3 3 2 2 5" xfId="10419" xr:uid="{21F18B23-65D2-48A4-B902-965C4E6B2AE6}"/>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D5A7A6DB-12EF-492D-BA0A-53A63414800E}"/>
    <cellStyle name="Normal 9 3 3 2 3 2 3" xfId="12977" xr:uid="{643B0065-AA1A-4135-BFBB-F4EA3CF08E77}"/>
    <cellStyle name="Normal 9 3 3 2 3 3" xfId="5723" xr:uid="{00000000-0005-0000-0000-000003200000}"/>
    <cellStyle name="Normal 9 3 3 2 3 3 2" xfId="15049" xr:uid="{3339D95A-814C-4B17-8141-8A71EB4E03A5}"/>
    <cellStyle name="Normal 9 3 3 2 3 4" xfId="10832" xr:uid="{C4BB619B-E9F8-4D80-8BCC-A677A8FBBF9B}"/>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76098133-65F3-4327-A07D-A73EE4FD70D1}"/>
    <cellStyle name="Normal 9 3 3 2 4 2 3" xfId="13390" xr:uid="{969DB3B2-343A-410D-A775-E84AB0F03CCC}"/>
    <cellStyle name="Normal 9 3 3 2 4 3" xfId="6136" xr:uid="{00000000-0005-0000-0000-000007200000}"/>
    <cellStyle name="Normal 9 3 3 2 4 3 2" xfId="15462" xr:uid="{A2B9C680-D252-4486-8AA6-C4091794A891}"/>
    <cellStyle name="Normal 9 3 3 2 4 4" xfId="11245" xr:uid="{817F5FD9-004F-4185-9EEB-9F4D05A83C01}"/>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44D697C5-4A95-44D3-941A-760CA25DCD86}"/>
    <cellStyle name="Normal 9 3 3 2 5 2 3" xfId="13803" xr:uid="{84345EC5-0364-4811-BDE6-0306B330650E}"/>
    <cellStyle name="Normal 9 3 3 2 5 3" xfId="6549" xr:uid="{00000000-0005-0000-0000-00000B200000}"/>
    <cellStyle name="Normal 9 3 3 2 5 3 2" xfId="15875" xr:uid="{EB470C25-30DC-457C-9BB0-84B77CA195E9}"/>
    <cellStyle name="Normal 9 3 3 2 5 4" xfId="11658" xr:uid="{A698CF79-A032-450E-8F30-00D9987052CF}"/>
    <cellStyle name="Normal 9 3 3 2 6" xfId="2679" xr:uid="{00000000-0005-0000-0000-00000C200000}"/>
    <cellStyle name="Normal 9 3 3 2 6 2" xfId="6962" xr:uid="{00000000-0005-0000-0000-00000D200000}"/>
    <cellStyle name="Normal 9 3 3 2 6 2 2" xfId="16288" xr:uid="{5EC0CA4B-E2FC-49DD-8BB2-9833C001706C}"/>
    <cellStyle name="Normal 9 3 3 2 6 3" xfId="12071" xr:uid="{C76B6214-4E80-42C0-A3EE-A30FA4EEB983}"/>
    <cellStyle name="Normal 9 3 3 2 7" xfId="4897" xr:uid="{00000000-0005-0000-0000-00000E200000}"/>
    <cellStyle name="Normal 9 3 3 2 7 2" xfId="14223" xr:uid="{C7264F70-418D-4420-9DF2-93733AFF5C94}"/>
    <cellStyle name="Normal 9 3 3 2 8" xfId="9087" xr:uid="{B1C8DB1F-59B6-4D6A-B3E7-0CFC4D29D9A9}"/>
    <cellStyle name="Normal 9 3 3 2 9" xfId="10006" xr:uid="{63CBCA3A-2C31-4205-A8C0-E0D4D3A1F498}"/>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C21C3275-C1E3-4BFE-8487-D9302B8B1CDC}"/>
    <cellStyle name="Normal 9 3 3 3 2 3" xfId="12563" xr:uid="{ADB3AB87-E583-4F9B-924D-1ACA61CF511F}"/>
    <cellStyle name="Normal 9 3 3 3 3" xfId="5309" xr:uid="{00000000-0005-0000-0000-000012200000}"/>
    <cellStyle name="Normal 9 3 3 3 3 2" xfId="14635" xr:uid="{F6319C2E-AB87-41A1-BC9E-006312EFBDBB}"/>
    <cellStyle name="Normal 9 3 3 3 4" xfId="9305" xr:uid="{F54F3A88-B268-4905-B4D1-34B996B920C6}"/>
    <cellStyle name="Normal 9 3 3 3 5" xfId="10418" xr:uid="{7CCF2F64-791C-4FAC-9B41-0535E7F9652C}"/>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A875798A-D4FA-472F-8180-21A956F28500}"/>
    <cellStyle name="Normal 9 3 3 4 2 3" xfId="12976" xr:uid="{7167C939-52CC-42E7-94C5-C84EA0B1D7CF}"/>
    <cellStyle name="Normal 9 3 3 4 3" xfId="5722" xr:uid="{00000000-0005-0000-0000-000016200000}"/>
    <cellStyle name="Normal 9 3 3 4 3 2" xfId="15048" xr:uid="{EA2CC570-EF3D-4B39-B2FB-27E6A93164F1}"/>
    <cellStyle name="Normal 9 3 3 4 4" xfId="10831" xr:uid="{4A353A4D-1F9E-48C4-867B-643CF42C5B94}"/>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398BF964-EE20-4AD1-A5B9-E6EC0C0FDB9C}"/>
    <cellStyle name="Normal 9 3 3 5 2 3" xfId="13389" xr:uid="{62FCD003-C39D-4F67-BDDC-AF1AEB3C2647}"/>
    <cellStyle name="Normal 9 3 3 5 3" xfId="6135" xr:uid="{00000000-0005-0000-0000-00001A200000}"/>
    <cellStyle name="Normal 9 3 3 5 3 2" xfId="15461" xr:uid="{E1BF917A-2322-46F3-A3C5-15ACB088CE76}"/>
    <cellStyle name="Normal 9 3 3 5 4" xfId="11244" xr:uid="{9347C238-23F0-4114-A4B4-F6E9A415A07F}"/>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2A4E0015-EA76-48CE-A3FC-C810DBE4EE23}"/>
    <cellStyle name="Normal 9 3 3 6 2 3" xfId="13802" xr:uid="{2DDAC690-69FF-4470-B3EA-2C5844BA3319}"/>
    <cellStyle name="Normal 9 3 3 6 3" xfId="6548" xr:uid="{00000000-0005-0000-0000-00001E200000}"/>
    <cellStyle name="Normal 9 3 3 6 3 2" xfId="15874" xr:uid="{F3D97DA4-1DB6-4974-9D73-9479FA288B34}"/>
    <cellStyle name="Normal 9 3 3 6 4" xfId="11657" xr:uid="{FBB505B4-F095-4D34-9873-AC9E0F898E8E}"/>
    <cellStyle name="Normal 9 3 3 7" xfId="2678" xr:uid="{00000000-0005-0000-0000-00001F200000}"/>
    <cellStyle name="Normal 9 3 3 7 2" xfId="6961" xr:uid="{00000000-0005-0000-0000-000020200000}"/>
    <cellStyle name="Normal 9 3 3 7 2 2" xfId="16287" xr:uid="{B10F8A08-43BA-4931-B5B6-CC13E6C84930}"/>
    <cellStyle name="Normal 9 3 3 7 3" xfId="12070" xr:uid="{3CF26FE6-B7FC-4EFA-A0F3-5962DCF19D52}"/>
    <cellStyle name="Normal 9 3 3 8" xfId="4896" xr:uid="{00000000-0005-0000-0000-000021200000}"/>
    <cellStyle name="Normal 9 3 3 8 2" xfId="14222" xr:uid="{33C768FF-BC68-4287-8DFC-CBC3EA221142}"/>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D2F2404C-609C-421C-ADF0-1F1194B39CC2}"/>
    <cellStyle name="Normal 9 3 4 2 2 3" xfId="12565" xr:uid="{0F75B5E4-B5A5-42D9-AD69-C194F13B3BDC}"/>
    <cellStyle name="Normal 9 3 4 2 3" xfId="5311" xr:uid="{00000000-0005-0000-0000-000026200000}"/>
    <cellStyle name="Normal 9 3 4 2 3 2" xfId="14637" xr:uid="{03269A0E-3B9E-4FF3-A74A-26D842928E7F}"/>
    <cellStyle name="Normal 9 3 4 2 4" xfId="9409" xr:uid="{F8EFC02C-357C-44AD-9BF7-6459F3C595DA}"/>
    <cellStyle name="Normal 9 3 4 2 5" xfId="10420" xr:uid="{A4DE4BA8-2650-483A-AD9F-8BA5FC1A5C02}"/>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A21C17FB-7C0A-4223-96CA-1BAE9912EEE2}"/>
    <cellStyle name="Normal 9 3 4 3 2 3" xfId="12978" xr:uid="{0101B86B-D448-467D-8E99-1D2E68A213DD}"/>
    <cellStyle name="Normal 9 3 4 3 3" xfId="5724" xr:uid="{00000000-0005-0000-0000-00002A200000}"/>
    <cellStyle name="Normal 9 3 4 3 3 2" xfId="15050" xr:uid="{9D056EE6-DE23-4285-B21D-81F63333A706}"/>
    <cellStyle name="Normal 9 3 4 3 4" xfId="10833" xr:uid="{122882C8-90CE-4844-BF19-46F79DE759F9}"/>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3745990F-896D-48A8-A6F0-172ADF28AAED}"/>
    <cellStyle name="Normal 9 3 4 4 2 3" xfId="13391" xr:uid="{D324D55A-D099-4101-9211-9DEF118DC8A0}"/>
    <cellStyle name="Normal 9 3 4 4 3" xfId="6137" xr:uid="{00000000-0005-0000-0000-00002E200000}"/>
    <cellStyle name="Normal 9 3 4 4 3 2" xfId="15463" xr:uid="{3349C68D-05BA-4908-8455-7BDDFBBDFD45}"/>
    <cellStyle name="Normal 9 3 4 4 4" xfId="11246" xr:uid="{8D3BE289-395C-4239-A03C-8CB5320595AE}"/>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83A308FC-4908-4B5A-A016-E0C1019BA879}"/>
    <cellStyle name="Normal 9 3 4 5 2 3" xfId="13804" xr:uid="{4905DC56-8EBC-4D8D-8032-49D91DC0B098}"/>
    <cellStyle name="Normal 9 3 4 5 3" xfId="6550" xr:uid="{00000000-0005-0000-0000-000032200000}"/>
    <cellStyle name="Normal 9 3 4 5 3 2" xfId="15876" xr:uid="{C1366D19-129C-4E99-B2C2-8CC2C966BD4B}"/>
    <cellStyle name="Normal 9 3 4 5 4" xfId="11659" xr:uid="{A2845429-E973-41AC-988C-50DD51365E39}"/>
    <cellStyle name="Normal 9 3 4 6" xfId="2680" xr:uid="{00000000-0005-0000-0000-000033200000}"/>
    <cellStyle name="Normal 9 3 4 6 2" xfId="6963" xr:uid="{00000000-0005-0000-0000-000034200000}"/>
    <cellStyle name="Normal 9 3 4 6 2 2" xfId="16289" xr:uid="{EF71ED21-1D69-43BF-895E-09E927005FCF}"/>
    <cellStyle name="Normal 9 3 4 6 3" xfId="12072" xr:uid="{A7A7B221-58C7-462F-89E2-C7F4C37973F1}"/>
    <cellStyle name="Normal 9 3 4 7" xfId="4898" xr:uid="{00000000-0005-0000-0000-000035200000}"/>
    <cellStyle name="Normal 9 3 4 7 2" xfId="14224" xr:uid="{52B614E0-BACC-4187-8321-7B457A96956D}"/>
    <cellStyle name="Normal 9 3 4 8" xfId="8984" xr:uid="{A39B104A-EAEF-4D5B-B504-6104111E924B}"/>
    <cellStyle name="Normal 9 3 4 9" xfId="10007" xr:uid="{24FD6E3F-F40B-4454-A3F0-32907E2EC86C}"/>
    <cellStyle name="Normal 9 3 5" xfId="994" xr:uid="{00000000-0005-0000-0000-000036200000}"/>
    <cellStyle name="Normal 9 3 5 2" xfId="3227" xr:uid="{00000000-0005-0000-0000-000037200000}"/>
    <cellStyle name="Normal 9 3 5 2 2" xfId="7449" xr:uid="{00000000-0005-0000-0000-000038200000}"/>
    <cellStyle name="Normal 9 3 5 2 2 2" xfId="16775" xr:uid="{1CDC986F-98F5-40D0-93A2-D2239933D8A1}"/>
    <cellStyle name="Normal 9 3 5 2 3" xfId="12558" xr:uid="{2423869D-88BF-4635-886C-7952A89170E7}"/>
    <cellStyle name="Normal 9 3 5 3" xfId="5304" xr:uid="{00000000-0005-0000-0000-000039200000}"/>
    <cellStyle name="Normal 9 3 5 3 2" xfId="14630" xr:uid="{87F62788-3D45-4CE4-BECF-6918DDB68A92}"/>
    <cellStyle name="Normal 9 3 5 4" xfId="9201" xr:uid="{46D523D7-8DEB-46FB-8F1C-8CE8C2FC3AD3}"/>
    <cellStyle name="Normal 9 3 5 5" xfId="10413" xr:uid="{4381E672-04AD-472B-90B3-ABFC351E1F6B}"/>
    <cellStyle name="Normal 9 3 6" xfId="1410" xr:uid="{00000000-0005-0000-0000-00003A200000}"/>
    <cellStyle name="Normal 9 3 6 2" xfId="3640" xr:uid="{00000000-0005-0000-0000-00003B200000}"/>
    <cellStyle name="Normal 9 3 6 2 2" xfId="7862" xr:uid="{00000000-0005-0000-0000-00003C200000}"/>
    <cellStyle name="Normal 9 3 6 2 2 2" xfId="17188" xr:uid="{C9ED4C95-8BE2-4C54-94FC-6AC8B705F6A4}"/>
    <cellStyle name="Normal 9 3 6 2 3" xfId="12971" xr:uid="{8F1EAFF4-A084-4C74-AEF3-170574F754F6}"/>
    <cellStyle name="Normal 9 3 6 3" xfId="5717" xr:uid="{00000000-0005-0000-0000-00003D200000}"/>
    <cellStyle name="Normal 9 3 6 3 2" xfId="15043" xr:uid="{8A62C281-989B-4221-AFEC-C79B1F18EC21}"/>
    <cellStyle name="Normal 9 3 6 4" xfId="10826" xr:uid="{1EC71EA6-F0C5-4804-BA84-1CAB37B08055}"/>
    <cellStyle name="Normal 9 3 7" xfId="1823" xr:uid="{00000000-0005-0000-0000-00003E200000}"/>
    <cellStyle name="Normal 9 3 7 2" xfId="4053" xr:uid="{00000000-0005-0000-0000-00003F200000}"/>
    <cellStyle name="Normal 9 3 7 2 2" xfId="8275" xr:uid="{00000000-0005-0000-0000-000040200000}"/>
    <cellStyle name="Normal 9 3 7 2 2 2" xfId="17601" xr:uid="{BCE71B86-67CF-4859-97FD-E73FD2A3FC0C}"/>
    <cellStyle name="Normal 9 3 7 2 3" xfId="13384" xr:uid="{5CAF9742-8D68-4433-B05B-0E6A042C2C7D}"/>
    <cellStyle name="Normal 9 3 7 3" xfId="6130" xr:uid="{00000000-0005-0000-0000-000041200000}"/>
    <cellStyle name="Normal 9 3 7 3 2" xfId="15456" xr:uid="{D8935912-41A5-4395-88D5-481E2C7E1ED0}"/>
    <cellStyle name="Normal 9 3 7 4" xfId="11239" xr:uid="{7B83AA4C-7FF4-4A83-AB2A-D217CD785A79}"/>
    <cellStyle name="Normal 9 3 8" xfId="2237" xr:uid="{00000000-0005-0000-0000-000042200000}"/>
    <cellStyle name="Normal 9 3 8 2" xfId="4466" xr:uid="{00000000-0005-0000-0000-000043200000}"/>
    <cellStyle name="Normal 9 3 8 2 2" xfId="8688" xr:uid="{00000000-0005-0000-0000-000044200000}"/>
    <cellStyle name="Normal 9 3 8 2 2 2" xfId="18014" xr:uid="{5097470C-96B3-431C-8E0C-8AFEBF3D4AF0}"/>
    <cellStyle name="Normal 9 3 8 2 3" xfId="13797" xr:uid="{5C8FACDA-B0C7-4904-ADFE-566093D67F5A}"/>
    <cellStyle name="Normal 9 3 8 3" xfId="6543" xr:uid="{00000000-0005-0000-0000-000045200000}"/>
    <cellStyle name="Normal 9 3 8 3 2" xfId="15869" xr:uid="{368E13CE-8A35-41F1-8443-7EECF1755534}"/>
    <cellStyle name="Normal 9 3 8 4" xfId="11652" xr:uid="{6F0E8D98-E78F-449E-855E-12D29477C201}"/>
    <cellStyle name="Normal 9 3 9" xfId="2673" xr:uid="{00000000-0005-0000-0000-000046200000}"/>
    <cellStyle name="Normal 9 3 9 2" xfId="6956" xr:uid="{00000000-0005-0000-0000-000047200000}"/>
    <cellStyle name="Normal 9 3 9 2 2" xfId="16282" xr:uid="{3EA80072-CA1A-4018-9DE5-DD313F3915B7}"/>
    <cellStyle name="Normal 9 3 9 3" xfId="12065" xr:uid="{F7947EB7-AC04-447A-ABFC-BFB8A77F5D4B}"/>
    <cellStyle name="Normal 9 4" xfId="535" xr:uid="{00000000-0005-0000-0000-000048200000}"/>
    <cellStyle name="Normal 9 4 2" xfId="1002" xr:uid="{00000000-0005-0000-0000-000049200000}"/>
    <cellStyle name="Normal 9 5" xfId="536" xr:uid="{00000000-0005-0000-0000-00004A200000}"/>
    <cellStyle name="Normal 9 5 10" xfId="10008" xr:uid="{70FD26FF-4223-4D93-B69C-5F2C732E4D92}"/>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6308A128-D2EB-4153-9342-7C335E3F8B40}"/>
    <cellStyle name="Normal 9 5 2 2 2 3" xfId="12567" xr:uid="{C9CDE540-9B67-40C7-A98B-AF3937BCC1FD}"/>
    <cellStyle name="Normal 9 5 2 2 3" xfId="5313" xr:uid="{00000000-0005-0000-0000-00004F200000}"/>
    <cellStyle name="Normal 9 5 2 2 3 2" xfId="14639" xr:uid="{422E6A35-227E-46B6-96D3-429E102E4D28}"/>
    <cellStyle name="Normal 9 5 2 2 4" xfId="9480" xr:uid="{BC9702BE-C2B3-450A-99DF-6FFE7C7A82FD}"/>
    <cellStyle name="Normal 9 5 2 2 5" xfId="10422" xr:uid="{49E2EA5F-159D-4C0E-9B16-B6241B9DB279}"/>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188B71AC-0BFA-4C19-AF3F-7EBD77D59691}"/>
    <cellStyle name="Normal 9 5 2 3 2 3" xfId="12980" xr:uid="{17C0AC2E-0E20-4BD9-BEBD-D369C66360B8}"/>
    <cellStyle name="Normal 9 5 2 3 3" xfId="5726" xr:uid="{00000000-0005-0000-0000-000053200000}"/>
    <cellStyle name="Normal 9 5 2 3 3 2" xfId="15052" xr:uid="{C558D9FB-2941-4119-87A5-8C22962C5B52}"/>
    <cellStyle name="Normal 9 5 2 3 4" xfId="10835" xr:uid="{53DD1B1D-3214-4C3E-ACE4-883D67E5D867}"/>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065BAC66-C6FE-4114-B267-C6BD12E2C47F}"/>
    <cellStyle name="Normal 9 5 2 4 2 3" xfId="13393" xr:uid="{2138B8BB-F7BA-4825-864A-840180FF5B5B}"/>
    <cellStyle name="Normal 9 5 2 4 3" xfId="6139" xr:uid="{00000000-0005-0000-0000-000057200000}"/>
    <cellStyle name="Normal 9 5 2 4 3 2" xfId="15465" xr:uid="{76135708-941A-4C57-B97A-710F6317CEF3}"/>
    <cellStyle name="Normal 9 5 2 4 4" xfId="11248" xr:uid="{05DE4944-61F4-49C0-975D-33D1E5AA02DE}"/>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46472B11-7486-49A9-A51E-CD67104740D6}"/>
    <cellStyle name="Normal 9 5 2 5 2 3" xfId="13806" xr:uid="{9ED2070C-9EE2-494B-A90A-21DE0D2D812A}"/>
    <cellStyle name="Normal 9 5 2 5 3" xfId="6552" xr:uid="{00000000-0005-0000-0000-00005B200000}"/>
    <cellStyle name="Normal 9 5 2 5 3 2" xfId="15878" xr:uid="{F3D8BA1D-0AC6-485A-985B-E1C2E5235204}"/>
    <cellStyle name="Normal 9 5 2 5 4" xfId="11661" xr:uid="{2FF9FC3C-DA44-4760-BDC9-6D3754D4D240}"/>
    <cellStyle name="Normal 9 5 2 6" xfId="2682" xr:uid="{00000000-0005-0000-0000-00005C200000}"/>
    <cellStyle name="Normal 9 5 2 6 2" xfId="6965" xr:uid="{00000000-0005-0000-0000-00005D200000}"/>
    <cellStyle name="Normal 9 5 2 6 2 2" xfId="16291" xr:uid="{1D75B5CB-1ADF-4F1E-AFDD-101D26BB3B34}"/>
    <cellStyle name="Normal 9 5 2 6 3" xfId="12074" xr:uid="{1B7F6F26-6FF2-4173-BE87-EAD6F0A6BB83}"/>
    <cellStyle name="Normal 9 5 2 7" xfId="4900" xr:uid="{00000000-0005-0000-0000-00005E200000}"/>
    <cellStyle name="Normal 9 5 2 7 2" xfId="14226" xr:uid="{A600A9CF-7C1B-4B19-A638-95F1A4C3F6D3}"/>
    <cellStyle name="Normal 9 5 2 8" xfId="9055" xr:uid="{3DD071E2-A4B3-45E3-9F20-3C2D5AEE5CB2}"/>
    <cellStyle name="Normal 9 5 2 9" xfId="10009" xr:uid="{4AC81A9A-E018-4D6A-BD1F-5E94E306EAC8}"/>
    <cellStyle name="Normal 9 5 3" xfId="1003" xr:uid="{00000000-0005-0000-0000-00005F200000}"/>
    <cellStyle name="Normal 9 5 3 2" xfId="3235" xr:uid="{00000000-0005-0000-0000-000060200000}"/>
    <cellStyle name="Normal 9 5 3 2 2" xfId="7457" xr:uid="{00000000-0005-0000-0000-000061200000}"/>
    <cellStyle name="Normal 9 5 3 2 2 2" xfId="16783" xr:uid="{D0F27F2B-0190-4969-AE4C-065BCAFC1DC9}"/>
    <cellStyle name="Normal 9 5 3 2 3" xfId="12566" xr:uid="{D4B5D367-6B90-465C-B3CE-EDD1E6D6B5C0}"/>
    <cellStyle name="Normal 9 5 3 3" xfId="5312" xr:uid="{00000000-0005-0000-0000-000062200000}"/>
    <cellStyle name="Normal 9 5 3 3 2" xfId="14638" xr:uid="{6A126503-3064-4E84-828B-2F7752965A82}"/>
    <cellStyle name="Normal 9 5 3 4" xfId="9273" xr:uid="{AE6CB61B-02C5-436E-A328-3B2AC8AC9E53}"/>
    <cellStyle name="Normal 9 5 3 5" xfId="10421" xr:uid="{34099B13-817B-4A10-BE1A-0E5AE8AC3C6F}"/>
    <cellStyle name="Normal 9 5 4" xfId="1418" xr:uid="{00000000-0005-0000-0000-000063200000}"/>
    <cellStyle name="Normal 9 5 4 2" xfId="3648" xr:uid="{00000000-0005-0000-0000-000064200000}"/>
    <cellStyle name="Normal 9 5 4 2 2" xfId="7870" xr:uid="{00000000-0005-0000-0000-000065200000}"/>
    <cellStyle name="Normal 9 5 4 2 2 2" xfId="17196" xr:uid="{3FB9864B-ED14-4B91-B11B-8D0A690828B7}"/>
    <cellStyle name="Normal 9 5 4 2 3" xfId="12979" xr:uid="{DF13463E-F50A-4FBB-9F6E-ED9678F27233}"/>
    <cellStyle name="Normal 9 5 4 3" xfId="5725" xr:uid="{00000000-0005-0000-0000-000066200000}"/>
    <cellStyle name="Normal 9 5 4 3 2" xfId="15051" xr:uid="{22B8C1BD-C441-49DB-BC38-C3BED1FDB658}"/>
    <cellStyle name="Normal 9 5 4 4" xfId="10834" xr:uid="{091AC31E-FFED-4112-8196-84E6A7C87786}"/>
    <cellStyle name="Normal 9 5 5" xfId="1831" xr:uid="{00000000-0005-0000-0000-000067200000}"/>
    <cellStyle name="Normal 9 5 5 2" xfId="4061" xr:uid="{00000000-0005-0000-0000-000068200000}"/>
    <cellStyle name="Normal 9 5 5 2 2" xfId="8283" xr:uid="{00000000-0005-0000-0000-000069200000}"/>
    <cellStyle name="Normal 9 5 5 2 2 2" xfId="17609" xr:uid="{174CA2E8-4D2F-4C5E-AD52-7B451211F86F}"/>
    <cellStyle name="Normal 9 5 5 2 3" xfId="13392" xr:uid="{CB377C10-1479-414E-99EB-1DB8D00CEACA}"/>
    <cellStyle name="Normal 9 5 5 3" xfId="6138" xr:uid="{00000000-0005-0000-0000-00006A200000}"/>
    <cellStyle name="Normal 9 5 5 3 2" xfId="15464" xr:uid="{68C80E5F-AC9D-46DD-ACF5-2A62FA896C19}"/>
    <cellStyle name="Normal 9 5 5 4" xfId="11247" xr:uid="{78793FC0-7631-4BA5-956B-3895F9507286}"/>
    <cellStyle name="Normal 9 5 6" xfId="2245" xr:uid="{00000000-0005-0000-0000-00006B200000}"/>
    <cellStyle name="Normal 9 5 6 2" xfId="4474" xr:uid="{00000000-0005-0000-0000-00006C200000}"/>
    <cellStyle name="Normal 9 5 6 2 2" xfId="8696" xr:uid="{00000000-0005-0000-0000-00006D200000}"/>
    <cellStyle name="Normal 9 5 6 2 2 2" xfId="18022" xr:uid="{6551A634-6860-4FF7-93D6-CE492E6C9850}"/>
    <cellStyle name="Normal 9 5 6 2 3" xfId="13805" xr:uid="{D3AF18EC-6B57-4A7D-9741-B36BE0FA9AFC}"/>
    <cellStyle name="Normal 9 5 6 3" xfId="6551" xr:uid="{00000000-0005-0000-0000-00006E200000}"/>
    <cellStyle name="Normal 9 5 6 3 2" xfId="15877" xr:uid="{01DE40CA-0493-4B70-AE3A-93251CFABC6F}"/>
    <cellStyle name="Normal 9 5 6 4" xfId="11660" xr:uid="{733F30E1-AA4B-49F3-A723-B8252F64C595}"/>
    <cellStyle name="Normal 9 5 7" xfId="2681" xr:uid="{00000000-0005-0000-0000-00006F200000}"/>
    <cellStyle name="Normal 9 5 7 2" xfId="6964" xr:uid="{00000000-0005-0000-0000-000070200000}"/>
    <cellStyle name="Normal 9 5 7 2 2" xfId="16290" xr:uid="{BB4553A2-E596-417F-BF89-98339F604594}"/>
    <cellStyle name="Normal 9 5 7 3" xfId="12073" xr:uid="{CAEC9369-769F-492C-9AE1-A53304955E93}"/>
    <cellStyle name="Normal 9 5 8" xfId="4899" xr:uid="{00000000-0005-0000-0000-000071200000}"/>
    <cellStyle name="Normal 9 5 8 2" xfId="14225" xr:uid="{9DB626E2-69A6-4D0C-8FE5-8870BF08E87C}"/>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A83C3F91-B5D3-4B80-9FD1-B89CCB95076A}"/>
    <cellStyle name="Normal 9 6 2 2 3" xfId="12568" xr:uid="{4D030EDC-25CD-4959-90E0-1D25A6385011}"/>
    <cellStyle name="Normal 9 6 2 3" xfId="5314" xr:uid="{00000000-0005-0000-0000-000076200000}"/>
    <cellStyle name="Normal 9 6 2 3 2" xfId="14640" xr:uid="{3B9E36DF-E3B6-4F96-B25C-2BD33DC7FECB}"/>
    <cellStyle name="Normal 9 6 2 4" xfId="9389" xr:uid="{2A0458F6-466A-4C3B-BA39-FF09FD770FDD}"/>
    <cellStyle name="Normal 9 6 2 5" xfId="10423" xr:uid="{F455CC5F-DFC0-42B8-9C2B-0CA014D0A7AF}"/>
    <cellStyle name="Normal 9 6 3" xfId="1420" xr:uid="{00000000-0005-0000-0000-000077200000}"/>
    <cellStyle name="Normal 9 6 3 2" xfId="3650" xr:uid="{00000000-0005-0000-0000-000078200000}"/>
    <cellStyle name="Normal 9 6 3 2 2" xfId="7872" xr:uid="{00000000-0005-0000-0000-000079200000}"/>
    <cellStyle name="Normal 9 6 3 2 2 2" xfId="17198" xr:uid="{F68D0454-69A8-4299-9ED5-78ADEDEAE93E}"/>
    <cellStyle name="Normal 9 6 3 2 3" xfId="12981" xr:uid="{B0049244-EAF2-4F54-9698-B9EAF19CCCDB}"/>
    <cellStyle name="Normal 9 6 3 3" xfId="5727" xr:uid="{00000000-0005-0000-0000-00007A200000}"/>
    <cellStyle name="Normal 9 6 3 3 2" xfId="15053" xr:uid="{B80B1223-69D4-425B-B9D7-AFFB389C7213}"/>
    <cellStyle name="Normal 9 6 3 4" xfId="10836" xr:uid="{1918DD57-254A-4860-9776-4FB96C596E4A}"/>
    <cellStyle name="Normal 9 6 4" xfId="1833" xr:uid="{00000000-0005-0000-0000-00007B200000}"/>
    <cellStyle name="Normal 9 6 4 2" xfId="4063" xr:uid="{00000000-0005-0000-0000-00007C200000}"/>
    <cellStyle name="Normal 9 6 4 2 2" xfId="8285" xr:uid="{00000000-0005-0000-0000-00007D200000}"/>
    <cellStyle name="Normal 9 6 4 2 2 2" xfId="17611" xr:uid="{4C0C78BD-AA59-4727-95F1-37266FEFB274}"/>
    <cellStyle name="Normal 9 6 4 2 3" xfId="13394" xr:uid="{77AF4D29-6424-46D1-9D31-140FDE6D7BCA}"/>
    <cellStyle name="Normal 9 6 4 3" xfId="6140" xr:uid="{00000000-0005-0000-0000-00007E200000}"/>
    <cellStyle name="Normal 9 6 4 3 2" xfId="15466" xr:uid="{68A79CFE-679D-45AD-97CF-0570A0D7C676}"/>
    <cellStyle name="Normal 9 6 4 4" xfId="11249" xr:uid="{48E2C99E-15A6-41F5-A505-06D6AEC80090}"/>
    <cellStyle name="Normal 9 6 5" xfId="2247" xr:uid="{00000000-0005-0000-0000-00007F200000}"/>
    <cellStyle name="Normal 9 6 5 2" xfId="4476" xr:uid="{00000000-0005-0000-0000-000080200000}"/>
    <cellStyle name="Normal 9 6 5 2 2" xfId="8698" xr:uid="{00000000-0005-0000-0000-000081200000}"/>
    <cellStyle name="Normal 9 6 5 2 2 2" xfId="18024" xr:uid="{7A9299C7-682F-4888-9DE4-3B5561BC7866}"/>
    <cellStyle name="Normal 9 6 5 2 3" xfId="13807" xr:uid="{98A5DD0E-6979-4104-B01D-20F87DAA2557}"/>
    <cellStyle name="Normal 9 6 5 3" xfId="6553" xr:uid="{00000000-0005-0000-0000-000082200000}"/>
    <cellStyle name="Normal 9 6 5 3 2" xfId="15879" xr:uid="{7E4AD0C9-461D-4CFC-9881-8E1879265FED}"/>
    <cellStyle name="Normal 9 6 5 4" xfId="11662" xr:uid="{DD295AEA-540F-460A-AA9F-D72D6EDC75B8}"/>
    <cellStyle name="Normal 9 6 6" xfId="2683" xr:uid="{00000000-0005-0000-0000-000083200000}"/>
    <cellStyle name="Normal 9 6 6 2" xfId="6966" xr:uid="{00000000-0005-0000-0000-000084200000}"/>
    <cellStyle name="Normal 9 6 6 2 2" xfId="16292" xr:uid="{8BBA84DA-568B-47F4-8097-B668F343264C}"/>
    <cellStyle name="Normal 9 6 6 3" xfId="12075" xr:uid="{19B91BA5-5474-4EF3-9226-3E41441EEAFF}"/>
    <cellStyle name="Normal 9 6 7" xfId="4901" xr:uid="{00000000-0005-0000-0000-000085200000}"/>
    <cellStyle name="Normal 9 6 7 2" xfId="14227" xr:uid="{02107378-4F0B-46A1-8AC8-EB3184BE426D}"/>
    <cellStyle name="Normal 9 6 8" xfId="8964" xr:uid="{9BBC9C46-7A3A-4BC9-9542-DC33DFA165C2}"/>
    <cellStyle name="Normal 9 6 9" xfId="10010" xr:uid="{A5F77DB2-E68D-4146-811E-023B447A85D9}"/>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B15F150A-3B56-487E-A594-C501CE14A02E}"/>
    <cellStyle name="Note 2 2 10 3" xfId="12156" xr:uid="{2E4D0FFD-E3B4-4ADE-828E-257296BB1522}"/>
    <cellStyle name="Note 2 2 11" xfId="4902" xr:uid="{00000000-0005-0000-0000-000094200000}"/>
    <cellStyle name="Note 2 2 11 2" xfId="14228" xr:uid="{A4C0D5DA-1A8F-4E5A-94BE-E94977FB17F6}"/>
    <cellStyle name="Note 2 2 12" xfId="8841" xr:uid="{E94E1FD8-31C4-4718-9658-C7A587CBF323}"/>
    <cellStyle name="Note 2 2 13" xfId="10011" xr:uid="{6C016729-0308-452A-A156-F26B4B2E790A}"/>
    <cellStyle name="Note 2 2 2" xfId="546" xr:uid="{00000000-0005-0000-0000-000095200000}"/>
    <cellStyle name="Note 2 2 2 10" xfId="4903" xr:uid="{00000000-0005-0000-0000-000096200000}"/>
    <cellStyle name="Note 2 2 2 10 2" xfId="14229" xr:uid="{FDAACC5A-0029-4813-A86F-27E5F95403B9}"/>
    <cellStyle name="Note 2 2 2 11" xfId="8944" xr:uid="{B75A3404-A4A3-41D6-B6C3-54560C6DD592}"/>
    <cellStyle name="Note 2 2 2 12" xfId="10012" xr:uid="{C41FD545-70C1-432E-B953-1272C6D94064}"/>
    <cellStyle name="Note 2 2 2 2" xfId="547" xr:uid="{00000000-0005-0000-0000-000097200000}"/>
    <cellStyle name="Note 2 2 2 2 10" xfId="9151" xr:uid="{DE810DD8-00EC-4339-9CFC-C84D5E182971}"/>
    <cellStyle name="Note 2 2 2 2 11" xfId="10013" xr:uid="{5B709B2A-90CA-40E4-B38F-308FDDBA2EFF}"/>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7E622108-26FF-467F-8FD4-156010DFF4A8}"/>
    <cellStyle name="Note 2 2 2 2 2 2 3" xfId="12571" xr:uid="{69AA9274-35C7-4138-9B10-C18E6DAE5C06}"/>
    <cellStyle name="Note 2 2 2 2 2 3" xfId="5317" xr:uid="{00000000-0005-0000-0000-00009B200000}"/>
    <cellStyle name="Note 2 2 2 2 2 3 2" xfId="14643" xr:uid="{B2157E47-7B94-479C-BABA-10DA2173E685}"/>
    <cellStyle name="Note 2 2 2 2 2 4" xfId="9576" xr:uid="{375E296C-598F-454E-B7C4-9E851CE02ED2}"/>
    <cellStyle name="Note 2 2 2 2 2 5" xfId="10426" xr:uid="{608B1C48-E95E-43FD-BD4B-F0EA36AD6675}"/>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DFA76D99-942A-4884-A08D-F1D56F462656}"/>
    <cellStyle name="Note 2 2 2 2 3 2 3" xfId="12984" xr:uid="{4F6F0229-1D71-490F-9C91-6AC92E0C3C03}"/>
    <cellStyle name="Note 2 2 2 2 3 3" xfId="5730" xr:uid="{00000000-0005-0000-0000-00009F200000}"/>
    <cellStyle name="Note 2 2 2 2 3 3 2" xfId="15056" xr:uid="{52FCC421-8222-4CFE-A215-5819F1A3B7C8}"/>
    <cellStyle name="Note 2 2 2 2 3 4" xfId="10839" xr:uid="{3F4A2B37-9E2E-422A-82C7-256B284FD824}"/>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68B51650-DE62-44EC-BD5D-9BC05E775B99}"/>
    <cellStyle name="Note 2 2 2 2 4 2 3" xfId="13397" xr:uid="{47DD8FCC-A318-435F-BB08-81779EE6946C}"/>
    <cellStyle name="Note 2 2 2 2 4 3" xfId="6143" xr:uid="{00000000-0005-0000-0000-0000A3200000}"/>
    <cellStyle name="Note 2 2 2 2 4 3 2" xfId="15469" xr:uid="{3910016D-3134-4D9B-A0FE-F55DBEA14A01}"/>
    <cellStyle name="Note 2 2 2 2 4 4" xfId="11252" xr:uid="{5CF2AB06-C610-4910-8AD0-987096AD7154}"/>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9E717A1A-D0D5-4989-9FFF-386C8D9A9083}"/>
    <cellStyle name="Note 2 2 2 2 5 2 3" xfId="13810" xr:uid="{C5C72D70-4EF5-436B-8188-8710CC516CFD}"/>
    <cellStyle name="Note 2 2 2 2 5 3" xfId="6556" xr:uid="{00000000-0005-0000-0000-0000A7200000}"/>
    <cellStyle name="Note 2 2 2 2 5 3 2" xfId="15882" xr:uid="{A1AD48AD-A67F-4E09-A303-89F18FB0D8BA}"/>
    <cellStyle name="Note 2 2 2 2 5 4" xfId="11665" xr:uid="{16D566B7-9097-4242-B0C6-AE17B2319B7A}"/>
    <cellStyle name="Note 2 2 2 2 6" xfId="2686" xr:uid="{00000000-0005-0000-0000-0000A8200000}"/>
    <cellStyle name="Note 2 2 2 2 6 2" xfId="6969" xr:uid="{00000000-0005-0000-0000-0000A9200000}"/>
    <cellStyle name="Note 2 2 2 2 6 2 2" xfId="16295" xr:uid="{8577AA2A-B9F7-422D-9A77-643411FE9F1C}"/>
    <cellStyle name="Note 2 2 2 2 6 3" xfId="12078" xr:uid="{5FAC5044-962A-4733-AAEA-3627D0EBE76F}"/>
    <cellStyle name="Note 2 2 2 2 7" xfId="2745" xr:uid="{00000000-0005-0000-0000-0000AA200000}"/>
    <cellStyle name="Note 2 2 2 2 8" xfId="2826" xr:uid="{00000000-0005-0000-0000-0000AB200000}"/>
    <cellStyle name="Note 2 2 2 2 8 2" xfId="7049" xr:uid="{00000000-0005-0000-0000-0000AC200000}"/>
    <cellStyle name="Note 2 2 2 2 8 2 2" xfId="16375" xr:uid="{7E9682C9-47A4-4055-98A7-BC22C54FC5F2}"/>
    <cellStyle name="Note 2 2 2 2 8 3" xfId="12158" xr:uid="{D9F10FB2-E8B1-4BA5-9D9B-84DFE125CD8C}"/>
    <cellStyle name="Note 2 2 2 2 9" xfId="4904" xr:uid="{00000000-0005-0000-0000-0000AD200000}"/>
    <cellStyle name="Note 2 2 2 2 9 2" xfId="14230" xr:uid="{CEBDCFD1-5DE3-4A88-8958-5B90B9B2E9B9}"/>
    <cellStyle name="Note 2 2 2 3" xfId="1007" xr:uid="{00000000-0005-0000-0000-0000AE200000}"/>
    <cellStyle name="Note 2 2 2 3 2" xfId="3239" xr:uid="{00000000-0005-0000-0000-0000AF200000}"/>
    <cellStyle name="Note 2 2 2 3 2 2" xfId="7461" xr:uid="{00000000-0005-0000-0000-0000B0200000}"/>
    <cellStyle name="Note 2 2 2 3 2 2 2" xfId="16787" xr:uid="{7A4D1E24-BFAE-4EBB-AF5A-4E995D9AB62F}"/>
    <cellStyle name="Note 2 2 2 3 2 3" xfId="12570" xr:uid="{5E34419B-7EE5-43F8-B3CC-B05470AB91EE}"/>
    <cellStyle name="Note 2 2 2 3 3" xfId="5316" xr:uid="{00000000-0005-0000-0000-0000B1200000}"/>
    <cellStyle name="Note 2 2 2 3 3 2" xfId="14642" xr:uid="{BF2959CB-A04C-4F78-BBE4-96756A87BDFE}"/>
    <cellStyle name="Note 2 2 2 3 4" xfId="9369" xr:uid="{37FCA23B-964B-404F-A343-B489211FDCDC}"/>
    <cellStyle name="Note 2 2 2 3 5" xfId="10425" xr:uid="{97FD4D72-0491-4DD4-9B8E-D901416E0002}"/>
    <cellStyle name="Note 2 2 2 4" xfId="1422" xr:uid="{00000000-0005-0000-0000-0000B2200000}"/>
    <cellStyle name="Note 2 2 2 4 2" xfId="3652" xr:uid="{00000000-0005-0000-0000-0000B3200000}"/>
    <cellStyle name="Note 2 2 2 4 2 2" xfId="7874" xr:uid="{00000000-0005-0000-0000-0000B4200000}"/>
    <cellStyle name="Note 2 2 2 4 2 2 2" xfId="17200" xr:uid="{0B5AB8BD-3A74-4A36-AFD4-C1AC18896553}"/>
    <cellStyle name="Note 2 2 2 4 2 3" xfId="12983" xr:uid="{50C1D4FF-F4BF-438D-8274-CABC1CEF6A85}"/>
    <cellStyle name="Note 2 2 2 4 3" xfId="5729" xr:uid="{00000000-0005-0000-0000-0000B5200000}"/>
    <cellStyle name="Note 2 2 2 4 3 2" xfId="15055" xr:uid="{7CECC20B-DFAE-4931-B35A-8E435B38F181}"/>
    <cellStyle name="Note 2 2 2 4 4" xfId="10838" xr:uid="{3A657112-AD20-4664-8F5D-6B6EA02321B3}"/>
    <cellStyle name="Note 2 2 2 5" xfId="1836" xr:uid="{00000000-0005-0000-0000-0000B6200000}"/>
    <cellStyle name="Note 2 2 2 5 2" xfId="4065" xr:uid="{00000000-0005-0000-0000-0000B7200000}"/>
    <cellStyle name="Note 2 2 2 5 2 2" xfId="8287" xr:uid="{00000000-0005-0000-0000-0000B8200000}"/>
    <cellStyle name="Note 2 2 2 5 2 2 2" xfId="17613" xr:uid="{BAD54BEA-E5D2-481C-957B-023335EDE4BD}"/>
    <cellStyle name="Note 2 2 2 5 2 3" xfId="13396" xr:uid="{3F231B01-1B42-4066-8648-BD18BDB68122}"/>
    <cellStyle name="Note 2 2 2 5 3" xfId="6142" xr:uid="{00000000-0005-0000-0000-0000B9200000}"/>
    <cellStyle name="Note 2 2 2 5 3 2" xfId="15468" xr:uid="{D13C19FD-8FD7-4776-B039-7775517F623C}"/>
    <cellStyle name="Note 2 2 2 5 4" xfId="11251" xr:uid="{A399FE81-C6B7-4E91-BBBA-482B58C564DF}"/>
    <cellStyle name="Note 2 2 2 6" xfId="2249" xr:uid="{00000000-0005-0000-0000-0000BA200000}"/>
    <cellStyle name="Note 2 2 2 6 2" xfId="4478" xr:uid="{00000000-0005-0000-0000-0000BB200000}"/>
    <cellStyle name="Note 2 2 2 6 2 2" xfId="8700" xr:uid="{00000000-0005-0000-0000-0000BC200000}"/>
    <cellStyle name="Note 2 2 2 6 2 2 2" xfId="18026" xr:uid="{D5E1FEBB-CFB1-4109-A08F-567DD27CD69E}"/>
    <cellStyle name="Note 2 2 2 6 2 3" xfId="13809" xr:uid="{9AC2DE74-A7C3-4694-A2B8-BEB9D414A148}"/>
    <cellStyle name="Note 2 2 2 6 3" xfId="6555" xr:uid="{00000000-0005-0000-0000-0000BD200000}"/>
    <cellStyle name="Note 2 2 2 6 3 2" xfId="15881" xr:uid="{1302825D-4508-4B5F-95E8-AEFD745B6717}"/>
    <cellStyle name="Note 2 2 2 6 4" xfId="11664" xr:uid="{EC19AE2C-ACA6-4621-8DC5-408117F68FE0}"/>
    <cellStyle name="Note 2 2 2 7" xfId="2685" xr:uid="{00000000-0005-0000-0000-0000BE200000}"/>
    <cellStyle name="Note 2 2 2 7 2" xfId="6968" xr:uid="{00000000-0005-0000-0000-0000BF200000}"/>
    <cellStyle name="Note 2 2 2 7 2 2" xfId="16294" xr:uid="{7E22F075-12EC-485A-AA16-1FAE72559DA2}"/>
    <cellStyle name="Note 2 2 2 7 3" xfId="12077" xr:uid="{7DBCE4E1-BCD5-491D-927F-2177550F7CC3}"/>
    <cellStyle name="Note 2 2 2 8" xfId="2744" xr:uid="{00000000-0005-0000-0000-0000C0200000}"/>
    <cellStyle name="Note 2 2 2 9" xfId="2825" xr:uid="{00000000-0005-0000-0000-0000C1200000}"/>
    <cellStyle name="Note 2 2 2 9 2" xfId="7048" xr:uid="{00000000-0005-0000-0000-0000C2200000}"/>
    <cellStyle name="Note 2 2 2 9 2 2" xfId="16374" xr:uid="{1B222CF7-099E-423A-8DBD-3009BF36A619}"/>
    <cellStyle name="Note 2 2 2 9 3" xfId="12157" xr:uid="{2A47F2FB-E1C5-4261-A698-3E886E2EA86B}"/>
    <cellStyle name="Note 2 2 3" xfId="548" xr:uid="{00000000-0005-0000-0000-0000C3200000}"/>
    <cellStyle name="Note 2 2 3 10" xfId="9048" xr:uid="{894401FF-B7D8-49E8-91E6-A1C42DD04D54}"/>
    <cellStyle name="Note 2 2 3 11" xfId="10014" xr:uid="{8C240A67-521A-435E-A80E-F9E5D665FE53}"/>
    <cellStyle name="Note 2 2 3 2" xfId="1009" xr:uid="{00000000-0005-0000-0000-0000C4200000}"/>
    <cellStyle name="Note 2 2 3 2 2" xfId="3241" xr:uid="{00000000-0005-0000-0000-0000C5200000}"/>
    <cellStyle name="Note 2 2 3 2 2 2" xfId="7463" xr:uid="{00000000-0005-0000-0000-0000C6200000}"/>
    <cellStyle name="Note 2 2 3 2 2 2 2" xfId="16789" xr:uid="{51BC838F-D18B-4376-B56F-87DC5570311D}"/>
    <cellStyle name="Note 2 2 3 2 2 3" xfId="12572" xr:uid="{FED57789-2C3F-496A-9CA1-621AA731B45A}"/>
    <cellStyle name="Note 2 2 3 2 3" xfId="5318" xr:uid="{00000000-0005-0000-0000-0000C7200000}"/>
    <cellStyle name="Note 2 2 3 2 3 2" xfId="14644" xr:uid="{9E2B23B4-C011-4FAD-86E1-8D5FF76B9FCE}"/>
    <cellStyle name="Note 2 2 3 2 4" xfId="9473" xr:uid="{7711F4E0-385B-44CD-ACEA-5E9D7E4CD8DC}"/>
    <cellStyle name="Note 2 2 3 2 5" xfId="10427" xr:uid="{997745C7-124E-4C7E-8229-CC63572DF3D8}"/>
    <cellStyle name="Note 2 2 3 3" xfId="1424" xr:uid="{00000000-0005-0000-0000-0000C8200000}"/>
    <cellStyle name="Note 2 2 3 3 2" xfId="3654" xr:uid="{00000000-0005-0000-0000-0000C9200000}"/>
    <cellStyle name="Note 2 2 3 3 2 2" xfId="7876" xr:uid="{00000000-0005-0000-0000-0000CA200000}"/>
    <cellStyle name="Note 2 2 3 3 2 2 2" xfId="17202" xr:uid="{1F0D7B05-17ED-4897-AAE6-CB2D7979663C}"/>
    <cellStyle name="Note 2 2 3 3 2 3" xfId="12985" xr:uid="{D494D1C0-15A5-4D07-B8B3-2DB9A282022A}"/>
    <cellStyle name="Note 2 2 3 3 3" xfId="5731" xr:uid="{00000000-0005-0000-0000-0000CB200000}"/>
    <cellStyle name="Note 2 2 3 3 3 2" xfId="15057" xr:uid="{594636E4-06B8-4C4C-BB7E-2C6AD7B5B909}"/>
    <cellStyle name="Note 2 2 3 3 4" xfId="10840" xr:uid="{DC9AD7D5-874A-4C1F-8D7A-F94D54FB676B}"/>
    <cellStyle name="Note 2 2 3 4" xfId="1838" xr:uid="{00000000-0005-0000-0000-0000CC200000}"/>
    <cellStyle name="Note 2 2 3 4 2" xfId="4067" xr:uid="{00000000-0005-0000-0000-0000CD200000}"/>
    <cellStyle name="Note 2 2 3 4 2 2" xfId="8289" xr:uid="{00000000-0005-0000-0000-0000CE200000}"/>
    <cellStyle name="Note 2 2 3 4 2 2 2" xfId="17615" xr:uid="{C0269F66-3D54-400C-B291-DB646CAF061E}"/>
    <cellStyle name="Note 2 2 3 4 2 3" xfId="13398" xr:uid="{72782153-FD4F-4211-B8C4-D6CEE4DC9AC1}"/>
    <cellStyle name="Note 2 2 3 4 3" xfId="6144" xr:uid="{00000000-0005-0000-0000-0000CF200000}"/>
    <cellStyle name="Note 2 2 3 4 3 2" xfId="15470" xr:uid="{EDF5799C-2B05-402D-AA23-BC212D36B9F2}"/>
    <cellStyle name="Note 2 2 3 4 4" xfId="11253" xr:uid="{06FA0C3E-DEBF-44B4-A869-C4E91FFEDAA9}"/>
    <cellStyle name="Note 2 2 3 5" xfId="2251" xr:uid="{00000000-0005-0000-0000-0000D0200000}"/>
    <cellStyle name="Note 2 2 3 5 2" xfId="4480" xr:uid="{00000000-0005-0000-0000-0000D1200000}"/>
    <cellStyle name="Note 2 2 3 5 2 2" xfId="8702" xr:uid="{00000000-0005-0000-0000-0000D2200000}"/>
    <cellStyle name="Note 2 2 3 5 2 2 2" xfId="18028" xr:uid="{741EFFD9-3C4D-4144-972B-1C9AA9E25348}"/>
    <cellStyle name="Note 2 2 3 5 2 3" xfId="13811" xr:uid="{E78D918D-D114-4AB4-9D37-1C0C17318607}"/>
    <cellStyle name="Note 2 2 3 5 3" xfId="6557" xr:uid="{00000000-0005-0000-0000-0000D3200000}"/>
    <cellStyle name="Note 2 2 3 5 3 2" xfId="15883" xr:uid="{F61B43AF-AB7C-4EDC-ABD9-4329A1FE39D9}"/>
    <cellStyle name="Note 2 2 3 5 4" xfId="11666" xr:uid="{E61DF579-0E5B-4EF0-8B26-4335540B8FA8}"/>
    <cellStyle name="Note 2 2 3 6" xfId="2687" xr:uid="{00000000-0005-0000-0000-0000D4200000}"/>
    <cellStyle name="Note 2 2 3 6 2" xfId="6970" xr:uid="{00000000-0005-0000-0000-0000D5200000}"/>
    <cellStyle name="Note 2 2 3 6 2 2" xfId="16296" xr:uid="{BF4B5B98-2EFC-4B62-9FBA-6F83C17C1052}"/>
    <cellStyle name="Note 2 2 3 6 3" xfId="12079" xr:uid="{7EE03FE7-F81B-4BAE-995F-B41F807463AD}"/>
    <cellStyle name="Note 2 2 3 7" xfId="2746" xr:uid="{00000000-0005-0000-0000-0000D6200000}"/>
    <cellStyle name="Note 2 2 3 8" xfId="2827" xr:uid="{00000000-0005-0000-0000-0000D7200000}"/>
    <cellStyle name="Note 2 2 3 8 2" xfId="7050" xr:uid="{00000000-0005-0000-0000-0000D8200000}"/>
    <cellStyle name="Note 2 2 3 8 2 2" xfId="16376" xr:uid="{0810DCEC-BD7D-4681-A0D8-1464E0A3699C}"/>
    <cellStyle name="Note 2 2 3 8 3" xfId="12159" xr:uid="{BEE04F4D-6954-44CC-8F2E-553222C55F0C}"/>
    <cellStyle name="Note 2 2 3 9" xfId="4905" xr:uid="{00000000-0005-0000-0000-0000D9200000}"/>
    <cellStyle name="Note 2 2 3 9 2" xfId="14231" xr:uid="{AE420EA7-5979-4968-82B7-B265CC003524}"/>
    <cellStyle name="Note 2 2 4" xfId="1006" xr:uid="{00000000-0005-0000-0000-0000DA200000}"/>
    <cellStyle name="Note 2 2 4 2" xfId="3238" xr:uid="{00000000-0005-0000-0000-0000DB200000}"/>
    <cellStyle name="Note 2 2 4 2 2" xfId="7460" xr:uid="{00000000-0005-0000-0000-0000DC200000}"/>
    <cellStyle name="Note 2 2 4 2 2 2" xfId="16786" xr:uid="{6DC139FE-A68D-4880-982C-995498B89966}"/>
    <cellStyle name="Note 2 2 4 2 3" xfId="12569" xr:uid="{5557A263-3C3F-4081-916E-F7C5CC96945F}"/>
    <cellStyle name="Note 2 2 4 3" xfId="5315" xr:uid="{00000000-0005-0000-0000-0000DD200000}"/>
    <cellStyle name="Note 2 2 4 3 2" xfId="14641" xr:uid="{CCE5172D-9074-446C-876B-1332FF7B74AB}"/>
    <cellStyle name="Note 2 2 4 4" xfId="9266" xr:uid="{8B6F7B8D-50FA-47DA-836F-17B0F9492E54}"/>
    <cellStyle name="Note 2 2 4 5" xfId="10424" xr:uid="{15589113-F409-4235-9204-964A74546487}"/>
    <cellStyle name="Note 2 2 5" xfId="1421" xr:uid="{00000000-0005-0000-0000-0000DE200000}"/>
    <cellStyle name="Note 2 2 5 2" xfId="3651" xr:uid="{00000000-0005-0000-0000-0000DF200000}"/>
    <cellStyle name="Note 2 2 5 2 2" xfId="7873" xr:uid="{00000000-0005-0000-0000-0000E0200000}"/>
    <cellStyle name="Note 2 2 5 2 2 2" xfId="17199" xr:uid="{87558479-EFD3-4DEB-A830-53BC85A6FBF3}"/>
    <cellStyle name="Note 2 2 5 2 3" xfId="12982" xr:uid="{AC2D5DA5-E0C3-4E34-80E1-486E5C6C07AA}"/>
    <cellStyle name="Note 2 2 5 3" xfId="5728" xr:uid="{00000000-0005-0000-0000-0000E1200000}"/>
    <cellStyle name="Note 2 2 5 3 2" xfId="15054" xr:uid="{46F43AA6-4F2A-4EF4-BE82-5C51FAFD8930}"/>
    <cellStyle name="Note 2 2 5 4" xfId="10837" xr:uid="{AF7E53AF-0A33-458D-82E7-066D4D4E7983}"/>
    <cellStyle name="Note 2 2 6" xfId="1835" xr:uid="{00000000-0005-0000-0000-0000E2200000}"/>
    <cellStyle name="Note 2 2 6 2" xfId="4064" xr:uid="{00000000-0005-0000-0000-0000E3200000}"/>
    <cellStyle name="Note 2 2 6 2 2" xfId="8286" xr:uid="{00000000-0005-0000-0000-0000E4200000}"/>
    <cellStyle name="Note 2 2 6 2 2 2" xfId="17612" xr:uid="{3DB1A38D-CC16-4F72-A719-B4A3FC9DF5BA}"/>
    <cellStyle name="Note 2 2 6 2 3" xfId="13395" xr:uid="{C0B1FDEB-2941-4A63-B5CF-9D03C132064A}"/>
    <cellStyle name="Note 2 2 6 3" xfId="6141" xr:uid="{00000000-0005-0000-0000-0000E5200000}"/>
    <cellStyle name="Note 2 2 6 3 2" xfId="15467" xr:uid="{3FE50F9B-2993-4036-A122-A16182FA5C1B}"/>
    <cellStyle name="Note 2 2 6 4" xfId="11250" xr:uid="{857079D2-E36B-4534-950C-5671555BA871}"/>
    <cellStyle name="Note 2 2 7" xfId="2248" xr:uid="{00000000-0005-0000-0000-0000E6200000}"/>
    <cellStyle name="Note 2 2 7 2" xfId="4477" xr:uid="{00000000-0005-0000-0000-0000E7200000}"/>
    <cellStyle name="Note 2 2 7 2 2" xfId="8699" xr:uid="{00000000-0005-0000-0000-0000E8200000}"/>
    <cellStyle name="Note 2 2 7 2 2 2" xfId="18025" xr:uid="{F3DA473B-D380-456B-9A75-73F20558BB6F}"/>
    <cellStyle name="Note 2 2 7 2 3" xfId="13808" xr:uid="{44A84ED1-E1AF-4810-A4F2-C689499109CC}"/>
    <cellStyle name="Note 2 2 7 3" xfId="6554" xr:uid="{00000000-0005-0000-0000-0000E9200000}"/>
    <cellStyle name="Note 2 2 7 3 2" xfId="15880" xr:uid="{A40AD06F-EC72-4FE6-9234-0A3F8DEBA26B}"/>
    <cellStyle name="Note 2 2 7 4" xfId="11663" xr:uid="{756017BE-9307-4E4D-8B99-6453D94E1349}"/>
    <cellStyle name="Note 2 2 8" xfId="2684" xr:uid="{00000000-0005-0000-0000-0000EA200000}"/>
    <cellStyle name="Note 2 2 8 2" xfId="6967" xr:uid="{00000000-0005-0000-0000-0000EB200000}"/>
    <cellStyle name="Note 2 2 8 2 2" xfId="16293" xr:uid="{1E248A89-06C7-49E1-ABD3-9576DAF69F2A}"/>
    <cellStyle name="Note 2 2 8 3" xfId="12076" xr:uid="{11827D0B-BAE0-4473-9A2B-D2003EE19AFB}"/>
    <cellStyle name="Note 2 2 9" xfId="2743" xr:uid="{00000000-0005-0000-0000-0000EC200000}"/>
    <cellStyle name="Note 2 3" xfId="549" xr:uid="{00000000-0005-0000-0000-0000ED200000}"/>
    <cellStyle name="Note 2 3 10" xfId="4906" xr:uid="{00000000-0005-0000-0000-0000EE200000}"/>
    <cellStyle name="Note 2 3 10 2" xfId="14232" xr:uid="{E7473CFA-3298-466D-B27C-90C9C0379547}"/>
    <cellStyle name="Note 2 3 11" xfId="8894" xr:uid="{2BFFE8D0-DA42-4876-8895-58F80713E965}"/>
    <cellStyle name="Note 2 3 12" xfId="10015" xr:uid="{78802209-F867-4F84-BA2A-AAD8CC7093AD}"/>
    <cellStyle name="Note 2 3 2" xfId="550" xr:uid="{00000000-0005-0000-0000-0000EF200000}"/>
    <cellStyle name="Note 2 3 2 10" xfId="9101" xr:uid="{1822EEA2-225E-465E-B4CD-D4615440EC62}"/>
    <cellStyle name="Note 2 3 2 11" xfId="10016" xr:uid="{7E546FD3-B0E5-4AFC-97B1-8F7A2CA9F3FB}"/>
    <cellStyle name="Note 2 3 2 2" xfId="1011" xr:uid="{00000000-0005-0000-0000-0000F0200000}"/>
    <cellStyle name="Note 2 3 2 2 2" xfId="3243" xr:uid="{00000000-0005-0000-0000-0000F1200000}"/>
    <cellStyle name="Note 2 3 2 2 2 2" xfId="7465" xr:uid="{00000000-0005-0000-0000-0000F2200000}"/>
    <cellStyle name="Note 2 3 2 2 2 2 2" xfId="16791" xr:uid="{3EDB1B3C-4FD5-4196-A522-2FD3984FF942}"/>
    <cellStyle name="Note 2 3 2 2 2 3" xfId="12574" xr:uid="{9BFF32DB-02A7-4286-977C-199A0BE82060}"/>
    <cellStyle name="Note 2 3 2 2 3" xfId="5320" xr:uid="{00000000-0005-0000-0000-0000F3200000}"/>
    <cellStyle name="Note 2 3 2 2 3 2" xfId="14646" xr:uid="{BBCD6E6A-5171-4BF0-BD9B-233FC6B48668}"/>
    <cellStyle name="Note 2 3 2 2 4" xfId="9526" xr:uid="{1C428179-0C82-4F5D-9FE4-E11D597F9E89}"/>
    <cellStyle name="Note 2 3 2 2 5" xfId="10429" xr:uid="{171A93C5-EFCA-45EB-883C-1BFE00F5AF3B}"/>
    <cellStyle name="Note 2 3 2 3" xfId="1426" xr:uid="{00000000-0005-0000-0000-0000F4200000}"/>
    <cellStyle name="Note 2 3 2 3 2" xfId="3656" xr:uid="{00000000-0005-0000-0000-0000F5200000}"/>
    <cellStyle name="Note 2 3 2 3 2 2" xfId="7878" xr:uid="{00000000-0005-0000-0000-0000F6200000}"/>
    <cellStyle name="Note 2 3 2 3 2 2 2" xfId="17204" xr:uid="{5C89006C-7D3B-48E1-86EB-5384C52C839A}"/>
    <cellStyle name="Note 2 3 2 3 2 3" xfId="12987" xr:uid="{BE8DD68C-D575-438E-9DF8-A9037B0D19F6}"/>
    <cellStyle name="Note 2 3 2 3 3" xfId="5733" xr:uid="{00000000-0005-0000-0000-0000F7200000}"/>
    <cellStyle name="Note 2 3 2 3 3 2" xfId="15059" xr:uid="{5FD65F2B-847D-4D4D-8B07-B5702849E56F}"/>
    <cellStyle name="Note 2 3 2 3 4" xfId="10842" xr:uid="{2F798B42-EDC1-4CBC-9173-B094A0F28547}"/>
    <cellStyle name="Note 2 3 2 4" xfId="1840" xr:uid="{00000000-0005-0000-0000-0000F8200000}"/>
    <cellStyle name="Note 2 3 2 4 2" xfId="4069" xr:uid="{00000000-0005-0000-0000-0000F9200000}"/>
    <cellStyle name="Note 2 3 2 4 2 2" xfId="8291" xr:uid="{00000000-0005-0000-0000-0000FA200000}"/>
    <cellStyle name="Note 2 3 2 4 2 2 2" xfId="17617" xr:uid="{A04C0761-515E-4634-ABBF-46CE6327B275}"/>
    <cellStyle name="Note 2 3 2 4 2 3" xfId="13400" xr:uid="{1455BF56-E12F-4910-8607-E4DBE3657CE0}"/>
    <cellStyle name="Note 2 3 2 4 3" xfId="6146" xr:uid="{00000000-0005-0000-0000-0000FB200000}"/>
    <cellStyle name="Note 2 3 2 4 3 2" xfId="15472" xr:uid="{0CAD3CA9-9073-45E2-B8E4-D9AD8880C435}"/>
    <cellStyle name="Note 2 3 2 4 4" xfId="11255" xr:uid="{59ACB751-5B8B-455C-9F0D-1D7F4CFF21C1}"/>
    <cellStyle name="Note 2 3 2 5" xfId="2253" xr:uid="{00000000-0005-0000-0000-0000FC200000}"/>
    <cellStyle name="Note 2 3 2 5 2" xfId="4482" xr:uid="{00000000-0005-0000-0000-0000FD200000}"/>
    <cellStyle name="Note 2 3 2 5 2 2" xfId="8704" xr:uid="{00000000-0005-0000-0000-0000FE200000}"/>
    <cellStyle name="Note 2 3 2 5 2 2 2" xfId="18030" xr:uid="{BCABC60C-E70F-4C52-ACCF-0ED788D6F73F}"/>
    <cellStyle name="Note 2 3 2 5 2 3" xfId="13813" xr:uid="{49CD3E39-2FDC-4FE9-8A0D-D1A453E61EF6}"/>
    <cellStyle name="Note 2 3 2 5 3" xfId="6559" xr:uid="{00000000-0005-0000-0000-0000FF200000}"/>
    <cellStyle name="Note 2 3 2 5 3 2" xfId="15885" xr:uid="{F0ECE5DF-086C-4560-96C7-5BBA1BD9F7A9}"/>
    <cellStyle name="Note 2 3 2 5 4" xfId="11668" xr:uid="{5F451D87-49B7-46B9-BF8A-0BFD9E2FC105}"/>
    <cellStyle name="Note 2 3 2 6" xfId="2689" xr:uid="{00000000-0005-0000-0000-000000210000}"/>
    <cellStyle name="Note 2 3 2 6 2" xfId="6972" xr:uid="{00000000-0005-0000-0000-000001210000}"/>
    <cellStyle name="Note 2 3 2 6 2 2" xfId="16298" xr:uid="{3F310C49-A906-4D3D-81D0-025BABEA8D29}"/>
    <cellStyle name="Note 2 3 2 6 3" xfId="12081" xr:uid="{82B4059F-38FC-4408-9D5A-3C1A7DB44827}"/>
    <cellStyle name="Note 2 3 2 7" xfId="2748" xr:uid="{00000000-0005-0000-0000-000002210000}"/>
    <cellStyle name="Note 2 3 2 8" xfId="2829" xr:uid="{00000000-0005-0000-0000-000003210000}"/>
    <cellStyle name="Note 2 3 2 8 2" xfId="7052" xr:uid="{00000000-0005-0000-0000-000004210000}"/>
    <cellStyle name="Note 2 3 2 8 2 2" xfId="16378" xr:uid="{90F244FF-0564-42C1-BC65-4BA1332D37E3}"/>
    <cellStyle name="Note 2 3 2 8 3" xfId="12161" xr:uid="{2281E0F1-96EB-447D-8B76-B3BCC4285943}"/>
    <cellStyle name="Note 2 3 2 9" xfId="4907" xr:uid="{00000000-0005-0000-0000-000005210000}"/>
    <cellStyle name="Note 2 3 2 9 2" xfId="14233" xr:uid="{ADEE124D-7990-4837-8B1A-83BBAA3BC333}"/>
    <cellStyle name="Note 2 3 3" xfId="1010" xr:uid="{00000000-0005-0000-0000-000006210000}"/>
    <cellStyle name="Note 2 3 3 2" xfId="3242" xr:uid="{00000000-0005-0000-0000-000007210000}"/>
    <cellStyle name="Note 2 3 3 2 2" xfId="7464" xr:uid="{00000000-0005-0000-0000-000008210000}"/>
    <cellStyle name="Note 2 3 3 2 2 2" xfId="16790" xr:uid="{764DDE79-87DC-4DE8-998B-9D63AFB5E036}"/>
    <cellStyle name="Note 2 3 3 2 3" xfId="12573" xr:uid="{6E1A7FBC-C5F8-4F3A-9B4F-538D98F5E924}"/>
    <cellStyle name="Note 2 3 3 3" xfId="5319" xr:uid="{00000000-0005-0000-0000-000009210000}"/>
    <cellStyle name="Note 2 3 3 3 2" xfId="14645" xr:uid="{7DE8EF7A-FA19-49C3-B78D-0296E3AC5FB7}"/>
    <cellStyle name="Note 2 3 3 4" xfId="9319" xr:uid="{06E4A3C6-5CAA-4424-B4C3-41162F21AE7D}"/>
    <cellStyle name="Note 2 3 3 5" xfId="10428" xr:uid="{16FD97C3-D816-415D-900E-E58576129343}"/>
    <cellStyle name="Note 2 3 4" xfId="1425" xr:uid="{00000000-0005-0000-0000-00000A210000}"/>
    <cellStyle name="Note 2 3 4 2" xfId="3655" xr:uid="{00000000-0005-0000-0000-00000B210000}"/>
    <cellStyle name="Note 2 3 4 2 2" xfId="7877" xr:uid="{00000000-0005-0000-0000-00000C210000}"/>
    <cellStyle name="Note 2 3 4 2 2 2" xfId="17203" xr:uid="{832A9C1F-69DF-4842-A22C-291FB7524DB0}"/>
    <cellStyle name="Note 2 3 4 2 3" xfId="12986" xr:uid="{1401BA58-C986-4626-85D4-9322D002B18B}"/>
    <cellStyle name="Note 2 3 4 3" xfId="5732" xr:uid="{00000000-0005-0000-0000-00000D210000}"/>
    <cellStyle name="Note 2 3 4 3 2" xfId="15058" xr:uid="{A189093A-120F-4D40-B9A4-FF8AF5F9FA78}"/>
    <cellStyle name="Note 2 3 4 4" xfId="10841" xr:uid="{D23AF502-F512-4D02-B67A-795B1C6940D2}"/>
    <cellStyle name="Note 2 3 5" xfId="1839" xr:uid="{00000000-0005-0000-0000-00000E210000}"/>
    <cellStyle name="Note 2 3 5 2" xfId="4068" xr:uid="{00000000-0005-0000-0000-00000F210000}"/>
    <cellStyle name="Note 2 3 5 2 2" xfId="8290" xr:uid="{00000000-0005-0000-0000-000010210000}"/>
    <cellStyle name="Note 2 3 5 2 2 2" xfId="17616" xr:uid="{E39B15A8-FAB3-4018-93D9-0B393379AF78}"/>
    <cellStyle name="Note 2 3 5 2 3" xfId="13399" xr:uid="{23CD05E7-FC6E-4BC4-919C-DB238C242E18}"/>
    <cellStyle name="Note 2 3 5 3" xfId="6145" xr:uid="{00000000-0005-0000-0000-000011210000}"/>
    <cellStyle name="Note 2 3 5 3 2" xfId="15471" xr:uid="{1EA3C521-6F0B-4ACD-8EA9-52E606D2D8E5}"/>
    <cellStyle name="Note 2 3 5 4" xfId="11254" xr:uid="{71CCAE73-BA57-4A97-9509-493DF463B821}"/>
    <cellStyle name="Note 2 3 6" xfId="2252" xr:uid="{00000000-0005-0000-0000-000012210000}"/>
    <cellStyle name="Note 2 3 6 2" xfId="4481" xr:uid="{00000000-0005-0000-0000-000013210000}"/>
    <cellStyle name="Note 2 3 6 2 2" xfId="8703" xr:uid="{00000000-0005-0000-0000-000014210000}"/>
    <cellStyle name="Note 2 3 6 2 2 2" xfId="18029" xr:uid="{3549F9B8-3C49-4D08-B10E-FA740F2FABE4}"/>
    <cellStyle name="Note 2 3 6 2 3" xfId="13812" xr:uid="{2FCC9AB8-F83F-4324-832D-80EB78EC0159}"/>
    <cellStyle name="Note 2 3 6 3" xfId="6558" xr:uid="{00000000-0005-0000-0000-000015210000}"/>
    <cellStyle name="Note 2 3 6 3 2" xfId="15884" xr:uid="{1934F4D2-C53A-4176-A4FD-2D50140D3618}"/>
    <cellStyle name="Note 2 3 6 4" xfId="11667" xr:uid="{E554DBEA-899D-400C-BBE4-DCF0A4BA2789}"/>
    <cellStyle name="Note 2 3 7" xfId="2688" xr:uid="{00000000-0005-0000-0000-000016210000}"/>
    <cellStyle name="Note 2 3 7 2" xfId="6971" xr:uid="{00000000-0005-0000-0000-000017210000}"/>
    <cellStyle name="Note 2 3 7 2 2" xfId="16297" xr:uid="{488C4921-ED5B-492A-849A-684077E3A701}"/>
    <cellStyle name="Note 2 3 7 3" xfId="12080" xr:uid="{2C8EDA5A-20C6-4556-86E7-6BC84606F156}"/>
    <cellStyle name="Note 2 3 8" xfId="2747" xr:uid="{00000000-0005-0000-0000-000018210000}"/>
    <cellStyle name="Note 2 3 9" xfId="2828" xr:uid="{00000000-0005-0000-0000-000019210000}"/>
    <cellStyle name="Note 2 3 9 2" xfId="7051" xr:uid="{00000000-0005-0000-0000-00001A210000}"/>
    <cellStyle name="Note 2 3 9 2 2" xfId="16377" xr:uid="{F6657C3C-A91C-47EF-91B0-5B1D82424605}"/>
    <cellStyle name="Note 2 3 9 3" xfId="12160" xr:uid="{0D07F419-428F-4C7C-AEF1-BBC62A89EA92}"/>
    <cellStyle name="Note 2 4" xfId="551" xr:uid="{00000000-0005-0000-0000-00001B210000}"/>
    <cellStyle name="Note 2 4 10" xfId="8998" xr:uid="{AC87C288-14A9-4FB3-A26C-1706964E6651}"/>
    <cellStyle name="Note 2 4 11" xfId="10017" xr:uid="{0C4B5B4E-A0AB-4C26-A61D-6B77E3EA92A2}"/>
    <cellStyle name="Note 2 4 2" xfId="1012" xr:uid="{00000000-0005-0000-0000-00001C210000}"/>
    <cellStyle name="Note 2 4 2 2" xfId="3244" xr:uid="{00000000-0005-0000-0000-00001D210000}"/>
    <cellStyle name="Note 2 4 2 2 2" xfId="7466" xr:uid="{00000000-0005-0000-0000-00001E210000}"/>
    <cellStyle name="Note 2 4 2 2 2 2" xfId="16792" xr:uid="{D6C7A737-4F27-4680-A675-D471ABFA608E}"/>
    <cellStyle name="Note 2 4 2 2 3" xfId="12575" xr:uid="{2B34D941-18C2-478F-91BB-37127635B9F1}"/>
    <cellStyle name="Note 2 4 2 3" xfId="5321" xr:uid="{00000000-0005-0000-0000-00001F210000}"/>
    <cellStyle name="Note 2 4 2 3 2" xfId="14647" xr:uid="{F375586B-26F8-47BA-9CD0-A55008254EAE}"/>
    <cellStyle name="Note 2 4 2 4" xfId="9423" xr:uid="{43B93802-BE55-43D9-BEBC-4095E3C1FF74}"/>
    <cellStyle name="Note 2 4 2 5" xfId="10430" xr:uid="{22D57E47-9649-4AE7-8E6C-B3732A3EBCDC}"/>
    <cellStyle name="Note 2 4 3" xfId="1427" xr:uid="{00000000-0005-0000-0000-000020210000}"/>
    <cellStyle name="Note 2 4 3 2" xfId="3657" xr:uid="{00000000-0005-0000-0000-000021210000}"/>
    <cellStyle name="Note 2 4 3 2 2" xfId="7879" xr:uid="{00000000-0005-0000-0000-000022210000}"/>
    <cellStyle name="Note 2 4 3 2 2 2" xfId="17205" xr:uid="{D423DEAF-FA69-4B4F-913A-85479EE678CA}"/>
    <cellStyle name="Note 2 4 3 2 3" xfId="12988" xr:uid="{1C720CBE-79C3-4D82-B3B1-D64FD290CE4D}"/>
    <cellStyle name="Note 2 4 3 3" xfId="5734" xr:uid="{00000000-0005-0000-0000-000023210000}"/>
    <cellStyle name="Note 2 4 3 3 2" xfId="15060" xr:uid="{7514BDCE-9B94-483A-9B20-1A6776B4EAC7}"/>
    <cellStyle name="Note 2 4 3 4" xfId="10843" xr:uid="{1E4D36A7-6C57-427A-AA7F-A789BD530B95}"/>
    <cellStyle name="Note 2 4 4" xfId="1841" xr:uid="{00000000-0005-0000-0000-000024210000}"/>
    <cellStyle name="Note 2 4 4 2" xfId="4070" xr:uid="{00000000-0005-0000-0000-000025210000}"/>
    <cellStyle name="Note 2 4 4 2 2" xfId="8292" xr:uid="{00000000-0005-0000-0000-000026210000}"/>
    <cellStyle name="Note 2 4 4 2 2 2" xfId="17618" xr:uid="{D99F6150-8FEE-43A1-BDBD-1A174A2BC533}"/>
    <cellStyle name="Note 2 4 4 2 3" xfId="13401" xr:uid="{F8267AF5-E17D-46B8-BEA2-EC2EEB840229}"/>
    <cellStyle name="Note 2 4 4 3" xfId="6147" xr:uid="{00000000-0005-0000-0000-000027210000}"/>
    <cellStyle name="Note 2 4 4 3 2" xfId="15473" xr:uid="{2312C3B7-F7A4-4E00-B8A6-3FFA5E48FE1E}"/>
    <cellStyle name="Note 2 4 4 4" xfId="11256" xr:uid="{BF45BA6D-9CCA-4878-94E2-C37C2207FC2B}"/>
    <cellStyle name="Note 2 4 5" xfId="2254" xr:uid="{00000000-0005-0000-0000-000028210000}"/>
    <cellStyle name="Note 2 4 5 2" xfId="4483" xr:uid="{00000000-0005-0000-0000-000029210000}"/>
    <cellStyle name="Note 2 4 5 2 2" xfId="8705" xr:uid="{00000000-0005-0000-0000-00002A210000}"/>
    <cellStyle name="Note 2 4 5 2 2 2" xfId="18031" xr:uid="{DDE9F88F-AF5A-423B-969A-2C19BB5BD849}"/>
    <cellStyle name="Note 2 4 5 2 3" xfId="13814" xr:uid="{6B94C804-8E8D-4AEC-930D-3D06E225CE6B}"/>
    <cellStyle name="Note 2 4 5 3" xfId="6560" xr:uid="{00000000-0005-0000-0000-00002B210000}"/>
    <cellStyle name="Note 2 4 5 3 2" xfId="15886" xr:uid="{E385A0E3-9E11-4110-BFF6-36AA0C92DA15}"/>
    <cellStyle name="Note 2 4 5 4" xfId="11669" xr:uid="{3658115B-DEAD-4A53-896E-6F1424F30D39}"/>
    <cellStyle name="Note 2 4 6" xfId="2690" xr:uid="{00000000-0005-0000-0000-00002C210000}"/>
    <cellStyle name="Note 2 4 6 2" xfId="6973" xr:uid="{00000000-0005-0000-0000-00002D210000}"/>
    <cellStyle name="Note 2 4 6 2 2" xfId="16299" xr:uid="{6DCB9D03-5B6B-4C65-8BB1-262D29C1C6D4}"/>
    <cellStyle name="Note 2 4 6 3" xfId="12082" xr:uid="{93119AB6-7204-4667-A40B-2D4BE62CE971}"/>
    <cellStyle name="Note 2 4 7" xfId="2749" xr:uid="{00000000-0005-0000-0000-00002E210000}"/>
    <cellStyle name="Note 2 4 8" xfId="2830" xr:uid="{00000000-0005-0000-0000-00002F210000}"/>
    <cellStyle name="Note 2 4 8 2" xfId="7053" xr:uid="{00000000-0005-0000-0000-000030210000}"/>
    <cellStyle name="Note 2 4 8 2 2" xfId="16379" xr:uid="{7C2FEEB6-7E63-4EAC-A441-878282A1066E}"/>
    <cellStyle name="Note 2 4 8 3" xfId="12162" xr:uid="{76564EAF-CC1F-46F6-BC8D-CA6FC2537EB8}"/>
    <cellStyle name="Note 2 4 9" xfId="4908" xr:uid="{00000000-0005-0000-0000-000031210000}"/>
    <cellStyle name="Note 2 4 9 2" xfId="14234" xr:uid="{7466A147-795A-4B18-B8AB-5C22B4C9D4D3}"/>
    <cellStyle name="Note 2 5" xfId="552" xr:uid="{00000000-0005-0000-0000-000032210000}"/>
    <cellStyle name="Note 2 5 10" xfId="9215" xr:uid="{69947D86-0683-476F-9E74-96CA08091560}"/>
    <cellStyle name="Note 2 5 11" xfId="10018" xr:uid="{E1E29308-B1D1-4B00-A703-975E2FB3446C}"/>
    <cellStyle name="Note 2 5 2" xfId="1013" xr:uid="{00000000-0005-0000-0000-000033210000}"/>
    <cellStyle name="Note 2 5 2 2" xfId="3245" xr:uid="{00000000-0005-0000-0000-000034210000}"/>
    <cellStyle name="Note 2 5 2 2 2" xfId="7467" xr:uid="{00000000-0005-0000-0000-000035210000}"/>
    <cellStyle name="Note 2 5 2 2 2 2" xfId="16793" xr:uid="{0E290EC0-5C55-43B2-B271-37A9E2A95683}"/>
    <cellStyle name="Note 2 5 2 2 3" xfId="12576" xr:uid="{9640C441-0698-417C-90C4-55275BF4F171}"/>
    <cellStyle name="Note 2 5 2 3" xfId="5322" xr:uid="{00000000-0005-0000-0000-000036210000}"/>
    <cellStyle name="Note 2 5 2 3 2" xfId="14648" xr:uid="{D6C65CFC-33E2-43FC-ADB5-695794F9CC45}"/>
    <cellStyle name="Note 2 5 2 4" xfId="9610" xr:uid="{26530D10-1DF8-4FA4-8FC9-4C945AA92A94}"/>
    <cellStyle name="Note 2 5 2 5" xfId="10431" xr:uid="{00F27DC7-AB00-480F-85FA-13EACFB32D2E}"/>
    <cellStyle name="Note 2 5 3" xfId="1428" xr:uid="{00000000-0005-0000-0000-000037210000}"/>
    <cellStyle name="Note 2 5 3 2" xfId="3658" xr:uid="{00000000-0005-0000-0000-000038210000}"/>
    <cellStyle name="Note 2 5 3 2 2" xfId="7880" xr:uid="{00000000-0005-0000-0000-000039210000}"/>
    <cellStyle name="Note 2 5 3 2 2 2" xfId="17206" xr:uid="{0F21ED09-639B-444C-A848-7FCCFD5A79DE}"/>
    <cellStyle name="Note 2 5 3 2 3" xfId="12989" xr:uid="{CEA2173E-EB5F-4D01-BE8C-D7DFB80F0E7B}"/>
    <cellStyle name="Note 2 5 3 3" xfId="5735" xr:uid="{00000000-0005-0000-0000-00003A210000}"/>
    <cellStyle name="Note 2 5 3 3 2" xfId="15061" xr:uid="{26C2CBE2-9799-4BD7-9EF1-9048E2A5BDA4}"/>
    <cellStyle name="Note 2 5 3 4" xfId="10844" xr:uid="{F6520DA4-6C0F-49A2-BF87-BB4F7AF2E302}"/>
    <cellStyle name="Note 2 5 4" xfId="1842" xr:uid="{00000000-0005-0000-0000-00003B210000}"/>
    <cellStyle name="Note 2 5 4 2" xfId="4071" xr:uid="{00000000-0005-0000-0000-00003C210000}"/>
    <cellStyle name="Note 2 5 4 2 2" xfId="8293" xr:uid="{00000000-0005-0000-0000-00003D210000}"/>
    <cellStyle name="Note 2 5 4 2 2 2" xfId="17619" xr:uid="{1F192E6A-D13E-4B51-A9DF-94437FB3CAFC}"/>
    <cellStyle name="Note 2 5 4 2 3" xfId="13402" xr:uid="{C5214AFC-6FDA-450A-A9CE-19F85BCFD892}"/>
    <cellStyle name="Note 2 5 4 3" xfId="6148" xr:uid="{00000000-0005-0000-0000-00003E210000}"/>
    <cellStyle name="Note 2 5 4 3 2" xfId="15474" xr:uid="{DD92D731-2C8E-420C-9403-0831EDA7AF64}"/>
    <cellStyle name="Note 2 5 4 4" xfId="11257" xr:uid="{3534913A-63C4-4112-8B01-978C56222E05}"/>
    <cellStyle name="Note 2 5 5" xfId="2255" xr:uid="{00000000-0005-0000-0000-00003F210000}"/>
    <cellStyle name="Note 2 5 5 2" xfId="4484" xr:uid="{00000000-0005-0000-0000-000040210000}"/>
    <cellStyle name="Note 2 5 5 2 2" xfId="8706" xr:uid="{00000000-0005-0000-0000-000041210000}"/>
    <cellStyle name="Note 2 5 5 2 2 2" xfId="18032" xr:uid="{08F70C16-83C9-4323-806A-4AEA4AC7AEA3}"/>
    <cellStyle name="Note 2 5 5 2 3" xfId="13815" xr:uid="{ECCCE61B-F6C0-44CC-BE97-22E0DFC7EA58}"/>
    <cellStyle name="Note 2 5 5 3" xfId="6561" xr:uid="{00000000-0005-0000-0000-000042210000}"/>
    <cellStyle name="Note 2 5 5 3 2" xfId="15887" xr:uid="{D96FFA34-8072-4E96-B57B-A7BA6030B53C}"/>
    <cellStyle name="Note 2 5 5 4" xfId="11670" xr:uid="{62BA2FE5-8C41-4667-97F7-2F68D24B950B}"/>
    <cellStyle name="Note 2 5 6" xfId="2691" xr:uid="{00000000-0005-0000-0000-000043210000}"/>
    <cellStyle name="Note 2 5 6 2" xfId="6974" xr:uid="{00000000-0005-0000-0000-000044210000}"/>
    <cellStyle name="Note 2 5 6 2 2" xfId="16300" xr:uid="{7BC924CE-AF83-4818-B53A-C59C204BE974}"/>
    <cellStyle name="Note 2 5 6 3" xfId="12083" xr:uid="{3D3F6722-A42D-4A36-994E-D341D1FB0781}"/>
    <cellStyle name="Note 2 5 7" xfId="2750" xr:uid="{00000000-0005-0000-0000-000045210000}"/>
    <cellStyle name="Note 2 5 8" xfId="2831" xr:uid="{00000000-0005-0000-0000-000046210000}"/>
    <cellStyle name="Note 2 5 8 2" xfId="7054" xr:uid="{00000000-0005-0000-0000-000047210000}"/>
    <cellStyle name="Note 2 5 8 2 2" xfId="16380" xr:uid="{84815D7A-A7A2-40CC-9207-FB691D3B16C9}"/>
    <cellStyle name="Note 2 5 8 3" xfId="12163" xr:uid="{8E001DC6-72A7-44C5-8E95-331312580B9A}"/>
    <cellStyle name="Note 2 5 9" xfId="4909" xr:uid="{00000000-0005-0000-0000-000048210000}"/>
    <cellStyle name="Note 2 5 9 2" xfId="14235" xr:uid="{2B75126F-58BA-4BE3-A00C-7E65B26FC696}"/>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8AFFA3CA-1392-4EF3-996E-23FDBE6D58F1}"/>
    <cellStyle name="Note 3 2 10 3" xfId="12164" xr:uid="{F40CBE97-CFC2-49B0-BC26-0D03FD74B08B}"/>
    <cellStyle name="Note 3 2 11" xfId="4910" xr:uid="{00000000-0005-0000-0000-00004D210000}"/>
    <cellStyle name="Note 3 2 11 2" xfId="14236" xr:uid="{915C6BA8-A79E-40A8-A153-A739B8869240}"/>
    <cellStyle name="Note 3 2 12" xfId="8842" xr:uid="{646587AC-B7A9-43E2-AC1E-1B77745805D8}"/>
    <cellStyle name="Note 3 2 13" xfId="10019" xr:uid="{EEAE3E12-79B1-4517-86C1-2418422B9A22}"/>
    <cellStyle name="Note 3 2 2" xfId="555" xr:uid="{00000000-0005-0000-0000-00004E210000}"/>
    <cellStyle name="Note 3 2 2 10" xfId="4911" xr:uid="{00000000-0005-0000-0000-00004F210000}"/>
    <cellStyle name="Note 3 2 2 10 2" xfId="14237" xr:uid="{A483637B-A867-4468-B832-EF4959C74E46}"/>
    <cellStyle name="Note 3 2 2 11" xfId="8945" xr:uid="{D320AF38-4F47-4266-9CB9-3BD7E15BFDAE}"/>
    <cellStyle name="Note 3 2 2 12" xfId="10020" xr:uid="{37FFC089-2D63-4C2B-A89C-3DFC530999FC}"/>
    <cellStyle name="Note 3 2 2 2" xfId="556" xr:uid="{00000000-0005-0000-0000-000050210000}"/>
    <cellStyle name="Note 3 2 2 2 10" xfId="9152" xr:uid="{24874F5B-4700-44ED-9556-84C4E89A274D}"/>
    <cellStyle name="Note 3 2 2 2 11" xfId="10021" xr:uid="{A96A91F9-CC81-4D20-8E13-71282BA62AE7}"/>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10DC7BC8-25AD-4100-91FB-682056F066C2}"/>
    <cellStyle name="Note 3 2 2 2 2 2 3" xfId="12579" xr:uid="{D7DB1F57-F16D-4B40-A4F1-9A1407D18FBA}"/>
    <cellStyle name="Note 3 2 2 2 2 3" xfId="5325" xr:uid="{00000000-0005-0000-0000-000054210000}"/>
    <cellStyle name="Note 3 2 2 2 2 3 2" xfId="14651" xr:uid="{FCC9794F-A2FC-4840-AAA1-4A1F815326A1}"/>
    <cellStyle name="Note 3 2 2 2 2 4" xfId="9577" xr:uid="{7C0C89D7-CA14-4942-89B2-D584AC810EDC}"/>
    <cellStyle name="Note 3 2 2 2 2 5" xfId="10434" xr:uid="{598E8884-2102-4D4D-8CE2-57A91B3B8FC3}"/>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B294B6AA-C161-416F-B155-084815F76DD3}"/>
    <cellStyle name="Note 3 2 2 2 3 2 3" xfId="12992" xr:uid="{8D61E054-F6CE-4559-B913-39840FF6F3FA}"/>
    <cellStyle name="Note 3 2 2 2 3 3" xfId="5738" xr:uid="{00000000-0005-0000-0000-000058210000}"/>
    <cellStyle name="Note 3 2 2 2 3 3 2" xfId="15064" xr:uid="{1C02E19E-E048-400F-92C9-80149C86922C}"/>
    <cellStyle name="Note 3 2 2 2 3 4" xfId="10847" xr:uid="{DFCC6D00-2409-4A19-89C1-03DB457BEC06}"/>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7CCD4906-81A6-4570-9896-41284F7B14BB}"/>
    <cellStyle name="Note 3 2 2 2 4 2 3" xfId="13405" xr:uid="{D13D06C1-1784-4285-99C0-8977E0190638}"/>
    <cellStyle name="Note 3 2 2 2 4 3" xfId="6151" xr:uid="{00000000-0005-0000-0000-00005C210000}"/>
    <cellStyle name="Note 3 2 2 2 4 3 2" xfId="15477" xr:uid="{58D0EC00-4EEB-4666-BD6E-2D2838D4FD96}"/>
    <cellStyle name="Note 3 2 2 2 4 4" xfId="11260" xr:uid="{AA3B248F-C3A9-41F4-8853-D899F5AE6D06}"/>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6E462792-2EC1-4EBD-B3FD-C616C4B0C6E7}"/>
    <cellStyle name="Note 3 2 2 2 5 2 3" xfId="13818" xr:uid="{F4307F7B-9DBD-4C19-B058-CB367D391E39}"/>
    <cellStyle name="Note 3 2 2 2 5 3" xfId="6564" xr:uid="{00000000-0005-0000-0000-000060210000}"/>
    <cellStyle name="Note 3 2 2 2 5 3 2" xfId="15890" xr:uid="{448CB32D-BB8F-4871-B0F6-42CAA13F6216}"/>
    <cellStyle name="Note 3 2 2 2 5 4" xfId="11673" xr:uid="{6DE63B2B-A758-4893-8D67-25EC17A37836}"/>
    <cellStyle name="Note 3 2 2 2 6" xfId="2694" xr:uid="{00000000-0005-0000-0000-000061210000}"/>
    <cellStyle name="Note 3 2 2 2 6 2" xfId="6977" xr:uid="{00000000-0005-0000-0000-000062210000}"/>
    <cellStyle name="Note 3 2 2 2 6 2 2" xfId="16303" xr:uid="{5FC3B90D-DE78-440F-ABB0-BAC9BB653867}"/>
    <cellStyle name="Note 3 2 2 2 6 3" xfId="12086" xr:uid="{3BC6B3C8-2D8A-46D4-AD8A-FBE187535785}"/>
    <cellStyle name="Note 3 2 2 2 7" xfId="2753" xr:uid="{00000000-0005-0000-0000-000063210000}"/>
    <cellStyle name="Note 3 2 2 2 8" xfId="2834" xr:uid="{00000000-0005-0000-0000-000064210000}"/>
    <cellStyle name="Note 3 2 2 2 8 2" xfId="7057" xr:uid="{00000000-0005-0000-0000-000065210000}"/>
    <cellStyle name="Note 3 2 2 2 8 2 2" xfId="16383" xr:uid="{8D26B15E-DCA3-4CA7-B758-345D0675B347}"/>
    <cellStyle name="Note 3 2 2 2 8 3" xfId="12166" xr:uid="{9B60DBF9-1FCF-4B9C-8356-AC81386EB6BD}"/>
    <cellStyle name="Note 3 2 2 2 9" xfId="4912" xr:uid="{00000000-0005-0000-0000-000066210000}"/>
    <cellStyle name="Note 3 2 2 2 9 2" xfId="14238" xr:uid="{D6B5D876-60C1-4F8C-86CB-4D5C0A2D8230}"/>
    <cellStyle name="Note 3 2 2 3" xfId="1015" xr:uid="{00000000-0005-0000-0000-000067210000}"/>
    <cellStyle name="Note 3 2 2 3 2" xfId="3247" xr:uid="{00000000-0005-0000-0000-000068210000}"/>
    <cellStyle name="Note 3 2 2 3 2 2" xfId="7469" xr:uid="{00000000-0005-0000-0000-000069210000}"/>
    <cellStyle name="Note 3 2 2 3 2 2 2" xfId="16795" xr:uid="{422A15AD-E90A-41FF-B403-C6D874428081}"/>
    <cellStyle name="Note 3 2 2 3 2 3" xfId="12578" xr:uid="{30921DD3-E34C-49BC-81B2-6E53C4B2A72C}"/>
    <cellStyle name="Note 3 2 2 3 3" xfId="5324" xr:uid="{00000000-0005-0000-0000-00006A210000}"/>
    <cellStyle name="Note 3 2 2 3 3 2" xfId="14650" xr:uid="{EC4190D4-536C-4E23-BE2A-065E70623A64}"/>
    <cellStyle name="Note 3 2 2 3 4" xfId="9370" xr:uid="{7A803908-679B-4EF0-9BD4-89724B1FB321}"/>
    <cellStyle name="Note 3 2 2 3 5" xfId="10433" xr:uid="{9141A3D4-C92B-42F0-9A30-FCCDD7487A45}"/>
    <cellStyle name="Note 3 2 2 4" xfId="1430" xr:uid="{00000000-0005-0000-0000-00006B210000}"/>
    <cellStyle name="Note 3 2 2 4 2" xfId="3660" xr:uid="{00000000-0005-0000-0000-00006C210000}"/>
    <cellStyle name="Note 3 2 2 4 2 2" xfId="7882" xr:uid="{00000000-0005-0000-0000-00006D210000}"/>
    <cellStyle name="Note 3 2 2 4 2 2 2" xfId="17208" xr:uid="{050BDC5C-63D9-4BEF-8AF2-990613229C40}"/>
    <cellStyle name="Note 3 2 2 4 2 3" xfId="12991" xr:uid="{69CDEC46-2BF5-4121-AC02-48E872DE37E5}"/>
    <cellStyle name="Note 3 2 2 4 3" xfId="5737" xr:uid="{00000000-0005-0000-0000-00006E210000}"/>
    <cellStyle name="Note 3 2 2 4 3 2" xfId="15063" xr:uid="{A5771CC0-BF4A-4690-8E86-717B39C10FC1}"/>
    <cellStyle name="Note 3 2 2 4 4" xfId="10846" xr:uid="{B5759DF3-DAF6-41C7-A719-8808538AE5C3}"/>
    <cellStyle name="Note 3 2 2 5" xfId="1844" xr:uid="{00000000-0005-0000-0000-00006F210000}"/>
    <cellStyle name="Note 3 2 2 5 2" xfId="4073" xr:uid="{00000000-0005-0000-0000-000070210000}"/>
    <cellStyle name="Note 3 2 2 5 2 2" xfId="8295" xr:uid="{00000000-0005-0000-0000-000071210000}"/>
    <cellStyle name="Note 3 2 2 5 2 2 2" xfId="17621" xr:uid="{2A89B049-F1EA-4BAC-9C13-1481D09A8462}"/>
    <cellStyle name="Note 3 2 2 5 2 3" xfId="13404" xr:uid="{6BD2A364-884F-4C55-B0F1-9C79946AF1E6}"/>
    <cellStyle name="Note 3 2 2 5 3" xfId="6150" xr:uid="{00000000-0005-0000-0000-000072210000}"/>
    <cellStyle name="Note 3 2 2 5 3 2" xfId="15476" xr:uid="{5F59F0EA-1CDA-451C-9D5F-635AF007A4B3}"/>
    <cellStyle name="Note 3 2 2 5 4" xfId="11259" xr:uid="{858CC87C-F735-4528-B437-0958BEC5F5AC}"/>
    <cellStyle name="Note 3 2 2 6" xfId="2257" xr:uid="{00000000-0005-0000-0000-000073210000}"/>
    <cellStyle name="Note 3 2 2 6 2" xfId="4486" xr:uid="{00000000-0005-0000-0000-000074210000}"/>
    <cellStyle name="Note 3 2 2 6 2 2" xfId="8708" xr:uid="{00000000-0005-0000-0000-000075210000}"/>
    <cellStyle name="Note 3 2 2 6 2 2 2" xfId="18034" xr:uid="{C85488F2-BA64-472D-88CE-AC69B0217104}"/>
    <cellStyle name="Note 3 2 2 6 2 3" xfId="13817" xr:uid="{D92B86C8-7649-4A3F-83D4-3A425281FA65}"/>
    <cellStyle name="Note 3 2 2 6 3" xfId="6563" xr:uid="{00000000-0005-0000-0000-000076210000}"/>
    <cellStyle name="Note 3 2 2 6 3 2" xfId="15889" xr:uid="{FA430A52-BBCA-4B7C-B3BC-8C0BF53CA098}"/>
    <cellStyle name="Note 3 2 2 6 4" xfId="11672" xr:uid="{538CBA02-CC19-4198-AE41-7D336BB746B7}"/>
    <cellStyle name="Note 3 2 2 7" xfId="2693" xr:uid="{00000000-0005-0000-0000-000077210000}"/>
    <cellStyle name="Note 3 2 2 7 2" xfId="6976" xr:uid="{00000000-0005-0000-0000-000078210000}"/>
    <cellStyle name="Note 3 2 2 7 2 2" xfId="16302" xr:uid="{FA81EB24-73C1-4F6D-8734-80E106156A35}"/>
    <cellStyle name="Note 3 2 2 7 3" xfId="12085" xr:uid="{7007377E-7AA3-4528-838B-03A08BB6648D}"/>
    <cellStyle name="Note 3 2 2 8" xfId="2752" xr:uid="{00000000-0005-0000-0000-000079210000}"/>
    <cellStyle name="Note 3 2 2 9" xfId="2833" xr:uid="{00000000-0005-0000-0000-00007A210000}"/>
    <cellStyle name="Note 3 2 2 9 2" xfId="7056" xr:uid="{00000000-0005-0000-0000-00007B210000}"/>
    <cellStyle name="Note 3 2 2 9 2 2" xfId="16382" xr:uid="{075B226C-A96B-4D64-867B-368F1DFA3659}"/>
    <cellStyle name="Note 3 2 2 9 3" xfId="12165" xr:uid="{4591DDAD-6388-4989-A885-51F442026035}"/>
    <cellStyle name="Note 3 2 3" xfId="557" xr:uid="{00000000-0005-0000-0000-00007C210000}"/>
    <cellStyle name="Note 3 2 3 10" xfId="9049" xr:uid="{98DA21AE-8EED-4AF2-A5D5-94394E9C9EFE}"/>
    <cellStyle name="Note 3 2 3 11" xfId="10022" xr:uid="{CFEAD119-B168-4413-AF28-7451DB657D24}"/>
    <cellStyle name="Note 3 2 3 2" xfId="1017" xr:uid="{00000000-0005-0000-0000-00007D210000}"/>
    <cellStyle name="Note 3 2 3 2 2" xfId="3249" xr:uid="{00000000-0005-0000-0000-00007E210000}"/>
    <cellStyle name="Note 3 2 3 2 2 2" xfId="7471" xr:uid="{00000000-0005-0000-0000-00007F210000}"/>
    <cellStyle name="Note 3 2 3 2 2 2 2" xfId="16797" xr:uid="{7990E243-E29E-4418-BCC1-228FE0403C7F}"/>
    <cellStyle name="Note 3 2 3 2 2 3" xfId="12580" xr:uid="{4F2F9A14-1066-4686-8D2F-CD15D11A38F4}"/>
    <cellStyle name="Note 3 2 3 2 3" xfId="5326" xr:uid="{00000000-0005-0000-0000-000080210000}"/>
    <cellStyle name="Note 3 2 3 2 3 2" xfId="14652" xr:uid="{007F678D-FE21-4F21-941B-8C23709DF8F7}"/>
    <cellStyle name="Note 3 2 3 2 4" xfId="9474" xr:uid="{8827394E-7DCF-4E58-BF45-94E8587F7D91}"/>
    <cellStyle name="Note 3 2 3 2 5" xfId="10435" xr:uid="{B9AA9CC8-6B3B-44C4-91B4-083AA761D4C1}"/>
    <cellStyle name="Note 3 2 3 3" xfId="1432" xr:uid="{00000000-0005-0000-0000-000081210000}"/>
    <cellStyle name="Note 3 2 3 3 2" xfId="3662" xr:uid="{00000000-0005-0000-0000-000082210000}"/>
    <cellStyle name="Note 3 2 3 3 2 2" xfId="7884" xr:uid="{00000000-0005-0000-0000-000083210000}"/>
    <cellStyle name="Note 3 2 3 3 2 2 2" xfId="17210" xr:uid="{59D339FF-C80C-481D-8351-929732E0B92D}"/>
    <cellStyle name="Note 3 2 3 3 2 3" xfId="12993" xr:uid="{CBF315EF-D108-41C9-9C79-480C03B9C36F}"/>
    <cellStyle name="Note 3 2 3 3 3" xfId="5739" xr:uid="{00000000-0005-0000-0000-000084210000}"/>
    <cellStyle name="Note 3 2 3 3 3 2" xfId="15065" xr:uid="{6D239F12-6063-4597-ADFE-309BBC1D166E}"/>
    <cellStyle name="Note 3 2 3 3 4" xfId="10848" xr:uid="{86F04AC5-BF5D-4DB6-AB8A-E09CF4FC535D}"/>
    <cellStyle name="Note 3 2 3 4" xfId="1846" xr:uid="{00000000-0005-0000-0000-000085210000}"/>
    <cellStyle name="Note 3 2 3 4 2" xfId="4075" xr:uid="{00000000-0005-0000-0000-000086210000}"/>
    <cellStyle name="Note 3 2 3 4 2 2" xfId="8297" xr:uid="{00000000-0005-0000-0000-000087210000}"/>
    <cellStyle name="Note 3 2 3 4 2 2 2" xfId="17623" xr:uid="{5E61495F-BA09-4F22-BB8F-355674E9585E}"/>
    <cellStyle name="Note 3 2 3 4 2 3" xfId="13406" xr:uid="{0FB79CA2-1854-4960-9108-D57A7398F146}"/>
    <cellStyle name="Note 3 2 3 4 3" xfId="6152" xr:uid="{00000000-0005-0000-0000-000088210000}"/>
    <cellStyle name="Note 3 2 3 4 3 2" xfId="15478" xr:uid="{5AE89F11-DA1C-491A-ACD5-171B57CD5BBA}"/>
    <cellStyle name="Note 3 2 3 4 4" xfId="11261" xr:uid="{8CDE98D8-4E32-4F3F-9542-AD3FE307FB63}"/>
    <cellStyle name="Note 3 2 3 5" xfId="2259" xr:uid="{00000000-0005-0000-0000-000089210000}"/>
    <cellStyle name="Note 3 2 3 5 2" xfId="4488" xr:uid="{00000000-0005-0000-0000-00008A210000}"/>
    <cellStyle name="Note 3 2 3 5 2 2" xfId="8710" xr:uid="{00000000-0005-0000-0000-00008B210000}"/>
    <cellStyle name="Note 3 2 3 5 2 2 2" xfId="18036" xr:uid="{99E5AE16-0150-4DCE-8DFD-E6506881560D}"/>
    <cellStyle name="Note 3 2 3 5 2 3" xfId="13819" xr:uid="{1871DD1D-59C5-43B1-81D8-EDF008BDC583}"/>
    <cellStyle name="Note 3 2 3 5 3" xfId="6565" xr:uid="{00000000-0005-0000-0000-00008C210000}"/>
    <cellStyle name="Note 3 2 3 5 3 2" xfId="15891" xr:uid="{D27DCBC6-59F6-43FE-A373-55618D96216A}"/>
    <cellStyle name="Note 3 2 3 5 4" xfId="11674" xr:uid="{9DC1D3C8-C4CA-45C9-871B-E0812581193E}"/>
    <cellStyle name="Note 3 2 3 6" xfId="2695" xr:uid="{00000000-0005-0000-0000-00008D210000}"/>
    <cellStyle name="Note 3 2 3 6 2" xfId="6978" xr:uid="{00000000-0005-0000-0000-00008E210000}"/>
    <cellStyle name="Note 3 2 3 6 2 2" xfId="16304" xr:uid="{FFBE515F-5F23-4B13-A3FD-A93361A25747}"/>
    <cellStyle name="Note 3 2 3 6 3" xfId="12087" xr:uid="{067C3D89-517A-47A2-9341-D58E0F7DEB1B}"/>
    <cellStyle name="Note 3 2 3 7" xfId="2754" xr:uid="{00000000-0005-0000-0000-00008F210000}"/>
    <cellStyle name="Note 3 2 3 8" xfId="2835" xr:uid="{00000000-0005-0000-0000-000090210000}"/>
    <cellStyle name="Note 3 2 3 8 2" xfId="7058" xr:uid="{00000000-0005-0000-0000-000091210000}"/>
    <cellStyle name="Note 3 2 3 8 2 2" xfId="16384" xr:uid="{2F0DB676-1BFC-496A-9CE7-D8746303E6C3}"/>
    <cellStyle name="Note 3 2 3 8 3" xfId="12167" xr:uid="{993DA6DD-6D3B-42C1-B633-1A4832967E48}"/>
    <cellStyle name="Note 3 2 3 9" xfId="4913" xr:uid="{00000000-0005-0000-0000-000092210000}"/>
    <cellStyle name="Note 3 2 3 9 2" xfId="14239" xr:uid="{4C00330B-D13F-43A6-B80B-57B327D3FFB8}"/>
    <cellStyle name="Note 3 2 4" xfId="1014" xr:uid="{00000000-0005-0000-0000-000093210000}"/>
    <cellStyle name="Note 3 2 4 2" xfId="3246" xr:uid="{00000000-0005-0000-0000-000094210000}"/>
    <cellStyle name="Note 3 2 4 2 2" xfId="7468" xr:uid="{00000000-0005-0000-0000-000095210000}"/>
    <cellStyle name="Note 3 2 4 2 2 2" xfId="16794" xr:uid="{17EDBF3B-5693-479F-9D4A-A42D8FE0B731}"/>
    <cellStyle name="Note 3 2 4 2 3" xfId="12577" xr:uid="{1C255353-B77D-41D5-8A76-E7D6E9EE736F}"/>
    <cellStyle name="Note 3 2 4 3" xfId="5323" xr:uid="{00000000-0005-0000-0000-000096210000}"/>
    <cellStyle name="Note 3 2 4 3 2" xfId="14649" xr:uid="{D1AEF128-774E-4FF2-9978-5B38E9ECF093}"/>
    <cellStyle name="Note 3 2 4 4" xfId="9267" xr:uid="{1291CED5-E18E-4F1A-8856-A132B18F5C81}"/>
    <cellStyle name="Note 3 2 4 5" xfId="10432" xr:uid="{92D95B0E-4CD8-471F-AECC-0747D57A0110}"/>
    <cellStyle name="Note 3 2 5" xfId="1429" xr:uid="{00000000-0005-0000-0000-000097210000}"/>
    <cellStyle name="Note 3 2 5 2" xfId="3659" xr:uid="{00000000-0005-0000-0000-000098210000}"/>
    <cellStyle name="Note 3 2 5 2 2" xfId="7881" xr:uid="{00000000-0005-0000-0000-000099210000}"/>
    <cellStyle name="Note 3 2 5 2 2 2" xfId="17207" xr:uid="{2BC891B1-DD14-424F-B93E-4DB079E707E4}"/>
    <cellStyle name="Note 3 2 5 2 3" xfId="12990" xr:uid="{53408571-6058-41BD-831B-E0ACB66258FC}"/>
    <cellStyle name="Note 3 2 5 3" xfId="5736" xr:uid="{00000000-0005-0000-0000-00009A210000}"/>
    <cellStyle name="Note 3 2 5 3 2" xfId="15062" xr:uid="{D5C28390-404A-4BDE-9146-21DFC38A6541}"/>
    <cellStyle name="Note 3 2 5 4" xfId="10845" xr:uid="{A8678B45-2210-4691-A295-1C4B3515CAF6}"/>
    <cellStyle name="Note 3 2 6" xfId="1843" xr:uid="{00000000-0005-0000-0000-00009B210000}"/>
    <cellStyle name="Note 3 2 6 2" xfId="4072" xr:uid="{00000000-0005-0000-0000-00009C210000}"/>
    <cellStyle name="Note 3 2 6 2 2" xfId="8294" xr:uid="{00000000-0005-0000-0000-00009D210000}"/>
    <cellStyle name="Note 3 2 6 2 2 2" xfId="17620" xr:uid="{29E53B70-6EE4-4CB6-A492-F91A4082C400}"/>
    <cellStyle name="Note 3 2 6 2 3" xfId="13403" xr:uid="{ACF6C6F4-2A5D-492A-8905-2BA3FC475B04}"/>
    <cellStyle name="Note 3 2 6 3" xfId="6149" xr:uid="{00000000-0005-0000-0000-00009E210000}"/>
    <cellStyle name="Note 3 2 6 3 2" xfId="15475" xr:uid="{528301F5-5FD8-43C9-9897-0DC2F9B66241}"/>
    <cellStyle name="Note 3 2 6 4" xfId="11258" xr:uid="{66E5ADDD-D159-4E5E-99CE-C705725DE1CE}"/>
    <cellStyle name="Note 3 2 7" xfId="2256" xr:uid="{00000000-0005-0000-0000-00009F210000}"/>
    <cellStyle name="Note 3 2 7 2" xfId="4485" xr:uid="{00000000-0005-0000-0000-0000A0210000}"/>
    <cellStyle name="Note 3 2 7 2 2" xfId="8707" xr:uid="{00000000-0005-0000-0000-0000A1210000}"/>
    <cellStyle name="Note 3 2 7 2 2 2" xfId="18033" xr:uid="{EBF67E07-792C-4382-817F-FDD70050BD9A}"/>
    <cellStyle name="Note 3 2 7 2 3" xfId="13816" xr:uid="{CA299790-3F5D-4C4B-B80E-042C959D3BF2}"/>
    <cellStyle name="Note 3 2 7 3" xfId="6562" xr:uid="{00000000-0005-0000-0000-0000A2210000}"/>
    <cellStyle name="Note 3 2 7 3 2" xfId="15888" xr:uid="{C82139E7-BB47-4551-A17B-DCAB30BD8542}"/>
    <cellStyle name="Note 3 2 7 4" xfId="11671" xr:uid="{E454F80F-DC63-4518-9C1D-638B78F5C89E}"/>
    <cellStyle name="Note 3 2 8" xfId="2692" xr:uid="{00000000-0005-0000-0000-0000A3210000}"/>
    <cellStyle name="Note 3 2 8 2" xfId="6975" xr:uid="{00000000-0005-0000-0000-0000A4210000}"/>
    <cellStyle name="Note 3 2 8 2 2" xfId="16301" xr:uid="{66A507CF-C8BB-48B3-9889-6B354A5C197B}"/>
    <cellStyle name="Note 3 2 8 3" xfId="12084" xr:uid="{B5B659B2-D01C-44C6-9985-B5648737B9ED}"/>
    <cellStyle name="Note 3 2 9" xfId="2751" xr:uid="{00000000-0005-0000-0000-0000A5210000}"/>
    <cellStyle name="Note 3 3" xfId="558" xr:uid="{00000000-0005-0000-0000-0000A6210000}"/>
    <cellStyle name="Note 3 3 10" xfId="4914" xr:uid="{00000000-0005-0000-0000-0000A7210000}"/>
    <cellStyle name="Note 3 3 10 2" xfId="14240" xr:uid="{157ABD76-22F1-4444-AF7A-2E123697BF5C}"/>
    <cellStyle name="Note 3 3 11" xfId="8892" xr:uid="{8511F94A-7472-4DD0-A9AB-40754FEE5F47}"/>
    <cellStyle name="Note 3 3 12" xfId="10023" xr:uid="{8514474F-0707-4031-9AF7-8CF7C96681F0}"/>
    <cellStyle name="Note 3 3 2" xfId="559" xr:uid="{00000000-0005-0000-0000-0000A8210000}"/>
    <cellStyle name="Note 3 3 2 10" xfId="9099" xr:uid="{29F3AC20-D296-4B59-BA53-0A5C025B0569}"/>
    <cellStyle name="Note 3 3 2 11" xfId="10024" xr:uid="{AC5581ED-21C2-454A-9B1A-BBBBC8F3B88F}"/>
    <cellStyle name="Note 3 3 2 2" xfId="1019" xr:uid="{00000000-0005-0000-0000-0000A9210000}"/>
    <cellStyle name="Note 3 3 2 2 2" xfId="3251" xr:uid="{00000000-0005-0000-0000-0000AA210000}"/>
    <cellStyle name="Note 3 3 2 2 2 2" xfId="7473" xr:uid="{00000000-0005-0000-0000-0000AB210000}"/>
    <cellStyle name="Note 3 3 2 2 2 2 2" xfId="16799" xr:uid="{C8D3CDD6-1B3C-4708-99DD-9A1EA527655C}"/>
    <cellStyle name="Note 3 3 2 2 2 3" xfId="12582" xr:uid="{D3DDBD23-6C44-45F1-AEE8-C44807FD7975}"/>
    <cellStyle name="Note 3 3 2 2 3" xfId="5328" xr:uid="{00000000-0005-0000-0000-0000AC210000}"/>
    <cellStyle name="Note 3 3 2 2 3 2" xfId="14654" xr:uid="{F9FAA30B-3439-49F6-B542-B97DB467CEB2}"/>
    <cellStyle name="Note 3 3 2 2 4" xfId="9524" xr:uid="{D03F5DE7-D9AB-48C0-A1E3-0A929D2C18C5}"/>
    <cellStyle name="Note 3 3 2 2 5" xfId="10437" xr:uid="{73CF5F02-A7AF-45AB-920C-B1C894759E31}"/>
    <cellStyle name="Note 3 3 2 3" xfId="1434" xr:uid="{00000000-0005-0000-0000-0000AD210000}"/>
    <cellStyle name="Note 3 3 2 3 2" xfId="3664" xr:uid="{00000000-0005-0000-0000-0000AE210000}"/>
    <cellStyle name="Note 3 3 2 3 2 2" xfId="7886" xr:uid="{00000000-0005-0000-0000-0000AF210000}"/>
    <cellStyle name="Note 3 3 2 3 2 2 2" xfId="17212" xr:uid="{C1FF2655-5886-4A09-9AEB-EA1DBF9B7AD1}"/>
    <cellStyle name="Note 3 3 2 3 2 3" xfId="12995" xr:uid="{835F501C-43C1-4652-BA9D-0CE5198A5CF8}"/>
    <cellStyle name="Note 3 3 2 3 3" xfId="5741" xr:uid="{00000000-0005-0000-0000-0000B0210000}"/>
    <cellStyle name="Note 3 3 2 3 3 2" xfId="15067" xr:uid="{04C2BBE0-E7A6-49FE-99D1-F180C8DAD3F2}"/>
    <cellStyle name="Note 3 3 2 3 4" xfId="10850" xr:uid="{F6113E3C-E9AD-4258-9785-2838C67AE04F}"/>
    <cellStyle name="Note 3 3 2 4" xfId="1848" xr:uid="{00000000-0005-0000-0000-0000B1210000}"/>
    <cellStyle name="Note 3 3 2 4 2" xfId="4077" xr:uid="{00000000-0005-0000-0000-0000B2210000}"/>
    <cellStyle name="Note 3 3 2 4 2 2" xfId="8299" xr:uid="{00000000-0005-0000-0000-0000B3210000}"/>
    <cellStyle name="Note 3 3 2 4 2 2 2" xfId="17625" xr:uid="{28840D17-EE6C-4045-9089-24BFF2105852}"/>
    <cellStyle name="Note 3 3 2 4 2 3" xfId="13408" xr:uid="{A001DC36-F499-4000-A276-2F138EF5C22D}"/>
    <cellStyle name="Note 3 3 2 4 3" xfId="6154" xr:uid="{00000000-0005-0000-0000-0000B4210000}"/>
    <cellStyle name="Note 3 3 2 4 3 2" xfId="15480" xr:uid="{85A73F72-B111-429C-82F6-4AD9E8A3940E}"/>
    <cellStyle name="Note 3 3 2 4 4" xfId="11263" xr:uid="{77A1E8B1-C25B-4115-88E7-453757F1A8D4}"/>
    <cellStyle name="Note 3 3 2 5" xfId="2261" xr:uid="{00000000-0005-0000-0000-0000B5210000}"/>
    <cellStyle name="Note 3 3 2 5 2" xfId="4490" xr:uid="{00000000-0005-0000-0000-0000B6210000}"/>
    <cellStyle name="Note 3 3 2 5 2 2" xfId="8712" xr:uid="{00000000-0005-0000-0000-0000B7210000}"/>
    <cellStyle name="Note 3 3 2 5 2 2 2" xfId="18038" xr:uid="{3D8034B8-9B36-4E66-94D4-99EE83652BAA}"/>
    <cellStyle name="Note 3 3 2 5 2 3" xfId="13821" xr:uid="{B86B358E-2113-44DA-A66C-85458269A199}"/>
    <cellStyle name="Note 3 3 2 5 3" xfId="6567" xr:uid="{00000000-0005-0000-0000-0000B8210000}"/>
    <cellStyle name="Note 3 3 2 5 3 2" xfId="15893" xr:uid="{43463986-7ABE-4349-BA69-57323BD5B48F}"/>
    <cellStyle name="Note 3 3 2 5 4" xfId="11676" xr:uid="{560672D6-048D-4755-A4AD-1613EB3CE103}"/>
    <cellStyle name="Note 3 3 2 6" xfId="2697" xr:uid="{00000000-0005-0000-0000-0000B9210000}"/>
    <cellStyle name="Note 3 3 2 6 2" xfId="6980" xr:uid="{00000000-0005-0000-0000-0000BA210000}"/>
    <cellStyle name="Note 3 3 2 6 2 2" xfId="16306" xr:uid="{5CFE5FD7-944B-45E9-8505-4EB2DEC14C59}"/>
    <cellStyle name="Note 3 3 2 6 3" xfId="12089" xr:uid="{9FE93185-4446-4322-9367-67FFC4DBF43A}"/>
    <cellStyle name="Note 3 3 2 7" xfId="2756" xr:uid="{00000000-0005-0000-0000-0000BB210000}"/>
    <cellStyle name="Note 3 3 2 8" xfId="2837" xr:uid="{00000000-0005-0000-0000-0000BC210000}"/>
    <cellStyle name="Note 3 3 2 8 2" xfId="7060" xr:uid="{00000000-0005-0000-0000-0000BD210000}"/>
    <cellStyle name="Note 3 3 2 8 2 2" xfId="16386" xr:uid="{AC1B2A23-D5E5-4657-B126-1DFFA53091DF}"/>
    <cellStyle name="Note 3 3 2 8 3" xfId="12169" xr:uid="{06E25882-49C6-45CD-9619-47CAB35594EF}"/>
    <cellStyle name="Note 3 3 2 9" xfId="4915" xr:uid="{00000000-0005-0000-0000-0000BE210000}"/>
    <cellStyle name="Note 3 3 2 9 2" xfId="14241" xr:uid="{B97D142D-C947-489A-BCAE-1CCC0663433E}"/>
    <cellStyle name="Note 3 3 3" xfId="1018" xr:uid="{00000000-0005-0000-0000-0000BF210000}"/>
    <cellStyle name="Note 3 3 3 2" xfId="3250" xr:uid="{00000000-0005-0000-0000-0000C0210000}"/>
    <cellStyle name="Note 3 3 3 2 2" xfId="7472" xr:uid="{00000000-0005-0000-0000-0000C1210000}"/>
    <cellStyle name="Note 3 3 3 2 2 2" xfId="16798" xr:uid="{6D6E71EC-DCF4-4BEE-A10A-60647BBCD5B1}"/>
    <cellStyle name="Note 3 3 3 2 3" xfId="12581" xr:uid="{3258E407-BA8D-4127-959D-7C1A36E288EE}"/>
    <cellStyle name="Note 3 3 3 3" xfId="5327" xr:uid="{00000000-0005-0000-0000-0000C2210000}"/>
    <cellStyle name="Note 3 3 3 3 2" xfId="14653" xr:uid="{5857F7E7-2FE6-43A5-B0A0-8006F301098A}"/>
    <cellStyle name="Note 3 3 3 4" xfId="9317" xr:uid="{171D8024-554D-4F15-BFD3-81CBE1A601EA}"/>
    <cellStyle name="Note 3 3 3 5" xfId="10436" xr:uid="{3DBE129F-95C1-4C1C-8A97-53C246C85080}"/>
    <cellStyle name="Note 3 3 4" xfId="1433" xr:uid="{00000000-0005-0000-0000-0000C3210000}"/>
    <cellStyle name="Note 3 3 4 2" xfId="3663" xr:uid="{00000000-0005-0000-0000-0000C4210000}"/>
    <cellStyle name="Note 3 3 4 2 2" xfId="7885" xr:uid="{00000000-0005-0000-0000-0000C5210000}"/>
    <cellStyle name="Note 3 3 4 2 2 2" xfId="17211" xr:uid="{A82B44F9-FB0C-429B-A5D6-268EF0548F86}"/>
    <cellStyle name="Note 3 3 4 2 3" xfId="12994" xr:uid="{B8C4B558-20CC-48E2-A487-FAFE03F5B92B}"/>
    <cellStyle name="Note 3 3 4 3" xfId="5740" xr:uid="{00000000-0005-0000-0000-0000C6210000}"/>
    <cellStyle name="Note 3 3 4 3 2" xfId="15066" xr:uid="{36F9D4B7-3778-4677-8223-CFB4265EE872}"/>
    <cellStyle name="Note 3 3 4 4" xfId="10849" xr:uid="{E31200DA-BA5E-4B22-AE56-C0D29897327D}"/>
    <cellStyle name="Note 3 3 5" xfId="1847" xr:uid="{00000000-0005-0000-0000-0000C7210000}"/>
    <cellStyle name="Note 3 3 5 2" xfId="4076" xr:uid="{00000000-0005-0000-0000-0000C8210000}"/>
    <cellStyle name="Note 3 3 5 2 2" xfId="8298" xr:uid="{00000000-0005-0000-0000-0000C9210000}"/>
    <cellStyle name="Note 3 3 5 2 2 2" xfId="17624" xr:uid="{B445B538-C269-493F-AAAB-CD4EBC719391}"/>
    <cellStyle name="Note 3 3 5 2 3" xfId="13407" xr:uid="{4367C090-8421-417D-AE59-C06CB3AD364B}"/>
    <cellStyle name="Note 3 3 5 3" xfId="6153" xr:uid="{00000000-0005-0000-0000-0000CA210000}"/>
    <cellStyle name="Note 3 3 5 3 2" xfId="15479" xr:uid="{7BB2FEDF-6E78-4B2F-AB63-22EC037ACA1E}"/>
    <cellStyle name="Note 3 3 5 4" xfId="11262" xr:uid="{8C74A1C7-5CA7-43F9-8902-3CD013B99FEB}"/>
    <cellStyle name="Note 3 3 6" xfId="2260" xr:uid="{00000000-0005-0000-0000-0000CB210000}"/>
    <cellStyle name="Note 3 3 6 2" xfId="4489" xr:uid="{00000000-0005-0000-0000-0000CC210000}"/>
    <cellStyle name="Note 3 3 6 2 2" xfId="8711" xr:uid="{00000000-0005-0000-0000-0000CD210000}"/>
    <cellStyle name="Note 3 3 6 2 2 2" xfId="18037" xr:uid="{B4A140A3-6635-4299-9004-6C8261C6168A}"/>
    <cellStyle name="Note 3 3 6 2 3" xfId="13820" xr:uid="{BCA201BB-FAEC-4458-85CE-610B087E37A2}"/>
    <cellStyle name="Note 3 3 6 3" xfId="6566" xr:uid="{00000000-0005-0000-0000-0000CE210000}"/>
    <cellStyle name="Note 3 3 6 3 2" xfId="15892" xr:uid="{F8022F0B-9CDA-47E8-B7C8-82DCF9C01E6E}"/>
    <cellStyle name="Note 3 3 6 4" xfId="11675" xr:uid="{596F782D-155A-49A0-A59B-85AC5F704B8C}"/>
    <cellStyle name="Note 3 3 7" xfId="2696" xr:uid="{00000000-0005-0000-0000-0000CF210000}"/>
    <cellStyle name="Note 3 3 7 2" xfId="6979" xr:uid="{00000000-0005-0000-0000-0000D0210000}"/>
    <cellStyle name="Note 3 3 7 2 2" xfId="16305" xr:uid="{9969BFF5-377B-44FB-BCCB-DCA4B14E72AE}"/>
    <cellStyle name="Note 3 3 7 3" xfId="12088" xr:uid="{CEF35EC3-DCDB-4060-8C4A-00A952F3386A}"/>
    <cellStyle name="Note 3 3 8" xfId="2755" xr:uid="{00000000-0005-0000-0000-0000D1210000}"/>
    <cellStyle name="Note 3 3 9" xfId="2836" xr:uid="{00000000-0005-0000-0000-0000D2210000}"/>
    <cellStyle name="Note 3 3 9 2" xfId="7059" xr:uid="{00000000-0005-0000-0000-0000D3210000}"/>
    <cellStyle name="Note 3 3 9 2 2" xfId="16385" xr:uid="{BE7FEC27-CBCA-4DCA-9C1B-9DB5310B7121}"/>
    <cellStyle name="Note 3 3 9 3" xfId="12168" xr:uid="{90435F34-47C6-4814-B015-98F92E21A920}"/>
    <cellStyle name="Note 3 4" xfId="560" xr:uid="{00000000-0005-0000-0000-0000D4210000}"/>
    <cellStyle name="Note 3 4 10" xfId="8996" xr:uid="{0D704BEA-0820-4E61-9EA3-F4C1E73C6543}"/>
    <cellStyle name="Note 3 4 11" xfId="10025" xr:uid="{75BBED67-246E-4F1A-B8C5-032B1837C1C6}"/>
    <cellStyle name="Note 3 4 2" xfId="1020" xr:uid="{00000000-0005-0000-0000-0000D5210000}"/>
    <cellStyle name="Note 3 4 2 2" xfId="3252" xr:uid="{00000000-0005-0000-0000-0000D6210000}"/>
    <cellStyle name="Note 3 4 2 2 2" xfId="7474" xr:uid="{00000000-0005-0000-0000-0000D7210000}"/>
    <cellStyle name="Note 3 4 2 2 2 2" xfId="16800" xr:uid="{8737DEFE-BED4-4514-9D91-98726D3E5E6B}"/>
    <cellStyle name="Note 3 4 2 2 3" xfId="12583" xr:uid="{9A0ACE3A-ACDA-49F7-B652-B027E4721343}"/>
    <cellStyle name="Note 3 4 2 3" xfId="5329" xr:uid="{00000000-0005-0000-0000-0000D8210000}"/>
    <cellStyle name="Note 3 4 2 3 2" xfId="14655" xr:uid="{62813B7E-75DC-45C2-8D2C-3D1F53446172}"/>
    <cellStyle name="Note 3 4 2 4" xfId="9421" xr:uid="{EC0A57E0-416C-4EC5-866A-A09E44531CB5}"/>
    <cellStyle name="Note 3 4 2 5" xfId="10438" xr:uid="{12586882-75C7-46BD-8DE7-D8C12D15C6F5}"/>
    <cellStyle name="Note 3 4 3" xfId="1435" xr:uid="{00000000-0005-0000-0000-0000D9210000}"/>
    <cellStyle name="Note 3 4 3 2" xfId="3665" xr:uid="{00000000-0005-0000-0000-0000DA210000}"/>
    <cellStyle name="Note 3 4 3 2 2" xfId="7887" xr:uid="{00000000-0005-0000-0000-0000DB210000}"/>
    <cellStyle name="Note 3 4 3 2 2 2" xfId="17213" xr:uid="{69234478-40DB-4AD0-9974-E7DB0AD34C37}"/>
    <cellStyle name="Note 3 4 3 2 3" xfId="12996" xr:uid="{C8796D78-3F8C-40A3-B2E9-31E79A165272}"/>
    <cellStyle name="Note 3 4 3 3" xfId="5742" xr:uid="{00000000-0005-0000-0000-0000DC210000}"/>
    <cellStyle name="Note 3 4 3 3 2" xfId="15068" xr:uid="{CCFAF6B0-6621-4128-9053-B2C5A2D6EC8D}"/>
    <cellStyle name="Note 3 4 3 4" xfId="10851" xr:uid="{00EDD884-4448-4BB3-A386-123400833620}"/>
    <cellStyle name="Note 3 4 4" xfId="1849" xr:uid="{00000000-0005-0000-0000-0000DD210000}"/>
    <cellStyle name="Note 3 4 4 2" xfId="4078" xr:uid="{00000000-0005-0000-0000-0000DE210000}"/>
    <cellStyle name="Note 3 4 4 2 2" xfId="8300" xr:uid="{00000000-0005-0000-0000-0000DF210000}"/>
    <cellStyle name="Note 3 4 4 2 2 2" xfId="17626" xr:uid="{39BD71E6-D1C1-4F4F-AAB1-EFCB61D4B462}"/>
    <cellStyle name="Note 3 4 4 2 3" xfId="13409" xr:uid="{FA3BCAB7-BDC1-46EE-AA21-0B56FCBDDC36}"/>
    <cellStyle name="Note 3 4 4 3" xfId="6155" xr:uid="{00000000-0005-0000-0000-0000E0210000}"/>
    <cellStyle name="Note 3 4 4 3 2" xfId="15481" xr:uid="{526A2C8F-BA6D-4727-9958-3C2FF6B42176}"/>
    <cellStyle name="Note 3 4 4 4" xfId="11264" xr:uid="{29B529D6-B594-4FA7-BF16-56B272CAF767}"/>
    <cellStyle name="Note 3 4 5" xfId="2262" xr:uid="{00000000-0005-0000-0000-0000E1210000}"/>
    <cellStyle name="Note 3 4 5 2" xfId="4491" xr:uid="{00000000-0005-0000-0000-0000E2210000}"/>
    <cellStyle name="Note 3 4 5 2 2" xfId="8713" xr:uid="{00000000-0005-0000-0000-0000E3210000}"/>
    <cellStyle name="Note 3 4 5 2 2 2" xfId="18039" xr:uid="{2F9462E6-EB23-49AE-BD80-889DE6E32473}"/>
    <cellStyle name="Note 3 4 5 2 3" xfId="13822" xr:uid="{AABCFD67-EDCE-4118-8E78-B62466709E54}"/>
    <cellStyle name="Note 3 4 5 3" xfId="6568" xr:uid="{00000000-0005-0000-0000-0000E4210000}"/>
    <cellStyle name="Note 3 4 5 3 2" xfId="15894" xr:uid="{2FCDACDF-8E8A-47EC-B95A-606FD940B093}"/>
    <cellStyle name="Note 3 4 5 4" xfId="11677" xr:uid="{931F43D9-073E-45DD-BB06-4E0C2987E1EB}"/>
    <cellStyle name="Note 3 4 6" xfId="2698" xr:uid="{00000000-0005-0000-0000-0000E5210000}"/>
    <cellStyle name="Note 3 4 6 2" xfId="6981" xr:uid="{00000000-0005-0000-0000-0000E6210000}"/>
    <cellStyle name="Note 3 4 6 2 2" xfId="16307" xr:uid="{4FBB4AD9-3FF8-451D-836B-D81DBECE3F10}"/>
    <cellStyle name="Note 3 4 6 3" xfId="12090" xr:uid="{37162FEE-18F7-4721-9844-8A07377E1DBA}"/>
    <cellStyle name="Note 3 4 7" xfId="2757" xr:uid="{00000000-0005-0000-0000-0000E7210000}"/>
    <cellStyle name="Note 3 4 8" xfId="2838" xr:uid="{00000000-0005-0000-0000-0000E8210000}"/>
    <cellStyle name="Note 3 4 8 2" xfId="7061" xr:uid="{00000000-0005-0000-0000-0000E9210000}"/>
    <cellStyle name="Note 3 4 8 2 2" xfId="16387" xr:uid="{34979DA4-921D-430B-BE7B-C0E3618142D4}"/>
    <cellStyle name="Note 3 4 8 3" xfId="12170" xr:uid="{CBE6D100-2A27-456F-9D26-C00F85B9E5DD}"/>
    <cellStyle name="Note 3 4 9" xfId="4916" xr:uid="{00000000-0005-0000-0000-0000EA210000}"/>
    <cellStyle name="Note 3 4 9 2" xfId="14242" xr:uid="{AE16AA25-D7D2-4100-91C2-25B0377B0CDA}"/>
    <cellStyle name="Note 3 5" xfId="561" xr:uid="{00000000-0005-0000-0000-0000EB210000}"/>
    <cellStyle name="Note 3 5 10" xfId="9213" xr:uid="{D9D7FB9A-B03C-4A97-A778-36731B43DF3F}"/>
    <cellStyle name="Note 3 5 11" xfId="10026" xr:uid="{A6AE53FB-A1DE-4E15-86FD-C31426E13834}"/>
    <cellStyle name="Note 3 5 2" xfId="1021" xr:uid="{00000000-0005-0000-0000-0000EC210000}"/>
    <cellStyle name="Note 3 5 2 2" xfId="3253" xr:uid="{00000000-0005-0000-0000-0000ED210000}"/>
    <cellStyle name="Note 3 5 2 2 2" xfId="7475" xr:uid="{00000000-0005-0000-0000-0000EE210000}"/>
    <cellStyle name="Note 3 5 2 2 2 2" xfId="16801" xr:uid="{1334EC84-9C51-4194-95F4-34FD06DDA866}"/>
    <cellStyle name="Note 3 5 2 2 3" xfId="12584" xr:uid="{D1F0F17C-F451-43FC-9803-DA3A10FF88E7}"/>
    <cellStyle name="Note 3 5 2 3" xfId="5330" xr:uid="{00000000-0005-0000-0000-0000EF210000}"/>
    <cellStyle name="Note 3 5 2 3 2" xfId="14656" xr:uid="{53F86D1C-753A-407F-8FFE-0F05B2775667}"/>
    <cellStyle name="Note 3 5 2 4" xfId="9611" xr:uid="{74765414-66B3-4FDA-BA21-3BFFEF98E338}"/>
    <cellStyle name="Note 3 5 2 5" xfId="10439" xr:uid="{D372170D-1BDD-4E1C-9F0C-D03264401DD1}"/>
    <cellStyle name="Note 3 5 3" xfId="1436" xr:uid="{00000000-0005-0000-0000-0000F0210000}"/>
    <cellStyle name="Note 3 5 3 2" xfId="3666" xr:uid="{00000000-0005-0000-0000-0000F1210000}"/>
    <cellStyle name="Note 3 5 3 2 2" xfId="7888" xr:uid="{00000000-0005-0000-0000-0000F2210000}"/>
    <cellStyle name="Note 3 5 3 2 2 2" xfId="17214" xr:uid="{825A6E4A-FBFB-4276-B74C-1DF2B3593DAE}"/>
    <cellStyle name="Note 3 5 3 2 3" xfId="12997" xr:uid="{87FF131E-5E7C-4F2D-993B-BAFA6E1FE7C1}"/>
    <cellStyle name="Note 3 5 3 3" xfId="5743" xr:uid="{00000000-0005-0000-0000-0000F3210000}"/>
    <cellStyle name="Note 3 5 3 3 2" xfId="15069" xr:uid="{B85482E8-756E-4AEC-8B2D-598ACC6E59F3}"/>
    <cellStyle name="Note 3 5 3 4" xfId="10852" xr:uid="{7CE0556E-6D9C-4505-8A3F-87A5F5A62118}"/>
    <cellStyle name="Note 3 5 4" xfId="1850" xr:uid="{00000000-0005-0000-0000-0000F4210000}"/>
    <cellStyle name="Note 3 5 4 2" xfId="4079" xr:uid="{00000000-0005-0000-0000-0000F5210000}"/>
    <cellStyle name="Note 3 5 4 2 2" xfId="8301" xr:uid="{00000000-0005-0000-0000-0000F6210000}"/>
    <cellStyle name="Note 3 5 4 2 2 2" xfId="17627" xr:uid="{F2A320A1-64C3-4A57-9C12-CC84A7760C3D}"/>
    <cellStyle name="Note 3 5 4 2 3" xfId="13410" xr:uid="{5296037D-94C0-4F0A-BBF5-4DF050D55822}"/>
    <cellStyle name="Note 3 5 4 3" xfId="6156" xr:uid="{00000000-0005-0000-0000-0000F7210000}"/>
    <cellStyle name="Note 3 5 4 3 2" xfId="15482" xr:uid="{9CB6B350-CDA4-4983-8BE0-570AFC6C9D0C}"/>
    <cellStyle name="Note 3 5 4 4" xfId="11265" xr:uid="{258C781F-5ADF-438B-ABB7-D5396744E663}"/>
    <cellStyle name="Note 3 5 5" xfId="2263" xr:uid="{00000000-0005-0000-0000-0000F8210000}"/>
    <cellStyle name="Note 3 5 5 2" xfId="4492" xr:uid="{00000000-0005-0000-0000-0000F9210000}"/>
    <cellStyle name="Note 3 5 5 2 2" xfId="8714" xr:uid="{00000000-0005-0000-0000-0000FA210000}"/>
    <cellStyle name="Note 3 5 5 2 2 2" xfId="18040" xr:uid="{1B53525B-82A0-4D21-B3BA-33E0C5335AE4}"/>
    <cellStyle name="Note 3 5 5 2 3" xfId="13823" xr:uid="{05DC586B-EA54-4AE3-9429-119D498DADA1}"/>
    <cellStyle name="Note 3 5 5 3" xfId="6569" xr:uid="{00000000-0005-0000-0000-0000FB210000}"/>
    <cellStyle name="Note 3 5 5 3 2" xfId="15895" xr:uid="{55CFF024-98E9-4033-98D3-6FF7AA6EB29C}"/>
    <cellStyle name="Note 3 5 5 4" xfId="11678" xr:uid="{F5A425B8-1C04-4CA7-8FF4-ABC35B72C716}"/>
    <cellStyle name="Note 3 5 6" xfId="2699" xr:uid="{00000000-0005-0000-0000-0000FC210000}"/>
    <cellStyle name="Note 3 5 6 2" xfId="6982" xr:uid="{00000000-0005-0000-0000-0000FD210000}"/>
    <cellStyle name="Note 3 5 6 2 2" xfId="16308" xr:uid="{5F84B3D6-5B41-4A19-9799-5D2C5BD98FDA}"/>
    <cellStyle name="Note 3 5 6 3" xfId="12091" xr:uid="{BC6447D3-F4ED-4A97-9B5D-00A9B5428144}"/>
    <cellStyle name="Note 3 5 7" xfId="2758" xr:uid="{00000000-0005-0000-0000-0000FE210000}"/>
    <cellStyle name="Note 3 5 8" xfId="2839" xr:uid="{00000000-0005-0000-0000-0000FF210000}"/>
    <cellStyle name="Note 3 5 8 2" xfId="7062" xr:uid="{00000000-0005-0000-0000-000000220000}"/>
    <cellStyle name="Note 3 5 8 2 2" xfId="16388" xr:uid="{B5EBD621-141A-4278-9482-3ACDE2FF90AF}"/>
    <cellStyle name="Note 3 5 8 3" xfId="12171" xr:uid="{7D0C5029-8388-468D-991A-5CE381400583}"/>
    <cellStyle name="Note 3 5 9" xfId="4917" xr:uid="{00000000-0005-0000-0000-000001220000}"/>
    <cellStyle name="Note 3 5 9 2" xfId="14243" xr:uid="{2A579942-47C5-4BCA-9FD0-89F7EDD3EA11}"/>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3C4B5578-D46A-42AC-B749-85AB57DDC105}"/>
    <cellStyle name="Percent 4" xfId="4502" xr:uid="{00000000-0005-0000-0000-000007220000}"/>
    <cellStyle name="Percent 4 2" xfId="8717" xr:uid="{00000000-0005-0000-0000-000008220000}"/>
    <cellStyle name="Percent 4 2 2" xfId="18043" xr:uid="{A42290CA-F3E2-4CD9-B588-E25573C2DF04}"/>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8059" xr:uid="{03C735C4-F87D-4A88-8351-313C07544992}"/>
    <cellStyle name="Percent 4 3 2 2 2 3" xfId="18056" xr:uid="{01FD6248-375C-4229-AE75-26D37BB4A6A0}"/>
    <cellStyle name="Percent 4 3 2 2 3" xfId="18052" xr:uid="{8ECEFFE0-8A85-40FE-9706-A20BB6C76098}"/>
    <cellStyle name="Percent 4 3 2 3" xfId="18049" xr:uid="{56876D68-3B0F-405C-9E56-2595D0002F5C}"/>
    <cellStyle name="Percent 4 3 3" xfId="18046" xr:uid="{5A3F8F5D-5486-4499-A9E6-A67FB4E8E2EA}"/>
    <cellStyle name="Percent 4 4" xfId="13829" xr:uid="{DC81CAF2-2F69-4C1F-B03F-ED464A5135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1" workbookViewId="0">
      <selection activeCell="AL34" sqref="AL34"/>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38" t="s">
        <v>0</v>
      </c>
      <c r="B1" s="1238"/>
      <c r="C1" s="1238"/>
      <c r="D1" s="1238"/>
      <c r="E1" s="1238"/>
      <c r="F1" s="1238"/>
      <c r="G1" s="1238"/>
      <c r="H1" s="1238"/>
      <c r="I1" s="1238"/>
      <c r="J1" s="1238"/>
      <c r="K1" s="1238"/>
      <c r="L1" s="1238"/>
      <c r="M1" s="1238"/>
      <c r="N1" s="1238"/>
      <c r="O1" s="1238"/>
      <c r="P1" s="1238"/>
      <c r="Q1" s="1238"/>
      <c r="R1" s="1238"/>
      <c r="S1" s="1238"/>
      <c r="T1" s="1238"/>
      <c r="U1" s="1238"/>
      <c r="V1" s="1238"/>
      <c r="W1" s="1238"/>
      <c r="X1" s="1238"/>
      <c r="Y1" s="1238"/>
      <c r="Z1" s="1238"/>
      <c r="AA1" s="1238"/>
      <c r="AB1" s="1238"/>
      <c r="AC1" s="1238"/>
      <c r="AD1" s="1238"/>
      <c r="AE1" s="1238"/>
      <c r="AF1" s="1238"/>
      <c r="AG1" s="1238"/>
      <c r="AH1" s="1238"/>
      <c r="AI1" s="1238"/>
      <c r="AJ1" s="1238"/>
      <c r="AK1" s="1238"/>
      <c r="AL1" s="1238"/>
    </row>
    <row r="2" spans="1:38" ht="13.8" thickBot="1">
      <c r="A2" s="123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row>
    <row r="3" spans="1:38" ht="13.8" thickTop="1"/>
    <row r="4" spans="1:38" s="5" customFormat="1">
      <c r="B4" s="10" t="s">
        <v>1</v>
      </c>
      <c r="C4" s="10" t="s">
        <v>2</v>
      </c>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36"/>
      <c r="B7" s="136"/>
      <c r="C7" s="137"/>
      <c r="D7" s="1228" t="s">
        <v>5</v>
      </c>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357"/>
    </row>
    <row r="8" spans="1:38">
      <c r="A8" s="136"/>
      <c r="B8" s="136"/>
      <c r="C8" s="137"/>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357"/>
    </row>
    <row r="9" spans="1:38">
      <c r="A9" s="136"/>
      <c r="B9" s="136"/>
      <c r="C9" s="13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 customHeight="1">
      <c r="A11" s="136"/>
      <c r="B11" s="136"/>
      <c r="C11" s="137"/>
      <c r="D11" s="1228" t="s">
        <v>6</v>
      </c>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357"/>
    </row>
    <row r="12" spans="1:38">
      <c r="A12" s="136"/>
      <c r="B12" s="136"/>
      <c r="C12" s="137"/>
      <c r="D12" s="1228"/>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357"/>
    </row>
    <row r="13" spans="1:38">
      <c r="A13" s="136"/>
      <c r="B13" s="136"/>
      <c r="C13" s="137"/>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 customHeight="1">
      <c r="A15" s="136"/>
      <c r="B15" s="136"/>
      <c r="C15" s="137"/>
      <c r="D15" s="1228" t="s">
        <v>7</v>
      </c>
      <c r="E15" s="1228"/>
      <c r="F15" s="1228"/>
      <c r="G15" s="1228"/>
      <c r="H15" s="1228"/>
      <c r="I15" s="1228"/>
      <c r="J15" s="1228"/>
      <c r="K15" s="1228"/>
      <c r="L15" s="1228"/>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357"/>
    </row>
    <row r="16" spans="1:38" ht="13.2" customHeight="1">
      <c r="A16" s="136"/>
      <c r="B16" s="136"/>
      <c r="C16" s="137"/>
      <c r="D16" s="1228"/>
      <c r="E16" s="1228"/>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8"/>
      <c r="AL16" s="357"/>
    </row>
    <row r="17" spans="1:38">
      <c r="A17" s="136"/>
      <c r="B17" s="136"/>
      <c r="C17" s="137"/>
      <c r="D17" s="1228"/>
      <c r="E17" s="1228"/>
      <c r="F17" s="1228"/>
      <c r="G17" s="1228"/>
      <c r="H17" s="1228"/>
      <c r="I17" s="1228"/>
      <c r="J17" s="1228"/>
      <c r="K17" s="1228"/>
      <c r="L17" s="1228"/>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357"/>
    </row>
    <row r="18" spans="1:38">
      <c r="A18" s="136"/>
      <c r="B18" s="136"/>
      <c r="C18" s="137"/>
      <c r="D18" s="419" t="s">
        <v>8</v>
      </c>
      <c r="E18" s="344"/>
      <c r="G18" s="344"/>
      <c r="H18" s="344"/>
      <c r="I18" s="344"/>
      <c r="J18" s="1241" t="s">
        <v>9</v>
      </c>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357"/>
    </row>
    <row r="19" spans="1:38">
      <c r="A19" s="136"/>
      <c r="B19" s="136"/>
      <c r="C19" s="137"/>
      <c r="D19" s="344"/>
      <c r="E19" s="344"/>
      <c r="F19" s="1076"/>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 customHeight="1">
      <c r="A20" s="136"/>
      <c r="B20" s="136"/>
      <c r="C20" s="137"/>
      <c r="D20" s="1228" t="s">
        <v>10</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36"/>
    </row>
    <row r="21" spans="1:38">
      <c r="A21" s="136"/>
      <c r="B21" s="136"/>
      <c r="C21" s="137"/>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36"/>
    </row>
    <row r="22" spans="1:38">
      <c r="A22" s="136"/>
      <c r="B22" s="136"/>
      <c r="C22" s="137"/>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36"/>
    </row>
    <row r="23" spans="1:38" ht="13.2" customHeight="1">
      <c r="A23" s="136"/>
      <c r="B23" s="136"/>
      <c r="C23" s="137"/>
      <c r="D23" s="1228"/>
      <c r="E23" s="1228"/>
      <c r="F23" s="1228"/>
      <c r="G23" s="1228"/>
      <c r="H23" s="1228"/>
      <c r="I23" s="1228"/>
      <c r="J23" s="1228"/>
      <c r="K23" s="1228"/>
      <c r="L23" s="1228"/>
      <c r="M23" s="1228"/>
      <c r="N23" s="1228"/>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36"/>
    </row>
    <row r="24" spans="1:38">
      <c r="A24" s="136"/>
      <c r="B24" s="136"/>
      <c r="C24" s="137"/>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36"/>
    </row>
    <row r="25" spans="1:38">
      <c r="A25" s="136"/>
      <c r="B25" s="136"/>
      <c r="C25" s="137"/>
      <c r="D25" s="1228"/>
      <c r="E25" s="1228"/>
      <c r="F25" s="1228"/>
      <c r="G25" s="1228"/>
      <c r="H25" s="1228"/>
      <c r="I25" s="1228"/>
      <c r="J25" s="1228"/>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36"/>
    </row>
    <row r="26" spans="1:38">
      <c r="A26" s="136"/>
      <c r="B26" s="136"/>
      <c r="C26" s="137"/>
      <c r="D26" s="1228"/>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36"/>
    </row>
    <row r="27" spans="1:38">
      <c r="A27" s="136"/>
      <c r="B27" s="136"/>
      <c r="C27" s="137"/>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36"/>
    </row>
    <row r="28" spans="1:38">
      <c r="A28" s="136"/>
      <c r="B28" s="136"/>
      <c r="C28" s="137"/>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 customHeight="1">
      <c r="A30" s="136"/>
      <c r="B30" s="136"/>
      <c r="C30" s="137"/>
      <c r="D30" s="1228" t="s">
        <v>11</v>
      </c>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36"/>
    </row>
    <row r="31" spans="1:38">
      <c r="A31" s="136"/>
      <c r="B31" s="136"/>
      <c r="C31" s="137"/>
      <c r="D31" s="357"/>
      <c r="E31" s="1229" t="s">
        <v>12</v>
      </c>
      <c r="F31" s="1230"/>
      <c r="G31" s="1230"/>
      <c r="H31" s="1230"/>
      <c r="I31" s="1230"/>
      <c r="J31" s="1230"/>
      <c r="K31" s="1230"/>
      <c r="L31" s="1230"/>
      <c r="M31" s="1230"/>
      <c r="N31" s="1230"/>
      <c r="O31" s="1230"/>
      <c r="P31" s="1230"/>
      <c r="Q31" s="1230"/>
      <c r="R31" s="1230"/>
      <c r="S31" s="1230"/>
      <c r="T31" s="1230"/>
      <c r="U31" s="1230"/>
      <c r="V31" s="1230"/>
      <c r="W31" s="1230"/>
      <c r="X31" s="1230"/>
      <c r="Y31" s="1230"/>
      <c r="Z31" s="1230"/>
      <c r="AA31" s="1230"/>
      <c r="AB31" s="1230"/>
      <c r="AC31" s="1230"/>
      <c r="AD31" s="1230"/>
      <c r="AE31" s="1230"/>
      <c r="AF31" s="1230"/>
      <c r="AG31" s="1230"/>
      <c r="AH31" s="1230"/>
      <c r="AI31" s="1230"/>
      <c r="AJ31" s="1230"/>
      <c r="AK31" s="1230"/>
      <c r="AL31" s="136"/>
    </row>
    <row r="32" spans="1:38">
      <c r="A32" s="3"/>
      <c r="C32" s="2"/>
    </row>
    <row r="33" spans="1:38">
      <c r="A33" s="3"/>
      <c r="D33" s="1240" t="s">
        <v>13</v>
      </c>
      <c r="E33" s="1240"/>
      <c r="F33" s="1240"/>
      <c r="G33" s="1240"/>
      <c r="H33" s="1240"/>
      <c r="I33" s="1240"/>
      <c r="J33" s="1240"/>
      <c r="K33" s="1240"/>
      <c r="L33" s="1240"/>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row>
    <row r="34" spans="1:38">
      <c r="A34" s="3"/>
      <c r="D34" s="1240"/>
      <c r="E34" s="1240"/>
      <c r="F34" s="1240"/>
      <c r="G34" s="1240"/>
      <c r="H34" s="1240"/>
      <c r="I34" s="1240"/>
      <c r="J34" s="1240"/>
      <c r="K34" s="1240"/>
      <c r="L34" s="1240"/>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row>
    <row r="35" spans="1:38">
      <c r="A35" s="3"/>
      <c r="D35" s="86"/>
      <c r="E35" s="1235" t="s">
        <v>14</v>
      </c>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row>
    <row r="36" spans="1:38">
      <c r="A36" s="3"/>
      <c r="D36" s="86"/>
      <c r="E36" s="1235" t="s">
        <v>15</v>
      </c>
      <c r="F36" s="1235"/>
      <c r="G36" s="1235"/>
      <c r="H36" s="1235"/>
      <c r="I36" s="1235"/>
      <c r="J36" s="1235"/>
      <c r="K36" s="1235"/>
      <c r="L36" s="1235"/>
      <c r="M36" s="1235"/>
      <c r="N36" s="1235"/>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8" customFormat="1" ht="13.2" customHeight="1">
      <c r="A40" s="3"/>
      <c r="B40"/>
      <c r="C40" s="2"/>
      <c r="D40" s="3"/>
      <c r="E40" s="3" t="s">
        <v>20</v>
      </c>
      <c r="F40" s="1228" t="s">
        <v>21</v>
      </c>
    </row>
    <row r="41" spans="1:38" s="1228" customFormat="1" ht="13.2"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 customHeight="1">
      <c r="A43" s="3"/>
      <c r="B43"/>
      <c r="C43" s="2"/>
      <c r="D43" s="3"/>
      <c r="E43" s="3" t="s">
        <v>24</v>
      </c>
      <c r="F43" s="1234" t="s">
        <v>25</v>
      </c>
      <c r="G43" s="1234"/>
      <c r="H43" s="1234"/>
      <c r="I43" s="1234"/>
      <c r="J43" s="1234"/>
      <c r="K43" s="1234"/>
      <c r="L43" s="1234"/>
      <c r="M43" s="1234"/>
      <c r="N43" s="1234"/>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row>
    <row r="44" spans="1:38" s="84" customFormat="1">
      <c r="A44" s="3"/>
      <c r="B44"/>
      <c r="C44" s="2"/>
      <c r="D44" s="3"/>
      <c r="E44" s="3"/>
      <c r="F44" s="1234"/>
      <c r="G44" s="1234"/>
      <c r="H44" s="1234"/>
      <c r="I44" s="1234"/>
      <c r="J44" s="1234"/>
      <c r="K44" s="1234"/>
      <c r="L44" s="1234"/>
      <c r="M44" s="1234"/>
      <c r="N44" s="1234"/>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row>
    <row r="45" spans="1:38" s="84" customFormat="1" ht="13.2" customHeight="1">
      <c r="A45" s="3"/>
      <c r="B45"/>
      <c r="C45" s="2"/>
      <c r="D45" s="3"/>
      <c r="E45" s="3"/>
      <c r="F45" s="1234"/>
      <c r="G45" s="1234"/>
      <c r="H45" s="1234"/>
      <c r="I45" s="1234"/>
      <c r="J45" s="1234"/>
      <c r="K45" s="1234"/>
      <c r="L45" s="1234"/>
      <c r="M45" s="1234"/>
      <c r="N45" s="1234"/>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8" t="s">
        <v>30</v>
      </c>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row>
    <row r="49" spans="1:38">
      <c r="A49" s="3"/>
      <c r="C49" s="2"/>
      <c r="D49" s="3"/>
      <c r="E49" s="3"/>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row>
    <row r="50" spans="1:38">
      <c r="A50" s="3"/>
      <c r="C50" s="2"/>
      <c r="D50" s="3"/>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7"/>
      <c r="K52" s="1157"/>
      <c r="L52" s="1157"/>
      <c r="M52" s="1157"/>
      <c r="N52" s="1157"/>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2"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8" t="s">
        <v>42</v>
      </c>
      <c r="H64" s="1228"/>
      <c r="I64" s="1228"/>
      <c r="J64" s="1228"/>
      <c r="K64" s="1228"/>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row>
    <row r="65" spans="1:37">
      <c r="A65" s="3"/>
      <c r="C65" s="2"/>
      <c r="D65" s="3"/>
      <c r="E65" s="3"/>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row>
    <row r="66" spans="1:37">
      <c r="A66" s="3"/>
      <c r="C66" s="2"/>
      <c r="D66" s="3"/>
      <c r="E66" s="3"/>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row>
    <row r="67" spans="1:37" ht="13.2" customHeight="1">
      <c r="A67" s="3"/>
      <c r="C67" s="2"/>
      <c r="D67" s="3"/>
      <c r="E67" s="3"/>
      <c r="F67" t="s">
        <v>27</v>
      </c>
      <c r="G67" s="1228" t="s">
        <v>43</v>
      </c>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row>
    <row r="68" spans="1:37">
      <c r="A68" s="3"/>
      <c r="C68" s="2"/>
      <c r="D68" s="3"/>
      <c r="E68" s="3"/>
      <c r="F68" s="23"/>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8" t="s">
        <v>45</v>
      </c>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row>
    <row r="71" spans="1:37">
      <c r="A71" s="3"/>
      <c r="C71" s="2"/>
      <c r="D71" s="3"/>
      <c r="E71" s="3"/>
      <c r="F71" s="7"/>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row>
    <row r="72" spans="1:37">
      <c r="A72" s="3"/>
      <c r="C72" s="2"/>
      <c r="D72" s="3"/>
      <c r="E72" s="3"/>
      <c r="F72" s="7" t="s">
        <v>27</v>
      </c>
      <c r="G72" s="1228" t="s">
        <v>46</v>
      </c>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row>
    <row r="73" spans="1:37">
      <c r="A73" s="3"/>
      <c r="C73" s="2"/>
      <c r="D73" s="3"/>
      <c r="E73" s="3"/>
      <c r="F73" s="7"/>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8" t="s">
        <v>56</v>
      </c>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row>
    <row r="81" spans="1:37">
      <c r="A81" s="3"/>
      <c r="C81" s="2"/>
      <c r="D81" s="3"/>
      <c r="E81" s="3"/>
      <c r="F81" s="3"/>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row>
    <row r="82" spans="1:37">
      <c r="A82" s="3"/>
      <c r="C82" s="2"/>
      <c r="D82" s="3"/>
      <c r="E82" s="3"/>
      <c r="F82" s="3"/>
      <c r="G82" s="1228"/>
      <c r="H82" s="1228"/>
      <c r="I82" s="1228"/>
      <c r="J82" s="1228"/>
      <c r="K82" s="1228"/>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8" t="s">
        <v>59</v>
      </c>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row>
    <row r="85" spans="1:37">
      <c r="A85" s="3"/>
      <c r="C85" s="2"/>
      <c r="D85" s="3"/>
      <c r="E85" s="3"/>
      <c r="F85" s="3"/>
      <c r="G85" s="1228"/>
      <c r="H85" s="1228"/>
      <c r="I85" s="1228"/>
      <c r="J85" s="1228"/>
      <c r="K85" s="1228"/>
      <c r="L85" s="1228"/>
      <c r="M85" s="1228"/>
      <c r="N85" s="1228"/>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row>
    <row r="86" spans="1:37">
      <c r="A86" s="3"/>
      <c r="C86" s="2"/>
      <c r="D86" s="3"/>
      <c r="E86" s="3"/>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1" t="s">
        <v>62</v>
      </c>
      <c r="H88" s="1231"/>
      <c r="I88" s="1231"/>
      <c r="J88" s="1231"/>
      <c r="K88" s="1231"/>
      <c r="L88" s="1231"/>
      <c r="M88" s="1231"/>
      <c r="N88" s="1231"/>
      <c r="O88" s="1231"/>
      <c r="P88" s="1231"/>
      <c r="Q88" s="1231"/>
      <c r="R88" s="1231"/>
      <c r="S88" s="1231"/>
      <c r="T88" s="1231"/>
      <c r="U88" s="1231"/>
      <c r="V88" s="1231"/>
      <c r="W88" s="1231"/>
      <c r="X88" s="1231"/>
      <c r="Y88" s="1231"/>
      <c r="Z88" s="1231"/>
      <c r="AA88" s="1231"/>
      <c r="AB88" s="1231"/>
      <c r="AC88" s="1231"/>
      <c r="AD88" s="1231"/>
      <c r="AE88" s="1231"/>
      <c r="AF88" s="1231"/>
      <c r="AG88" s="1231"/>
      <c r="AH88" s="1231"/>
      <c r="AI88" s="1231"/>
      <c r="AJ88" s="1231"/>
      <c r="AK88" s="1231"/>
    </row>
    <row r="89" spans="1:37">
      <c r="A89" s="3"/>
      <c r="C89" s="2"/>
      <c r="D89" s="3"/>
      <c r="E89" s="3"/>
      <c r="G89" s="1231"/>
      <c r="H89" s="1231"/>
      <c r="I89" s="1231"/>
      <c r="J89" s="1231"/>
      <c r="K89" s="1231"/>
      <c r="L89" s="1231"/>
      <c r="M89" s="1231"/>
      <c r="N89" s="1231"/>
      <c r="O89" s="1231"/>
      <c r="P89" s="1231"/>
      <c r="Q89" s="1231"/>
      <c r="R89" s="1231"/>
      <c r="S89" s="1231"/>
      <c r="T89" s="1231"/>
      <c r="U89" s="1231"/>
      <c r="V89" s="1231"/>
      <c r="W89" s="1231"/>
      <c r="X89" s="1231"/>
      <c r="Y89" s="1231"/>
      <c r="Z89" s="1231"/>
      <c r="AA89" s="1231"/>
      <c r="AB89" s="1231"/>
      <c r="AC89" s="1231"/>
      <c r="AD89" s="1231"/>
      <c r="AE89" s="1231"/>
      <c r="AF89" s="1231"/>
      <c r="AG89" s="1231"/>
      <c r="AH89" s="1231"/>
      <c r="AI89" s="1231"/>
      <c r="AJ89" s="1231"/>
      <c r="AK89" s="1231"/>
    </row>
    <row r="90" spans="1:37">
      <c r="A90" s="3"/>
      <c r="C90" s="2"/>
      <c r="D90" s="3"/>
      <c r="E90" s="3"/>
      <c r="G90" s="1231"/>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8" t="s">
        <v>65</v>
      </c>
      <c r="H92" s="1228"/>
      <c r="I92" s="1228"/>
      <c r="J92" s="1228"/>
      <c r="K92" s="1228"/>
      <c r="L92" s="1228"/>
      <c r="M92" s="1228"/>
      <c r="N92" s="1228"/>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row>
    <row r="93" spans="1:37">
      <c r="A93" s="3"/>
      <c r="C93" s="2"/>
      <c r="D93" s="3"/>
      <c r="E93" s="3"/>
      <c r="G93" s="1228"/>
      <c r="H93" s="1228"/>
      <c r="I93" s="1228"/>
      <c r="J93" s="1228"/>
      <c r="K93" s="1228"/>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8" t="s">
        <v>68</v>
      </c>
      <c r="H95" s="1228"/>
      <c r="I95" s="1228"/>
      <c r="J95" s="1228"/>
      <c r="K95" s="1228"/>
      <c r="L95" s="1228"/>
      <c r="M95" s="1228"/>
      <c r="N95" s="1228"/>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row>
    <row r="96" spans="1:37">
      <c r="A96" s="3"/>
      <c r="C96" s="2"/>
      <c r="D96" s="3"/>
      <c r="E96" s="3"/>
      <c r="G96" s="1228"/>
      <c r="H96" s="1228"/>
      <c r="I96" s="1228"/>
      <c r="J96" s="1228"/>
      <c r="K96" s="1228"/>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row>
    <row r="97" spans="1:38">
      <c r="A97" s="3"/>
      <c r="C97" s="2"/>
      <c r="D97" s="3"/>
      <c r="E97" s="3"/>
      <c r="G97" s="1228"/>
      <c r="H97" s="1228"/>
      <c r="I97" s="1228"/>
      <c r="J97" s="1228"/>
      <c r="K97" s="1228"/>
      <c r="L97" s="1228"/>
      <c r="M97" s="1228"/>
      <c r="N97" s="1228"/>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row>
    <row r="98" spans="1:38">
      <c r="A98" s="3"/>
      <c r="D98" s="74"/>
      <c r="E98" s="1232" t="s">
        <v>69</v>
      </c>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row>
    <row r="99" spans="1:38">
      <c r="A99" s="3"/>
      <c r="D99" s="74"/>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8" t="s">
        <v>158</v>
      </c>
      <c r="H205" s="1228"/>
      <c r="I205" s="1228"/>
      <c r="J205" s="1228"/>
      <c r="K205" s="1228"/>
      <c r="L205" s="1228"/>
      <c r="M205" s="1228"/>
      <c r="N205" s="1228"/>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row>
    <row r="206" spans="2:37">
      <c r="B206" s="3"/>
      <c r="C206" s="3"/>
      <c r="D206" s="2"/>
      <c r="G206" s="1228"/>
      <c r="H206" s="1228"/>
      <c r="I206" s="1228"/>
      <c r="J206" s="1228"/>
      <c r="K206" s="1228"/>
      <c r="L206" s="1228"/>
      <c r="M206" s="1228"/>
      <c r="N206" s="1228"/>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6"/>
      <c r="F221" s="1156"/>
      <c r="G221" s="1156"/>
      <c r="H221" s="1156"/>
      <c r="I221" s="1156"/>
      <c r="J221" s="1156"/>
      <c r="K221" s="5"/>
      <c r="L221" s="1156"/>
      <c r="M221" s="1156"/>
      <c r="N221" s="1156"/>
      <c r="O221" s="1156"/>
      <c r="P221" s="1156"/>
      <c r="Q221" s="1156"/>
      <c r="R221" s="1156"/>
      <c r="S221" s="1156"/>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6"/>
      <c r="K329" s="1156"/>
      <c r="L329" s="1156"/>
      <c r="M329" s="1156"/>
      <c r="N329" s="1156"/>
      <c r="O329" s="1156"/>
      <c r="P329" s="1156"/>
      <c r="Q329" s="1156"/>
      <c r="R329" s="1156"/>
      <c r="S329" s="1156"/>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8" t="s">
        <v>263</v>
      </c>
      <c r="G336" s="1228"/>
      <c r="H336" s="1228"/>
      <c r="I336" s="1228"/>
      <c r="J336" s="1228"/>
      <c r="K336" s="1228"/>
      <c r="L336" s="1228"/>
      <c r="M336" s="1228"/>
      <c r="N336" s="1228"/>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row>
    <row r="337" spans="2:37">
      <c r="B337" s="2"/>
      <c r="E337" s="3"/>
      <c r="F337" s="1228"/>
      <c r="G337" s="1228"/>
      <c r="H337" s="1228"/>
      <c r="I337" s="1228"/>
      <c r="J337" s="1228"/>
      <c r="K337" s="1228"/>
      <c r="L337" s="1228"/>
      <c r="M337" s="1228"/>
      <c r="N337" s="1228"/>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row>
    <row r="338" spans="2:37">
      <c r="B338" s="2"/>
      <c r="E338" s="3"/>
      <c r="F338" s="1228"/>
      <c r="G338" s="1228"/>
      <c r="H338" s="1228"/>
      <c r="I338" s="1228"/>
      <c r="J338" s="1228"/>
      <c r="K338" s="1228"/>
      <c r="L338" s="1228"/>
      <c r="M338" s="1228"/>
      <c r="N338" s="1228"/>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28" t="s">
        <v>266</v>
      </c>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3"/>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c r="F348" s="1228"/>
      <c r="G348" s="1228"/>
      <c r="H348" s="1228"/>
      <c r="I348" s="1228"/>
      <c r="J348" s="1228"/>
      <c r="K348" s="1228"/>
      <c r="L348" s="1228"/>
      <c r="M348" s="1228"/>
      <c r="N348" s="1228"/>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row>
    <row r="349" spans="2:37">
      <c r="B349" s="2"/>
      <c r="E349" s="3"/>
      <c r="F349" s="1228"/>
      <c r="G349" s="1228"/>
      <c r="H349" s="1228"/>
      <c r="I349" s="1228"/>
      <c r="J349" s="1228"/>
      <c r="K349" s="1228"/>
      <c r="L349" s="1228"/>
      <c r="M349" s="1228"/>
      <c r="N349" s="1228"/>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row>
    <row r="350" spans="2:37">
      <c r="B350" s="2"/>
      <c r="E350" s="3" t="s">
        <v>31</v>
      </c>
      <c r="F350" s="1228" t="s">
        <v>267</v>
      </c>
      <c r="G350" s="1228"/>
      <c r="H350" s="1228"/>
      <c r="I350" s="1228"/>
      <c r="J350" s="1228"/>
      <c r="K350" s="1228"/>
      <c r="L350" s="1228"/>
      <c r="M350" s="1228"/>
      <c r="N350" s="1228"/>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row>
    <row r="351" spans="2:37">
      <c r="B351" s="2"/>
      <c r="F351" s="1228"/>
      <c r="G351" s="1228"/>
      <c r="H351" s="1228"/>
      <c r="I351" s="1228"/>
      <c r="J351" s="1228"/>
      <c r="K351" s="1228"/>
      <c r="L351" s="1228"/>
      <c r="M351" s="1228"/>
      <c r="N351" s="1228"/>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row>
    <row r="352" spans="2:37">
      <c r="B352" s="2"/>
      <c r="F352" s="1228"/>
      <c r="G352" s="1228"/>
      <c r="H352" s="1228"/>
      <c r="I352" s="1228"/>
      <c r="J352" s="1228"/>
      <c r="K352" s="1228"/>
      <c r="L352" s="1228"/>
      <c r="M352" s="1228"/>
      <c r="N352" s="1228"/>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6"/>
      <c r="N354" s="1156"/>
      <c r="O354" s="1156"/>
      <c r="P354" s="1156"/>
      <c r="Q354" s="1156"/>
      <c r="R354" s="1156"/>
      <c r="S354" s="1156"/>
      <c r="T354" s="1156"/>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6" t="s">
        <v>277</v>
      </c>
      <c r="F365" s="1236"/>
      <c r="G365" s="1236"/>
      <c r="H365" s="1236"/>
      <c r="I365" s="1236"/>
      <c r="J365" s="1236"/>
      <c r="K365" s="1236"/>
      <c r="L365" s="1236"/>
      <c r="M365" s="1236"/>
      <c r="N365" s="1236"/>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row>
    <row r="366" spans="1:38">
      <c r="B366" s="2"/>
      <c r="E366" s="1236"/>
      <c r="F366" s="1236"/>
      <c r="G366" s="1236"/>
      <c r="H366" s="1236"/>
      <c r="I366" s="1236"/>
      <c r="J366" s="1236"/>
      <c r="K366" s="1236"/>
      <c r="L366" s="1236"/>
      <c r="M366" s="1236"/>
      <c r="N366" s="1236"/>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row>
    <row r="367" spans="1:38" s="1237" customFormat="1">
      <c r="A367"/>
      <c r="B367" s="2"/>
      <c r="C367"/>
      <c r="D367"/>
      <c r="E367" s="1234" t="s">
        <v>278</v>
      </c>
      <c r="F367" s="1234"/>
      <c r="G367" s="1234"/>
      <c r="H367" s="1234"/>
      <c r="I367" s="1234"/>
      <c r="J367" s="1234"/>
      <c r="K367" s="1234"/>
      <c r="L367" s="1234"/>
      <c r="M367" s="1234"/>
      <c r="N367" s="1234"/>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row>
    <row r="368" spans="1:38" s="1237" customFormat="1">
      <c r="A368"/>
      <c r="B368" s="2"/>
      <c r="C368" s="2"/>
      <c r="D368"/>
      <c r="E368" s="1234"/>
      <c r="F368" s="1234"/>
      <c r="G368" s="1234"/>
      <c r="H368" s="1234"/>
      <c r="I368" s="1234"/>
      <c r="J368" s="1234"/>
      <c r="K368" s="1234"/>
      <c r="L368" s="1234"/>
      <c r="M368" s="1234"/>
      <c r="N368" s="1234"/>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8" t="s">
        <v>290</v>
      </c>
      <c r="G386" s="1228"/>
      <c r="H386" s="1228"/>
      <c r="I386" s="1228"/>
      <c r="J386" s="1228"/>
      <c r="K386" s="1228"/>
      <c r="L386" s="1228"/>
      <c r="M386" s="1228"/>
      <c r="N386" s="1228"/>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row>
    <row r="387" spans="1:38">
      <c r="B387" s="2"/>
      <c r="E387" s="3"/>
      <c r="F387" s="1228"/>
      <c r="G387" s="1228"/>
      <c r="H387" s="1228"/>
      <c r="I387" s="1228"/>
      <c r="J387" s="1228"/>
      <c r="K387" s="1228"/>
      <c r="L387" s="1228"/>
      <c r="M387" s="1228"/>
      <c r="N387" s="1228"/>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row>
    <row r="388" spans="1:38">
      <c r="B388" s="2"/>
      <c r="E388" s="3"/>
      <c r="F388" s="1228"/>
      <c r="G388" s="1228"/>
      <c r="H388" s="1228"/>
      <c r="I388" s="1228"/>
      <c r="J388" s="1228"/>
      <c r="K388" s="1228"/>
      <c r="L388" s="1228"/>
      <c r="M388" s="1228"/>
      <c r="N388" s="1228"/>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55" sqref="G55"/>
    </sheetView>
  </sheetViews>
  <sheetFormatPr defaultColWidth="9.109375" defaultRowHeight="13.8"/>
  <cols>
    <col min="1" max="1" width="2.44140625" style="929" customWidth="1"/>
    <col min="2" max="9" width="14.6640625" style="929" customWidth="1"/>
    <col min="10" max="10" width="2.33203125" style="929" customWidth="1"/>
    <col min="11" max="11" width="11.88671875" style="930" customWidth="1"/>
    <col min="12" max="12" width="10.6640625" style="929" customWidth="1"/>
    <col min="13" max="13" width="10.44140625" style="929" customWidth="1"/>
    <col min="14" max="14" width="10.88671875" style="929" customWidth="1"/>
    <col min="15" max="18" width="9.109375" style="929"/>
    <col min="19" max="19" width="9.44140625" style="929" bestFit="1" customWidth="1"/>
    <col min="20" max="16384" width="9.109375" style="929"/>
  </cols>
  <sheetData>
    <row r="1" spans="1:13" ht="30" customHeight="1">
      <c r="A1" s="2591" t="s">
        <v>2586</v>
      </c>
      <c r="B1" s="2591"/>
      <c r="C1" s="2591"/>
      <c r="D1" s="2591"/>
      <c r="E1" s="2591"/>
      <c r="F1" s="2591"/>
      <c r="G1" s="2591"/>
      <c r="H1" s="2591"/>
      <c r="I1" s="2591"/>
      <c r="J1" s="2591"/>
    </row>
    <row r="2" spans="1:13" ht="15" customHeight="1" thickBot="1">
      <c r="A2" s="931"/>
      <c r="B2" s="931"/>
      <c r="I2" s="932"/>
      <c r="K2" s="933"/>
    </row>
    <row r="3" spans="1:13" s="936" customFormat="1" ht="20.100000000000001" customHeight="1">
      <c r="A3" s="983"/>
      <c r="B3" s="984"/>
      <c r="C3" s="985"/>
      <c r="D3" s="990"/>
      <c r="E3" s="985"/>
      <c r="F3" s="986" t="s">
        <v>2587</v>
      </c>
      <c r="G3" s="985"/>
      <c r="H3" s="987">
        <f>E18</f>
        <v>45252270</v>
      </c>
      <c r="I3" s="988"/>
    </row>
    <row r="4" spans="1:13" s="936" customFormat="1" ht="20.100000000000001" customHeight="1">
      <c r="B4" s="977"/>
      <c r="D4" s="991"/>
      <c r="F4" s="976" t="s">
        <v>2588</v>
      </c>
      <c r="G4" s="975" t="s">
        <v>2589</v>
      </c>
      <c r="H4" s="1089">
        <f>I18</f>
        <v>14921244.466071429</v>
      </c>
      <c r="I4" s="978"/>
      <c r="K4" s="940"/>
    </row>
    <row r="5" spans="1:13" s="936" customFormat="1" ht="20.100000000000001" customHeight="1" thickBot="1">
      <c r="B5" s="979"/>
      <c r="C5" s="980"/>
      <c r="D5" s="992"/>
      <c r="E5" s="981"/>
      <c r="F5" s="992" t="s">
        <v>2590</v>
      </c>
      <c r="G5" s="993"/>
      <c r="H5" s="989">
        <f>IFERROR(H3/H4,0)</f>
        <v>3.0327410091629132</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4" t="s">
        <v>2591</v>
      </c>
      <c r="C8" s="2595"/>
      <c r="D8" s="2595"/>
      <c r="E8" s="2596"/>
      <c r="G8" s="2575" t="s">
        <v>2592</v>
      </c>
      <c r="H8" s="2576"/>
      <c r="I8" s="2577"/>
      <c r="K8" s="942"/>
    </row>
    <row r="9" spans="1:13" ht="15" customHeight="1">
      <c r="A9" s="931"/>
      <c r="B9" s="2592" t="s">
        <v>2593</v>
      </c>
      <c r="C9" s="2592"/>
      <c r="D9" s="2592"/>
      <c r="E9" s="944">
        <f>G33</f>
        <v>5232500</v>
      </c>
      <c r="G9" s="2588" t="s">
        <v>2594</v>
      </c>
      <c r="H9" s="2588"/>
      <c r="I9" s="945">
        <f>MAX(SUMIF(Application!M562:M573,"Loan, Tax-Exempt",Application!AM562:AM573),27.5%*SUM('Sources and Uses Budget'!C8,'Sources and Uses Budget'!S105,'Sources and Uses Budget'!T105))</f>
        <v>22306185</v>
      </c>
      <c r="K9" s="946"/>
      <c r="M9" s="947"/>
    </row>
    <row r="10" spans="1:13" ht="15" customHeight="1" thickBot="1">
      <c r="A10" s="931"/>
      <c r="B10" s="2592" t="s">
        <v>2595</v>
      </c>
      <c r="C10" s="2592"/>
      <c r="D10" s="2592"/>
      <c r="E10" s="945">
        <f>G47</f>
        <v>30224520.000000004</v>
      </c>
      <c r="G10" s="2590" t="s">
        <v>2596</v>
      </c>
      <c r="H10" s="2590"/>
      <c r="I10" s="1023">
        <f>IF(OR(Application!Z205="State Farmworker Credit",Application!Z205="$500M (Farmworker Housing)"),0,'Basis &amp; Credits'!AB78)</f>
        <v>0</v>
      </c>
      <c r="M10" s="947"/>
    </row>
    <row r="11" spans="1:13" ht="15" customHeight="1">
      <c r="A11" s="931"/>
      <c r="B11" s="2598" t="s">
        <v>2597</v>
      </c>
      <c r="C11" s="2599"/>
      <c r="D11" s="2600"/>
      <c r="E11" s="945">
        <f>SUM(E13,E12)</f>
        <v>900000</v>
      </c>
      <c r="G11" s="2597" t="s">
        <v>2598</v>
      </c>
      <c r="H11" s="2597"/>
      <c r="I11" s="1022">
        <f>I9+I10</f>
        <v>22306185</v>
      </c>
      <c r="M11" s="947"/>
    </row>
    <row r="12" spans="1:13" ht="15" customHeight="1">
      <c r="A12" s="948"/>
      <c r="B12" s="2593" t="s">
        <v>2599</v>
      </c>
      <c r="C12" s="2593"/>
      <c r="D12" s="2593"/>
      <c r="E12" s="1046">
        <f>G56</f>
        <v>900000</v>
      </c>
      <c r="M12" s="947"/>
    </row>
    <row r="13" spans="1:13" ht="15" customHeight="1">
      <c r="A13" s="934"/>
      <c r="B13" s="2593" t="s">
        <v>2600</v>
      </c>
      <c r="C13" s="2593"/>
      <c r="D13" s="2593"/>
      <c r="E13" s="1046">
        <f>IF(G67,MAX(G65,G79),G65)</f>
        <v>0</v>
      </c>
      <c r="G13" s="2575" t="s">
        <v>2601</v>
      </c>
      <c r="H13" s="2576"/>
      <c r="I13" s="2577"/>
    </row>
    <row r="14" spans="1:13" ht="15" customHeight="1">
      <c r="A14" s="934"/>
      <c r="B14" s="2598" t="s">
        <v>2602</v>
      </c>
      <c r="C14" s="2599"/>
      <c r="D14" s="2600"/>
      <c r="E14" s="1048">
        <f>MAX(E15,E16)+E17</f>
        <v>8895250</v>
      </c>
      <c r="G14" s="2588" t="s">
        <v>2603</v>
      </c>
      <c r="H14" s="2588"/>
      <c r="I14" s="949">
        <f>IF(AND(G134="Yes",G136&lt;&gt;""),IF(OR(G141="Yes",G145="Yes"),18%,15%),0)</f>
        <v>0.15</v>
      </c>
      <c r="M14" s="947"/>
    </row>
    <row r="15" spans="1:13" ht="15" customHeight="1">
      <c r="A15" s="934"/>
      <c r="B15" s="2572" t="s">
        <v>2604</v>
      </c>
      <c r="C15" s="2573"/>
      <c r="D15" s="2574"/>
      <c r="E15" s="1046">
        <f>G94</f>
        <v>0</v>
      </c>
      <c r="G15" s="1020" t="s">
        <v>1912</v>
      </c>
      <c r="H15" s="1020"/>
      <c r="I15" s="949">
        <f>IF(Application!AJ1041&gt;0,10%,IF(Application!AJ1045&gt;0,5%,0))</f>
        <v>0</v>
      </c>
      <c r="M15" s="947"/>
    </row>
    <row r="16" spans="1:13" ht="15" customHeight="1">
      <c r="A16" s="934"/>
      <c r="B16" s="2572" t="s">
        <v>2605</v>
      </c>
      <c r="C16" s="2573"/>
      <c r="D16" s="2574"/>
      <c r="E16" s="1046">
        <f>G104</f>
        <v>2093000</v>
      </c>
      <c r="G16" s="2588" t="s">
        <v>2606</v>
      </c>
      <c r="H16" s="2588"/>
      <c r="I16" s="949">
        <f>G155</f>
        <v>0.18107142857142858</v>
      </c>
    </row>
    <row r="17" spans="1:21" ht="15" customHeight="1" thickBot="1">
      <c r="A17" s="934"/>
      <c r="B17" s="2572" t="s">
        <v>2607</v>
      </c>
      <c r="C17" s="2573"/>
      <c r="D17" s="2574"/>
      <c r="E17" s="1046">
        <f>G129</f>
        <v>6802250</v>
      </c>
      <c r="G17" s="2588" t="s">
        <v>2608</v>
      </c>
      <c r="H17" s="2588"/>
      <c r="I17" s="949">
        <f>IF(AND(G161="Yes",G159),IF(G165&gt;15%,15%,G165),0)</f>
        <v>0</v>
      </c>
    </row>
    <row r="18" spans="1:21" ht="15" customHeight="1">
      <c r="A18" s="931"/>
      <c r="B18" s="2589" t="s">
        <v>2609</v>
      </c>
      <c r="C18" s="2589"/>
      <c r="D18" s="2589"/>
      <c r="E18" s="994">
        <f>SUM(E9:E11,E14)</f>
        <v>45252270</v>
      </c>
      <c r="G18" s="1021" t="s">
        <v>2610</v>
      </c>
      <c r="H18" s="1021"/>
      <c r="I18" s="995">
        <f>I11-((I11*I14)+(I11*I15)+(I11*I16)+(I11*I17))</f>
        <v>14921244.466071429</v>
      </c>
      <c r="M18" s="950">
        <f>SUM(Cdlac[Quantity])</f>
        <v>90</v>
      </c>
      <c r="O18" s="969" t="s">
        <v>942</v>
      </c>
      <c r="P18" s="929">
        <f>MATCH(Application!T189,Application!CB160:CB217,0)</f>
        <v>38</v>
      </c>
      <c r="T18" s="950">
        <f>SUM(Cdlac[Population])</f>
        <v>0</v>
      </c>
    </row>
    <row r="19" spans="1:21" ht="15" customHeight="1">
      <c r="A19" s="931"/>
      <c r="B19" s="931"/>
      <c r="C19" s="931"/>
      <c r="D19" s="931"/>
      <c r="E19" s="931"/>
      <c r="L19" s="929" t="s">
        <v>2611</v>
      </c>
      <c r="M19" s="929" t="s">
        <v>2612</v>
      </c>
      <c r="N19" s="929" t="s">
        <v>2613</v>
      </c>
      <c r="O19" s="929" t="s">
        <v>2614</v>
      </c>
      <c r="P19" s="929" t="s">
        <v>2615</v>
      </c>
      <c r="Q19" s="929" t="s">
        <v>2616</v>
      </c>
      <c r="R19" s="929" t="s">
        <v>2617</v>
      </c>
      <c r="S19" s="929" t="s">
        <v>2618</v>
      </c>
      <c r="T19" s="929" t="s">
        <v>2619</v>
      </c>
      <c r="U19" s="929" t="s">
        <v>1003</v>
      </c>
    </row>
    <row r="20" spans="1:21" ht="15" customHeight="1">
      <c r="B20" s="951" t="str">
        <f>B9</f>
        <v>A. Unit Production Benefit</v>
      </c>
      <c r="C20" s="952"/>
      <c r="D20" s="952"/>
      <c r="E20" s="952"/>
      <c r="F20" s="952"/>
      <c r="G20" s="952"/>
      <c r="H20" s="952"/>
      <c r="I20" s="953"/>
      <c r="L20" s="929">
        <f>IFERROR(MIN(4,MATCH(Application!B726,UnitSizes,0)-1),"")</f>
        <v>1</v>
      </c>
      <c r="M20" s="950">
        <f>Application!G726</f>
        <v>9</v>
      </c>
      <c r="N20" s="956">
        <f>Application!AC726</f>
        <v>0.3</v>
      </c>
      <c r="O20" s="956">
        <f>IF(Cdlac[[#This Row],[Quantity]]&gt;0,IF(Cdlac[[#This Row],[Federal]],30%,IF(AND(OR(NOT($G$38),$G$38=""),$G$43),40%,Cdlac[[#This Row],[iAMI]])),"")</f>
        <v>0.3</v>
      </c>
      <c r="P20" s="950" cm="1">
        <f t="array" ref="P20">IF(Cdlac[[#This Row],[Quantity]]&gt;0,INDEX(TcacRents,$P$18,Cdlac[[#This Row],[Bedrooms]]+1)*Cdlac[[#This Row],[AMI]],"")</f>
        <v>1087.8</v>
      </c>
      <c r="Q20" s="1045">
        <v>402</v>
      </c>
      <c r="R20" s="950" cm="1">
        <f t="array" ref="R20">IF(Cdlac[[#This Row],[Quantity]]&gt;0,INDEX(HudFmrs,$P$18,Cdlac[[#This Row],[Bedrooms]]+1),"")</f>
        <v>2780</v>
      </c>
      <c r="S20" s="950">
        <f>IF(Cdlac[[#This Row],[Quantity]]&gt;0,MAX(0,Cdlac[[#This Row],[Fair Market Rent]]-IF(AND($G$37,$G$38,$G$38&lt;&gt;"",NOT(Cdlac[[#This Row],[Federal]]),Cdlac[[#This Row],[Preservation Rent]]&lt;&gt;""),Cdlac[[#This Row],[Preservation Rent]],Cdlac[[#This Row],[Restricted Rent]])),"")</f>
        <v>1692.2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18</v>
      </c>
      <c r="N21" s="956">
        <f>Application!AC727</f>
        <v>0.5</v>
      </c>
      <c r="O21" s="956">
        <f>IF(Cdlac[[#This Row],[Quantity]]&gt;0,IF(Cdlac[[#This Row],[Federal]],30%,IF(AND(OR(NOT($G$38),$G$38=""),$G$43),40%,Cdlac[[#This Row],[iAMI]])),"")</f>
        <v>0.3</v>
      </c>
      <c r="P21" s="950" cm="1">
        <f t="array" ref="P21">IF(Cdlac[[#This Row],[Quantity]]&gt;0,INDEX(TcacRents,$P$18,Cdlac[[#This Row],[Bedrooms]]+1)*Cdlac[[#This Row],[AMI]],"")</f>
        <v>1087.8</v>
      </c>
      <c r="Q21" s="1045">
        <v>402</v>
      </c>
      <c r="R21" s="950" cm="1">
        <f t="array" ref="R21">IF(Cdlac[[#This Row],[Quantity]]&gt;0,INDEX(HudFmrs,$P$18,Cdlac[[#This Row],[Bedrooms]]+1),"")</f>
        <v>2780</v>
      </c>
      <c r="S21" s="950">
        <f>IF(Cdlac[[#This Row],[Quantity]]&gt;0,MAX(0,Cdlac[[#This Row],[Fair Market Rent]]-IF(AND($G$37,$G$38,$G$38&lt;&gt;"",NOT(Cdlac[[#This Row],[Federal]]),Cdlac[[#This Row],[Preservation Rent]]&lt;&gt;""),Cdlac[[#This Row],[Preservation Rent]],Cdlac[[#This Row],[Restricted Rent]])),"")</f>
        <v>1692.2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79" t="s">
        <v>2620</v>
      </c>
      <c r="D22" s="2579" t="s">
        <v>2621</v>
      </c>
      <c r="E22" s="2579" t="s">
        <v>2622</v>
      </c>
      <c r="F22" s="2579" t="s">
        <v>2623</v>
      </c>
      <c r="G22" s="2579" t="s">
        <v>2624</v>
      </c>
      <c r="H22" s="955"/>
      <c r="I22" s="954"/>
      <c r="L22" s="929">
        <f>IFERROR(MIN(4,MATCH(Application!B728,UnitSizes,0)-1),"")</f>
        <v>2</v>
      </c>
      <c r="M22" s="950">
        <f>Application!G728</f>
        <v>36</v>
      </c>
      <c r="N22" s="956">
        <f>Application!AC728</f>
        <v>0.3</v>
      </c>
      <c r="O22" s="956">
        <f>IF(Cdlac[[#This Row],[Quantity]]&gt;0,IF(Cdlac[[#This Row],[Federal]],30%,IF(AND(OR(NOT($G$38),$G$38=""),$G$43),40%,Cdlac[[#This Row],[iAMI]])),"")</f>
        <v>0.3</v>
      </c>
      <c r="P22" s="950" cm="1">
        <f t="array" ref="P22">IF(Cdlac[[#This Row],[Quantity]]&gt;0,INDEX(TcacRents,$P$18,Cdlac[[#This Row],[Bedrooms]]+1)*Cdlac[[#This Row],[AMI]],"")</f>
        <v>1305.5999999999999</v>
      </c>
      <c r="Q22" s="1045">
        <v>743</v>
      </c>
      <c r="R22" s="950" cm="1">
        <f t="array" ref="R22">IF(Cdlac[[#This Row],[Quantity]]&gt;0,INDEX(HudFmrs,$P$18,Cdlac[[#This Row],[Bedrooms]]+1),"")</f>
        <v>3318</v>
      </c>
      <c r="S22" s="950">
        <f>IF(Cdlac[[#This Row],[Quantity]]&gt;0,MAX(0,Cdlac[[#This Row],[Fair Market Rent]]-IF(AND($G$37,$G$38,$G$38&lt;&gt;"",NOT(Cdlac[[#This Row],[Federal]]),Cdlac[[#This Row],[Preservation Rent]]&lt;&gt;""),Cdlac[[#This Row],[Preservation Rent]],Cdlac[[#This Row],[Restricted Rent]])),"")</f>
        <v>2012.4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80"/>
      <c r="D23" s="2580"/>
      <c r="E23" s="2580"/>
      <c r="F23" s="2580"/>
      <c r="G23" s="2580"/>
      <c r="H23" s="955"/>
      <c r="I23" s="954"/>
      <c r="L23" s="929">
        <f>IFERROR(MIN(4,MATCH(Application!B729,UnitSizes,0)-1),"")</f>
        <v>2</v>
      </c>
      <c r="M23" s="950">
        <f>Application!G729</f>
        <v>19</v>
      </c>
      <c r="N23" s="956">
        <f>Application!AC729</f>
        <v>0.5</v>
      </c>
      <c r="O23" s="956">
        <f>IF(Cdlac[[#This Row],[Quantity]]&gt;0,IF(Cdlac[[#This Row],[Federal]],30%,IF(AND(OR(NOT($G$38),$G$38=""),$G$43),40%,Cdlac[[#This Row],[iAMI]])),"")</f>
        <v>0.3</v>
      </c>
      <c r="P23" s="950" cm="1">
        <f t="array" ref="P23">IF(Cdlac[[#This Row],[Quantity]]&gt;0,INDEX(TcacRents,$P$18,Cdlac[[#This Row],[Bedrooms]]+1)*Cdlac[[#This Row],[AMI]],"")</f>
        <v>1305.5999999999999</v>
      </c>
      <c r="Q23" s="1045">
        <v>2165</v>
      </c>
      <c r="R23" s="950" cm="1">
        <f t="array" ref="R23">IF(Cdlac[[#This Row],[Quantity]]&gt;0,INDEX(HudFmrs,$P$18,Cdlac[[#This Row],[Bedrooms]]+1),"")</f>
        <v>3318</v>
      </c>
      <c r="S23" s="950">
        <f>IF(Cdlac[[#This Row],[Quantity]]&gt;0,MAX(0,Cdlac[[#This Row],[Fair Market Rent]]-IF(AND($G$37,$G$38,$G$38&lt;&gt;"",NOT(Cdlac[[#This Row],[Federal]]),Cdlac[[#This Row],[Preservation Rent]]&lt;&gt;""),Cdlac[[#This Row],[Preservation Rent]],Cdlac[[#This Row],[Restricted Rent]])),"")</f>
        <v>2012.4</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1</v>
      </c>
      <c r="F24" s="957">
        <f>E24</f>
        <v>1</v>
      </c>
      <c r="G24" s="957">
        <f>D24*F24</f>
        <v>0.9</v>
      </c>
      <c r="L24" s="929">
        <f>IFERROR(MIN(4,MATCH(Application!B730,UnitSizes,0)-1),"")</f>
        <v>3</v>
      </c>
      <c r="M24" s="950">
        <f>Application!G730</f>
        <v>2</v>
      </c>
      <c r="N24" s="956">
        <f>Application!AC730</f>
        <v>0.5</v>
      </c>
      <c r="O24" s="956">
        <f>IF(Cdlac[[#This Row],[Quantity]]&gt;0,IF(Cdlac[[#This Row],[Federal]],30%,IF(AND(OR(NOT($G$38),$G$38=""),$G$43),40%,Cdlac[[#This Row],[iAMI]])),"")</f>
        <v>0.5</v>
      </c>
      <c r="P24" s="950" cm="1">
        <f t="array" ref="P24">IF(Cdlac[[#This Row],[Quantity]]&gt;0,INDEX(TcacRents,$P$18,Cdlac[[#This Row],[Bedrooms]]+1)*Cdlac[[#This Row],[AMI]],"")</f>
        <v>2514</v>
      </c>
      <c r="Q24" s="1045">
        <v>0</v>
      </c>
      <c r="R24" s="950" cm="1">
        <f t="array" ref="R24">IF(Cdlac[[#This Row],[Quantity]]&gt;0,INDEX(HudFmrs,$P$18,Cdlac[[#This Row],[Bedrooms]]+1),"")</f>
        <v>4138</v>
      </c>
      <c r="S24" s="950">
        <f>IF(Cdlac[[#This Row],[Quantity]]&gt;0,MAX(0,Cdlac[[#This Row],[Fair Market Rent]]-IF(AND($G$37,$G$38,$G$38&lt;&gt;"",NOT(Cdlac[[#This Row],[Federal]]),Cdlac[[#This Row],[Preservation Rent]]&lt;&gt;""),Cdlac[[#This Row],[Preservation Rent]],Cdlac[[#This Row],[Restricted Rent]])),"")</f>
        <v>4138</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32</v>
      </c>
      <c r="F25" s="957">
        <f>E25</f>
        <v>32</v>
      </c>
      <c r="G25" s="957">
        <f>D25*F25</f>
        <v>32</v>
      </c>
      <c r="L25" s="929">
        <f>IFERROR(MIN(4,MATCH(Application!B731,UnitSizes,0)-1),"")</f>
        <v>0</v>
      </c>
      <c r="M25" s="950">
        <f>Application!G731</f>
        <v>1</v>
      </c>
      <c r="N25" s="956">
        <f>Application!AC731</f>
        <v>0.6</v>
      </c>
      <c r="O25" s="956">
        <f>IF(Cdlac[[#This Row],[Quantity]]&gt;0,IF(Cdlac[[#This Row],[Federal]],30%,IF(AND(OR(NOT($G$38),$G$38=""),$G$43),40%,Cdlac[[#This Row],[iAMI]])),"")</f>
        <v>0.6</v>
      </c>
      <c r="P25" s="950" cm="1">
        <f t="array" ref="P25">IF(Cdlac[[#This Row],[Quantity]]&gt;0,INDEX(TcacRents,$P$18,Cdlac[[#This Row],[Bedrooms]]+1)*Cdlac[[#This Row],[AMI]],"")</f>
        <v>2030.3999999999999</v>
      </c>
      <c r="Q25" s="1045"/>
      <c r="R25" s="950" cm="1">
        <f t="array" ref="R25">IF(Cdlac[[#This Row],[Quantity]]&gt;0,INDEX(HudFmrs,$P$18,Cdlac[[#This Row],[Bedrooms]]+1),"")</f>
        <v>2275</v>
      </c>
      <c r="S25" s="950">
        <f>IF(Cdlac[[#This Row],[Quantity]]&gt;0,MAX(0,Cdlac[[#This Row],[Fair Market Rent]]-IF(AND($G$37,$G$38,$G$38&lt;&gt;"",NOT(Cdlac[[#This Row],[Federal]]),Cdlac[[#This Row],[Preservation Rent]]&lt;&gt;""),Cdlac[[#This Row],[Preservation Rent]],Cdlac[[#This Row],[Restricted Rent]])),"")</f>
        <v>244.60000000000014</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55</v>
      </c>
      <c r="F26" s="960">
        <f>SUM(E26:E28)-SUM(F27:F28)</f>
        <v>55</v>
      </c>
      <c r="G26" s="957">
        <f>D26*F26</f>
        <v>68.75</v>
      </c>
      <c r="H26" s="959"/>
      <c r="I26" s="959"/>
      <c r="L26" s="929">
        <f>IFERROR(MIN(4,MATCH(Application!B732,UnitSizes,0)-1),"")</f>
        <v>1</v>
      </c>
      <c r="M26" s="950">
        <f>Application!G732</f>
        <v>5</v>
      </c>
      <c r="N26" s="956">
        <f>Application!AC732</f>
        <v>0.6</v>
      </c>
      <c r="O26" s="956">
        <f>IF(Cdlac[[#This Row],[Quantity]]&gt;0,IF(Cdlac[[#This Row],[Federal]],30%,IF(AND(OR(NOT($G$38),$G$38=""),$G$43),40%,Cdlac[[#This Row],[iAMI]])),"")</f>
        <v>0.6</v>
      </c>
      <c r="P26" s="950" cm="1">
        <f t="array" ref="P26">IF(Cdlac[[#This Row],[Quantity]]&gt;0,INDEX(TcacRents,$P$18,Cdlac[[#This Row],[Bedrooms]]+1)*Cdlac[[#This Row],[AMI]],"")</f>
        <v>2175.6</v>
      </c>
      <c r="Q26" s="1045"/>
      <c r="R26" s="950" cm="1">
        <f t="array" ref="R26">IF(Cdlac[[#This Row],[Quantity]]&gt;0,INDEX(HudFmrs,$P$18,Cdlac[[#This Row],[Bedrooms]]+1),"")</f>
        <v>2780</v>
      </c>
      <c r="S26" s="950">
        <f>IF(Cdlac[[#This Row],[Quantity]]&gt;0,MAX(0,Cdlac[[#This Row],[Fair Market Rent]]-IF(AND($G$37,$G$38,$G$38&lt;&gt;"",NOT(Cdlac[[#This Row],[Federal]]),Cdlac[[#This Row],[Preservation Rent]]&lt;&gt;""),Cdlac[[#This Row],[Preservation Rent]],Cdlac[[#This Row],[Restricted Rent]])),"")</f>
        <v>604.40000000000009</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2</v>
      </c>
      <c r="F27" s="960">
        <f>MIN(E27,ROUNDDOWN(E29*30%,0))</f>
        <v>2</v>
      </c>
      <c r="G27" s="957">
        <f>D27*F27</f>
        <v>3</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5"/>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5"/>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81" t="s">
        <v>1928</v>
      </c>
      <c r="D29" s="2582"/>
      <c r="E29" s="973">
        <f>SUM(E24:E28)</f>
        <v>90</v>
      </c>
      <c r="F29" s="973">
        <f>SUM(F24:F28)</f>
        <v>90</v>
      </c>
      <c r="G29" s="974">
        <f>SUMPRODUCT(D24:D28,F24:F28)</f>
        <v>104.65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5"/>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5"/>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2624</v>
      </c>
      <c r="G31" s="997">
        <f>G29</f>
        <v>104.65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5"/>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2625</v>
      </c>
      <c r="F32" s="996" t="s">
        <v>2626</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5"/>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2627</v>
      </c>
      <c r="F33" s="931"/>
      <c r="G33" s="1002">
        <f>G32*G31</f>
        <v>5232500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5"/>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5"/>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5"/>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5"/>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2628</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5"/>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2629</v>
      </c>
      <c r="G38" s="1044" t="b">
        <v>1</v>
      </c>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5"/>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4"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584"/>
      <c r="E39" s="2584"/>
      <c r="F39" s="2584"/>
      <c r="G39" s="2584"/>
      <c r="H39" s="2584"/>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5"/>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4"/>
      <c r="D40" s="2584"/>
      <c r="E40" s="2584"/>
      <c r="F40" s="2584"/>
      <c r="G40" s="2584"/>
      <c r="H40" s="2584"/>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5"/>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4"/>
      <c r="D41" s="2584"/>
      <c r="E41" s="2584"/>
      <c r="F41" s="2584"/>
      <c r="G41" s="2584"/>
      <c r="H41" s="2584"/>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5"/>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2630</v>
      </c>
      <c r="G42" s="1003" cm="1">
        <f t="array" ref="G42">SUMPRODUCT(Cdlac[Quantity],Cdlac[iAMI],IF(Cdlac[Federal],0,1))/SUMIFS(Cdlac[Quantity],Cdlac[Federal],FALSE)</f>
        <v>0.57499999999999996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5"/>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2631</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5"/>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5"/>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2632</v>
      </c>
      <c r="G45" s="963">
        <f>IFERROR(SUMPRODUCT(Cdlac[Quantity],Cdlac[Delta]),0)</f>
        <v>167914.00000000003</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5"/>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2633</v>
      </c>
      <c r="F46" s="996" t="s">
        <v>2626</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5"/>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2634</v>
      </c>
      <c r="F47" s="931"/>
      <c r="G47" s="1006">
        <f>G45*G46</f>
        <v>30224520.000000004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5"/>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5"/>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5"/>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5"/>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2635</v>
      </c>
      <c r="G51" s="964">
        <f>SUMIFS(Cdlac[Quantity],Cdlac[iAMI],"&lt;=30%")</f>
        <v>45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5"/>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2636</v>
      </c>
      <c r="G52" s="964">
        <f>ROUNDDOWN(E29*50%,0)</f>
        <v>45</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5"/>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5"/>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2637</v>
      </c>
      <c r="G54" s="997">
        <f>MIN(G51:G52)</f>
        <v>45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5"/>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2625</v>
      </c>
      <c r="F55" s="996" t="s">
        <v>2626</v>
      </c>
      <c r="G55" s="1007">
        <v>20000</v>
      </c>
      <c r="M55" s="950"/>
      <c r="N55" s="956"/>
      <c r="O55" s="956"/>
      <c r="P55" s="950"/>
      <c r="Q55" s="1045"/>
      <c r="R55" s="950"/>
      <c r="S55" s="950"/>
    </row>
    <row r="56" spans="2:21" ht="15" customHeight="1">
      <c r="E56" s="1001" t="s">
        <v>2638</v>
      </c>
      <c r="F56" s="931"/>
      <c r="G56" s="1006">
        <f>G54*G55</f>
        <v>900000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2639</v>
      </c>
      <c r="G60" s="1090">
        <f>T18</f>
        <v>0</v>
      </c>
    </row>
    <row r="61" spans="2:21" ht="15" customHeight="1">
      <c r="E61" s="1000" t="s">
        <v>2636</v>
      </c>
      <c r="G61" s="997">
        <f>ROUNDDOWN(E29*50%,0)</f>
        <v>45</v>
      </c>
    </row>
    <row r="62" spans="2:21" ht="15" customHeight="1">
      <c r="E62" s="1000"/>
      <c r="G62" s="1008"/>
    </row>
    <row r="63" spans="2:21" ht="15" customHeight="1">
      <c r="E63" s="1000" t="s">
        <v>2637</v>
      </c>
      <c r="G63" s="997">
        <f>MIN(G60:G61)</f>
        <v>0</v>
      </c>
    </row>
    <row r="64" spans="2:21" ht="15" customHeight="1">
      <c r="E64" s="1000" t="s">
        <v>2625</v>
      </c>
      <c r="F64" s="996" t="s">
        <v>2626</v>
      </c>
      <c r="G64" s="1007">
        <v>10000</v>
      </c>
    </row>
    <row r="65" spans="5:7" ht="15" customHeight="1">
      <c r="E65" s="1001" t="s">
        <v>2640</v>
      </c>
      <c r="F65" s="931"/>
      <c r="G65" s="1006">
        <f>G63*G64</f>
        <v>0</v>
      </c>
    </row>
    <row r="66" spans="5:7" ht="15" customHeight="1">
      <c r="E66" s="1001"/>
      <c r="F66" s="931"/>
      <c r="G66" s="1006"/>
    </row>
    <row r="67" spans="5:7" ht="15" customHeight="1">
      <c r="E67" s="969" t="s">
        <v>2641</v>
      </c>
      <c r="G67" s="929" t="b">
        <f>Application!V227="Yes"</f>
        <v>0</v>
      </c>
    </row>
    <row r="68" spans="5:7" ht="15" customHeight="1">
      <c r="E68" s="969" t="s">
        <v>2642</v>
      </c>
      <c r="G68" s="1090">
        <f>SUMIF(Application!AK726:AK760,"Homeless",Application!G726:G760)</f>
        <v>0</v>
      </c>
    </row>
    <row r="69" spans="5:7" ht="15" customHeight="1">
      <c r="E69" s="969"/>
    </row>
    <row r="70" spans="5:7" ht="15" customHeight="1">
      <c r="E70" s="969" t="s">
        <v>2643</v>
      </c>
      <c r="G70" s="1091"/>
    </row>
    <row r="71" spans="5:7" ht="15" customHeight="1">
      <c r="E71" s="969" t="s">
        <v>2644</v>
      </c>
      <c r="G71" s="1091"/>
    </row>
    <row r="72" spans="5:7" ht="15" customHeight="1">
      <c r="E72" s="969" t="s">
        <v>2645</v>
      </c>
      <c r="G72" s="1090">
        <f>IF(G71=0,0,(G70/G71)*100000)</f>
        <v>0</v>
      </c>
    </row>
    <row r="73" spans="5:7" ht="15" customHeight="1">
      <c r="E73" s="969" t="s">
        <v>2646</v>
      </c>
      <c r="G73" s="1091"/>
    </row>
    <row r="74" spans="5:7" ht="15" customHeight="1">
      <c r="E74" s="969" t="s">
        <v>2647</v>
      </c>
      <c r="G74" s="1091"/>
    </row>
    <row r="75" spans="5:7" ht="15" customHeight="1">
      <c r="E75" s="969" t="s">
        <v>2648</v>
      </c>
      <c r="G75" s="1090">
        <f>IF(G74=0,0,(G73/G74)*100000)</f>
        <v>0</v>
      </c>
    </row>
    <row r="76" spans="5:7" ht="15" customHeight="1">
      <c r="E76" s="1001"/>
      <c r="F76" s="931"/>
      <c r="G76" s="1006"/>
    </row>
    <row r="77" spans="5:7" ht="15" customHeight="1">
      <c r="E77" s="1000" t="s">
        <v>2637</v>
      </c>
      <c r="G77" s="997">
        <f>IF(OR(G75&gt;G72,G71&lt;100000),G75*G68,G72*G68)</f>
        <v>0</v>
      </c>
    </row>
    <row r="78" spans="5:7" ht="15" customHeight="1">
      <c r="E78" s="1000" t="s">
        <v>2625</v>
      </c>
      <c r="F78" s="996" t="s">
        <v>2626</v>
      </c>
      <c r="G78" s="1007">
        <v>100</v>
      </c>
    </row>
    <row r="79" spans="5:7" ht="15" customHeight="1">
      <c r="E79" s="1001" t="s">
        <v>2640</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2649</v>
      </c>
      <c r="G83" s="928" t="s">
        <v>698</v>
      </c>
      <c r="L83" s="2605" t="s">
        <v>890</v>
      </c>
      <c r="M83" s="2606"/>
      <c r="N83" s="1014">
        <v>30000</v>
      </c>
    </row>
    <row r="84" spans="2:14" ht="15" customHeight="1">
      <c r="C84" s="962" t="s">
        <v>2650</v>
      </c>
      <c r="G84" s="966" t="str">
        <f>IF(Application!D211="Large Family","Yes","No")</f>
        <v>No</v>
      </c>
      <c r="L84" s="2609" t="s">
        <v>894</v>
      </c>
      <c r="M84" s="2610"/>
      <c r="N84" s="1015">
        <v>20000</v>
      </c>
    </row>
    <row r="85" spans="2:14" ht="15" customHeight="1" thickBot="1">
      <c r="C85" s="962" t="s">
        <v>2651</v>
      </c>
      <c r="G85" s="928" t="s">
        <v>698</v>
      </c>
      <c r="L85" s="2611" t="s">
        <v>901</v>
      </c>
      <c r="M85" s="2612"/>
      <c r="N85" s="1016">
        <v>10000</v>
      </c>
    </row>
    <row r="86" spans="2:14" ht="15" customHeight="1" thickBot="1">
      <c r="C86" s="962" t="s">
        <v>2652</v>
      </c>
      <c r="G86" s="929" t="str">
        <f>Application!T193</f>
        <v>High Resource</v>
      </c>
    </row>
    <row r="87" spans="2:14" ht="15" customHeight="1">
      <c r="C87" s="2587" t="s">
        <v>2653</v>
      </c>
      <c r="D87" s="2587"/>
      <c r="E87" s="2587"/>
      <c r="F87" s="2587"/>
      <c r="G87" s="928" t="s">
        <v>698</v>
      </c>
      <c r="L87" s="1010" t="str">
        <f>'Points System'!H651</f>
        <v>(i)</v>
      </c>
      <c r="M87" s="2607" t="s">
        <v>2500</v>
      </c>
      <c r="N87" s="2608"/>
    </row>
    <row r="88" spans="2:14" ht="15" customHeight="1">
      <c r="C88" s="2587"/>
      <c r="D88" s="2587"/>
      <c r="E88" s="2587"/>
      <c r="F88" s="2587"/>
      <c r="L88" s="1011" t="str">
        <f>'Points System'!H663</f>
        <v>(ii)</v>
      </c>
      <c r="M88" s="2601" t="s">
        <v>2654</v>
      </c>
      <c r="N88" s="2602"/>
    </row>
    <row r="89" spans="2:14" ht="15" customHeight="1">
      <c r="C89" s="962"/>
      <c r="L89" s="1011" t="str">
        <f>'Points System'!H698</f>
        <v>(i)</v>
      </c>
      <c r="M89" s="2601" t="s">
        <v>2655</v>
      </c>
      <c r="N89" s="2602"/>
    </row>
    <row r="90" spans="2:14" ht="15" customHeight="1">
      <c r="E90" s="969" t="s">
        <v>2656</v>
      </c>
      <c r="G90" s="964" t="b">
        <f>OR(AND(COUNTIFS(G84:G85,"Yes")&gt;=1,G83="Yes"),G87="Yes")</f>
        <v>0</v>
      </c>
      <c r="L90" s="1011" t="str">
        <f>IF(OR('Points System'!H722="(ii)",'Points System'!H722="(i)"),"(i)","N/A")</f>
        <v>N/A</v>
      </c>
      <c r="M90" s="2601" t="s">
        <v>2657</v>
      </c>
      <c r="N90" s="2602"/>
    </row>
    <row r="91" spans="2:14" ht="15" customHeight="1">
      <c r="E91" s="969"/>
      <c r="G91" s="964"/>
      <c r="L91" s="1012" t="str">
        <f>'Points System'!H736</f>
        <v>N/A</v>
      </c>
      <c r="M91" s="2601" t="s">
        <v>2541</v>
      </c>
      <c r="N91" s="2602"/>
    </row>
    <row r="92" spans="2:14" ht="15" customHeight="1">
      <c r="E92" s="969" t="s">
        <v>2625</v>
      </c>
      <c r="G92" s="963">
        <f>IFERROR(IF($G$87="Yes",30000,INDEX(N83:N85,MATCH(LEFT(G86,17),L83:L85,0))),0)</f>
        <v>20000</v>
      </c>
      <c r="L92" s="1011" t="str">
        <f>'Points System'!H748</f>
        <v>N/A</v>
      </c>
      <c r="M92" s="2601" t="s">
        <v>2658</v>
      </c>
      <c r="N92" s="2602"/>
    </row>
    <row r="93" spans="2:14" ht="15" customHeight="1">
      <c r="E93" s="969" t="str">
        <f>E110</f>
        <v>Bedroom-Adjusted Low-Income Units</v>
      </c>
      <c r="F93" s="996" t="s">
        <v>2626</v>
      </c>
      <c r="G93" s="997">
        <f>G29</f>
        <v>104.65</v>
      </c>
      <c r="L93" s="1011" t="str">
        <f>'Points System'!H764</f>
        <v>N/A</v>
      </c>
      <c r="M93" s="2601" t="s">
        <v>2659</v>
      </c>
      <c r="N93" s="2602"/>
    </row>
    <row r="94" spans="2:14" ht="15" customHeight="1" thickBot="1">
      <c r="D94" s="931"/>
      <c r="E94" s="1001" t="s">
        <v>2660</v>
      </c>
      <c r="F94" s="931"/>
      <c r="G94" s="1006">
        <f>G93*G92*G90</f>
        <v>0</v>
      </c>
      <c r="L94" s="1013" t="str">
        <f>'Points System'!H776</f>
        <v>(i)</v>
      </c>
      <c r="M94" s="2603" t="s">
        <v>2545</v>
      </c>
      <c r="N94" s="2604"/>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2661</v>
      </c>
      <c r="G98" s="928" t="s">
        <v>856</v>
      </c>
    </row>
    <row r="99" spans="2:9" ht="15" customHeight="1">
      <c r="F99" s="999"/>
    </row>
    <row r="100" spans="2:9" ht="15" customHeight="1">
      <c r="E100" s="969" t="s">
        <v>2656</v>
      </c>
      <c r="G100" s="964" t="b">
        <f>G98="Yes"</f>
        <v>1</v>
      </c>
    </row>
    <row r="101" spans="2:9" ht="15" customHeight="1"/>
    <row r="102" spans="2:9" ht="15" customHeight="1">
      <c r="E102" s="969" t="str">
        <f>E110</f>
        <v>Bedroom-Adjusted Low-Income Units</v>
      </c>
      <c r="G102" s="997">
        <f>G29</f>
        <v>104.65</v>
      </c>
    </row>
    <row r="103" spans="2:9" ht="15" customHeight="1">
      <c r="E103" s="969" t="s">
        <v>2625</v>
      </c>
      <c r="F103" s="996" t="s">
        <v>2626</v>
      </c>
      <c r="G103" s="935">
        <v>20000</v>
      </c>
    </row>
    <row r="104" spans="2:9" ht="15" customHeight="1">
      <c r="E104" s="1001" t="s">
        <v>2662</v>
      </c>
      <c r="F104" s="931"/>
      <c r="G104" s="1006">
        <f>G100*G103*G102</f>
        <v>2093000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2663</v>
      </c>
      <c r="G108" s="997">
        <f>VLOOKUP('Points System'!$H$619,'Points System'!$AO$599:$AP$604,2,FALSE)</f>
        <v>7</v>
      </c>
    </row>
    <row r="109" spans="2:9" ht="15" customHeight="1">
      <c r="E109" s="969" t="s">
        <v>2625</v>
      </c>
      <c r="F109" s="996" t="s">
        <v>2626</v>
      </c>
      <c r="G109" s="961">
        <v>4000</v>
      </c>
    </row>
    <row r="110" spans="2:9" ht="15" customHeight="1">
      <c r="E110" s="969" t="s">
        <v>2664</v>
      </c>
      <c r="F110" s="996" t="s">
        <v>2626</v>
      </c>
      <c r="G110" s="1009">
        <f>G29</f>
        <v>104.65</v>
      </c>
    </row>
    <row r="111" spans="2:9" ht="15" customHeight="1">
      <c r="E111" s="1001" t="s">
        <v>2665</v>
      </c>
      <c r="F111" s="931"/>
      <c r="G111" s="1006">
        <f>G108*G109*G110</f>
        <v>2930200</v>
      </c>
    </row>
    <row r="112" spans="2:9" ht="15" customHeight="1">
      <c r="C112" s="962"/>
      <c r="G112" s="997"/>
    </row>
    <row r="113" spans="2:7" ht="15" customHeight="1">
      <c r="E113" s="969" t="s">
        <v>2666</v>
      </c>
      <c r="G113" s="997">
        <f>COUNTIFS(L87:L94,"(i)")</f>
        <v>3</v>
      </c>
    </row>
    <row r="114" spans="2:7" ht="15" customHeight="1">
      <c r="E114" s="969" t="s">
        <v>2625</v>
      </c>
      <c r="F114" s="996" t="s">
        <v>2626</v>
      </c>
      <c r="G114" s="1007">
        <v>4000</v>
      </c>
    </row>
    <row r="115" spans="2:7" ht="15" customHeight="1">
      <c r="E115" s="1001" t="s">
        <v>2667</v>
      </c>
      <c r="F115" s="931"/>
      <c r="G115" s="1006">
        <f>G110*G113*G114</f>
        <v>1255800.0000000002</v>
      </c>
    </row>
    <row r="116" spans="2:7" ht="15" customHeight="1"/>
    <row r="117" spans="2:7" ht="15" customHeight="1">
      <c r="C117" s="965" t="s">
        <v>2668</v>
      </c>
    </row>
    <row r="118" spans="2:7" ht="15" customHeight="1">
      <c r="C118" s="962" t="s">
        <v>2669</v>
      </c>
      <c r="G118" s="928"/>
    </row>
    <row r="119" spans="2:7" ht="15" customHeight="1">
      <c r="C119" s="962" t="s">
        <v>2670</v>
      </c>
      <c r="G119" s="928"/>
    </row>
    <row r="120" spans="2:7" ht="15" customHeight="1">
      <c r="C120" s="962" t="s">
        <v>2671</v>
      </c>
      <c r="G120" s="928" t="s">
        <v>856</v>
      </c>
    </row>
    <row r="121" spans="2:7">
      <c r="C121" s="962" t="s">
        <v>2672</v>
      </c>
      <c r="G121" s="928" t="s">
        <v>856</v>
      </c>
    </row>
    <row r="123" spans="2:7">
      <c r="B123" s="963"/>
      <c r="C123" s="962"/>
      <c r="E123" s="969" t="s">
        <v>2656</v>
      </c>
      <c r="G123" s="964" t="b">
        <f>COUNTIFS(G118:G121,"Yes")&gt;=1</f>
        <v>1</v>
      </c>
    </row>
    <row r="124" spans="2:7">
      <c r="E124" s="962"/>
    </row>
    <row r="125" spans="2:7" ht="14.4">
      <c r="E125" s="969" t="s">
        <v>2664</v>
      </c>
      <c r="F125" s="996" t="s">
        <v>2626</v>
      </c>
      <c r="G125" s="997">
        <f>G29</f>
        <v>104.65</v>
      </c>
    </row>
    <row r="126" spans="2:7" ht="14.4">
      <c r="E126" s="969" t="s">
        <v>2625</v>
      </c>
      <c r="F126" s="996" t="s">
        <v>2626</v>
      </c>
      <c r="G126" s="1007">
        <v>25000</v>
      </c>
    </row>
    <row r="127" spans="2:7">
      <c r="E127" s="1001" t="s">
        <v>2673</v>
      </c>
      <c r="F127" s="931"/>
      <c r="G127" s="1006">
        <f>G123*G126*G110</f>
        <v>2616250</v>
      </c>
    </row>
    <row r="128" spans="2:7">
      <c r="C128" s="962"/>
      <c r="E128" s="962"/>
    </row>
    <row r="129" spans="2:9">
      <c r="E129" s="1001" t="s">
        <v>2674</v>
      </c>
      <c r="G129" s="1006">
        <f>G127+G115+G111</f>
        <v>6802250</v>
      </c>
    </row>
    <row r="131" spans="2:9">
      <c r="B131" s="951" t="s">
        <v>1783</v>
      </c>
      <c r="C131" s="952"/>
      <c r="D131" s="952"/>
      <c r="E131" s="952"/>
      <c r="F131" s="952"/>
      <c r="G131" s="952"/>
      <c r="H131" s="952"/>
      <c r="I131" s="953"/>
    </row>
    <row r="133" spans="2:9">
      <c r="C133" s="2583" t="s">
        <v>2675</v>
      </c>
      <c r="D133" s="2583"/>
      <c r="E133" s="2583"/>
      <c r="F133" s="2583"/>
    </row>
    <row r="134" spans="2:9">
      <c r="C134" s="2583"/>
      <c r="D134" s="2583"/>
      <c r="E134" s="2583"/>
      <c r="F134" s="2583"/>
      <c r="G134" s="928" t="s">
        <v>856</v>
      </c>
    </row>
    <row r="135" spans="2:9" ht="14.25" customHeight="1"/>
    <row r="136" spans="2:9">
      <c r="C136" s="929" t="s">
        <v>2676</v>
      </c>
      <c r="G136" s="2585" t="s">
        <v>2780</v>
      </c>
      <c r="H136" s="2585"/>
    </row>
    <row r="137" spans="2:9">
      <c r="G137" s="2585"/>
      <c r="H137" s="2585"/>
    </row>
    <row r="138" spans="2:9">
      <c r="G138" s="2586"/>
      <c r="H138" s="2586"/>
    </row>
    <row r="140" spans="2:9">
      <c r="C140" s="2583" t="s">
        <v>2677</v>
      </c>
      <c r="D140" s="2583"/>
      <c r="E140" s="2583"/>
      <c r="F140" s="2583"/>
    </row>
    <row r="141" spans="2:9">
      <c r="C141" s="2583"/>
      <c r="D141" s="2583"/>
      <c r="E141" s="2583"/>
      <c r="F141" s="2583"/>
      <c r="G141" s="928"/>
    </row>
    <row r="142" spans="2:9">
      <c r="C142" s="2583"/>
      <c r="D142" s="2583"/>
      <c r="E142" s="2583"/>
      <c r="F142" s="2583"/>
    </row>
    <row r="144" spans="2:9">
      <c r="C144" s="2583" t="s">
        <v>2678</v>
      </c>
      <c r="D144" s="2583"/>
      <c r="E144" s="2583"/>
      <c r="F144" s="2583"/>
    </row>
    <row r="145" spans="2:9">
      <c r="C145" s="2583"/>
      <c r="D145" s="2583"/>
      <c r="E145" s="2583"/>
      <c r="F145" s="2583"/>
      <c r="G145" s="928"/>
    </row>
    <row r="146" spans="2:9">
      <c r="C146" s="2583"/>
      <c r="D146" s="2583"/>
      <c r="E146" s="2583"/>
      <c r="F146" s="2583"/>
    </row>
    <row r="147" spans="2:9">
      <c r="C147" s="2583"/>
      <c r="D147" s="2583"/>
      <c r="E147" s="2583"/>
      <c r="F147" s="2583"/>
    </row>
    <row r="149" spans="2:9">
      <c r="B149" s="951" t="s">
        <v>2679</v>
      </c>
      <c r="C149" s="952"/>
      <c r="D149" s="952"/>
      <c r="E149" s="952"/>
      <c r="F149" s="952"/>
      <c r="G149" s="952"/>
      <c r="H149" s="952"/>
      <c r="I149" s="953"/>
    </row>
    <row r="151" spans="2:9">
      <c r="E151" s="969" t="s">
        <v>942</v>
      </c>
      <c r="G151" s="929" t="str">
        <f>IF(Application!T189="","",Application!T189)</f>
        <v>San Francisco</v>
      </c>
    </row>
    <row r="152" spans="2:9">
      <c r="E152" s="969"/>
      <c r="G152" s="963"/>
    </row>
    <row r="153" spans="2:9">
      <c r="E153" s="969" t="str">
        <f>"2-Bedroom "&amp;G151&amp;" County Basis Limit"</f>
        <v>2-Bedroom San Francisco County Basis Limit</v>
      </c>
      <c r="G153" s="963">
        <f>Application!R997</f>
        <v>965600</v>
      </c>
    </row>
    <row r="154" spans="2:9">
      <c r="E154" s="969" t="s">
        <v>2680</v>
      </c>
      <c r="G154" s="963">
        <f>MEDIAN((Application!CU160:CU217))</f>
        <v>560000</v>
      </c>
    </row>
    <row r="155" spans="2:9">
      <c r="D155" s="931"/>
      <c r="E155" s="1001" t="s">
        <v>2681</v>
      </c>
      <c r="F155" s="1017"/>
      <c r="G155" s="1018">
        <f>((G153-G154)/G154)*0.25</f>
        <v>0.18107142857142858</v>
      </c>
      <c r="H155" s="927"/>
      <c r="I155" s="927"/>
    </row>
    <row r="156" spans="2:9">
      <c r="D156" s="930"/>
      <c r="E156" s="930"/>
    </row>
    <row r="157" spans="2:9">
      <c r="B157" s="951" t="s">
        <v>2682</v>
      </c>
      <c r="C157" s="952"/>
      <c r="D157" s="952"/>
      <c r="E157" s="952"/>
      <c r="F157" s="952"/>
      <c r="G157" s="952"/>
      <c r="H157" s="952"/>
      <c r="I157" s="953"/>
    </row>
    <row r="159" spans="2:9">
      <c r="E159" s="969" t="s">
        <v>2628</v>
      </c>
      <c r="G159" s="929" t="b">
        <f>G37</f>
        <v>1</v>
      </c>
    </row>
    <row r="160" spans="2:9">
      <c r="C160" s="2578" t="s">
        <v>2683</v>
      </c>
      <c r="D160" s="2578"/>
      <c r="E160" s="2578"/>
      <c r="F160" s="2578"/>
    </row>
    <row r="161" spans="2:7">
      <c r="B161" s="930"/>
      <c r="C161" s="2578"/>
      <c r="D161" s="2578"/>
      <c r="E161" s="2578"/>
      <c r="F161" s="2578"/>
      <c r="G161" s="928"/>
    </row>
    <row r="162" spans="2:7">
      <c r="B162" s="930"/>
      <c r="C162" s="930"/>
      <c r="D162" s="930"/>
      <c r="E162" s="930"/>
      <c r="F162" s="930"/>
    </row>
    <row r="163" spans="2:7">
      <c r="E163" s="969" t="s">
        <v>2684</v>
      </c>
      <c r="G163" s="1050"/>
    </row>
    <row r="165" spans="2:7">
      <c r="E165" s="969" t="s">
        <v>2685</v>
      </c>
      <c r="G165" s="1049">
        <f>IF(I9=0,0,G163/I9)</f>
        <v>0</v>
      </c>
    </row>
    <row r="166" spans="2:7">
      <c r="E166" s="969" t="s">
        <v>2686</v>
      </c>
      <c r="G166" s="1047">
        <f>I9*0.15</f>
        <v>3345927.75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 workbookViewId="0">
      <selection activeCell="F6" sqref="F6"/>
    </sheetView>
  </sheetViews>
  <sheetFormatPr defaultColWidth="9.109375" defaultRowHeight="13.8"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09375" style="211"/>
  </cols>
  <sheetData>
    <row r="1" spans="1:12">
      <c r="A1" s="2613" t="s">
        <v>2687</v>
      </c>
      <c r="B1" s="2613"/>
      <c r="C1" s="2613"/>
      <c r="D1" s="2613"/>
      <c r="E1" s="2613"/>
      <c r="F1" s="2613"/>
      <c r="G1" s="2613"/>
      <c r="H1" s="2613"/>
      <c r="I1" s="2613"/>
      <c r="J1" s="2613"/>
      <c r="K1" s="136"/>
      <c r="L1" s="136"/>
    </row>
    <row r="2" spans="1:12">
      <c r="A2" s="140"/>
      <c r="B2" s="140"/>
      <c r="C2" s="140"/>
      <c r="D2" s="140"/>
      <c r="E2" s="140"/>
      <c r="F2" s="140"/>
      <c r="G2" s="140"/>
      <c r="H2" s="140"/>
      <c r="I2" s="140"/>
      <c r="J2" s="140"/>
    </row>
    <row r="3" spans="1:12" ht="83.4">
      <c r="A3" s="329" t="s">
        <v>2688</v>
      </c>
      <c r="B3" s="329" t="s">
        <v>2689</v>
      </c>
      <c r="C3" s="329" t="s">
        <v>2690</v>
      </c>
      <c r="D3" s="1028" t="s">
        <v>2691</v>
      </c>
      <c r="E3" s="136"/>
      <c r="F3" s="1028" t="s">
        <v>2692</v>
      </c>
      <c r="G3" s="329" t="s">
        <v>2693</v>
      </c>
      <c r="H3" s="330"/>
      <c r="I3" s="329" t="s">
        <v>2694</v>
      </c>
      <c r="J3" s="329" t="s">
        <v>2695</v>
      </c>
      <c r="K3" s="136"/>
      <c r="L3" s="212"/>
    </row>
    <row r="4" spans="1:12">
      <c r="A4" s="331" t="str">
        <f>Application!B726</f>
        <v>1 Bedroom</v>
      </c>
      <c r="B4" s="967">
        <f>Application!G726</f>
        <v>9</v>
      </c>
      <c r="C4" s="1043" t="s">
        <v>1003</v>
      </c>
      <c r="D4" s="331">
        <f>Application!O726</f>
        <v>964</v>
      </c>
      <c r="E4" s="332"/>
      <c r="F4" s="968">
        <v>4005</v>
      </c>
      <c r="G4" s="331">
        <f>F4*B4</f>
        <v>36045</v>
      </c>
      <c r="H4" s="332"/>
      <c r="I4" s="331">
        <f t="shared" ref="I4:I27" si="0">IF(F4=0,"",(F4-D4))</f>
        <v>3041</v>
      </c>
      <c r="J4" s="331">
        <f t="shared" ref="J4:J27" si="1">IF(F4=0,"",(I4*B4))</f>
        <v>27369</v>
      </c>
      <c r="K4" s="136"/>
      <c r="L4" s="212"/>
    </row>
    <row r="5" spans="1:12">
      <c r="A5" s="331" t="str">
        <f>Application!B727</f>
        <v>1 Bedroom</v>
      </c>
      <c r="B5" s="967">
        <f>Application!G727</f>
        <v>18</v>
      </c>
      <c r="C5" s="1043" t="s">
        <v>1003</v>
      </c>
      <c r="D5" s="331">
        <f>Application!O727</f>
        <v>1689</v>
      </c>
      <c r="E5" s="332"/>
      <c r="F5" s="968">
        <v>4005</v>
      </c>
      <c r="G5" s="331">
        <f t="shared" ref="G5:G38" si="2">F5*B5</f>
        <v>72090</v>
      </c>
      <c r="H5" s="332"/>
      <c r="I5" s="331">
        <f t="shared" si="0"/>
        <v>2316</v>
      </c>
      <c r="J5" s="331">
        <f t="shared" si="1"/>
        <v>41688</v>
      </c>
      <c r="K5" s="136"/>
      <c r="L5" s="212"/>
    </row>
    <row r="6" spans="1:12">
      <c r="A6" s="331" t="str">
        <f>Application!B728</f>
        <v>2 Bedrooms</v>
      </c>
      <c r="B6" s="967">
        <f>Application!G728</f>
        <v>36</v>
      </c>
      <c r="C6" s="1043" t="s">
        <v>1003</v>
      </c>
      <c r="D6" s="331">
        <f>Application!O728</f>
        <v>1160</v>
      </c>
      <c r="E6" s="332"/>
      <c r="F6" s="968">
        <v>4920</v>
      </c>
      <c r="G6" s="331">
        <f t="shared" si="2"/>
        <v>177120</v>
      </c>
      <c r="H6" s="332"/>
      <c r="I6" s="331">
        <f t="shared" si="0"/>
        <v>3760</v>
      </c>
      <c r="J6" s="331">
        <f t="shared" si="1"/>
        <v>135360</v>
      </c>
      <c r="K6" s="136"/>
      <c r="L6" s="212"/>
    </row>
    <row r="7" spans="1:12">
      <c r="A7" s="331" t="str">
        <f>Application!B729</f>
        <v>2 Bedrooms</v>
      </c>
      <c r="B7" s="967">
        <f>Application!G729</f>
        <v>19</v>
      </c>
      <c r="C7" s="1043" t="s">
        <v>1003</v>
      </c>
      <c r="D7" s="331">
        <f>Application!O729</f>
        <v>2031</v>
      </c>
      <c r="E7" s="332"/>
      <c r="F7" s="968">
        <v>4920</v>
      </c>
      <c r="G7" s="331">
        <f t="shared" si="2"/>
        <v>93480</v>
      </c>
      <c r="H7" s="332"/>
      <c r="I7" s="331">
        <f t="shared" si="0"/>
        <v>2889</v>
      </c>
      <c r="J7" s="331">
        <f t="shared" si="1"/>
        <v>54891</v>
      </c>
      <c r="K7" s="136"/>
      <c r="L7" s="212"/>
    </row>
    <row r="8" spans="1:12">
      <c r="A8" s="331" t="str">
        <f>Application!B730</f>
        <v>3 Bedrooms</v>
      </c>
      <c r="B8" s="967">
        <f>Application!G730</f>
        <v>2</v>
      </c>
      <c r="C8" s="1043"/>
      <c r="D8" s="331">
        <f>Application!O730</f>
        <v>2342</v>
      </c>
      <c r="E8" s="332"/>
      <c r="F8" s="968">
        <v>5495</v>
      </c>
      <c r="G8" s="331">
        <f t="shared" si="2"/>
        <v>10990</v>
      </c>
      <c r="H8" s="332"/>
      <c r="I8" s="331">
        <f t="shared" si="0"/>
        <v>3153</v>
      </c>
      <c r="J8" s="331">
        <f t="shared" si="1"/>
        <v>6306</v>
      </c>
      <c r="K8" s="136"/>
      <c r="L8" s="212"/>
    </row>
    <row r="9" spans="1:12">
      <c r="A9" s="331" t="str">
        <f>Application!B731</f>
        <v>SRO/Studio</v>
      </c>
      <c r="B9" s="967">
        <f>Application!G731</f>
        <v>1</v>
      </c>
      <c r="C9" s="1043"/>
      <c r="D9" s="331">
        <f>Application!O731</f>
        <v>1934</v>
      </c>
      <c r="E9" s="332"/>
      <c r="F9" s="968"/>
      <c r="G9" s="331">
        <f t="shared" si="2"/>
        <v>0</v>
      </c>
      <c r="H9" s="332"/>
      <c r="I9" s="331" t="str">
        <f t="shared" si="0"/>
        <v/>
      </c>
      <c r="J9" s="331" t="str">
        <f t="shared" si="1"/>
        <v/>
      </c>
      <c r="K9" s="136"/>
      <c r="L9" s="212"/>
    </row>
    <row r="10" spans="1:12">
      <c r="A10" s="331" t="str">
        <f>Application!B732</f>
        <v>1 Bedroom</v>
      </c>
      <c r="B10" s="967">
        <f>Application!G732</f>
        <v>5</v>
      </c>
      <c r="C10" s="1043"/>
      <c r="D10" s="331">
        <f>Application!O732</f>
        <v>2052</v>
      </c>
      <c r="E10" s="332"/>
      <c r="F10" s="968"/>
      <c r="G10" s="331">
        <f t="shared" si="2"/>
        <v>0</v>
      </c>
      <c r="H10" s="332"/>
      <c r="I10" s="331" t="str">
        <f t="shared" si="0"/>
        <v/>
      </c>
      <c r="J10" s="331" t="str">
        <f t="shared" si="1"/>
        <v/>
      </c>
      <c r="K10" s="136"/>
      <c r="L10" s="212"/>
    </row>
    <row r="11" spans="1:12">
      <c r="A11" s="331">
        <f>Application!B733</f>
        <v>0</v>
      </c>
      <c r="B11" s="967">
        <f>Application!G733</f>
        <v>0</v>
      </c>
      <c r="C11" s="1043"/>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3"/>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3"/>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3"/>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3"/>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3"/>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3"/>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3"/>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3"/>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3"/>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3"/>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3"/>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3"/>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3"/>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3"/>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3"/>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3"/>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3"/>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3"/>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3"/>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3"/>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3"/>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3"/>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3"/>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3"/>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3"/>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3"/>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3"/>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2696</v>
      </c>
      <c r="B40" s="334"/>
      <c r="C40" s="334"/>
      <c r="D40" s="335">
        <f>Application!O761</f>
        <v>136305</v>
      </c>
      <c r="E40" s="332"/>
      <c r="F40" s="332"/>
      <c r="G40" s="335">
        <f>SUM(G4:G38)*12</f>
        <v>4676700</v>
      </c>
      <c r="H40" s="336"/>
      <c r="I40" s="334"/>
      <c r="J40" s="335">
        <f>SUM(J4:J38)*12</f>
        <v>3187368</v>
      </c>
      <c r="K40" s="136"/>
      <c r="L40" s="213"/>
    </row>
    <row r="41" spans="1:12">
      <c r="A41" s="333"/>
      <c r="B41" s="334"/>
      <c r="C41" s="334"/>
      <c r="D41" s="336"/>
      <c r="E41" s="332"/>
      <c r="F41" s="332"/>
      <c r="G41" s="336"/>
      <c r="H41" s="336"/>
      <c r="I41" s="334"/>
      <c r="J41" s="336"/>
      <c r="K41" s="136"/>
      <c r="L41" s="213"/>
    </row>
    <row r="42" spans="1:12">
      <c r="A42" s="211" t="s">
        <v>2697</v>
      </c>
    </row>
    <row r="43" spans="1:12">
      <c r="A43" s="2614" t="s">
        <v>2698</v>
      </c>
      <c r="B43" s="2614"/>
      <c r="C43" s="2614"/>
      <c r="D43" s="2614"/>
      <c r="E43" s="2614"/>
      <c r="F43" s="2614"/>
      <c r="G43" s="2614"/>
      <c r="H43" s="2614"/>
      <c r="I43" s="2614"/>
      <c r="J43" s="2614"/>
    </row>
    <row r="44" spans="1:12">
      <c r="A44" s="2614"/>
      <c r="B44" s="2614"/>
      <c r="C44" s="2614"/>
      <c r="D44" s="2614"/>
      <c r="E44" s="2614"/>
      <c r="F44" s="2614"/>
      <c r="G44" s="2614"/>
      <c r="H44" s="2614"/>
      <c r="I44" s="2614"/>
      <c r="J44" s="2614"/>
    </row>
    <row r="45" spans="1:12">
      <c r="A45" s="2614" t="s">
        <v>2699</v>
      </c>
      <c r="B45" s="2614"/>
      <c r="C45" s="2614"/>
      <c r="D45" s="2614"/>
      <c r="E45" s="2614"/>
      <c r="F45" s="2614"/>
      <c r="G45" s="2614"/>
      <c r="H45" s="2614"/>
      <c r="I45" s="2614"/>
      <c r="J45" s="2614"/>
    </row>
    <row r="46" spans="1:12">
      <c r="A46" s="2614"/>
      <c r="B46" s="2614"/>
      <c r="C46" s="2614"/>
      <c r="D46" s="2614"/>
      <c r="E46" s="2614"/>
      <c r="F46" s="2614"/>
      <c r="G46" s="2614"/>
      <c r="H46" s="2614"/>
      <c r="I46" s="2614"/>
      <c r="J46" s="261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6" zoomScaleNormal="100" workbookViewId="0">
      <selection activeCell="E40" sqref="E40:E41"/>
    </sheetView>
  </sheetViews>
  <sheetFormatPr defaultColWidth="0" defaultRowHeight="13.2" zeroHeight="1"/>
  <cols>
    <col min="1" max="1" width="3.6640625" customWidth="1"/>
    <col min="2" max="2" width="30.5546875" customWidth="1"/>
    <col min="3" max="3" width="9.10937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1" t="s">
        <v>2700</v>
      </c>
      <c r="B1" s="141"/>
    </row>
    <row r="2" spans="1:34"/>
    <row r="3" spans="1:34" ht="15.6">
      <c r="A3" s="142" t="s">
        <v>2701</v>
      </c>
      <c r="B3" s="142"/>
      <c r="C3" s="163" t="s">
        <v>2702</v>
      </c>
      <c r="D3" s="12"/>
      <c r="E3" s="164" t="s">
        <v>2703</v>
      </c>
      <c r="F3" s="135"/>
      <c r="G3" s="164" t="s">
        <v>2704</v>
      </c>
      <c r="H3" s="135"/>
      <c r="I3" s="164" t="s">
        <v>2705</v>
      </c>
      <c r="J3" s="135"/>
      <c r="K3" s="164" t="s">
        <v>2706</v>
      </c>
      <c r="L3" s="135"/>
      <c r="M3" s="164" t="s">
        <v>2707</v>
      </c>
      <c r="N3" s="135"/>
      <c r="O3" s="164" t="s">
        <v>2708</v>
      </c>
      <c r="P3" s="135"/>
      <c r="Q3" s="164" t="s">
        <v>2709</v>
      </c>
      <c r="R3" s="135"/>
      <c r="S3" s="164" t="s">
        <v>2710</v>
      </c>
      <c r="T3" s="135"/>
      <c r="U3" s="164" t="s">
        <v>2711</v>
      </c>
      <c r="V3" s="135"/>
      <c r="W3" s="164" t="s">
        <v>2712</v>
      </c>
      <c r="X3" s="135"/>
      <c r="Y3" s="164" t="s">
        <v>2713</v>
      </c>
      <c r="Z3" s="135"/>
      <c r="AA3" s="164" t="s">
        <v>2714</v>
      </c>
      <c r="AB3" s="135"/>
      <c r="AC3" s="164" t="s">
        <v>2715</v>
      </c>
      <c r="AD3" s="135"/>
      <c r="AE3" s="164" t="s">
        <v>2716</v>
      </c>
      <c r="AF3" s="135"/>
      <c r="AG3" s="164" t="s">
        <v>2717</v>
      </c>
      <c r="AH3" s="12"/>
    </row>
    <row r="4" spans="1:34" s="148" customFormat="1" ht="13.8">
      <c r="A4" s="148" t="s">
        <v>2718</v>
      </c>
      <c r="C4" s="1225">
        <v>1.02</v>
      </c>
      <c r="E4" s="148">
        <f>Application!Y809</f>
        <v>1635660</v>
      </c>
      <c r="G4" s="148">
        <f>E4*$C$4</f>
        <v>1668373.2</v>
      </c>
      <c r="I4" s="148">
        <f>G4*$C$4</f>
        <v>1701740.6639999999</v>
      </c>
      <c r="K4" s="148">
        <f>I4*$C$4</f>
        <v>1735775.47728</v>
      </c>
      <c r="M4" s="148">
        <f>K4*$C$4</f>
        <v>1770490.9868256</v>
      </c>
      <c r="O4" s="148">
        <f>M4*$C$4</f>
        <v>1805900.8065621122</v>
      </c>
      <c r="Q4" s="148">
        <f>O4*$C$4</f>
        <v>1842018.8226933545</v>
      </c>
      <c r="S4" s="148">
        <f>Q4*$C$4</f>
        <v>1878859.1991472216</v>
      </c>
      <c r="U4" s="148">
        <f>S4*$C$4</f>
        <v>1916436.3831301662</v>
      </c>
      <c r="W4" s="148">
        <f>U4*$C$4</f>
        <v>1954765.1107927696</v>
      </c>
      <c r="Y4" s="148">
        <f>W4*$C$4</f>
        <v>1993860.4130086249</v>
      </c>
      <c r="AA4" s="148">
        <f>Y4*$C$4</f>
        <v>2033737.6212687974</v>
      </c>
      <c r="AC4" s="148">
        <f>AA4*$C$4</f>
        <v>2074412.3736941735</v>
      </c>
      <c r="AE4" s="148">
        <f>AC4*$C$4</f>
        <v>2115900.621168057</v>
      </c>
      <c r="AG4" s="148">
        <f>AE4*$C$4</f>
        <v>2158218.6335914182</v>
      </c>
    </row>
    <row r="5" spans="1:34" s="140" customFormat="1" ht="13.8">
      <c r="B5" s="140" t="s">
        <v>2273</v>
      </c>
      <c r="C5" s="1226">
        <f>IF(Application!$D$211="Special Needs",(((0.1*Application!$T$212)+(0.05*(1-Application!$T$212)))),0.05)</f>
        <v>0.05</v>
      </c>
      <c r="E5" s="150">
        <f>-E4*$C$5</f>
        <v>-81783</v>
      </c>
      <c r="F5" s="150"/>
      <c r="G5" s="150">
        <f>-G4*$C$5</f>
        <v>-83418.66</v>
      </c>
      <c r="H5" s="150"/>
      <c r="I5" s="150">
        <f>-I4*$C$5</f>
        <v>-85087.033200000005</v>
      </c>
      <c r="J5" s="150"/>
      <c r="K5" s="150">
        <f>-K4*$C$5</f>
        <v>-86788.773864000003</v>
      </c>
      <c r="L5" s="150"/>
      <c r="M5" s="150">
        <f>-M4*$C$5</f>
        <v>-88524.549341280013</v>
      </c>
      <c r="N5" s="150"/>
      <c r="O5" s="150">
        <f>-O4*$C$5</f>
        <v>-90295.040328105621</v>
      </c>
      <c r="P5" s="150"/>
      <c r="Q5" s="150">
        <f>-Q4*$C$5</f>
        <v>-92100.941134667723</v>
      </c>
      <c r="R5" s="150"/>
      <c r="S5" s="150">
        <f>-S4*$C$5</f>
        <v>-93942.95995736109</v>
      </c>
      <c r="T5" s="150"/>
      <c r="U5" s="150">
        <f>-U4*$C$5</f>
        <v>-95821.819156508311</v>
      </c>
      <c r="V5" s="150"/>
      <c r="W5" s="150">
        <f>-W4*$C$5</f>
        <v>-97738.255539638485</v>
      </c>
      <c r="X5" s="150"/>
      <c r="Y5" s="150">
        <f>-Y4*$C$5</f>
        <v>-99693.020650431252</v>
      </c>
      <c r="Z5" s="150"/>
      <c r="AA5" s="150">
        <f>-AA4*$C$5</f>
        <v>-101686.88106343988</v>
      </c>
      <c r="AB5" s="150"/>
      <c r="AC5" s="150">
        <f>-AC4*$C$5</f>
        <v>-103720.61868470868</v>
      </c>
      <c r="AD5" s="150"/>
      <c r="AE5" s="150">
        <f>-AE4*$C$5</f>
        <v>-105795.03105840285</v>
      </c>
      <c r="AF5" s="150"/>
      <c r="AG5" s="150">
        <f>-AG4*$C$5</f>
        <v>-107910.93167957092</v>
      </c>
    </row>
    <row r="6" spans="1:34" s="140" customFormat="1" ht="13.8">
      <c r="A6" s="140" t="s">
        <v>2719</v>
      </c>
      <c r="C6" s="1225">
        <v>1.02</v>
      </c>
      <c r="E6" s="151">
        <f>Application!Z817</f>
        <v>3187368</v>
      </c>
      <c r="F6" s="151"/>
      <c r="G6" s="151">
        <f>E6*$C$6</f>
        <v>3251115.36</v>
      </c>
      <c r="H6" s="151"/>
      <c r="I6" s="151">
        <f>G6*$C$6</f>
        <v>3316137.6672</v>
      </c>
      <c r="J6" s="151"/>
      <c r="K6" s="151">
        <f>I6*$C$6</f>
        <v>3382460.4205439999</v>
      </c>
      <c r="L6" s="151"/>
      <c r="M6" s="151">
        <f>K6*$C$6</f>
        <v>3450109.6289548799</v>
      </c>
      <c r="N6" s="151"/>
      <c r="O6" s="151">
        <f>M6*$C$6</f>
        <v>3519111.8215339775</v>
      </c>
      <c r="P6" s="151"/>
      <c r="Q6" s="151">
        <f>O6*$C$6</f>
        <v>3589494.057964657</v>
      </c>
      <c r="R6" s="151"/>
      <c r="S6" s="151">
        <f>Q6*$C$6</f>
        <v>3661283.93912395</v>
      </c>
      <c r="T6" s="151"/>
      <c r="U6" s="151">
        <f>S6*$C$6</f>
        <v>3734509.6179064289</v>
      </c>
      <c r="V6" s="151"/>
      <c r="W6" s="151">
        <f>U6*$C$6</f>
        <v>3809199.8102645576</v>
      </c>
      <c r="X6" s="151"/>
      <c r="Y6" s="151">
        <f>W6*$C$6</f>
        <v>3885383.8064698488</v>
      </c>
      <c r="Z6" s="151"/>
      <c r="AA6" s="151">
        <f>Y6*$C$6</f>
        <v>3963091.4825992458</v>
      </c>
      <c r="AB6" s="151"/>
      <c r="AC6" s="151">
        <f>AA6*$C$6</f>
        <v>4042353.3122512307</v>
      </c>
      <c r="AD6" s="151"/>
      <c r="AE6" s="151">
        <f>AC6*$C$6</f>
        <v>4123200.3784962553</v>
      </c>
      <c r="AF6" s="151"/>
      <c r="AG6" s="151">
        <f>AE6*$C$6</f>
        <v>4205664.3860661807</v>
      </c>
    </row>
    <row r="7" spans="1:34" s="140" customFormat="1" ht="13.8">
      <c r="B7" s="140" t="s">
        <v>2273</v>
      </c>
      <c r="C7" s="1226">
        <f>IF(Application!$D$211="Special Needs",(((0.1*Application!$T$212)+(0.05*(1-Application!$T$212)))),0.05)</f>
        <v>0.05</v>
      </c>
      <c r="E7" s="150">
        <f>-E6*$C$7</f>
        <v>-159368.40000000002</v>
      </c>
      <c r="F7" s="150"/>
      <c r="G7" s="150">
        <f>-G6*$C$7</f>
        <v>-162555.76800000001</v>
      </c>
      <c r="H7" s="150"/>
      <c r="I7" s="150">
        <f>-I6*$C$7</f>
        <v>-165806.88336000001</v>
      </c>
      <c r="J7" s="150"/>
      <c r="K7" s="150">
        <f>-K6*$C$7</f>
        <v>-169123.02102720001</v>
      </c>
      <c r="L7" s="150"/>
      <c r="M7" s="150">
        <f>-M6*$C$7</f>
        <v>-172505.48144774401</v>
      </c>
      <c r="N7" s="150"/>
      <c r="O7" s="150">
        <f>-O6*$C$7</f>
        <v>-175955.59107669888</v>
      </c>
      <c r="P7" s="150"/>
      <c r="Q7" s="150">
        <f>-Q6*$C$7</f>
        <v>-179474.70289823285</v>
      </c>
      <c r="R7" s="150"/>
      <c r="S7" s="150">
        <f>-S6*$C$7</f>
        <v>-183064.1969561975</v>
      </c>
      <c r="T7" s="150"/>
      <c r="U7" s="150">
        <f>-U6*$C$7</f>
        <v>-186725.48089532147</v>
      </c>
      <c r="V7" s="150"/>
      <c r="W7" s="150">
        <f>-W6*$C$7</f>
        <v>-190459.99051322788</v>
      </c>
      <c r="X7" s="150"/>
      <c r="Y7" s="150">
        <f>-Y6*$C$7</f>
        <v>-194269.19032349245</v>
      </c>
      <c r="Z7" s="150"/>
      <c r="AA7" s="150">
        <f>-AA6*$C$7</f>
        <v>-198154.5741299623</v>
      </c>
      <c r="AB7" s="150"/>
      <c r="AC7" s="150">
        <f>-AC6*$C$7</f>
        <v>-202117.66561256154</v>
      </c>
      <c r="AD7" s="150"/>
      <c r="AE7" s="150">
        <f>-AE6*$C$7</f>
        <v>-206160.01892481279</v>
      </c>
      <c r="AF7" s="150"/>
      <c r="AG7" s="150">
        <f>-AG6*$C$7</f>
        <v>-210283.21930330904</v>
      </c>
    </row>
    <row r="8" spans="1:34" s="140" customFormat="1" ht="13.8">
      <c r="A8" s="140" t="s">
        <v>215</v>
      </c>
      <c r="C8" s="1225">
        <v>1.02</v>
      </c>
      <c r="E8" s="151">
        <f>Application!Z825</f>
        <v>10000</v>
      </c>
      <c r="F8" s="151"/>
      <c r="G8" s="151">
        <f>E8*$C$8</f>
        <v>10200</v>
      </c>
      <c r="H8" s="151"/>
      <c r="I8" s="151">
        <f>G8*$C$8</f>
        <v>10404</v>
      </c>
      <c r="J8" s="151"/>
      <c r="K8" s="151">
        <f>I8*$C$8</f>
        <v>10612.08</v>
      </c>
      <c r="L8" s="151"/>
      <c r="M8" s="151">
        <f>K8*$C$8</f>
        <v>10824.321599999999</v>
      </c>
      <c r="N8" s="151"/>
      <c r="O8" s="151">
        <f>M8*$C$8</f>
        <v>11040.808031999999</v>
      </c>
      <c r="P8" s="151"/>
      <c r="Q8" s="151">
        <f>O8*$C$8</f>
        <v>11261.62419264</v>
      </c>
      <c r="R8" s="151"/>
      <c r="S8" s="151">
        <f>Q8*$C$8</f>
        <v>11486.8566764928</v>
      </c>
      <c r="T8" s="151"/>
      <c r="U8" s="151">
        <f>S8*$C$8</f>
        <v>11716.593810022656</v>
      </c>
      <c r="V8" s="151"/>
      <c r="W8" s="151">
        <f>U8*$C$8</f>
        <v>11950.925686223109</v>
      </c>
      <c r="X8" s="151"/>
      <c r="Y8" s="151">
        <f>W8*$C$8</f>
        <v>12189.944199947571</v>
      </c>
      <c r="Z8" s="151"/>
      <c r="AA8" s="151">
        <f>Y8*$C$8</f>
        <v>12433.743083946523</v>
      </c>
      <c r="AB8" s="151"/>
      <c r="AC8" s="151">
        <f>AA8*$C$8</f>
        <v>12682.417945625453</v>
      </c>
      <c r="AD8" s="151"/>
      <c r="AE8" s="151">
        <f>AC8*$C$8</f>
        <v>12936.066304537962</v>
      </c>
      <c r="AF8" s="151"/>
      <c r="AG8" s="151">
        <f>AE8*$C$8</f>
        <v>13194.787630628722</v>
      </c>
    </row>
    <row r="9" spans="1:34" s="140" customFormat="1" ht="13.8">
      <c r="B9" s="140" t="s">
        <v>2273</v>
      </c>
      <c r="C9" s="1226">
        <f>IF(Application!$D$211="Special Needs",(((0.1*Application!$T$212)+(0.05*(1-Application!$T$212)))),0.05)</f>
        <v>0.05</v>
      </c>
      <c r="E9" s="150">
        <f>-E8*$C$9</f>
        <v>-500</v>
      </c>
      <c r="F9" s="150"/>
      <c r="G9" s="150">
        <f>-G8*$C$9</f>
        <v>-510</v>
      </c>
      <c r="H9" s="150"/>
      <c r="I9" s="150">
        <f>-I8*$C$9</f>
        <v>-520.20000000000005</v>
      </c>
      <c r="J9" s="150"/>
      <c r="K9" s="150">
        <f>-K8*$C$9</f>
        <v>-530.60400000000004</v>
      </c>
      <c r="L9" s="150"/>
      <c r="M9" s="150">
        <f>-M8*$C$9</f>
        <v>-541.21608000000003</v>
      </c>
      <c r="N9" s="150"/>
      <c r="O9" s="150">
        <f>-O8*$C$9</f>
        <v>-552.0404016</v>
      </c>
      <c r="P9" s="150"/>
      <c r="Q9" s="150">
        <f>-Q8*$C$9</f>
        <v>-563.08120963199997</v>
      </c>
      <c r="R9" s="150"/>
      <c r="S9" s="150">
        <f>-S8*$C$9</f>
        <v>-574.34283382464002</v>
      </c>
      <c r="T9" s="150"/>
      <c r="U9" s="150">
        <f>-U8*$C$9</f>
        <v>-585.82969050113286</v>
      </c>
      <c r="V9" s="150"/>
      <c r="W9" s="150">
        <f>-W8*$C$9</f>
        <v>-597.54628431115543</v>
      </c>
      <c r="X9" s="150"/>
      <c r="Y9" s="150">
        <f>-Y8*$C$9</f>
        <v>-609.4972099973786</v>
      </c>
      <c r="Z9" s="150"/>
      <c r="AA9" s="150">
        <f>-AA8*$C$9</f>
        <v>-621.68715419732621</v>
      </c>
      <c r="AB9" s="150"/>
      <c r="AC9" s="150">
        <f>-AC8*$C$9</f>
        <v>-634.12089728127273</v>
      </c>
      <c r="AD9" s="150"/>
      <c r="AE9" s="150">
        <f>-AE8*$C$9</f>
        <v>-646.80331522689812</v>
      </c>
      <c r="AF9" s="150"/>
      <c r="AG9" s="150">
        <f>-AG8*$C$9</f>
        <v>-659.73938153143615</v>
      </c>
    </row>
    <row r="10" spans="1:34" s="140" customFormat="1" ht="13.8">
      <c r="A10" s="1026" t="s">
        <v>239</v>
      </c>
      <c r="B10" s="1026"/>
      <c r="C10" s="1225">
        <v>1.02</v>
      </c>
      <c r="E10" s="1151">
        <f>Application!Z908*90%</f>
        <v>850500</v>
      </c>
      <c r="F10" s="1152"/>
      <c r="G10" s="1151">
        <f>E10*$C$10</f>
        <v>867510</v>
      </c>
      <c r="H10" s="1152"/>
      <c r="I10" s="1151">
        <f>G10*$C$10</f>
        <v>884860.20000000007</v>
      </c>
      <c r="J10" s="1152"/>
      <c r="K10" s="1151">
        <f>I10*$C$10</f>
        <v>902557.4040000001</v>
      </c>
      <c r="L10" s="1152"/>
      <c r="M10" s="1151">
        <f>K10*$C$10</f>
        <v>920608.55208000017</v>
      </c>
      <c r="N10" s="1152"/>
      <c r="O10" s="1151">
        <f>M10*$C$10</f>
        <v>939020.72312160023</v>
      </c>
      <c r="P10" s="1152"/>
      <c r="Q10" s="1151">
        <f>O10*$C$10</f>
        <v>957801.13758403226</v>
      </c>
      <c r="R10" s="1152"/>
      <c r="S10" s="1151">
        <f>Q10*$C$10</f>
        <v>976957.16033571295</v>
      </c>
      <c r="T10" s="1152"/>
      <c r="U10" s="1151">
        <f>S10*$C$10</f>
        <v>996496.30354242725</v>
      </c>
      <c r="V10" s="1152"/>
      <c r="W10" s="1151">
        <f>U10*$C$10</f>
        <v>1016426.2296132758</v>
      </c>
      <c r="X10" s="1152"/>
      <c r="Y10" s="1151">
        <f>W10*$C$10</f>
        <v>1036754.7542055413</v>
      </c>
      <c r="Z10" s="1152"/>
      <c r="AA10" s="1151">
        <f>Y10*$C$10</f>
        <v>1057489.8492896522</v>
      </c>
      <c r="AB10" s="1152"/>
      <c r="AC10" s="1151">
        <f>AA10*$C$10</f>
        <v>1078639.6462754454</v>
      </c>
      <c r="AD10" s="1152"/>
      <c r="AE10" s="1151">
        <f>AC10*$C$10</f>
        <v>1100212.4392009543</v>
      </c>
      <c r="AF10" s="1152"/>
      <c r="AG10" s="1151">
        <f>AE10*$C$10</f>
        <v>1122216.6879849734</v>
      </c>
    </row>
    <row r="11" spans="1:34" s="152" customFormat="1" ht="13.8">
      <c r="A11" s="152" t="s">
        <v>2720</v>
      </c>
      <c r="C11" s="145"/>
      <c r="E11" s="152">
        <f>SUM(E4:E10)</f>
        <v>5441876.5999999996</v>
      </c>
      <c r="G11" s="152">
        <f>SUM(G4:G10)</f>
        <v>5550714.1320000002</v>
      </c>
      <c r="I11" s="152">
        <f>SUM(I4:I10)</f>
        <v>5661728.4146400001</v>
      </c>
      <c r="K11" s="152">
        <f>SUM(K4:K10)</f>
        <v>5774962.9829327995</v>
      </c>
      <c r="M11" s="152">
        <f>SUM(M4:M10)</f>
        <v>5890462.2425914565</v>
      </c>
      <c r="O11" s="152">
        <f>SUM(O4:O10)</f>
        <v>6008271.4874432851</v>
      </c>
      <c r="Q11" s="152">
        <f>SUM(Q4:Q10)</f>
        <v>6128436.9171921518</v>
      </c>
      <c r="S11" s="152">
        <f>SUM(S4:S10)</f>
        <v>6251005.6555359941</v>
      </c>
      <c r="U11" s="152">
        <f>SUM(U4:U10)</f>
        <v>6376025.7686467133</v>
      </c>
      <c r="W11" s="152">
        <f>SUM(W4:W10)</f>
        <v>6503546.284019649</v>
      </c>
      <c r="Y11" s="152">
        <f>SUM(Y4:Y10)</f>
        <v>6633617.2097000424</v>
      </c>
      <c r="AA11" s="152">
        <f>SUM(AA4:AA10)</f>
        <v>6766289.553894042</v>
      </c>
      <c r="AC11" s="152">
        <f>SUM(AC4:AC10)</f>
        <v>6901615.3449719232</v>
      </c>
      <c r="AE11" s="152">
        <f>SUM(AE4:AE10)</f>
        <v>7039647.6518713627</v>
      </c>
      <c r="AG11" s="152">
        <f>SUM(AG4:AG10)</f>
        <v>7180440.6049087895</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2721</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8">
      <c r="A14" s="140" t="s">
        <v>2722</v>
      </c>
      <c r="C14" s="1225">
        <v>1.03</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8">
      <c r="A15" s="148" t="s">
        <v>2723</v>
      </c>
      <c r="C15" s="859"/>
      <c r="E15" s="148">
        <f>Application!W855</f>
        <v>100000</v>
      </c>
      <c r="G15" s="148">
        <f>E15*$C$14</f>
        <v>103000</v>
      </c>
      <c r="I15" s="148">
        <f>G15*$C$14</f>
        <v>106090</v>
      </c>
      <c r="K15" s="148">
        <f>I15*$C$14</f>
        <v>109272.7</v>
      </c>
      <c r="M15" s="148">
        <f>K15*$C$14</f>
        <v>112550.88099999999</v>
      </c>
      <c r="O15" s="148">
        <f>M15*$C$14</f>
        <v>115927.40742999999</v>
      </c>
      <c r="Q15" s="148">
        <f>O15*$C$14</f>
        <v>119405.2296529</v>
      </c>
      <c r="S15" s="148">
        <f>Q15*$C$14</f>
        <v>122987.386542487</v>
      </c>
      <c r="U15" s="148">
        <f>S15*$C$14</f>
        <v>126677.00813876161</v>
      </c>
      <c r="W15" s="148">
        <f>U15*$C$14</f>
        <v>130477.31838292447</v>
      </c>
      <c r="Y15" s="148">
        <f>W15*$C$14</f>
        <v>134391.6379344122</v>
      </c>
      <c r="AA15" s="148">
        <f>Y15*$C$14</f>
        <v>138423.38707244457</v>
      </c>
      <c r="AC15" s="148">
        <f>AA15*$C$14</f>
        <v>142576.08868461792</v>
      </c>
      <c r="AE15" s="148">
        <f>AC15*$C$14</f>
        <v>146853.37134515645</v>
      </c>
      <c r="AG15" s="148">
        <f>AE15*$C$14</f>
        <v>151258.97248551116</v>
      </c>
    </row>
    <row r="16" spans="1:34" s="140" customFormat="1" ht="13.8">
      <c r="A16" s="140" t="s">
        <v>1555</v>
      </c>
      <c r="C16" s="851"/>
      <c r="E16" s="151">
        <f>Application!W857</f>
        <v>100100</v>
      </c>
      <c r="F16" s="151"/>
      <c r="G16" s="151">
        <f t="shared" ref="G16:AG21" si="0">E16*$C$14</f>
        <v>103103</v>
      </c>
      <c r="H16" s="151"/>
      <c r="I16" s="151">
        <f t="shared" si="0"/>
        <v>106196.09</v>
      </c>
      <c r="J16" s="151"/>
      <c r="K16" s="151">
        <f t="shared" si="0"/>
        <v>109381.9727</v>
      </c>
      <c r="L16" s="151"/>
      <c r="M16" s="151">
        <f t="shared" si="0"/>
        <v>112663.431881</v>
      </c>
      <c r="N16" s="151"/>
      <c r="O16" s="151">
        <f t="shared" si="0"/>
        <v>116043.33483743</v>
      </c>
      <c r="P16" s="151"/>
      <c r="Q16" s="151">
        <f t="shared" si="0"/>
        <v>119524.6348825529</v>
      </c>
      <c r="R16" s="151"/>
      <c r="S16" s="151">
        <f t="shared" si="0"/>
        <v>123110.37392902949</v>
      </c>
      <c r="T16" s="151"/>
      <c r="U16" s="151">
        <f t="shared" si="0"/>
        <v>126803.68514690037</v>
      </c>
      <c r="V16" s="151"/>
      <c r="W16" s="151">
        <f t="shared" si="0"/>
        <v>130607.79570130739</v>
      </c>
      <c r="X16" s="151"/>
      <c r="Y16" s="151">
        <f t="shared" si="0"/>
        <v>134526.02957234663</v>
      </c>
      <c r="Z16" s="151"/>
      <c r="AA16" s="151">
        <f t="shared" si="0"/>
        <v>138561.81045951703</v>
      </c>
      <c r="AB16" s="151"/>
      <c r="AC16" s="151">
        <f t="shared" si="0"/>
        <v>142718.66477330253</v>
      </c>
      <c r="AD16" s="151"/>
      <c r="AE16" s="151">
        <f t="shared" si="0"/>
        <v>147000.2247165016</v>
      </c>
      <c r="AF16" s="151"/>
      <c r="AG16" s="151">
        <f t="shared" si="0"/>
        <v>151410.23145799665</v>
      </c>
    </row>
    <row r="17" spans="1:33" s="140" customFormat="1" ht="13.8">
      <c r="A17" s="140" t="s">
        <v>230</v>
      </c>
      <c r="C17" s="851"/>
      <c r="E17" s="151">
        <f>Application!W863</f>
        <v>373500</v>
      </c>
      <c r="F17" s="151"/>
      <c r="G17" s="151">
        <f t="shared" si="0"/>
        <v>384705</v>
      </c>
      <c r="H17" s="151"/>
      <c r="I17" s="151">
        <f t="shared" si="0"/>
        <v>396246.15</v>
      </c>
      <c r="J17" s="151"/>
      <c r="K17" s="151">
        <f t="shared" si="0"/>
        <v>408133.53450000001</v>
      </c>
      <c r="L17" s="151"/>
      <c r="M17" s="151">
        <f t="shared" si="0"/>
        <v>420377.54053500004</v>
      </c>
      <c r="N17" s="151"/>
      <c r="O17" s="151">
        <f t="shared" si="0"/>
        <v>432988.86675105005</v>
      </c>
      <c r="P17" s="151"/>
      <c r="Q17" s="151">
        <f t="shared" si="0"/>
        <v>445978.53275358159</v>
      </c>
      <c r="R17" s="151"/>
      <c r="S17" s="151">
        <f t="shared" si="0"/>
        <v>459357.88873618905</v>
      </c>
      <c r="T17" s="151"/>
      <c r="U17" s="151">
        <f t="shared" si="0"/>
        <v>473138.62539827474</v>
      </c>
      <c r="V17" s="151"/>
      <c r="W17" s="151">
        <f t="shared" si="0"/>
        <v>487332.78416022297</v>
      </c>
      <c r="X17" s="151"/>
      <c r="Y17" s="151">
        <f t="shared" si="0"/>
        <v>501952.76768502966</v>
      </c>
      <c r="Z17" s="151"/>
      <c r="AA17" s="151">
        <f t="shared" si="0"/>
        <v>517011.35071558057</v>
      </c>
      <c r="AB17" s="151"/>
      <c r="AC17" s="151">
        <f t="shared" si="0"/>
        <v>532521.69123704801</v>
      </c>
      <c r="AD17" s="151"/>
      <c r="AE17" s="151">
        <f t="shared" si="0"/>
        <v>548497.34197415947</v>
      </c>
      <c r="AF17" s="151"/>
      <c r="AG17" s="151">
        <f t="shared" si="0"/>
        <v>564952.2622333843</v>
      </c>
    </row>
    <row r="18" spans="1:33" s="140" customFormat="1" ht="13.8">
      <c r="A18" s="140" t="s">
        <v>2724</v>
      </c>
      <c r="C18" s="851"/>
      <c r="E18" s="151">
        <f>Application!W870</f>
        <v>300000</v>
      </c>
      <c r="F18" s="151"/>
      <c r="G18" s="151">
        <f t="shared" si="0"/>
        <v>309000</v>
      </c>
      <c r="H18" s="151"/>
      <c r="I18" s="151">
        <f t="shared" si="0"/>
        <v>318270</v>
      </c>
      <c r="J18" s="151"/>
      <c r="K18" s="151">
        <f t="shared" si="0"/>
        <v>327818.10000000003</v>
      </c>
      <c r="L18" s="151"/>
      <c r="M18" s="151">
        <f t="shared" si="0"/>
        <v>337652.64300000004</v>
      </c>
      <c r="N18" s="151"/>
      <c r="O18" s="151">
        <f t="shared" si="0"/>
        <v>347782.22229000006</v>
      </c>
      <c r="P18" s="151"/>
      <c r="Q18" s="151">
        <f t="shared" si="0"/>
        <v>358215.68895870005</v>
      </c>
      <c r="R18" s="151"/>
      <c r="S18" s="151">
        <f t="shared" si="0"/>
        <v>368962.15962746105</v>
      </c>
      <c r="T18" s="151"/>
      <c r="U18" s="151">
        <f t="shared" si="0"/>
        <v>380031.02441628487</v>
      </c>
      <c r="V18" s="151"/>
      <c r="W18" s="151">
        <f t="shared" si="0"/>
        <v>391431.95514877344</v>
      </c>
      <c r="X18" s="151"/>
      <c r="Y18" s="151">
        <f t="shared" si="0"/>
        <v>403174.91380323668</v>
      </c>
      <c r="Z18" s="151"/>
      <c r="AA18" s="151">
        <f t="shared" si="0"/>
        <v>415270.16121733381</v>
      </c>
      <c r="AB18" s="151"/>
      <c r="AC18" s="151">
        <f t="shared" si="0"/>
        <v>427728.26605385385</v>
      </c>
      <c r="AD18" s="151"/>
      <c r="AE18" s="151">
        <f t="shared" si="0"/>
        <v>440560.11403546948</v>
      </c>
      <c r="AF18" s="151"/>
      <c r="AG18" s="151">
        <f t="shared" si="0"/>
        <v>453776.91745653359</v>
      </c>
    </row>
    <row r="19" spans="1:33" s="140" customFormat="1" ht="13.8">
      <c r="A19" s="140" t="s">
        <v>1568</v>
      </c>
      <c r="C19" s="851"/>
      <c r="E19" s="151">
        <f>Application!W872</f>
        <v>100000</v>
      </c>
      <c r="F19" s="151"/>
      <c r="G19" s="151">
        <f t="shared" si="0"/>
        <v>103000</v>
      </c>
      <c r="H19" s="151"/>
      <c r="I19" s="151">
        <f t="shared" si="0"/>
        <v>106090</v>
      </c>
      <c r="J19" s="151"/>
      <c r="K19" s="151">
        <f t="shared" si="0"/>
        <v>109272.7</v>
      </c>
      <c r="L19" s="151"/>
      <c r="M19" s="151">
        <f t="shared" si="0"/>
        <v>112550.88099999999</v>
      </c>
      <c r="N19" s="151"/>
      <c r="O19" s="151">
        <f t="shared" si="0"/>
        <v>115927.40742999999</v>
      </c>
      <c r="P19" s="151"/>
      <c r="Q19" s="151">
        <f t="shared" si="0"/>
        <v>119405.2296529</v>
      </c>
      <c r="R19" s="151"/>
      <c r="S19" s="151">
        <f t="shared" si="0"/>
        <v>122987.386542487</v>
      </c>
      <c r="T19" s="151"/>
      <c r="U19" s="151">
        <f t="shared" si="0"/>
        <v>126677.00813876161</v>
      </c>
      <c r="V19" s="151"/>
      <c r="W19" s="151">
        <f t="shared" si="0"/>
        <v>130477.31838292447</v>
      </c>
      <c r="X19" s="151"/>
      <c r="Y19" s="151">
        <f t="shared" si="0"/>
        <v>134391.6379344122</v>
      </c>
      <c r="Z19" s="151"/>
      <c r="AA19" s="151">
        <f t="shared" si="0"/>
        <v>138423.38707244457</v>
      </c>
      <c r="AB19" s="151"/>
      <c r="AC19" s="151">
        <f t="shared" si="0"/>
        <v>142576.08868461792</v>
      </c>
      <c r="AD19" s="151"/>
      <c r="AE19" s="151">
        <f t="shared" si="0"/>
        <v>146853.37134515645</v>
      </c>
      <c r="AF19" s="151"/>
      <c r="AG19" s="151">
        <f t="shared" si="0"/>
        <v>151258.97248551116</v>
      </c>
    </row>
    <row r="20" spans="1:33" s="140" customFormat="1" ht="13.8">
      <c r="A20" s="140" t="s">
        <v>232</v>
      </c>
      <c r="C20" s="851"/>
      <c r="E20" s="151">
        <f>Application!W881</f>
        <v>100000</v>
      </c>
      <c r="F20" s="151"/>
      <c r="G20" s="151">
        <f t="shared" si="0"/>
        <v>103000</v>
      </c>
      <c r="H20" s="151"/>
      <c r="I20" s="151">
        <f t="shared" si="0"/>
        <v>106090</v>
      </c>
      <c r="J20" s="151"/>
      <c r="K20" s="151">
        <f t="shared" si="0"/>
        <v>109272.7</v>
      </c>
      <c r="L20" s="151"/>
      <c r="M20" s="151">
        <f t="shared" si="0"/>
        <v>112550.88099999999</v>
      </c>
      <c r="N20" s="151"/>
      <c r="O20" s="151">
        <f t="shared" si="0"/>
        <v>115927.40742999999</v>
      </c>
      <c r="P20" s="151"/>
      <c r="Q20" s="151">
        <f t="shared" si="0"/>
        <v>119405.2296529</v>
      </c>
      <c r="R20" s="151"/>
      <c r="S20" s="151">
        <f t="shared" si="0"/>
        <v>122987.386542487</v>
      </c>
      <c r="T20" s="151"/>
      <c r="U20" s="151">
        <f t="shared" si="0"/>
        <v>126677.00813876161</v>
      </c>
      <c r="V20" s="151"/>
      <c r="W20" s="151">
        <f t="shared" si="0"/>
        <v>130477.31838292447</v>
      </c>
      <c r="X20" s="151"/>
      <c r="Y20" s="151">
        <f t="shared" si="0"/>
        <v>134391.6379344122</v>
      </c>
      <c r="Z20" s="151"/>
      <c r="AA20" s="151">
        <f t="shared" si="0"/>
        <v>138423.38707244457</v>
      </c>
      <c r="AB20" s="151"/>
      <c r="AC20" s="151">
        <f t="shared" si="0"/>
        <v>142576.08868461792</v>
      </c>
      <c r="AD20" s="151"/>
      <c r="AE20" s="151">
        <f t="shared" si="0"/>
        <v>146853.37134515645</v>
      </c>
      <c r="AF20" s="151"/>
      <c r="AG20" s="151">
        <f t="shared" si="0"/>
        <v>151258.97248551116</v>
      </c>
    </row>
    <row r="21" spans="1:33" s="140" customFormat="1" ht="13.8">
      <c r="A21" s="155" t="s">
        <v>2725</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3.8">
      <c r="A22" s="152" t="s">
        <v>2726</v>
      </c>
      <c r="C22" s="851"/>
      <c r="E22" s="152">
        <f>SUM(E15:E21)</f>
        <v>1073600</v>
      </c>
      <c r="G22" s="152">
        <f>SUM(G15:G21)</f>
        <v>1105808</v>
      </c>
      <c r="I22" s="152">
        <f>SUM(I15:I21)</f>
        <v>1138982.24</v>
      </c>
      <c r="K22" s="152">
        <f>SUM(K15:K21)</f>
        <v>1173151.7072000001</v>
      </c>
      <c r="M22" s="152">
        <f>SUM(M15:M21)</f>
        <v>1208346.2584160001</v>
      </c>
      <c r="O22" s="152">
        <f>SUM(O15:O21)</f>
        <v>1244596.6461684799</v>
      </c>
      <c r="Q22" s="152">
        <f>SUM(Q15:Q21)</f>
        <v>1281934.5455535345</v>
      </c>
      <c r="S22" s="152">
        <f>SUM(S15:S21)</f>
        <v>1320392.5819201404</v>
      </c>
      <c r="U22" s="152">
        <f>SUM(U15:U21)</f>
        <v>1360004.3593777448</v>
      </c>
      <c r="W22" s="152">
        <f>SUM(W15:W21)</f>
        <v>1400804.4901590771</v>
      </c>
      <c r="Y22" s="152">
        <f>SUM(Y15:Y21)</f>
        <v>1442828.6248638495</v>
      </c>
      <c r="AA22" s="152">
        <f>SUM(AA15:AA21)</f>
        <v>1486113.4836097653</v>
      </c>
      <c r="AC22" s="152">
        <f>SUM(AC15:AC21)</f>
        <v>1530696.8881180582</v>
      </c>
      <c r="AE22" s="152">
        <f>SUM(AE15:AE21)</f>
        <v>1576617.7947616</v>
      </c>
      <c r="AG22" s="152">
        <f>SUM(AG15:AG21)</f>
        <v>1623916.3286044479</v>
      </c>
    </row>
    <row r="23" spans="1:33" s="140" customFormat="1" ht="13.8">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8">
      <c r="A24" s="140" t="s">
        <v>2727</v>
      </c>
      <c r="C24" s="851">
        <v>1</v>
      </c>
      <c r="E24" s="802">
        <v>15000</v>
      </c>
      <c r="F24" s="151"/>
      <c r="G24" s="151">
        <f>E24*$C$24</f>
        <v>15000</v>
      </c>
      <c r="H24" s="151"/>
      <c r="I24" s="151">
        <f>G24*$C$24</f>
        <v>15000</v>
      </c>
      <c r="J24" s="151"/>
      <c r="K24" s="151">
        <f>I24*$C$24</f>
        <v>15000</v>
      </c>
      <c r="L24" s="151"/>
      <c r="M24" s="151">
        <f>K24*$C$24</f>
        <v>15000</v>
      </c>
      <c r="N24" s="151"/>
      <c r="O24" s="151">
        <f>M24*$C$24</f>
        <v>15000</v>
      </c>
      <c r="P24" s="151"/>
      <c r="Q24" s="151">
        <f>O24*$C$24</f>
        <v>15000</v>
      </c>
      <c r="R24" s="151"/>
      <c r="S24" s="151">
        <f>Q24*$C$24</f>
        <v>15000</v>
      </c>
      <c r="T24" s="151"/>
      <c r="U24" s="151">
        <f>S24*$C$24</f>
        <v>15000</v>
      </c>
      <c r="V24" s="151"/>
      <c r="W24" s="151">
        <f>U24*$C$24</f>
        <v>15000</v>
      </c>
      <c r="X24" s="151"/>
      <c r="Y24" s="151">
        <f>W24*$C$24</f>
        <v>15000</v>
      </c>
      <c r="Z24" s="151"/>
      <c r="AA24" s="151">
        <f>Y24*$C$24</f>
        <v>15000</v>
      </c>
      <c r="AB24" s="151"/>
      <c r="AC24" s="151">
        <f>AA24*$C$24</f>
        <v>15000</v>
      </c>
      <c r="AD24" s="151"/>
      <c r="AE24" s="151">
        <f>AC24*$C$24</f>
        <v>15000</v>
      </c>
      <c r="AF24" s="151"/>
      <c r="AG24" s="151">
        <f>AE24*$C$24</f>
        <v>15000</v>
      </c>
    </row>
    <row r="25" spans="1:33" s="140" customFormat="1" ht="13.8">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8">
      <c r="A26" s="140" t="s">
        <v>2728</v>
      </c>
      <c r="C26" s="1225">
        <v>1.03</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8">
      <c r="A27" s="140" t="s">
        <v>2325</v>
      </c>
      <c r="C27" s="1225">
        <v>1.03</v>
      </c>
      <c r="E27" s="151">
        <f>Application!AC897</f>
        <v>95000</v>
      </c>
      <c r="F27" s="151"/>
      <c r="G27" s="151">
        <f>E27*$C$27</f>
        <v>97850</v>
      </c>
      <c r="H27" s="151"/>
      <c r="I27" s="151">
        <f>G27*$C$27</f>
        <v>100785.5</v>
      </c>
      <c r="J27" s="151"/>
      <c r="K27" s="151">
        <f>I27*$C$27</f>
        <v>103809.065</v>
      </c>
      <c r="L27" s="151"/>
      <c r="M27" s="151">
        <f>K27*$C$27</f>
        <v>106923.33695000001</v>
      </c>
      <c r="N27" s="151"/>
      <c r="O27" s="151">
        <f>M27*$C$27</f>
        <v>110131.03705850002</v>
      </c>
      <c r="P27" s="151"/>
      <c r="Q27" s="151">
        <f>O27*$C$27</f>
        <v>113434.96817025503</v>
      </c>
      <c r="R27" s="151"/>
      <c r="S27" s="151">
        <f>Q27*$C$27</f>
        <v>116838.01721536268</v>
      </c>
      <c r="T27" s="151"/>
      <c r="U27" s="151">
        <f>S27*$C$27</f>
        <v>120343.15773182356</v>
      </c>
      <c r="V27" s="151"/>
      <c r="W27" s="151">
        <f>U27*$C$27</f>
        <v>123953.45246377827</v>
      </c>
      <c r="X27" s="151"/>
      <c r="Y27" s="151">
        <f>W27*$C$27</f>
        <v>127672.05603769163</v>
      </c>
      <c r="Z27" s="151"/>
      <c r="AA27" s="151">
        <f>Y27*$C$27</f>
        <v>131502.21771882239</v>
      </c>
      <c r="AB27" s="151"/>
      <c r="AC27" s="151">
        <f>AA27*$C$27</f>
        <v>135447.28425038705</v>
      </c>
      <c r="AD27" s="151"/>
      <c r="AE27" s="151">
        <f>AC27*$C$27</f>
        <v>139510.70277789867</v>
      </c>
      <c r="AF27" s="151"/>
      <c r="AG27" s="151">
        <f>AE27*$C$27</f>
        <v>143696.02386123562</v>
      </c>
    </row>
    <row r="28" spans="1:33" s="140" customFormat="1" ht="13.8">
      <c r="A28" s="140" t="s">
        <v>2729</v>
      </c>
      <c r="C28" s="1225"/>
      <c r="E28" s="151">
        <f>Application!AC898</f>
        <v>45500</v>
      </c>
      <c r="F28" s="151"/>
      <c r="G28" s="151">
        <f>$E$28</f>
        <v>45500</v>
      </c>
      <c r="H28" s="151"/>
      <c r="I28" s="151">
        <f>$E$28</f>
        <v>45500</v>
      </c>
      <c r="J28" s="151"/>
      <c r="K28" s="151">
        <f>$E$28</f>
        <v>45500</v>
      </c>
      <c r="L28" s="151"/>
      <c r="M28" s="151">
        <f>$E$28</f>
        <v>45500</v>
      </c>
      <c r="N28" s="151"/>
      <c r="O28" s="151">
        <f>$E$28</f>
        <v>45500</v>
      </c>
      <c r="P28" s="151"/>
      <c r="Q28" s="151">
        <f>$E$28</f>
        <v>45500</v>
      </c>
      <c r="R28" s="151"/>
      <c r="S28" s="151">
        <f>$E$28</f>
        <v>45500</v>
      </c>
      <c r="T28" s="151"/>
      <c r="U28" s="151">
        <f>$E$28</f>
        <v>45500</v>
      </c>
      <c r="V28" s="151"/>
      <c r="W28" s="151">
        <f>$E$28</f>
        <v>45500</v>
      </c>
      <c r="X28" s="151"/>
      <c r="Y28" s="151">
        <f>$E$28</f>
        <v>45500</v>
      </c>
      <c r="Z28" s="151"/>
      <c r="AA28" s="151">
        <f>$E$28</f>
        <v>45500</v>
      </c>
      <c r="AB28" s="151"/>
      <c r="AC28" s="151">
        <f>$E$28</f>
        <v>45500</v>
      </c>
      <c r="AD28" s="151"/>
      <c r="AE28" s="151">
        <f>$E$28</f>
        <v>45500</v>
      </c>
      <c r="AF28" s="151"/>
      <c r="AG28" s="151">
        <f>$E$28</f>
        <v>45500</v>
      </c>
    </row>
    <row r="29" spans="1:33" s="140" customFormat="1" ht="13.8">
      <c r="A29" s="140" t="s">
        <v>2730</v>
      </c>
      <c r="C29" s="1225"/>
      <c r="E29" s="151">
        <f>Application!AC899</f>
        <v>33750</v>
      </c>
      <c r="F29" s="151"/>
      <c r="G29" s="151">
        <f>$E$29</f>
        <v>33750</v>
      </c>
      <c r="H29" s="151"/>
      <c r="I29" s="151">
        <f>$E$29</f>
        <v>33750</v>
      </c>
      <c r="J29" s="151"/>
      <c r="K29" s="151">
        <f>$E$29</f>
        <v>33750</v>
      </c>
      <c r="L29" s="151"/>
      <c r="M29" s="151">
        <f>$E$29</f>
        <v>33750</v>
      </c>
      <c r="N29" s="151"/>
      <c r="O29" s="151">
        <f>$E$29</f>
        <v>33750</v>
      </c>
      <c r="P29" s="151"/>
      <c r="Q29" s="151">
        <f>$E$29</f>
        <v>33750</v>
      </c>
      <c r="R29" s="151"/>
      <c r="S29" s="151">
        <f>$E$29</f>
        <v>33750</v>
      </c>
      <c r="T29" s="151"/>
      <c r="U29" s="151">
        <f>$E$29</f>
        <v>33750</v>
      </c>
      <c r="V29" s="151"/>
      <c r="W29" s="151">
        <f>$E$29</f>
        <v>33750</v>
      </c>
      <c r="X29" s="151"/>
      <c r="Y29" s="151">
        <f>$E$29</f>
        <v>33750</v>
      </c>
      <c r="Z29" s="151"/>
      <c r="AA29" s="151">
        <f>$E$29</f>
        <v>33750</v>
      </c>
      <c r="AB29" s="151"/>
      <c r="AC29" s="151">
        <f>$E$29</f>
        <v>33750</v>
      </c>
      <c r="AD29" s="151"/>
      <c r="AE29" s="151">
        <f>$E$29</f>
        <v>33750</v>
      </c>
      <c r="AF29" s="151"/>
      <c r="AG29" s="151">
        <f>$E$29</f>
        <v>33750</v>
      </c>
    </row>
    <row r="30" spans="1:33" s="140" customFormat="1" ht="13.8">
      <c r="A30" s="140" t="s">
        <v>2731</v>
      </c>
      <c r="C30" s="1225">
        <v>1.02</v>
      </c>
      <c r="E30" s="151">
        <f>Application!AC900</f>
        <v>37000</v>
      </c>
      <c r="F30" s="151"/>
      <c r="G30" s="151">
        <f>E30*$C$30</f>
        <v>37740</v>
      </c>
      <c r="H30" s="151"/>
      <c r="I30" s="151">
        <f>G30*$C$30</f>
        <v>38494.800000000003</v>
      </c>
      <c r="J30" s="151"/>
      <c r="K30" s="151">
        <f>I30*$C$30</f>
        <v>39264.696000000004</v>
      </c>
      <c r="L30" s="151"/>
      <c r="M30" s="151">
        <f>K30*$C$30</f>
        <v>40049.989920000007</v>
      </c>
      <c r="N30" s="151"/>
      <c r="O30" s="151">
        <f>M30*$C$30</f>
        <v>40850.989718400007</v>
      </c>
      <c r="P30" s="151"/>
      <c r="Q30" s="151">
        <f>O30*$C$30</f>
        <v>41668.009512768011</v>
      </c>
      <c r="R30" s="151"/>
      <c r="S30" s="151">
        <f>Q30*$C$30</f>
        <v>42501.369703023374</v>
      </c>
      <c r="T30" s="151"/>
      <c r="U30" s="151">
        <f>S30*$C$30</f>
        <v>43351.397097083842</v>
      </c>
      <c r="V30" s="151"/>
      <c r="W30" s="151">
        <f>U30*$C$30</f>
        <v>44218.425039025518</v>
      </c>
      <c r="X30" s="151"/>
      <c r="Y30" s="151">
        <f>W30*$C$30</f>
        <v>45102.793539806029</v>
      </c>
      <c r="Z30" s="151"/>
      <c r="AA30" s="151">
        <f>Y30*$C$30</f>
        <v>46004.849410602154</v>
      </c>
      <c r="AB30" s="151"/>
      <c r="AC30" s="151">
        <f>AA30*$C$30</f>
        <v>46924.946398814194</v>
      </c>
      <c r="AD30" s="151"/>
      <c r="AE30" s="151">
        <f>AC30*$C$30</f>
        <v>47863.445326790476</v>
      </c>
      <c r="AF30" s="151"/>
      <c r="AG30" s="151">
        <f>AE30*$C$30</f>
        <v>48820.714233326289</v>
      </c>
    </row>
    <row r="31" spans="1:33" s="140" customFormat="1" ht="13.8">
      <c r="A31" s="140" t="s">
        <v>2732</v>
      </c>
      <c r="C31" s="1225">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8">
      <c r="A32" s="140" t="str">
        <f>Application!C903</f>
        <v>Other (Specify):</v>
      </c>
      <c r="C32" s="1225">
        <v>1.03</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3.8">
      <c r="A33" s="140" t="str">
        <f>Application!C904</f>
        <v>Other (Specify):</v>
      </c>
      <c r="C33" s="1225">
        <v>1.03</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8">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3.8">
      <c r="A35" s="152" t="s">
        <v>1580</v>
      </c>
      <c r="C35" s="153"/>
      <c r="E35" s="152">
        <f>SUM(E22:E33)</f>
        <v>1299850</v>
      </c>
      <c r="G35" s="152">
        <f>SUM(G22:G33)</f>
        <v>1335648</v>
      </c>
      <c r="I35" s="152">
        <f>SUM(I22:I33)</f>
        <v>1372512.54</v>
      </c>
      <c r="K35" s="152">
        <f>SUM(K22:K33)</f>
        <v>1410475.4682</v>
      </c>
      <c r="M35" s="152">
        <f>SUM(M22:M33)</f>
        <v>1449569.585286</v>
      </c>
      <c r="O35" s="152">
        <f>SUM(O22:O33)</f>
        <v>1489828.67294538</v>
      </c>
      <c r="Q35" s="152">
        <f>SUM(Q22:Q33)</f>
        <v>1531287.5232365574</v>
      </c>
      <c r="S35" s="152">
        <f>SUM(S22:S33)</f>
        <v>1573981.9688385266</v>
      </c>
      <c r="U35" s="152">
        <f>SUM(U22:U33)</f>
        <v>1617948.9142066522</v>
      </c>
      <c r="W35" s="152">
        <f>SUM(W22:W33)</f>
        <v>1663226.3676618808</v>
      </c>
      <c r="Y35" s="152">
        <f>SUM(Y22:Y33)</f>
        <v>1709853.4744413472</v>
      </c>
      <c r="AA35" s="152">
        <f>SUM(AA22:AA33)</f>
        <v>1757870.5507391898</v>
      </c>
      <c r="AC35" s="152">
        <f>SUM(AC22:AC33)</f>
        <v>1807319.1187672594</v>
      </c>
      <c r="AE35" s="152">
        <f>SUM(AE22:AE33)</f>
        <v>1858241.9428662891</v>
      </c>
      <c r="AG35" s="152">
        <f>SUM(AG22:AG33)</f>
        <v>1910683.0666990099</v>
      </c>
    </row>
    <row r="36" spans="1:33" s="140" customFormat="1" ht="13.8">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3.8">
      <c r="A37" s="152" t="s">
        <v>2733</v>
      </c>
      <c r="C37" s="153"/>
      <c r="E37" s="152">
        <f>E11-E35</f>
        <v>4142026.5999999996</v>
      </c>
      <c r="G37" s="152">
        <f>G11-G35</f>
        <v>4215066.1320000002</v>
      </c>
      <c r="I37" s="152">
        <f>I11-I35</f>
        <v>4289215.8746400001</v>
      </c>
      <c r="K37" s="152">
        <f>K11-K35</f>
        <v>4364487.5147327995</v>
      </c>
      <c r="M37" s="152">
        <f>M11-M35</f>
        <v>4440892.6573054567</v>
      </c>
      <c r="O37" s="152">
        <f>O11-O35</f>
        <v>4518442.8144979049</v>
      </c>
      <c r="Q37" s="152">
        <f>Q11-Q35</f>
        <v>4597149.3939555939</v>
      </c>
      <c r="S37" s="152">
        <f>S11-S35</f>
        <v>4677023.6866974672</v>
      </c>
      <c r="U37" s="152">
        <f>U11-U35</f>
        <v>4758076.8544400614</v>
      </c>
      <c r="W37" s="152">
        <f>W11-W35</f>
        <v>4840319.9163577687</v>
      </c>
      <c r="Y37" s="152">
        <f>Y11-Y35</f>
        <v>4923763.7352586947</v>
      </c>
      <c r="AA37" s="152">
        <f>AA11-AA35</f>
        <v>5008419.0031548524</v>
      </c>
      <c r="AC37" s="152">
        <f>AC11-AC35</f>
        <v>5094296.2262046635</v>
      </c>
      <c r="AE37" s="152">
        <f>AE11-AE35</f>
        <v>5181405.7090050736</v>
      </c>
      <c r="AG37" s="152">
        <f>AG11-AG35</f>
        <v>5269757.5382097792</v>
      </c>
    </row>
    <row r="38" spans="1:33" s="140" customFormat="1" ht="13.8">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3.8">
      <c r="A39" s="147" t="s">
        <v>2734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8">
      <c r="A40" s="154" t="str">
        <f>Application!C635</f>
        <v>Keybank - Tax Exempt Perm Loan</v>
      </c>
      <c r="B40" s="155"/>
      <c r="C40" s="149"/>
      <c r="E40" s="151">
        <f>Application!AF635</f>
        <v>1454163.653500265</v>
      </c>
      <c r="F40" s="151"/>
      <c r="G40" s="151">
        <f>$E$40</f>
        <v>1454163.653500265</v>
      </c>
      <c r="H40" s="151"/>
      <c r="I40" s="151">
        <f>$E$40</f>
        <v>1454163.653500265</v>
      </c>
      <c r="J40" s="151"/>
      <c r="K40" s="151">
        <f>$E$40</f>
        <v>1454163.653500265</v>
      </c>
      <c r="L40" s="151"/>
      <c r="M40" s="151">
        <f>$E$40</f>
        <v>1454163.653500265</v>
      </c>
      <c r="N40" s="151"/>
      <c r="O40" s="151">
        <f>$E$40</f>
        <v>1454163.653500265</v>
      </c>
      <c r="P40" s="151"/>
      <c r="Q40" s="151">
        <f>$E$40</f>
        <v>1454163.653500265</v>
      </c>
      <c r="R40" s="151"/>
      <c r="S40" s="151">
        <f>$E$40</f>
        <v>1454163.653500265</v>
      </c>
      <c r="T40" s="151"/>
      <c r="U40" s="151">
        <f>$E$40</f>
        <v>1454163.653500265</v>
      </c>
      <c r="V40" s="151"/>
      <c r="W40" s="151">
        <f>$E$40</f>
        <v>1454163.653500265</v>
      </c>
      <c r="X40" s="151"/>
      <c r="Y40" s="151">
        <f>$E$40</f>
        <v>1454163.653500265</v>
      </c>
      <c r="Z40" s="151"/>
      <c r="AA40" s="151">
        <f>$E$40</f>
        <v>1454163.653500265</v>
      </c>
      <c r="AB40" s="151"/>
      <c r="AC40" s="151">
        <f>$E$40</f>
        <v>1454163.653500265</v>
      </c>
      <c r="AD40" s="151"/>
      <c r="AE40" s="151">
        <f>$E$40</f>
        <v>1454163.653500265</v>
      </c>
      <c r="AF40" s="151"/>
      <c r="AG40" s="151">
        <f>$E$40</f>
        <v>1454163.653500265</v>
      </c>
    </row>
    <row r="41" spans="1:33" s="140" customFormat="1" ht="13.8">
      <c r="A41" s="154" t="str">
        <f>Application!C636</f>
        <v>Keybank - Taxable Perm Loan</v>
      </c>
      <c r="B41" s="155"/>
      <c r="C41" s="149"/>
      <c r="E41" s="151">
        <f>Application!AF636</f>
        <v>1968251.365509613</v>
      </c>
      <c r="F41" s="151"/>
      <c r="G41" s="151">
        <f>$E$41</f>
        <v>1968251.365509613</v>
      </c>
      <c r="H41" s="151"/>
      <c r="I41" s="151">
        <f>$E$41</f>
        <v>1968251.365509613</v>
      </c>
      <c r="J41" s="151"/>
      <c r="K41" s="151">
        <f>$E$41</f>
        <v>1968251.365509613</v>
      </c>
      <c r="L41" s="151"/>
      <c r="M41" s="151">
        <f>$E$41</f>
        <v>1968251.365509613</v>
      </c>
      <c r="N41" s="151"/>
      <c r="O41" s="151">
        <f>$E$41</f>
        <v>1968251.365509613</v>
      </c>
      <c r="P41" s="151"/>
      <c r="Q41" s="151">
        <f>$E$41</f>
        <v>1968251.365509613</v>
      </c>
      <c r="R41" s="151"/>
      <c r="S41" s="151">
        <f>$E$41</f>
        <v>1968251.365509613</v>
      </c>
      <c r="T41" s="151"/>
      <c r="U41" s="151">
        <f>$E$41</f>
        <v>1968251.365509613</v>
      </c>
      <c r="V41" s="151"/>
      <c r="W41" s="151">
        <f>$E$41</f>
        <v>1968251.365509613</v>
      </c>
      <c r="X41" s="151"/>
      <c r="Y41" s="151">
        <f>$E$41</f>
        <v>1968251.365509613</v>
      </c>
      <c r="Z41" s="151"/>
      <c r="AA41" s="151">
        <f>$E$41</f>
        <v>1968251.365509613</v>
      </c>
      <c r="AB41" s="151"/>
      <c r="AC41" s="151">
        <f>$E$41</f>
        <v>1968251.365509613</v>
      </c>
      <c r="AD41" s="151"/>
      <c r="AE41" s="151">
        <f>$E$41</f>
        <v>1968251.365509613</v>
      </c>
      <c r="AF41" s="151"/>
      <c r="AG41" s="151">
        <f>$E$41</f>
        <v>1968251.365509613</v>
      </c>
    </row>
    <row r="42" spans="1:33" s="140" customFormat="1" ht="13.8">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3.8">
      <c r="A43" s="152" t="s">
        <v>2735</v>
      </c>
      <c r="C43" s="153"/>
      <c r="E43" s="152">
        <f>SUM(E40:E42)</f>
        <v>3422415.0190098779</v>
      </c>
      <c r="G43" s="152">
        <f>SUM(G40:G42)</f>
        <v>3422415.0190098779</v>
      </c>
      <c r="I43" s="152">
        <f>SUM(I40:I42)</f>
        <v>3422415.0190098779</v>
      </c>
      <c r="K43" s="152">
        <f>SUM(K40:K42)</f>
        <v>3422415.0190098779</v>
      </c>
      <c r="M43" s="152">
        <f>SUM(M40:M42)</f>
        <v>3422415.0190098779</v>
      </c>
      <c r="O43" s="152">
        <f>SUM(O40:O42)</f>
        <v>3422415.0190098779</v>
      </c>
      <c r="Q43" s="152">
        <f>SUM(Q40:Q42)</f>
        <v>3422415.0190098779</v>
      </c>
      <c r="S43" s="152">
        <f>SUM(S40:S42)</f>
        <v>3422415.0190098779</v>
      </c>
      <c r="U43" s="152">
        <f>SUM(U40:U42)</f>
        <v>3422415.0190098779</v>
      </c>
      <c r="W43" s="152">
        <f>SUM(W40:W42)</f>
        <v>3422415.0190098779</v>
      </c>
      <c r="Y43" s="152">
        <f>SUM(Y40:Y42)</f>
        <v>3422415.0190098779</v>
      </c>
      <c r="AA43" s="152">
        <f>SUM(AA40:AA42)</f>
        <v>3422415.0190098779</v>
      </c>
      <c r="AC43" s="152">
        <f>SUM(AC40:AC42)</f>
        <v>3422415.0190098779</v>
      </c>
      <c r="AE43" s="152">
        <f>SUM(AE40:AE42)</f>
        <v>3422415.0190098779</v>
      </c>
      <c r="AG43" s="152">
        <f>SUM(AG40:AG42)</f>
        <v>3422415.0190098779</v>
      </c>
    </row>
    <row r="44" spans="1:33" s="140" customFormat="1" ht="13.8">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3.8">
      <c r="A45" s="152" t="s">
        <v>2736</v>
      </c>
      <c r="C45" s="153"/>
      <c r="E45" s="152">
        <f>E37-E43</f>
        <v>719611.5809901217</v>
      </c>
      <c r="G45" s="152">
        <f>G37-G43</f>
        <v>792651.11299012229</v>
      </c>
      <c r="I45" s="152">
        <f>I37-I43</f>
        <v>866800.85563012213</v>
      </c>
      <c r="K45" s="152">
        <f>K37-K43</f>
        <v>942072.49572292157</v>
      </c>
      <c r="M45" s="152">
        <f>M37-M43</f>
        <v>1018477.6382955788</v>
      </c>
      <c r="O45" s="152">
        <f>O37-O43</f>
        <v>1096027.7954880269</v>
      </c>
      <c r="Q45" s="152">
        <f>Q37-Q43</f>
        <v>1174734.374945716</v>
      </c>
      <c r="S45" s="152">
        <f>S37-S43</f>
        <v>1254608.6676875893</v>
      </c>
      <c r="U45" s="152">
        <f>U37-U43</f>
        <v>1335661.8354301834</v>
      </c>
      <c r="W45" s="152">
        <f>W37-W43</f>
        <v>1417904.8973478908</v>
      </c>
      <c r="Y45" s="152">
        <f>Y37-Y43</f>
        <v>1501348.7162488168</v>
      </c>
      <c r="AA45" s="152">
        <f>AA37-AA43</f>
        <v>1586003.9841449745</v>
      </c>
      <c r="AC45" s="152">
        <f>AC37-AC43</f>
        <v>1671881.2071947856</v>
      </c>
      <c r="AE45" s="152">
        <f>AE37-AE43</f>
        <v>1758990.6899951957</v>
      </c>
      <c r="AG45" s="152">
        <f>AG37-AG43</f>
        <v>1847342.5191999013</v>
      </c>
    </row>
    <row r="46" spans="1:33" s="140" customFormat="1" ht="13.8">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8">
      <c r="A47" s="156" t="s">
        <v>2737</v>
      </c>
      <c r="C47" s="149"/>
      <c r="E47" s="156">
        <f>E45/(E4+E6+E8)</f>
        <v>0.14889456071641249</v>
      </c>
      <c r="G47" s="156">
        <f>G45/(G4+G6+G8)</f>
        <v>0.16079131639709962</v>
      </c>
      <c r="I47" s="156">
        <f>I45/(I4+I6+I8)</f>
        <v>0.17238508073655842</v>
      </c>
      <c r="K47" s="156">
        <f>K45/(K4+K6+K8)</f>
        <v>0.18368111119616606</v>
      </c>
      <c r="M47" s="156">
        <f>M45/(M4+M6+M8)</f>
        <v>0.19468455544839736</v>
      </c>
      <c r="O47" s="156">
        <f>O45/(O4+O6+O8)</f>
        <v>0.20540045346384667</v>
      </c>
      <c r="Q47" s="156">
        <f>Q45/(Q4+Q6+Q8)</f>
        <v>0.2158337395566878</v>
      </c>
      <c r="S47" s="156">
        <f>S45/(S4+S6+S8)</f>
        <v>0.22598924438937085</v>
      </c>
      <c r="U47" s="156">
        <f>U45/(U4+U6+U8)</f>
        <v>0.23587169693735952</v>
      </c>
      <c r="W47" s="156">
        <f>W45/(W4+W6+W8)</f>
        <v>0.24548572641467806</v>
      </c>
      <c r="Y47" s="156">
        <f>Y45/(Y4+Y6+Y8)</f>
        <v>0.25483586416103188</v>
      </c>
      <c r="AA47" s="156">
        <f>AA45/(AA4+AA6+AA8)</f>
        <v>0.26392654549125361</v>
      </c>
      <c r="AC47" s="156">
        <f>AC45/(AC4+AC6+AC8)</f>
        <v>0.27276211150779789</v>
      </c>
      <c r="AE47" s="156">
        <f>AE45/(AE4+AE6+AE8)</f>
        <v>0.28134681087701013</v>
      </c>
      <c r="AG47" s="156">
        <f>AG45/(AG4+AG6+AG8)</f>
        <v>0.28968480156986831</v>
      </c>
    </row>
    <row r="48" spans="1:33" s="156" customFormat="1" ht="13.8">
      <c r="A48" s="156" t="s">
        <v>2738</v>
      </c>
      <c r="C48" s="149"/>
      <c r="E48" s="156">
        <f>E45/E43</f>
        <v>0.21026426572844722</v>
      </c>
      <c r="G48" s="156">
        <f>G45/G43</f>
        <v>0.23160578380685118</v>
      </c>
      <c r="I48" s="156">
        <f>I45/I43</f>
        <v>0.25327169580996406</v>
      </c>
      <c r="K48" s="156">
        <f>K45/K43</f>
        <v>0.27526541652317432</v>
      </c>
      <c r="M48" s="156">
        <f>M45/M43</f>
        <v>0.29759033683478558</v>
      </c>
      <c r="O48" s="156">
        <f>O45/O43</f>
        <v>0.32024982049228889</v>
      </c>
      <c r="Q48" s="156">
        <f>Q45/Q43</f>
        <v>0.34324720071079301</v>
      </c>
      <c r="S48" s="156">
        <f>S45/S43</f>
        <v>0.36658577662815245</v>
      </c>
      <c r="U48" s="156">
        <f>U45/U43</f>
        <v>0.3902688096011796</v>
      </c>
      <c r="W48" s="156">
        <f>W45/W43</f>
        <v>0.41429951933710774</v>
      </c>
      <c r="Y48" s="156">
        <f>Y45/Y43</f>
        <v>0.43868107985429677</v>
      </c>
      <c r="AA48" s="156">
        <f>AA45/AA43</f>
        <v>0.463416615265969</v>
      </c>
      <c r="AC48" s="156">
        <f>AC45/AC43</f>
        <v>0.48850919538053844</v>
      </c>
      <c r="AE48" s="156">
        <f>AE45/AE43</f>
        <v>0.51396183111190319</v>
      </c>
      <c r="AG48" s="156">
        <f>AG45/AG43</f>
        <v>0.53977746969283313</v>
      </c>
    </row>
    <row r="49" spans="1:34" s="157" customFormat="1" ht="13.8">
      <c r="A49" s="157" t="s">
        <v>2279</v>
      </c>
      <c r="C49" s="158"/>
      <c r="E49" s="157">
        <f>E37/E43</f>
        <v>1.2102642657284473</v>
      </c>
      <c r="G49" s="157">
        <f>G37/G43</f>
        <v>1.2316057838068513</v>
      </c>
      <c r="I49" s="157">
        <f>I37/I43</f>
        <v>1.2532716958099641</v>
      </c>
      <c r="K49" s="157">
        <f>K37/K43</f>
        <v>1.2752654165231743</v>
      </c>
      <c r="M49" s="157">
        <f>M37/M43</f>
        <v>1.2975903368347856</v>
      </c>
      <c r="O49" s="157">
        <f>O37/O43</f>
        <v>1.320249820492289</v>
      </c>
      <c r="Q49" s="157">
        <f>Q37/Q43</f>
        <v>1.343247200710793</v>
      </c>
      <c r="S49" s="157">
        <f>S37/S43</f>
        <v>1.3665857766281524</v>
      </c>
      <c r="U49" s="157">
        <f>U37/U43</f>
        <v>1.3902688096011795</v>
      </c>
      <c r="W49" s="157">
        <f>W37/W43</f>
        <v>1.4142995193371077</v>
      </c>
      <c r="Y49" s="157">
        <f>Y37/Y43</f>
        <v>1.4386810798542968</v>
      </c>
      <c r="AA49" s="157">
        <f>AA37/AA43</f>
        <v>1.4634166152659689</v>
      </c>
      <c r="AC49" s="157">
        <f>AC37/AC43</f>
        <v>1.4885091953805385</v>
      </c>
      <c r="AE49" s="157">
        <f>AE37/AE43</f>
        <v>1.5139618311119032</v>
      </c>
      <c r="AG49" s="157">
        <f>AG37/AG43</f>
        <v>1.539777469692833</v>
      </c>
    </row>
    <row r="50" spans="1:34" s="140" customFormat="1" ht="13.8">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6" t="s">
        <v>1009</v>
      </c>
      <c r="B52" s="2616"/>
      <c r="C52" s="261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2051</v>
      </c>
      <c r="C53" s="853">
        <v>1</v>
      </c>
      <c r="E53" s="854">
        <v>20000</v>
      </c>
      <c r="G53" s="850">
        <f>E53*$C$53</f>
        <v>20000</v>
      </c>
      <c r="I53" s="850">
        <f>G53*$C$53</f>
        <v>20000</v>
      </c>
      <c r="K53" s="850">
        <f>I53*$C$53</f>
        <v>20000</v>
      </c>
      <c r="M53" s="850">
        <f>K53*$C$53</f>
        <v>20000</v>
      </c>
      <c r="O53" s="850">
        <f>M53*$C$53</f>
        <v>20000</v>
      </c>
      <c r="Q53" s="850">
        <f>O53*$C$53</f>
        <v>20000</v>
      </c>
      <c r="S53" s="850">
        <f>Q53*$C$53</f>
        <v>20000</v>
      </c>
      <c r="U53" s="850">
        <f>S53*$C$53</f>
        <v>20000</v>
      </c>
      <c r="W53" s="850">
        <f>U53*$C$53</f>
        <v>20000</v>
      </c>
      <c r="Y53" s="850">
        <f>W53*$C$53</f>
        <v>20000</v>
      </c>
      <c r="AA53" s="850">
        <f>Y53*$C$53</f>
        <v>20000</v>
      </c>
      <c r="AC53" s="850">
        <f>AA53*$C$53</f>
        <v>20000</v>
      </c>
      <c r="AE53" s="850">
        <f>AC53*$C$53</f>
        <v>20000</v>
      </c>
      <c r="AG53" s="850">
        <f>AE53*$C$53</f>
        <v>20000</v>
      </c>
    </row>
    <row r="54" spans="1:34" s="3" customFormat="1">
      <c r="A54" s="3" t="s">
        <v>2740</v>
      </c>
      <c r="C54" s="848"/>
      <c r="E54" s="855">
        <v>9100</v>
      </c>
      <c r="F54" s="850"/>
      <c r="G54" s="850">
        <f t="shared" ref="G54:AG57" si="1">E54*$C$53</f>
        <v>9100</v>
      </c>
      <c r="H54" s="850"/>
      <c r="I54" s="850">
        <f t="shared" si="1"/>
        <v>9100</v>
      </c>
      <c r="J54" s="850"/>
      <c r="K54" s="850">
        <f t="shared" si="1"/>
        <v>9100</v>
      </c>
      <c r="L54" s="850"/>
      <c r="M54" s="850">
        <f t="shared" si="1"/>
        <v>9100</v>
      </c>
      <c r="N54" s="850"/>
      <c r="O54" s="850">
        <f t="shared" si="1"/>
        <v>9100</v>
      </c>
      <c r="P54" s="850"/>
      <c r="Q54" s="850">
        <f t="shared" si="1"/>
        <v>9100</v>
      </c>
      <c r="R54" s="850"/>
      <c r="S54" s="850">
        <f t="shared" si="1"/>
        <v>9100</v>
      </c>
      <c r="T54" s="850"/>
      <c r="U54" s="850">
        <f t="shared" si="1"/>
        <v>9100</v>
      </c>
      <c r="V54" s="850"/>
      <c r="W54" s="850">
        <f t="shared" si="1"/>
        <v>9100</v>
      </c>
      <c r="X54" s="850"/>
      <c r="Y54" s="850">
        <f t="shared" si="1"/>
        <v>9100</v>
      </c>
      <c r="Z54" s="850"/>
      <c r="AA54" s="850">
        <f t="shared" si="1"/>
        <v>9100</v>
      </c>
      <c r="AB54" s="850"/>
      <c r="AC54" s="850">
        <f t="shared" si="1"/>
        <v>9100</v>
      </c>
      <c r="AD54" s="850"/>
      <c r="AE54" s="850">
        <f t="shared" si="1"/>
        <v>9100</v>
      </c>
      <c r="AF54" s="850"/>
      <c r="AG54" s="850">
        <f t="shared" si="1"/>
        <v>9100</v>
      </c>
      <c r="AH54" s="850"/>
    </row>
    <row r="55" spans="1:34" s="3" customFormat="1">
      <c r="A55" s="3" t="s">
        <v>2741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2742</v>
      </c>
      <c r="C58" s="851"/>
      <c r="E58" s="850">
        <f>SUM(E53:E57)</f>
        <v>29100</v>
      </c>
      <c r="F58" s="850"/>
      <c r="G58" s="850">
        <f>SUM(G53:G57)</f>
        <v>29100</v>
      </c>
      <c r="H58" s="850"/>
      <c r="I58" s="850">
        <f>SUM(I53:I57)</f>
        <v>29100</v>
      </c>
      <c r="J58" s="850"/>
      <c r="K58" s="850">
        <f>SUM(K53:K57)</f>
        <v>29100</v>
      </c>
      <c r="L58" s="850"/>
      <c r="M58" s="850">
        <f>SUM(M53:M57)</f>
        <v>29100</v>
      </c>
      <c r="N58" s="850"/>
      <c r="O58" s="850">
        <f>SUM(O53:O57)</f>
        <v>29100</v>
      </c>
      <c r="P58" s="850"/>
      <c r="Q58" s="850">
        <f>SUM(Q53:Q57)</f>
        <v>29100</v>
      </c>
      <c r="R58" s="850"/>
      <c r="S58" s="850">
        <f>SUM(S53:S57)</f>
        <v>29100</v>
      </c>
      <c r="T58" s="850"/>
      <c r="U58" s="850">
        <f>SUM(U53:U57)</f>
        <v>29100</v>
      </c>
      <c r="V58" s="850"/>
      <c r="W58" s="850">
        <f>SUM(W53:W57)</f>
        <v>29100</v>
      </c>
      <c r="X58" s="850"/>
      <c r="Y58" s="850">
        <f>SUM(Y53:Y57)</f>
        <v>29100</v>
      </c>
      <c r="Z58" s="850"/>
      <c r="AA58" s="850">
        <f>SUM(AA53:AA57)</f>
        <v>29100</v>
      </c>
      <c r="AB58" s="850"/>
      <c r="AC58" s="850">
        <f>SUM(AC53:AC57)</f>
        <v>29100</v>
      </c>
      <c r="AD58" s="850"/>
      <c r="AE58" s="850">
        <f>SUM(AE53:AE57)</f>
        <v>29100</v>
      </c>
      <c r="AF58" s="850"/>
      <c r="AG58" s="850">
        <f>SUM(AG53:AG57)</f>
        <v>29100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2743</v>
      </c>
      <c r="C60" s="859"/>
      <c r="E60" s="852">
        <f>E45-E58</f>
        <v>690511.5809901217</v>
      </c>
      <c r="G60" s="852">
        <f>G45-G58</f>
        <v>763551.11299012229</v>
      </c>
      <c r="I60" s="852">
        <f>I45-I58</f>
        <v>837700.85563012213</v>
      </c>
      <c r="K60" s="852">
        <f>K45-K58</f>
        <v>912972.49572292157</v>
      </c>
      <c r="M60" s="852">
        <f>M45-M58</f>
        <v>989377.63829557877</v>
      </c>
      <c r="O60" s="852">
        <f>O45-O58</f>
        <v>1066927.7954880269</v>
      </c>
      <c r="Q60" s="852">
        <f>Q45-Q58</f>
        <v>1145634.374945716</v>
      </c>
      <c r="S60" s="852">
        <f>S45-S58</f>
        <v>1225508.6676875893</v>
      </c>
      <c r="U60" s="852">
        <f>U45-U58</f>
        <v>1306561.8354301834</v>
      </c>
      <c r="W60" s="852">
        <f>W45-W58</f>
        <v>1388804.8973478908</v>
      </c>
      <c r="Y60" s="852">
        <f>Y45-Y58</f>
        <v>1472248.7162488168</v>
      </c>
      <c r="AA60" s="852">
        <f>AA45-AA58</f>
        <v>1556903.9841449745</v>
      </c>
      <c r="AC60" s="852">
        <f>AC45-AC58</f>
        <v>1642781.2071947856</v>
      </c>
      <c r="AE60" s="852">
        <f>AE45-AE58</f>
        <v>1729890.6899951957</v>
      </c>
      <c r="AG60" s="852">
        <f>AG45-AG58</f>
        <v>1818242.5191999013</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2744</v>
      </c>
      <c r="C62" s="849">
        <v>1</v>
      </c>
      <c r="E62" s="854">
        <f>MIN(E60*$C$62,Application!AO638)</f>
        <v>690511.5809901217</v>
      </c>
      <c r="G62" s="852">
        <f>MIN(G60*$C$62,Application!$AO$638-SUM($E$62:E62))</f>
        <v>763551.11299012229</v>
      </c>
      <c r="I62" s="852">
        <f>MIN(I60*$C$62,Application!$AO$638-SUM($E$62:G62))</f>
        <v>837700.85563012213</v>
      </c>
      <c r="K62" s="852">
        <f>MIN(K60*$C$62,Application!$AO$638-SUM($E$62:I62))</f>
        <v>386499.45038963389</v>
      </c>
      <c r="M62" s="852">
        <f>MIN(M60*$C$62,Application!$AO$638-SUM($E$62:K62))</f>
        <v>0</v>
      </c>
      <c r="O62" s="852">
        <f>MIN(O60*$C$62,Application!$AO$638-SUM($E$62:M62))</f>
        <v>0</v>
      </c>
      <c r="Q62" s="852">
        <f>MIN(Q60*$C$62,Application!$AO$638-SUM($E$62:O62))</f>
        <v>0</v>
      </c>
      <c r="S62" s="852">
        <f>MIN(S60*$C$62,Application!$AO$638-SUM($E$62:Q62))</f>
        <v>0</v>
      </c>
      <c r="U62" s="852">
        <f>MIN(U60*$C$62,Application!$AO$638-SUM($E$62:S62))</f>
        <v>0</v>
      </c>
      <c r="W62" s="852">
        <f>MIN(W60*$C$62,Application!$AO$638-SUM($E$62:U62))</f>
        <v>0</v>
      </c>
      <c r="Y62" s="852">
        <f>MIN(Y60*$C$62,Application!$AO$638-SUM($E$62:W62))</f>
        <v>0</v>
      </c>
      <c r="AA62" s="852">
        <f>MIN(AA60*$C$62,Application!$AO$638-SUM($E$62:Y62))</f>
        <v>0</v>
      </c>
      <c r="AC62" s="852">
        <f>MIN(AC60*$C$62,Application!$AO$638-SUM($E$62:AA62))</f>
        <v>0</v>
      </c>
      <c r="AE62" s="852">
        <f>MIN(AE60*$C$62,Application!$AO$638-SUM($E$62:AC62))</f>
        <v>0</v>
      </c>
      <c r="AG62" s="852">
        <f>MIN(AG60*$C$62,Application!$AO$638-SUM($E$62:AE62))</f>
        <v>0</v>
      </c>
    </row>
    <row r="63" spans="1:34" s="852" customFormat="1">
      <c r="A63" s="2616"/>
      <c r="B63" s="2616"/>
      <c r="C63" s="261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2745</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2742</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2746</v>
      </c>
      <c r="C72" s="860"/>
      <c r="E72" s="852">
        <f>E60-E62-E70</f>
        <v>0</v>
      </c>
      <c r="G72" s="852">
        <f>G60-G62-G70</f>
        <v>0</v>
      </c>
      <c r="I72" s="852">
        <f>I60-I62-I70</f>
        <v>0</v>
      </c>
      <c r="K72" s="852">
        <f>K60-K62-K70</f>
        <v>526473.04533328768</v>
      </c>
      <c r="M72" s="852">
        <f>M60-M62-M70</f>
        <v>989377.63829557877</v>
      </c>
      <c r="O72" s="852">
        <f>O60-O62-O70</f>
        <v>1066927.7954880269</v>
      </c>
      <c r="Q72" s="852">
        <f>Q60-Q62-Q70</f>
        <v>1145634.374945716</v>
      </c>
      <c r="S72" s="852">
        <f>S60-S62-S70</f>
        <v>1225508.6676875893</v>
      </c>
      <c r="U72" s="852">
        <f>U60-U62-U70</f>
        <v>1306561.8354301834</v>
      </c>
      <c r="W72" s="852">
        <f>W60-W62-W70</f>
        <v>1388804.8973478908</v>
      </c>
      <c r="Y72" s="852">
        <f>Y60-Y62-Y70</f>
        <v>1472248.7162488168</v>
      </c>
      <c r="AA72" s="852">
        <f>AA60-AA62-AA70</f>
        <v>1556903.9841449745</v>
      </c>
      <c r="AC72" s="852">
        <f>AC60-AC62-AC70</f>
        <v>1642781.2071947856</v>
      </c>
      <c r="AE72" s="852">
        <f>AE60-AE62-AE70</f>
        <v>1729890.6899951957</v>
      </c>
      <c r="AG72" s="852">
        <f>AG60-AG62-AG70</f>
        <v>1818242.5191999013</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2747</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5" t="s">
        <v>2748</v>
      </c>
      <c r="B77" s="2615"/>
      <c r="C77" s="2615"/>
      <c r="D77" s="2615"/>
      <c r="E77" s="2615"/>
      <c r="F77" s="2615"/>
      <c r="G77" s="2615"/>
      <c r="H77" s="2615"/>
      <c r="I77" s="2615"/>
      <c r="J77" s="2615"/>
      <c r="K77" s="2615"/>
      <c r="L77" s="2615"/>
      <c r="M77" s="2615"/>
      <c r="N77" s="2615"/>
      <c r="O77" s="2615"/>
      <c r="P77" s="2615"/>
      <c r="Q77" s="2615"/>
      <c r="R77" s="2615"/>
      <c r="S77" s="2615"/>
      <c r="T77" s="2615"/>
      <c r="U77" s="2615"/>
      <c r="V77" s="2615"/>
      <c r="W77" s="2615"/>
      <c r="X77" s="2615"/>
      <c r="Y77" s="2615"/>
      <c r="Z77" s="2615"/>
      <c r="AA77" s="2615"/>
      <c r="AB77" s="2615"/>
      <c r="AC77" s="2615"/>
      <c r="AD77" s="2615"/>
      <c r="AE77" s="2615"/>
      <c r="AF77" s="2615"/>
      <c r="AG77" s="2615"/>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220" t="s">
        <v>2749</v>
      </c>
    </row>
    <row r="2" spans="1:1" ht="15.6">
      <c r="A2" s="221"/>
    </row>
    <row r="3" spans="1:1" ht="15.6">
      <c r="A3" s="222" t="s">
        <v>2750</v>
      </c>
    </row>
    <row r="4" spans="1:1" ht="15.6">
      <c r="A4" s="222" t="s">
        <v>2751</v>
      </c>
    </row>
    <row r="5" spans="1:1" ht="15.6">
      <c r="A5" s="222" t="s">
        <v>2752</v>
      </c>
    </row>
    <row r="6" spans="1:1" ht="15.6">
      <c r="A6" s="222" t="s">
        <v>2753</v>
      </c>
    </row>
    <row r="7" spans="1:1" ht="15.6">
      <c r="A7" s="222" t="s">
        <v>2754</v>
      </c>
    </row>
    <row r="8" spans="1:1" ht="15.6">
      <c r="A8" s="249" t="s">
        <v>2755</v>
      </c>
    </row>
    <row r="9" spans="1:1" ht="15.6">
      <c r="A9" s="222" t="s">
        <v>2756</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136" customWidth="1"/>
    <col min="2" max="4" width="14.6640625" style="136" customWidth="1"/>
    <col min="5" max="5" width="50.6640625" style="136" customWidth="1"/>
    <col min="6" max="253" width="9.109375" style="136" customWidth="1"/>
    <col min="254" max="16384" width="9.109375" style="136"/>
  </cols>
  <sheetData>
    <row r="1" spans="1:6" s="187" customFormat="1" ht="18" customHeight="1">
      <c r="A1" s="413" t="s">
        <v>2757</v>
      </c>
      <c r="D1" s="192"/>
    </row>
    <row r="2" spans="1:6" s="187" customFormat="1">
      <c r="A2" s="171" t="s">
        <v>2758</v>
      </c>
      <c r="B2" s="173"/>
      <c r="C2" s="173"/>
      <c r="D2" s="170"/>
      <c r="E2" s="174"/>
      <c r="F2" s="173"/>
    </row>
    <row r="3" spans="1:6" s="254" customFormat="1" ht="80.25" customHeight="1">
      <c r="A3" s="189"/>
      <c r="B3" s="175" t="s">
        <v>2759</v>
      </c>
      <c r="C3" s="175" t="s">
        <v>2760</v>
      </c>
      <c r="D3" s="175" t="s">
        <v>2761</v>
      </c>
      <c r="E3" s="172" t="s">
        <v>2762</v>
      </c>
      <c r="F3" s="172"/>
    </row>
    <row r="4" spans="1:6" s="255" customFormat="1">
      <c r="A4" s="176" t="s">
        <v>1765</v>
      </c>
      <c r="B4" s="176"/>
      <c r="C4" s="176"/>
      <c r="D4" s="176"/>
      <c r="E4" s="194"/>
      <c r="F4" s="176"/>
    </row>
    <row r="5" spans="1:6" s="255" customFormat="1">
      <c r="A5" s="267" t="s">
        <v>1766</v>
      </c>
      <c r="B5" s="178">
        <f>'Sources and Uses Budget'!$C4</f>
        <v>0</v>
      </c>
      <c r="C5" s="178">
        <f>'Sources and Uses Budget'!$C4</f>
        <v>0</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1767</v>
      </c>
      <c r="B7" s="178">
        <f>'Sources and Uses Budget'!$C6</f>
        <v>0</v>
      </c>
      <c r="C7" s="178">
        <f>'Sources and Uses Budget'!$C6</f>
        <v>0</v>
      </c>
      <c r="D7" s="182">
        <f t="shared" si="0"/>
        <v>0</v>
      </c>
      <c r="E7" s="180"/>
      <c r="F7" s="179"/>
    </row>
    <row r="8" spans="1:6" s="255" customFormat="1">
      <c r="A8" s="267" t="s">
        <v>1768</v>
      </c>
      <c r="B8" s="178">
        <f>'Sources and Uses Budget'!$C7</f>
        <v>0</v>
      </c>
      <c r="C8" s="178">
        <f>'Sources and Uses Budget'!$C7</f>
        <v>0</v>
      </c>
      <c r="D8" s="182">
        <f t="shared" si="0"/>
        <v>0</v>
      </c>
      <c r="E8" s="180"/>
      <c r="F8" s="179"/>
    </row>
    <row r="9" spans="1:6" s="255" customFormat="1">
      <c r="A9" s="268" t="s">
        <v>1769</v>
      </c>
      <c r="B9" s="182">
        <f>SUM(B5:B8)</f>
        <v>0</v>
      </c>
      <c r="C9" s="182">
        <f>SUM(C5:C8)</f>
        <v>0</v>
      </c>
      <c r="D9" s="182">
        <f t="shared" si="0"/>
        <v>0</v>
      </c>
      <c r="E9" s="180"/>
      <c r="F9" s="179"/>
    </row>
    <row r="10" spans="1:6" s="255" customFormat="1">
      <c r="A10" s="267" t="s">
        <v>1770</v>
      </c>
      <c r="B10" s="178">
        <f>'Sources and Uses Budget'!$C9</f>
        <v>51000000</v>
      </c>
      <c r="C10" s="178">
        <f>'Sources and Uses Budget'!$C9</f>
        <v>51000000</v>
      </c>
      <c r="D10" s="182">
        <f t="shared" si="0"/>
        <v>0</v>
      </c>
      <c r="E10" s="180"/>
      <c r="F10" s="179"/>
    </row>
    <row r="11" spans="1:6" s="255" customFormat="1">
      <c r="A11" s="267" t="s">
        <v>1771</v>
      </c>
      <c r="B11" s="178">
        <f>'Sources and Uses Budget'!$C10</f>
        <v>0</v>
      </c>
      <c r="C11" s="178">
        <f>'Sources and Uses Budget'!$C10</f>
        <v>0</v>
      </c>
      <c r="D11" s="182">
        <f t="shared" si="0"/>
        <v>0</v>
      </c>
      <c r="E11" s="180"/>
      <c r="F11" s="179"/>
    </row>
    <row r="12" spans="1:6" s="255" customFormat="1">
      <c r="A12" s="268" t="s">
        <v>1772</v>
      </c>
      <c r="B12" s="182">
        <f>SUM(B10:B11)</f>
        <v>51000000</v>
      </c>
      <c r="C12" s="182">
        <f>SUM(C10:C11)</f>
        <v>51000000</v>
      </c>
      <c r="D12" s="182">
        <f t="shared" si="0"/>
        <v>0</v>
      </c>
      <c r="E12" s="180"/>
      <c r="F12" s="179"/>
    </row>
    <row r="13" spans="1:6" s="255" customFormat="1">
      <c r="A13" s="268" t="s">
        <v>1773</v>
      </c>
      <c r="B13" s="182">
        <f>SUM(B9+B12)</f>
        <v>51000000</v>
      </c>
      <c r="C13" s="182">
        <f>SUM(C9+C12)</f>
        <v>51000000</v>
      </c>
      <c r="D13" s="182">
        <f t="shared" si="0"/>
        <v>0</v>
      </c>
      <c r="E13" s="180"/>
      <c r="F13" s="179"/>
    </row>
    <row r="14" spans="1:6" s="255" customFormat="1">
      <c r="A14" s="269" t="s">
        <v>1774</v>
      </c>
      <c r="B14" s="178">
        <f>'Sources and Uses Budget'!$C13</f>
        <v>0</v>
      </c>
      <c r="C14" s="178">
        <f>'Sources and Uses Budget'!$C13</f>
        <v>0</v>
      </c>
      <c r="D14" s="182">
        <f t="shared" si="0"/>
        <v>0</v>
      </c>
      <c r="E14" s="180"/>
      <c r="F14" s="179"/>
    </row>
    <row r="15" spans="1:6" s="255" customFormat="1" ht="22.8">
      <c r="A15" s="267" t="s">
        <v>1892</v>
      </c>
      <c r="B15" s="178">
        <f>'Sources and Uses Budget'!$C14</f>
        <v>0</v>
      </c>
      <c r="C15" s="178">
        <f>'Sources and Uses Budget'!$C14</f>
        <v>0</v>
      </c>
      <c r="D15" s="182">
        <f t="shared" si="0"/>
        <v>0</v>
      </c>
      <c r="E15" s="180"/>
      <c r="F15" s="179"/>
    </row>
    <row r="16" spans="1:6" s="255" customFormat="1">
      <c r="A16" s="267" t="s">
        <v>1776</v>
      </c>
      <c r="B16" s="178">
        <f>'Sources and Uses Budget'!$C15</f>
        <v>0</v>
      </c>
      <c r="C16" s="178">
        <f>'Sources and Uses Budget'!$C15</f>
        <v>0</v>
      </c>
      <c r="D16" s="182">
        <f t="shared" si="0"/>
        <v>0</v>
      </c>
      <c r="E16" s="180"/>
      <c r="F16" s="179"/>
    </row>
    <row r="17" spans="1:6" s="255" customFormat="1">
      <c r="A17" s="176" t="s">
        <v>1777</v>
      </c>
      <c r="B17" s="176"/>
      <c r="C17" s="176"/>
      <c r="D17" s="176"/>
      <c r="E17" s="194"/>
      <c r="F17" s="176"/>
    </row>
    <row r="18" spans="1:6" s="255" customFormat="1">
      <c r="A18" s="195" t="s">
        <v>1778</v>
      </c>
      <c r="B18" s="178">
        <f>'Sources and Uses Budget'!$C17</f>
        <v>1000000</v>
      </c>
      <c r="C18" s="178">
        <f>'Sources and Uses Budget'!$C17</f>
        <v>1000000</v>
      </c>
      <c r="D18" s="182">
        <f t="shared" si="0"/>
        <v>0</v>
      </c>
      <c r="E18" s="180"/>
      <c r="F18" s="179"/>
    </row>
    <row r="19" spans="1:6" s="255" customFormat="1">
      <c r="A19" s="195" t="s">
        <v>1779</v>
      </c>
      <c r="B19" s="178">
        <f>'Sources and Uses Budget'!$C18</f>
        <v>11100000</v>
      </c>
      <c r="C19" s="178">
        <f>'Sources and Uses Budget'!$C18</f>
        <v>11100000</v>
      </c>
      <c r="D19" s="182">
        <f t="shared" si="0"/>
        <v>0</v>
      </c>
      <c r="E19" s="180"/>
      <c r="F19" s="179"/>
    </row>
    <row r="20" spans="1:6" s="255" customFormat="1">
      <c r="A20" s="195" t="s">
        <v>1780</v>
      </c>
      <c r="B20" s="178">
        <f>'Sources and Uses Budget'!$C19</f>
        <v>726000</v>
      </c>
      <c r="C20" s="178">
        <f>'Sources and Uses Budget'!$C19</f>
        <v>726000</v>
      </c>
      <c r="D20" s="182">
        <f t="shared" si="0"/>
        <v>0</v>
      </c>
      <c r="E20" s="180"/>
      <c r="F20" s="179"/>
    </row>
    <row r="21" spans="1:6" s="255" customFormat="1">
      <c r="A21" s="195" t="s">
        <v>1781</v>
      </c>
      <c r="B21" s="178">
        <f>'Sources and Uses Budget'!$C20</f>
        <v>242000</v>
      </c>
      <c r="C21" s="178">
        <f>'Sources and Uses Budget'!$C20</f>
        <v>242000</v>
      </c>
      <c r="D21" s="182">
        <f t="shared" si="0"/>
        <v>0</v>
      </c>
      <c r="E21" s="180"/>
      <c r="F21" s="179"/>
    </row>
    <row r="22" spans="1:6" s="255" customFormat="1">
      <c r="A22" s="195" t="s">
        <v>1782</v>
      </c>
      <c r="B22" s="178">
        <f>'Sources and Uses Budget'!$C21</f>
        <v>726000</v>
      </c>
      <c r="C22" s="178">
        <f>'Sources and Uses Budget'!$C21</f>
        <v>726000</v>
      </c>
      <c r="D22" s="182">
        <f t="shared" si="0"/>
        <v>0</v>
      </c>
      <c r="E22" s="180"/>
      <c r="F22" s="179"/>
    </row>
    <row r="23" spans="1:6" s="255" customFormat="1">
      <c r="A23" s="195" t="s">
        <v>1783</v>
      </c>
      <c r="B23" s="178">
        <f>'Sources and Uses Budget'!$C22</f>
        <v>0</v>
      </c>
      <c r="C23" s="178">
        <f>'Sources and Uses Budget'!$C22</f>
        <v>0</v>
      </c>
      <c r="D23" s="182">
        <f t="shared" si="0"/>
        <v>0</v>
      </c>
      <c r="E23" s="180"/>
      <c r="F23" s="179"/>
    </row>
    <row r="24" spans="1:6" s="255" customFormat="1">
      <c r="A24" s="195" t="s">
        <v>1784</v>
      </c>
      <c r="B24" s="178">
        <f>'Sources and Uses Budget'!$C23</f>
        <v>0</v>
      </c>
      <c r="C24" s="178">
        <f>'Sources and Uses Budget'!$C23</f>
        <v>0</v>
      </c>
      <c r="D24" s="182">
        <f t="shared" si="0"/>
        <v>0</v>
      </c>
      <c r="E24" s="180"/>
      <c r="F24" s="179"/>
    </row>
    <row r="25" spans="1:6" s="255" customFormat="1">
      <c r="A25" s="409" t="s">
        <v>1785</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1787</v>
      </c>
      <c r="B27" s="182">
        <f>SUM(B18:B26)</f>
        <v>13794000</v>
      </c>
      <c r="C27" s="182">
        <f>SUM(C18:C26)</f>
        <v>13794000</v>
      </c>
      <c r="D27" s="182">
        <f>SUM(D18:D26)</f>
        <v>0</v>
      </c>
      <c r="E27" s="180"/>
      <c r="F27" s="179"/>
    </row>
    <row r="28" spans="1:6" s="255" customFormat="1">
      <c r="A28" s="183" t="s">
        <v>1788</v>
      </c>
      <c r="B28" s="178">
        <f>'Sources and Uses Budget'!$C$27</f>
        <v>161250</v>
      </c>
      <c r="C28" s="178">
        <f>'Sources and Uses Budget'!$C$27</f>
        <v>161250</v>
      </c>
      <c r="D28" s="182">
        <f t="shared" si="0"/>
        <v>0</v>
      </c>
      <c r="E28" s="180"/>
      <c r="F28" s="179"/>
    </row>
    <row r="29" spans="1:6" s="255" customFormat="1">
      <c r="A29" s="176" t="s">
        <v>1789</v>
      </c>
      <c r="B29" s="176"/>
      <c r="C29" s="176"/>
      <c r="D29" s="176"/>
      <c r="E29" s="194"/>
      <c r="F29" s="176"/>
    </row>
    <row r="30" spans="1:6" s="255" customFormat="1">
      <c r="A30" s="195" t="s">
        <v>1778</v>
      </c>
      <c r="B30" s="178">
        <f>'Sources and Uses Budget'!$C29</f>
        <v>0</v>
      </c>
      <c r="C30" s="178">
        <f>'Sources and Uses Budget'!$C29</f>
        <v>0</v>
      </c>
      <c r="D30" s="182">
        <f t="shared" si="0"/>
        <v>0</v>
      </c>
      <c r="E30" s="180"/>
      <c r="F30" s="179"/>
    </row>
    <row r="31" spans="1:6" s="255" customFormat="1">
      <c r="A31" s="195" t="s">
        <v>1779</v>
      </c>
      <c r="B31" s="178">
        <f>'Sources and Uses Budget'!$C30</f>
        <v>0</v>
      </c>
      <c r="C31" s="178">
        <f>'Sources and Uses Budget'!$C30</f>
        <v>0</v>
      </c>
      <c r="D31" s="182">
        <f t="shared" si="0"/>
        <v>0</v>
      </c>
      <c r="E31" s="180"/>
      <c r="F31" s="179"/>
    </row>
    <row r="32" spans="1:6" s="255" customFormat="1">
      <c r="A32" s="195" t="s">
        <v>1780</v>
      </c>
      <c r="B32" s="178">
        <f>'Sources and Uses Budget'!$C31</f>
        <v>0</v>
      </c>
      <c r="C32" s="178">
        <f>'Sources and Uses Budget'!$C31</f>
        <v>0</v>
      </c>
      <c r="D32" s="182">
        <f t="shared" si="0"/>
        <v>0</v>
      </c>
      <c r="E32" s="180"/>
      <c r="F32" s="179"/>
    </row>
    <row r="33" spans="1:6" s="255" customFormat="1">
      <c r="A33" s="195" t="s">
        <v>1781</v>
      </c>
      <c r="B33" s="178">
        <f>'Sources and Uses Budget'!$C32</f>
        <v>0</v>
      </c>
      <c r="C33" s="178">
        <f>'Sources and Uses Budget'!$C32</f>
        <v>0</v>
      </c>
      <c r="D33" s="182">
        <f t="shared" si="0"/>
        <v>0</v>
      </c>
      <c r="E33" s="180"/>
      <c r="F33" s="179"/>
    </row>
    <row r="34" spans="1:6" s="255" customFormat="1">
      <c r="A34" s="195" t="s">
        <v>1782</v>
      </c>
      <c r="B34" s="178">
        <f>'Sources and Uses Budget'!$C33</f>
        <v>0</v>
      </c>
      <c r="C34" s="178">
        <f>'Sources and Uses Budget'!$C33</f>
        <v>0</v>
      </c>
      <c r="D34" s="182">
        <f t="shared" si="0"/>
        <v>0</v>
      </c>
      <c r="E34" s="180"/>
      <c r="F34" s="179"/>
    </row>
    <row r="35" spans="1:6" s="255" customFormat="1">
      <c r="A35" s="195" t="s">
        <v>1783</v>
      </c>
      <c r="B35" s="178">
        <f>'Sources and Uses Budget'!$C34</f>
        <v>0</v>
      </c>
      <c r="C35" s="178">
        <f>'Sources and Uses Budget'!$C34</f>
        <v>0</v>
      </c>
      <c r="D35" s="182">
        <f t="shared" si="0"/>
        <v>0</v>
      </c>
      <c r="E35" s="180"/>
      <c r="F35" s="179"/>
    </row>
    <row r="36" spans="1:6" s="255" customFormat="1">
      <c r="A36" s="195" t="s">
        <v>1784</v>
      </c>
      <c r="B36" s="178">
        <f>'Sources and Uses Budget'!$C35</f>
        <v>0</v>
      </c>
      <c r="C36" s="178">
        <f>'Sources and Uses Budget'!$C35</f>
        <v>0</v>
      </c>
      <c r="D36" s="182">
        <f t="shared" si="0"/>
        <v>0</v>
      </c>
      <c r="E36" s="180"/>
      <c r="F36" s="179"/>
    </row>
    <row r="37" spans="1:6" s="255" customFormat="1">
      <c r="A37" s="195" t="s">
        <v>1785</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1790</v>
      </c>
      <c r="B39" s="182">
        <f>SUM(B30:B38)</f>
        <v>0</v>
      </c>
      <c r="C39" s="182">
        <f>SUM(C30:C38)</f>
        <v>0</v>
      </c>
      <c r="D39" s="182">
        <f t="shared" si="0"/>
        <v>0</v>
      </c>
      <c r="E39" s="180"/>
      <c r="F39" s="179"/>
    </row>
    <row r="40" spans="1:6" s="255" customFormat="1">
      <c r="A40" s="176" t="s">
        <v>1791</v>
      </c>
      <c r="B40" s="176"/>
      <c r="C40" s="176"/>
      <c r="D40" s="176"/>
      <c r="E40" s="194"/>
      <c r="F40" s="176"/>
    </row>
    <row r="41" spans="1:6" s="255" customFormat="1">
      <c r="A41" s="181" t="s">
        <v>1792</v>
      </c>
      <c r="B41" s="178">
        <f>'Sources and Uses Budget'!$C40</f>
        <v>220000</v>
      </c>
      <c r="C41" s="178">
        <f>'Sources and Uses Budget'!$C40</f>
        <v>220000</v>
      </c>
      <c r="D41" s="182">
        <f t="shared" si="0"/>
        <v>0</v>
      </c>
      <c r="E41" s="180"/>
      <c r="F41" s="179"/>
    </row>
    <row r="42" spans="1:6" s="255" customFormat="1">
      <c r="A42" s="181" t="s">
        <v>1793</v>
      </c>
      <c r="B42" s="178">
        <f>'Sources and Uses Budget'!$C41</f>
        <v>0</v>
      </c>
      <c r="C42" s="178">
        <f>'Sources and Uses Budget'!$C41</f>
        <v>0</v>
      </c>
      <c r="D42" s="182">
        <f t="shared" si="0"/>
        <v>0</v>
      </c>
      <c r="E42" s="180"/>
      <c r="F42" s="179"/>
    </row>
    <row r="43" spans="1:6" s="255" customFormat="1">
      <c r="A43" s="183" t="s">
        <v>1794</v>
      </c>
      <c r="B43" s="182">
        <f>SUM(B41:B42)</f>
        <v>220000</v>
      </c>
      <c r="C43" s="182">
        <f>SUM(C41:C42)</f>
        <v>220000</v>
      </c>
      <c r="D43" s="182">
        <f t="shared" si="0"/>
        <v>0</v>
      </c>
      <c r="E43" s="180"/>
      <c r="F43" s="179"/>
    </row>
    <row r="44" spans="1:6" s="255" customFormat="1">
      <c r="A44" s="183" t="s">
        <v>1795</v>
      </c>
      <c r="B44" s="178">
        <f>'Sources and Uses Budget'!$C43</f>
        <v>95000</v>
      </c>
      <c r="C44" s="178">
        <f>'Sources and Uses Budget'!$C43</f>
        <v>95000</v>
      </c>
      <c r="D44" s="182">
        <f t="shared" si="0"/>
        <v>0</v>
      </c>
      <c r="E44" s="180"/>
      <c r="F44" s="179"/>
    </row>
    <row r="45" spans="1:6" s="255" customFormat="1" ht="12" customHeight="1">
      <c r="A45" s="176" t="s">
        <v>1796</v>
      </c>
      <c r="B45" s="176"/>
      <c r="C45" s="176"/>
      <c r="D45" s="176"/>
      <c r="E45" s="194"/>
      <c r="F45" s="176"/>
    </row>
    <row r="46" spans="1:6" s="255" customFormat="1">
      <c r="A46" s="195" t="s">
        <v>1797</v>
      </c>
      <c r="B46" s="178">
        <f>'Sources and Uses Budget'!$C45</f>
        <v>5891103</v>
      </c>
      <c r="C46" s="178">
        <f>'Sources and Uses Budget'!$C45</f>
        <v>5891103</v>
      </c>
      <c r="D46" s="182">
        <f t="shared" si="0"/>
        <v>0</v>
      </c>
      <c r="E46" s="180"/>
      <c r="F46" s="179"/>
    </row>
    <row r="47" spans="1:6" s="255" customFormat="1">
      <c r="A47" s="195" t="s">
        <v>1798</v>
      </c>
      <c r="B47" s="178">
        <f>'Sources and Uses Budget'!$C46</f>
        <v>250000</v>
      </c>
      <c r="C47" s="178">
        <f>'Sources and Uses Budget'!$C46</f>
        <v>250000</v>
      </c>
      <c r="D47" s="182">
        <f t="shared" si="0"/>
        <v>0</v>
      </c>
      <c r="E47" s="180"/>
      <c r="F47" s="179"/>
    </row>
    <row r="48" spans="1:6" s="255" customFormat="1" ht="12" customHeight="1">
      <c r="A48" s="1211" t="s">
        <v>1799</v>
      </c>
      <c r="B48" s="178">
        <f>'Sources and Uses Budget'!$C47</f>
        <v>0</v>
      </c>
      <c r="C48" s="178">
        <f>'Sources and Uses Budget'!$C47</f>
        <v>0</v>
      </c>
      <c r="D48" s="182">
        <f t="shared" si="0"/>
        <v>0</v>
      </c>
      <c r="E48" s="180"/>
      <c r="F48" s="179"/>
    </row>
    <row r="49" spans="1:6" s="255" customFormat="1">
      <c r="A49" s="195" t="s">
        <v>1800</v>
      </c>
      <c r="B49" s="178">
        <f>'Sources and Uses Budget'!$C48</f>
        <v>0</v>
      </c>
      <c r="C49" s="178">
        <f>'Sources and Uses Budget'!$C48</f>
        <v>0</v>
      </c>
      <c r="D49" s="182">
        <f t="shared" si="0"/>
        <v>0</v>
      </c>
      <c r="E49" s="180"/>
      <c r="F49" s="179"/>
    </row>
    <row r="50" spans="1:6" s="255" customFormat="1">
      <c r="A50" s="195" t="s">
        <v>1801</v>
      </c>
      <c r="B50" s="178">
        <f>'Sources and Uses Budget'!$C49</f>
        <v>750000</v>
      </c>
      <c r="C50" s="178">
        <f>'Sources and Uses Budget'!$C49</f>
        <v>750000</v>
      </c>
      <c r="D50" s="182">
        <f t="shared" si="0"/>
        <v>0</v>
      </c>
      <c r="E50" s="180"/>
      <c r="F50" s="179"/>
    </row>
    <row r="51" spans="1:6" s="255" customFormat="1">
      <c r="A51" s="195" t="s">
        <v>1802</v>
      </c>
      <c r="B51" s="178">
        <f>'Sources and Uses Budget'!$C50</f>
        <v>55000</v>
      </c>
      <c r="C51" s="178">
        <f>'Sources and Uses Budget'!$C50</f>
        <v>55000</v>
      </c>
      <c r="D51" s="182">
        <f t="shared" si="0"/>
        <v>0</v>
      </c>
      <c r="E51" s="180"/>
      <c r="F51" s="179"/>
    </row>
    <row r="52" spans="1:6" s="255" customFormat="1">
      <c r="A52" s="195" t="s">
        <v>1803</v>
      </c>
      <c r="B52" s="178">
        <f>'Sources and Uses Budget'!$C51</f>
        <v>0</v>
      </c>
      <c r="C52" s="178">
        <f>'Sources and Uses Budget'!$C51</f>
        <v>0</v>
      </c>
      <c r="D52" s="182">
        <f t="shared" si="0"/>
        <v>0</v>
      </c>
      <c r="E52" s="180"/>
      <c r="F52" s="179"/>
    </row>
    <row r="53" spans="1:6" s="255" customFormat="1">
      <c r="A53" s="195" t="s">
        <v>1568</v>
      </c>
      <c r="B53" s="178">
        <f>'Sources and Uses Budget'!$C52</f>
        <v>150000</v>
      </c>
      <c r="C53" s="178">
        <f>'Sources and Uses Budget'!$C52</f>
        <v>150000</v>
      </c>
      <c r="D53" s="182">
        <f t="shared" si="0"/>
        <v>0</v>
      </c>
      <c r="E53" s="180"/>
      <c r="F53" s="179"/>
    </row>
    <row r="54" spans="1:6" s="255" customFormat="1">
      <c r="A54" s="409" t="str">
        <f>'Sources and Uses Budget'!A53</f>
        <v>Other: (Specify) Closing Costs</v>
      </c>
      <c r="B54" s="178">
        <f>'Sources and Uses Budget'!$C53</f>
        <v>550000</v>
      </c>
      <c r="C54" s="178">
        <f>'Sources and Uses Budget'!$C53</f>
        <v>550000</v>
      </c>
      <c r="D54" s="182">
        <f t="shared" si="0"/>
        <v>0</v>
      </c>
      <c r="E54" s="180"/>
      <c r="F54" s="179"/>
    </row>
    <row r="55" spans="1:6" s="256" customFormat="1">
      <c r="A55" s="183" t="s">
        <v>1805</v>
      </c>
      <c r="B55" s="185">
        <f>SUM(B46:B54)</f>
        <v>7646103</v>
      </c>
      <c r="C55" s="185">
        <f>SUM(C46:C54)</f>
        <v>7646103</v>
      </c>
      <c r="D55" s="182">
        <f t="shared" si="0"/>
        <v>0</v>
      </c>
      <c r="E55" s="180"/>
      <c r="F55" s="179"/>
    </row>
    <row r="56" spans="1:6" s="255" customFormat="1">
      <c r="A56" s="176" t="s">
        <v>1367</v>
      </c>
      <c r="B56" s="176"/>
      <c r="C56" s="176"/>
      <c r="D56" s="176"/>
      <c r="E56" s="194"/>
      <c r="F56" s="176"/>
    </row>
    <row r="57" spans="1:6" s="255" customFormat="1">
      <c r="A57" s="181" t="s">
        <v>1806</v>
      </c>
      <c r="B57" s="178">
        <f>'Sources and Uses Budget'!$C56</f>
        <v>762093</v>
      </c>
      <c r="C57" s="178">
        <f>'Sources and Uses Budget'!$C56</f>
        <v>762093</v>
      </c>
      <c r="D57" s="182">
        <f t="shared" si="0"/>
        <v>0</v>
      </c>
      <c r="E57" s="180"/>
      <c r="F57" s="179"/>
    </row>
    <row r="58" spans="1:6" s="255" customFormat="1" ht="12" customHeight="1">
      <c r="A58" s="181" t="s">
        <v>1799</v>
      </c>
      <c r="B58" s="178">
        <f>'Sources and Uses Budget'!$C57</f>
        <v>610000</v>
      </c>
      <c r="C58" s="178">
        <f>'Sources and Uses Budget'!$C57</f>
        <v>610000</v>
      </c>
      <c r="D58" s="182">
        <f t="shared" si="0"/>
        <v>0</v>
      </c>
      <c r="E58" s="180"/>
      <c r="F58" s="179"/>
    </row>
    <row r="59" spans="1:6" s="255" customFormat="1">
      <c r="A59" s="181" t="s">
        <v>1802</v>
      </c>
      <c r="B59" s="178">
        <f>'Sources and Uses Budget'!$C58</f>
        <v>55000</v>
      </c>
      <c r="C59" s="178">
        <f>'Sources and Uses Budget'!$C58</f>
        <v>55000</v>
      </c>
      <c r="D59" s="182">
        <f t="shared" si="0"/>
        <v>0</v>
      </c>
      <c r="E59" s="180"/>
      <c r="F59" s="179"/>
    </row>
    <row r="60" spans="1:6" s="255" customFormat="1">
      <c r="A60" s="181" t="s">
        <v>1803</v>
      </c>
      <c r="B60" s="178">
        <f>'Sources and Uses Budget'!$C59</f>
        <v>0</v>
      </c>
      <c r="C60" s="178">
        <f>'Sources and Uses Budget'!$C59</f>
        <v>0</v>
      </c>
      <c r="D60" s="182">
        <f t="shared" si="0"/>
        <v>0</v>
      </c>
      <c r="E60" s="180"/>
      <c r="F60" s="179"/>
    </row>
    <row r="61" spans="1:6" s="255" customFormat="1">
      <c r="A61" s="181" t="s">
        <v>1568</v>
      </c>
      <c r="B61" s="178">
        <f>'Sources and Uses Budget'!$C60</f>
        <v>0</v>
      </c>
      <c r="C61" s="178">
        <f>'Sources and Uses Budget'!$C60</f>
        <v>0</v>
      </c>
      <c r="D61" s="182">
        <f t="shared" si="0"/>
        <v>0</v>
      </c>
      <c r="E61" s="180"/>
      <c r="F61" s="179"/>
    </row>
    <row r="62" spans="1:6" s="255" customFormat="1">
      <c r="A62" s="906" t="str">
        <f>'Sources and Uses Budget'!A61</f>
        <v>Other: (Specify) Other Financing Costs</v>
      </c>
      <c r="B62" s="178">
        <f>'Sources and Uses Budget'!$C61</f>
        <v>15000</v>
      </c>
      <c r="C62" s="178">
        <f>'Sources and Uses Budget'!$C61</f>
        <v>15000</v>
      </c>
      <c r="D62" s="182">
        <f t="shared" si="0"/>
        <v>0</v>
      </c>
      <c r="E62" s="180"/>
      <c r="F62" s="179"/>
    </row>
    <row r="63" spans="1:6" s="255" customFormat="1" ht="13.65" customHeight="1">
      <c r="A63" s="183" t="s">
        <v>1808</v>
      </c>
      <c r="B63" s="182">
        <f>SUM(B57:B62)</f>
        <v>1442093</v>
      </c>
      <c r="C63" s="182">
        <f>SUM(C57:C62)</f>
        <v>1442093</v>
      </c>
      <c r="D63" s="182">
        <f t="shared" si="0"/>
        <v>0</v>
      </c>
      <c r="E63" s="180"/>
      <c r="F63" s="179"/>
    </row>
    <row r="64" spans="1:6" s="255" customFormat="1">
      <c r="A64" s="186" t="s">
        <v>1809</v>
      </c>
      <c r="B64" s="182">
        <f>SUM(B9+B12+B14+B15+B17+B26+B28+B39+B43+B44+B55+B63)</f>
        <v>60564446</v>
      </c>
      <c r="C64" s="182">
        <f>SUM(C9+C12+C14+C15+C17+C26+C28+C39+C43+C44+C55+C63)</f>
        <v>60564446</v>
      </c>
      <c r="D64" s="182">
        <f t="shared" si="0"/>
        <v>0</v>
      </c>
      <c r="E64" s="180"/>
      <c r="F64" s="179"/>
    </row>
    <row r="65" spans="1:6" s="255" customFormat="1" ht="22.8">
      <c r="A65" s="104" t="s">
        <v>1810</v>
      </c>
      <c r="B65" s="176"/>
      <c r="C65" s="176"/>
      <c r="D65" s="176"/>
      <c r="E65" s="194"/>
      <c r="F65" s="176"/>
    </row>
    <row r="66" spans="1:6" s="255" customFormat="1">
      <c r="A66" s="195" t="s">
        <v>1811</v>
      </c>
      <c r="B66" s="178">
        <f>'Sources and Uses Budget'!$C65</f>
        <v>180000</v>
      </c>
      <c r="C66" s="178">
        <f>'Sources and Uses Budget'!$C65</f>
        <v>180000</v>
      </c>
      <c r="D66" s="182">
        <f t="shared" si="0"/>
        <v>0</v>
      </c>
      <c r="E66" s="180"/>
      <c r="F66" s="179"/>
    </row>
    <row r="67" spans="1:6" s="255" customFormat="1" ht="22.8">
      <c r="A67" s="195" t="s">
        <v>1812</v>
      </c>
      <c r="B67" s="178">
        <f>'Sources and Uses Budget'!$C66</f>
        <v>0</v>
      </c>
      <c r="C67" s="178">
        <f>'Sources and Uses Budget'!$C66</f>
        <v>0</v>
      </c>
      <c r="D67" s="182"/>
      <c r="E67" s="180"/>
      <c r="F67" s="179"/>
    </row>
    <row r="68" spans="1:6" s="255" customFormat="1" ht="22.8">
      <c r="A68" s="195" t="s">
        <v>1813</v>
      </c>
      <c r="B68" s="178">
        <f>'Sources and Uses Budget'!$C67</f>
        <v>0</v>
      </c>
      <c r="C68" s="178">
        <f>'Sources and Uses Budget'!$C67</f>
        <v>0</v>
      </c>
      <c r="D68" s="182"/>
      <c r="E68" s="180"/>
      <c r="F68" s="179"/>
    </row>
    <row r="69" spans="1:6" s="255" customFormat="1">
      <c r="A69" s="195" t="s">
        <v>1814</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1815</v>
      </c>
      <c r="B71" s="182">
        <f>SUM(B66:B70)</f>
        <v>180000</v>
      </c>
      <c r="C71" s="182">
        <f>SUM(C66:C70)</f>
        <v>180000</v>
      </c>
      <c r="D71" s="182">
        <f t="shared" si="0"/>
        <v>0</v>
      </c>
      <c r="E71" s="180"/>
      <c r="F71" s="179"/>
    </row>
    <row r="72" spans="1:6" s="255" customFormat="1">
      <c r="A72" s="176" t="s">
        <v>1816</v>
      </c>
      <c r="B72" s="176"/>
      <c r="C72" s="176"/>
      <c r="D72" s="176"/>
      <c r="E72" s="194"/>
      <c r="F72" s="176"/>
    </row>
    <row r="73" spans="1:6" s="255" customFormat="1">
      <c r="A73" s="181" t="s">
        <v>1817</v>
      </c>
      <c r="B73" s="178">
        <f>'Sources and Uses Budget'!$C72</f>
        <v>0</v>
      </c>
      <c r="C73" s="178">
        <f>'Sources and Uses Budget'!$C72</f>
        <v>0</v>
      </c>
      <c r="D73" s="182">
        <f t="shared" si="0"/>
        <v>0</v>
      </c>
      <c r="E73" s="180"/>
      <c r="F73" s="179"/>
    </row>
    <row r="74" spans="1:6" s="255" customFormat="1">
      <c r="A74" s="181" t="s">
        <v>1818</v>
      </c>
      <c r="B74" s="178">
        <f>'Sources and Uses Budget'!$C73</f>
        <v>0</v>
      </c>
      <c r="C74" s="178">
        <f>'Sources and Uses Budget'!$C73</f>
        <v>0</v>
      </c>
      <c r="D74" s="182">
        <f t="shared" si="0"/>
        <v>0</v>
      </c>
      <c r="E74" s="180"/>
      <c r="F74" s="179"/>
    </row>
    <row r="75" spans="1:6" s="255" customFormat="1">
      <c r="A75" s="197" t="s">
        <v>1819</v>
      </c>
      <c r="B75" s="178">
        <f>'Sources and Uses Budget'!$C74</f>
        <v>0</v>
      </c>
      <c r="C75" s="178">
        <f>'Sources and Uses Budget'!$C74</f>
        <v>0</v>
      </c>
      <c r="D75" s="182">
        <f t="shared" si="0"/>
        <v>0</v>
      </c>
      <c r="E75" s="180"/>
      <c r="F75" s="179"/>
    </row>
    <row r="76" spans="1:6" s="255" customFormat="1">
      <c r="A76" s="181" t="s">
        <v>1820</v>
      </c>
      <c r="B76" s="178">
        <f>'Sources and Uses Budget'!$C75</f>
        <v>2326745</v>
      </c>
      <c r="C76" s="178">
        <f>'Sources and Uses Budget'!$C75</f>
        <v>2326745</v>
      </c>
      <c r="D76" s="182">
        <f t="shared" si="0"/>
        <v>0</v>
      </c>
      <c r="E76" s="180"/>
      <c r="F76" s="179"/>
    </row>
    <row r="77" spans="1:6" s="255" customFormat="1">
      <c r="A77" s="184" t="s">
        <v>1786</v>
      </c>
      <c r="B77" s="178">
        <f>'Sources and Uses Budget'!$C76</f>
        <v>0</v>
      </c>
      <c r="C77" s="178">
        <f>'Sources and Uses Budget'!$C76</f>
        <v>0</v>
      </c>
      <c r="D77" s="182">
        <f t="shared" si="0"/>
        <v>0</v>
      </c>
      <c r="E77" s="180"/>
      <c r="F77" s="179"/>
    </row>
    <row r="78" spans="1:6" s="255" customFormat="1">
      <c r="A78" s="183" t="s">
        <v>1821</v>
      </c>
      <c r="B78" s="182">
        <f>SUM(B73:B77)</f>
        <v>2326745</v>
      </c>
      <c r="C78" s="182">
        <f>SUM(C73:C77)</f>
        <v>2326745</v>
      </c>
      <c r="D78" s="182">
        <f t="shared" ref="D78:D106" si="1">C78-B78</f>
        <v>0</v>
      </c>
      <c r="E78" s="180"/>
      <c r="F78" s="179"/>
    </row>
    <row r="79" spans="1:6" s="255" customFormat="1">
      <c r="A79" s="176" t="s">
        <v>1822</v>
      </c>
      <c r="B79" s="176"/>
      <c r="C79" s="176"/>
      <c r="D79" s="176"/>
      <c r="E79" s="194"/>
      <c r="F79" s="176"/>
    </row>
    <row r="80" spans="1:6" s="255" customFormat="1">
      <c r="A80" s="410" t="s">
        <v>1823</v>
      </c>
      <c r="B80" s="178">
        <f>'Sources and Uses Budget'!$C79</f>
        <v>2069100</v>
      </c>
      <c r="C80" s="178">
        <f>'Sources and Uses Budget'!$C79</f>
        <v>2069100</v>
      </c>
      <c r="D80" s="182">
        <f t="shared" si="1"/>
        <v>0</v>
      </c>
      <c r="E80" s="180"/>
      <c r="F80" s="179"/>
    </row>
    <row r="81" spans="1:6" s="255" customFormat="1">
      <c r="A81" s="410" t="s">
        <v>1824</v>
      </c>
      <c r="B81" s="178">
        <f>'Sources and Uses Budget'!$C80</f>
        <v>565000</v>
      </c>
      <c r="C81" s="178">
        <f>'Sources and Uses Budget'!$C80</f>
        <v>565000</v>
      </c>
      <c r="D81" s="182">
        <f>C81-B81</f>
        <v>0</v>
      </c>
      <c r="E81" s="180"/>
      <c r="F81" s="179"/>
    </row>
    <row r="82" spans="1:6" s="255" customFormat="1">
      <c r="A82" s="183" t="s">
        <v>1825</v>
      </c>
      <c r="B82" s="182">
        <f>SUM(B80:B81)</f>
        <v>2634100</v>
      </c>
      <c r="C82" s="182">
        <f>SUM(C80:C81)</f>
        <v>2634100</v>
      </c>
      <c r="D82" s="182">
        <f t="shared" si="1"/>
        <v>0</v>
      </c>
      <c r="E82" s="180"/>
      <c r="F82" s="179"/>
    </row>
    <row r="83" spans="1:6" s="255" customFormat="1">
      <c r="A83" s="176" t="s">
        <v>1826</v>
      </c>
      <c r="B83" s="176"/>
      <c r="C83" s="176"/>
      <c r="D83" s="176"/>
      <c r="E83" s="194"/>
      <c r="F83" s="176"/>
    </row>
    <row r="84" spans="1:6" s="255" customFormat="1" ht="13.65" customHeight="1">
      <c r="A84" s="181" t="s">
        <v>2763</v>
      </c>
      <c r="B84" s="178">
        <f>'Sources and Uses Budget'!$C83</f>
        <v>150000</v>
      </c>
      <c r="C84" s="178">
        <f>'Sources and Uses Budget'!$C83</f>
        <v>150000</v>
      </c>
      <c r="D84" s="182">
        <f t="shared" si="1"/>
        <v>0</v>
      </c>
      <c r="E84" s="180"/>
      <c r="F84" s="179"/>
    </row>
    <row r="85" spans="1:6" s="255" customFormat="1">
      <c r="A85" s="181" t="s">
        <v>1828</v>
      </c>
      <c r="B85" s="178">
        <f>'Sources and Uses Budget'!$C84</f>
        <v>50000</v>
      </c>
      <c r="C85" s="178">
        <f>'Sources and Uses Budget'!$C84</f>
        <v>50000</v>
      </c>
      <c r="D85" s="182">
        <f t="shared" si="1"/>
        <v>0</v>
      </c>
      <c r="E85" s="180"/>
      <c r="F85" s="179"/>
    </row>
    <row r="86" spans="1:6" s="255" customFormat="1">
      <c r="A86" s="181" t="s">
        <v>1829</v>
      </c>
      <c r="B86" s="178">
        <f>'Sources and Uses Budget'!$C85</f>
        <v>50000</v>
      </c>
      <c r="C86" s="178">
        <f>'Sources and Uses Budget'!$C85</f>
        <v>50000</v>
      </c>
      <c r="D86" s="182">
        <f t="shared" si="1"/>
        <v>0</v>
      </c>
      <c r="E86" s="180"/>
      <c r="F86" s="179"/>
    </row>
    <row r="87" spans="1:6" s="255" customFormat="1">
      <c r="A87" s="181" t="s">
        <v>1830</v>
      </c>
      <c r="B87" s="178">
        <f>'Sources and Uses Budget'!$C86</f>
        <v>100000</v>
      </c>
      <c r="C87" s="178">
        <f>'Sources and Uses Budget'!$C86</f>
        <v>100000</v>
      </c>
      <c r="D87" s="182">
        <f t="shared" si="1"/>
        <v>0</v>
      </c>
      <c r="E87" s="180"/>
      <c r="F87" s="179"/>
    </row>
    <row r="88" spans="1:6" s="255" customFormat="1">
      <c r="A88" s="181" t="s">
        <v>1831</v>
      </c>
      <c r="B88" s="178">
        <f>'Sources and Uses Budget'!$C87</f>
        <v>0</v>
      </c>
      <c r="C88" s="178">
        <f>'Sources and Uses Budget'!$C87</f>
        <v>0</v>
      </c>
      <c r="D88" s="182">
        <f t="shared" si="1"/>
        <v>0</v>
      </c>
      <c r="E88" s="180"/>
      <c r="F88" s="179"/>
    </row>
    <row r="89" spans="1:6" s="255" customFormat="1">
      <c r="A89" s="181" t="s">
        <v>1832</v>
      </c>
      <c r="B89" s="178">
        <f>'Sources and Uses Budget'!$C88</f>
        <v>0</v>
      </c>
      <c r="C89" s="178">
        <f>'Sources and Uses Budget'!$C88</f>
        <v>0</v>
      </c>
      <c r="D89" s="182">
        <f t="shared" si="1"/>
        <v>0</v>
      </c>
      <c r="E89" s="180"/>
      <c r="F89" s="179"/>
    </row>
    <row r="90" spans="1:6" s="255" customFormat="1">
      <c r="A90" s="181" t="s">
        <v>1833</v>
      </c>
      <c r="B90" s="178">
        <f>'Sources and Uses Budget'!$C89</f>
        <v>0</v>
      </c>
      <c r="C90" s="178">
        <f>'Sources and Uses Budget'!$C89</f>
        <v>0</v>
      </c>
      <c r="D90" s="182">
        <f t="shared" si="1"/>
        <v>0</v>
      </c>
      <c r="E90" s="180"/>
      <c r="F90" s="179"/>
    </row>
    <row r="91" spans="1:6" s="255" customFormat="1">
      <c r="A91" s="181" t="s">
        <v>1834</v>
      </c>
      <c r="B91" s="178">
        <f>'Sources and Uses Budget'!$C90</f>
        <v>25000</v>
      </c>
      <c r="C91" s="178">
        <f>'Sources and Uses Budget'!$C90</f>
        <v>25000</v>
      </c>
      <c r="D91" s="182">
        <f t="shared" si="1"/>
        <v>0</v>
      </c>
      <c r="E91" s="180"/>
      <c r="F91" s="179"/>
    </row>
    <row r="92" spans="1:6" s="255" customFormat="1">
      <c r="A92" s="181" t="s">
        <v>1835</v>
      </c>
      <c r="B92" s="178">
        <f>'Sources and Uses Budget'!$C91</f>
        <v>50000</v>
      </c>
      <c r="C92" s="178">
        <f>'Sources and Uses Budget'!$C91</f>
        <v>50000</v>
      </c>
      <c r="D92" s="182">
        <f t="shared" si="1"/>
        <v>0</v>
      </c>
      <c r="E92" s="180"/>
      <c r="F92" s="179"/>
    </row>
    <row r="93" spans="1:6" s="255" customFormat="1">
      <c r="A93" s="410" t="s">
        <v>1836</v>
      </c>
      <c r="B93" s="178">
        <f>'Sources and Uses Budget'!$C92</f>
        <v>25000</v>
      </c>
      <c r="C93" s="178">
        <f>'Sources and Uses Budget'!$C92</f>
        <v>25000</v>
      </c>
      <c r="D93" s="182">
        <f t="shared" si="1"/>
        <v>0</v>
      </c>
      <c r="E93" s="180"/>
      <c r="F93" s="179"/>
    </row>
    <row r="94" spans="1:6" s="255" customFormat="1">
      <c r="A94" s="184" t="s">
        <v>1786</v>
      </c>
      <c r="B94" s="178">
        <f>'Sources and Uses Budget'!$C93</f>
        <v>50000</v>
      </c>
      <c r="C94" s="178">
        <f>'Sources and Uses Budget'!$C93</f>
        <v>50000</v>
      </c>
      <c r="D94" s="182">
        <f t="shared" si="1"/>
        <v>0</v>
      </c>
      <c r="E94" s="180"/>
      <c r="F94" s="179"/>
    </row>
    <row r="95" spans="1:6" s="255" customFormat="1">
      <c r="A95" s="184" t="s">
        <v>1786</v>
      </c>
      <c r="B95" s="178">
        <f>'Sources and Uses Budget'!$C94</f>
        <v>100000</v>
      </c>
      <c r="C95" s="178">
        <f>'Sources and Uses Budget'!$C94</f>
        <v>100000</v>
      </c>
      <c r="D95" s="182">
        <f t="shared" si="1"/>
        <v>0</v>
      </c>
      <c r="E95" s="180"/>
      <c r="F95" s="179"/>
    </row>
    <row r="96" spans="1:6" s="255" customFormat="1">
      <c r="A96" s="184" t="s">
        <v>1786</v>
      </c>
      <c r="B96" s="178">
        <f>'Sources and Uses Budget'!$C95</f>
        <v>0</v>
      </c>
      <c r="C96" s="178">
        <f>'Sources and Uses Budget'!$C95</f>
        <v>0</v>
      </c>
      <c r="D96" s="182">
        <f t="shared" si="1"/>
        <v>0</v>
      </c>
      <c r="E96" s="180"/>
      <c r="F96" s="179"/>
    </row>
    <row r="97" spans="1:6" s="255" customFormat="1">
      <c r="A97" s="183" t="s">
        <v>1840</v>
      </c>
      <c r="B97" s="182">
        <f>SUM(B84:B96)</f>
        <v>600000</v>
      </c>
      <c r="C97" s="182">
        <f>SUM(C84:C96)</f>
        <v>600000</v>
      </c>
      <c r="D97" s="182">
        <f t="shared" si="1"/>
        <v>0</v>
      </c>
      <c r="E97" s="180"/>
      <c r="F97" s="179"/>
    </row>
    <row r="98" spans="1:6" s="255" customFormat="1">
      <c r="A98" s="183" t="s">
        <v>1841</v>
      </c>
      <c r="B98" s="182">
        <f>SUM(B64+B71+B78+B82+B97)</f>
        <v>66305291</v>
      </c>
      <c r="C98" s="182">
        <f>SUM(C64+C71+C78+C82+C97)</f>
        <v>66305291</v>
      </c>
      <c r="D98" s="182">
        <f t="shared" si="1"/>
        <v>0</v>
      </c>
      <c r="E98" s="180"/>
      <c r="F98" s="179"/>
    </row>
    <row r="99" spans="1:6" s="255" customFormat="1">
      <c r="A99" s="176" t="s">
        <v>1842</v>
      </c>
      <c r="B99" s="176"/>
      <c r="C99" s="176"/>
      <c r="D99" s="176"/>
      <c r="E99" s="194"/>
      <c r="F99" s="176"/>
    </row>
    <row r="100" spans="1:6" s="255" customFormat="1">
      <c r="A100" s="195" t="s">
        <v>1843</v>
      </c>
      <c r="B100" s="178">
        <f>'Sources and Uses Budget'!$C99</f>
        <v>4759298</v>
      </c>
      <c r="C100" s="178">
        <f>'Sources and Uses Budget'!$C99</f>
        <v>4759298</v>
      </c>
      <c r="D100" s="182">
        <f t="shared" si="1"/>
        <v>0</v>
      </c>
      <c r="E100" s="180"/>
      <c r="F100" s="179"/>
    </row>
    <row r="101" spans="1:6" s="255" customFormat="1">
      <c r="A101" s="195" t="s">
        <v>1844</v>
      </c>
      <c r="B101" s="178">
        <f>'Sources and Uses Budget'!$C100</f>
        <v>1189825</v>
      </c>
      <c r="C101" s="178">
        <f>'Sources and Uses Budget'!$C100</f>
        <v>1189825</v>
      </c>
      <c r="D101" s="182">
        <f t="shared" si="1"/>
        <v>0</v>
      </c>
      <c r="E101" s="180"/>
      <c r="F101" s="179"/>
    </row>
    <row r="102" spans="1:6" s="255" customFormat="1">
      <c r="A102" s="195" t="s">
        <v>1845</v>
      </c>
      <c r="B102" s="178">
        <f>'Sources and Uses Budget'!$C101</f>
        <v>0</v>
      </c>
      <c r="C102" s="178">
        <f>'Sources and Uses Budget'!$C101</f>
        <v>0</v>
      </c>
      <c r="D102" s="182">
        <f t="shared" si="1"/>
        <v>0</v>
      </c>
      <c r="E102" s="180"/>
      <c r="F102" s="179"/>
    </row>
    <row r="103" spans="1:6" s="255" customFormat="1" ht="12" customHeight="1">
      <c r="A103" s="195" t="s">
        <v>1846</v>
      </c>
      <c r="B103" s="178">
        <f>'Sources and Uses Budget'!$C102</f>
        <v>0</v>
      </c>
      <c r="C103" s="178">
        <f>'Sources and Uses Budget'!$C102</f>
        <v>0</v>
      </c>
      <c r="D103" s="182">
        <f t="shared" si="1"/>
        <v>0</v>
      </c>
      <c r="E103" s="180"/>
      <c r="F103" s="179"/>
    </row>
    <row r="104" spans="1:6" s="255" customFormat="1">
      <c r="A104" s="906" t="str">
        <f>'Sources and Uses Budget'!A103</f>
        <v>Other: (Guarantee Fee)</v>
      </c>
      <c r="B104" s="178">
        <f>'Sources and Uses Budget'!$C103</f>
        <v>0</v>
      </c>
      <c r="C104" s="178">
        <f>'Sources and Uses Budget'!$C103</f>
        <v>0</v>
      </c>
      <c r="D104" s="182">
        <f t="shared" si="1"/>
        <v>0</v>
      </c>
      <c r="E104" s="180"/>
      <c r="F104" s="179"/>
    </row>
    <row r="105" spans="1:6" s="255" customFormat="1">
      <c r="A105" s="183" t="s">
        <v>1847</v>
      </c>
      <c r="B105" s="182">
        <f>SUM(B100:B104)</f>
        <v>5949123</v>
      </c>
      <c r="C105" s="182">
        <f>SUM(C100:C104)</f>
        <v>5949123</v>
      </c>
      <c r="D105" s="182">
        <f t="shared" si="1"/>
        <v>0</v>
      </c>
      <c r="E105" s="180"/>
      <c r="F105" s="179"/>
    </row>
    <row r="106" spans="1:6" s="255" customFormat="1">
      <c r="A106" s="183" t="s">
        <v>1848</v>
      </c>
      <c r="B106" s="185">
        <f>SUM(B98+B105)</f>
        <v>72254414</v>
      </c>
      <c r="C106" s="185">
        <f>SUM(C98+C105)</f>
        <v>72254414</v>
      </c>
      <c r="D106" s="182">
        <f t="shared" si="1"/>
        <v>0</v>
      </c>
      <c r="E106" s="180"/>
      <c r="F106" s="179"/>
    </row>
    <row r="107" spans="1:6" s="255" customFormat="1">
      <c r="A107" s="189" t="s">
        <v>2764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305" customWidth="1"/>
    <col min="11" max="16384" width="8.88671875" style="305" hidden="1"/>
  </cols>
  <sheetData>
    <row r="1" spans="1:10" ht="15.6">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3.2"/>
    <row r="4" spans="1:10" ht="12.75" customHeight="1">
      <c r="A4" s="1244" t="s">
        <v>295</v>
      </c>
      <c r="B4" s="1244"/>
      <c r="C4" s="1244"/>
      <c r="D4" s="1244"/>
      <c r="E4" s="1244"/>
      <c r="F4" s="1244"/>
      <c r="G4" s="1244"/>
      <c r="H4" s="1244"/>
      <c r="I4" s="1244"/>
      <c r="J4" s="1244"/>
    </row>
    <row r="5" spans="1:10" ht="13.2">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3.2">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2"/>
    <row r="10" spans="1:10" ht="12.75" customHeight="1">
      <c r="A10" s="1248" t="s">
        <v>297</v>
      </c>
      <c r="B10" s="1248"/>
      <c r="C10" s="1248"/>
      <c r="D10" s="1248"/>
      <c r="E10" s="1248"/>
      <c r="F10" s="1248"/>
      <c r="G10" s="1248"/>
      <c r="H10" s="1248"/>
      <c r="I10" s="1248"/>
      <c r="J10" s="1248"/>
    </row>
    <row r="11" spans="1:10" ht="13.2">
      <c r="A11" s="1248"/>
      <c r="B11" s="1248"/>
      <c r="C11" s="1248"/>
      <c r="D11" s="1248"/>
      <c r="E11" s="1248"/>
      <c r="F11" s="1248"/>
      <c r="G11" s="1248"/>
      <c r="H11" s="1248"/>
      <c r="I11" s="1248"/>
      <c r="J11" s="1248"/>
    </row>
    <row r="12" spans="1:10" ht="13.2">
      <c r="A12" s="1248"/>
      <c r="B12" s="1248"/>
      <c r="C12" s="1248"/>
      <c r="D12" s="1248"/>
      <c r="E12" s="1248"/>
      <c r="F12" s="1248"/>
      <c r="G12" s="1248"/>
      <c r="H12" s="1248"/>
      <c r="I12" s="1248"/>
      <c r="J12" s="1248"/>
    </row>
    <row r="13" spans="1:10" ht="13.2">
      <c r="A13" s="1248"/>
      <c r="B13" s="1248"/>
      <c r="C13" s="1248"/>
      <c r="D13" s="1248"/>
      <c r="E13" s="1248"/>
      <c r="F13" s="1248"/>
      <c r="G13" s="1248"/>
      <c r="H13" s="1248"/>
      <c r="I13" s="1248"/>
      <c r="J13" s="1248"/>
    </row>
    <row r="14" spans="1:10" ht="13.2">
      <c r="A14" s="1248"/>
      <c r="B14" s="1248"/>
      <c r="C14" s="1248"/>
      <c r="D14" s="1248"/>
      <c r="E14" s="1248"/>
      <c r="F14" s="1248"/>
      <c r="G14" s="1248"/>
      <c r="H14" s="1248"/>
      <c r="I14" s="1248"/>
      <c r="J14" s="1248"/>
    </row>
    <row r="15" spans="1:10" ht="13.2">
      <c r="A15" s="1248"/>
      <c r="B15" s="1248"/>
      <c r="C15" s="1248"/>
      <c r="D15" s="1248"/>
      <c r="E15" s="1248"/>
      <c r="F15" s="1248"/>
      <c r="G15" s="1248"/>
      <c r="H15" s="1248"/>
      <c r="I15" s="1248"/>
      <c r="J15" s="1248"/>
    </row>
    <row r="16" spans="1:10" ht="13.2">
      <c r="A16" s="424"/>
      <c r="B16" s="424"/>
      <c r="C16" s="424"/>
      <c r="D16" s="424"/>
      <c r="E16" s="424"/>
      <c r="F16" s="424"/>
      <c r="G16" s="424"/>
      <c r="H16" s="424"/>
      <c r="I16" s="424"/>
      <c r="J16" s="424"/>
    </row>
    <row r="17" spans="1:10" ht="13.2">
      <c r="A17" s="377" t="s">
        <v>298</v>
      </c>
      <c r="B17" s="319"/>
      <c r="C17" s="319"/>
      <c r="D17" s="319"/>
      <c r="E17" s="319"/>
      <c r="F17" s="319"/>
      <c r="G17" s="319"/>
      <c r="H17" s="319"/>
      <c r="I17" s="319"/>
      <c r="J17" s="319"/>
    </row>
    <row r="18" spans="1:10" ht="13.2">
      <c r="A18" s="319" t="s">
        <v>254</v>
      </c>
      <c r="B18" s="319"/>
      <c r="C18" s="319"/>
      <c r="D18" s="319"/>
      <c r="E18" s="319"/>
      <c r="F18" s="319"/>
      <c r="G18" s="319"/>
      <c r="H18" s="319"/>
      <c r="I18" s="319"/>
      <c r="J18" s="319"/>
    </row>
    <row r="19" spans="1:10" ht="13.2">
      <c r="A19" s="1247" t="s">
        <v>299</v>
      </c>
      <c r="B19" s="1247"/>
      <c r="C19" s="1247"/>
      <c r="D19" s="1247"/>
      <c r="E19" s="1247"/>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44" t="s">
        <v>300</v>
      </c>
      <c r="B76" s="1244"/>
      <c r="C76" s="1244"/>
      <c r="D76" s="1244"/>
      <c r="E76" s="1244"/>
      <c r="F76" s="1244"/>
      <c r="G76" s="1244"/>
      <c r="H76" s="1244"/>
      <c r="I76" s="1244"/>
      <c r="J76" s="1244"/>
    </row>
    <row r="77" spans="1:10" ht="13.2">
      <c r="A77" s="1244"/>
      <c r="B77" s="1244"/>
      <c r="C77" s="1244"/>
      <c r="D77" s="1244"/>
      <c r="E77" s="1244"/>
      <c r="F77" s="1244"/>
      <c r="G77" s="1244"/>
      <c r="H77" s="1244"/>
      <c r="I77" s="1244"/>
      <c r="J77" s="1244"/>
    </row>
    <row r="78" spans="1:10" ht="13.2">
      <c r="A78" s="1244"/>
      <c r="B78" s="1244"/>
      <c r="C78" s="1244"/>
      <c r="D78" s="1244"/>
      <c r="E78" s="1244"/>
      <c r="F78" s="1244"/>
      <c r="G78" s="1244"/>
      <c r="H78" s="1244"/>
      <c r="I78" s="1244"/>
      <c r="J78" s="1244"/>
    </row>
    <row r="79" spans="1:10" ht="13.2"/>
    <row r="80" spans="1:10" ht="13.2">
      <c r="A80" s="305" t="s">
        <v>299</v>
      </c>
    </row>
    <row r="81" spans="1:9" ht="13.2"/>
    <row r="82" spans="1:9" ht="13.2"/>
    <row r="83" spans="1:9" ht="13.2"/>
    <row r="84" spans="1:9" ht="13.2"/>
    <row r="85" spans="1:9" ht="13.2"/>
    <row r="86" spans="1:9" ht="13.2"/>
    <row r="87" spans="1:9" ht="13.2"/>
    <row r="88" spans="1:9" ht="13.2"/>
    <row r="89" spans="1:9" ht="13.2">
      <c r="A89" s="1245" t="s">
        <v>301</v>
      </c>
      <c r="B89" s="1245"/>
      <c r="C89" s="1245"/>
      <c r="D89" s="1245"/>
      <c r="E89" s="1245"/>
      <c r="F89" s="1245"/>
      <c r="G89" s="1245"/>
      <c r="H89" s="1245"/>
      <c r="I89" s="1245"/>
    </row>
    <row r="90" spans="1:9" ht="13.2">
      <c r="A90" s="1235" t="s">
        <v>302</v>
      </c>
      <c r="B90" s="1235"/>
      <c r="C90" s="1235"/>
      <c r="D90" s="1235"/>
      <c r="E90" s="1235"/>
    </row>
    <row r="91" spans="1:9" ht="13.2">
      <c r="A91" s="1235" t="s">
        <v>303</v>
      </c>
      <c r="B91" s="1235"/>
      <c r="C91" s="1235"/>
      <c r="D91" s="1235"/>
      <c r="E91" s="1235"/>
    </row>
    <row r="92" spans="1:9" ht="13.2">
      <c r="A92" s="1235" t="s">
        <v>304</v>
      </c>
      <c r="B92" s="1235"/>
      <c r="C92" s="1235"/>
      <c r="D92" s="1235"/>
      <c r="E92" s="1235"/>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004" workbookViewId="0">
      <selection activeCell="D1015" sqref="D1015:F1015"/>
    </sheetView>
  </sheetViews>
  <sheetFormatPr defaultColWidth="0" defaultRowHeight="13.2" zeroHeight="1"/>
  <cols>
    <col min="1" max="1" width="3.5546875" style="381" customWidth="1"/>
    <col min="2" max="2" width="13.5546875" style="381" customWidth="1"/>
    <col min="3" max="3" width="2.5546875" style="381" customWidth="1"/>
    <col min="4" max="5" width="3.5546875" style="305" customWidth="1"/>
    <col min="6" max="6" width="65.5546875" style="305" customWidth="1"/>
    <col min="7" max="7" width="1.5546875" style="305" customWidth="1"/>
    <col min="8" max="8" width="3.5546875" style="305" customWidth="1"/>
    <col min="9" max="9" width="9.109375" style="307" customWidth="1"/>
    <col min="10" max="13" width="8.88671875" style="305" hidden="1" customWidth="1"/>
    <col min="14" max="16384" width="0" style="305" hidden="1"/>
  </cols>
  <sheetData>
    <row r="1" spans="1:13"/>
    <row r="2" spans="1:13">
      <c r="A2" s="1250" t="s">
        <v>305</v>
      </c>
      <c r="B2" s="1250"/>
      <c r="C2" s="1250"/>
      <c r="D2" s="1250"/>
      <c r="E2" s="1250"/>
      <c r="F2" s="1250"/>
      <c r="G2" s="1250"/>
      <c r="H2" s="1250"/>
      <c r="I2" s="1250"/>
    </row>
    <row r="3" spans="1:13">
      <c r="A3" s="1251" t="s">
        <v>306</v>
      </c>
      <c r="B3" s="1251"/>
      <c r="C3" s="1251"/>
      <c r="D3" s="1251"/>
      <c r="E3" s="1251"/>
      <c r="F3" s="1251"/>
      <c r="G3" s="1251"/>
      <c r="H3" s="1251"/>
      <c r="I3" s="1251"/>
    </row>
    <row r="4" spans="1:13">
      <c r="A4" s="1251"/>
      <c r="B4" s="1251"/>
      <c r="C4" s="1247"/>
      <c r="D4" s="1247"/>
      <c r="E4" s="1247"/>
      <c r="F4" s="1247"/>
      <c r="G4" s="1247"/>
    </row>
    <row r="5" spans="1:13">
      <c r="A5" s="1251"/>
      <c r="B5" s="1251"/>
      <c r="C5" s="1247"/>
      <c r="D5" s="1247"/>
      <c r="E5" s="1247"/>
      <c r="F5" s="1247"/>
      <c r="G5" s="1247"/>
    </row>
    <row r="6" spans="1:13" ht="12.75" customHeight="1">
      <c r="A6" s="1273" t="s">
        <v>307</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5" t="s">
        <v>308</v>
      </c>
      <c r="B9" s="1255"/>
      <c r="C9" s="1255"/>
      <c r="D9" s="1255"/>
      <c r="E9" s="1255"/>
      <c r="F9" s="1255"/>
      <c r="G9" s="1255"/>
      <c r="H9" s="914"/>
      <c r="I9" s="915"/>
    </row>
    <row r="10" spans="1:13">
      <c r="A10" s="383"/>
      <c r="B10" s="383"/>
      <c r="E10" s="307"/>
    </row>
    <row r="11" spans="1:13" ht="13.65" customHeight="1">
      <c r="C11" s="383"/>
      <c r="D11" s="1272" t="s">
        <v>309</v>
      </c>
      <c r="E11" s="1272"/>
      <c r="F11" s="1272"/>
    </row>
    <row r="12" spans="1:13">
      <c r="C12" s="383"/>
      <c r="D12" s="1272"/>
      <c r="E12" s="1272"/>
      <c r="F12" s="1272"/>
    </row>
    <row r="13" spans="1:13">
      <c r="A13" s="384"/>
      <c r="B13" s="384"/>
      <c r="C13" s="384"/>
      <c r="D13" s="1253" t="s">
        <v>310</v>
      </c>
      <c r="E13" s="1253"/>
      <c r="F13" s="1253"/>
      <c r="M13" s="71"/>
    </row>
    <row r="14" spans="1:13">
      <c r="A14" s="384"/>
      <c r="B14" s="384"/>
      <c r="C14" s="384"/>
      <c r="D14" s="377"/>
      <c r="L14" s="219"/>
    </row>
    <row r="15" spans="1:13" ht="14.4">
      <c r="A15" s="385"/>
      <c r="B15" s="386" t="s">
        <v>2778</v>
      </c>
      <c r="C15" s="384"/>
      <c r="D15" s="1252" t="s">
        <v>312</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313</v>
      </c>
      <c r="F18" s="347"/>
      <c r="I18" s="391"/>
    </row>
    <row r="19" spans="1:9">
      <c r="A19" s="384"/>
      <c r="B19" s="384"/>
      <c r="C19" s="384"/>
      <c r="I19" s="391"/>
    </row>
    <row r="20" spans="1:9" ht="14.4">
      <c r="A20" s="385"/>
      <c r="B20" s="386" t="s">
        <v>2778</v>
      </c>
      <c r="D20" s="1252" t="s">
        <v>314</v>
      </c>
      <c r="E20" s="1252"/>
      <c r="F20" s="1252"/>
      <c r="I20" s="391"/>
    </row>
    <row r="21" spans="1:9" ht="14.4">
      <c r="A21" s="385"/>
      <c r="D21" s="1252"/>
      <c r="E21" s="1252"/>
      <c r="F21" s="1252"/>
      <c r="I21" s="391"/>
    </row>
    <row r="22" spans="1:9" ht="14.4">
      <c r="A22" s="385"/>
      <c r="D22" s="295"/>
      <c r="E22" s="71" t="s">
        <v>315</v>
      </c>
      <c r="F22" s="295"/>
      <c r="I22" s="391"/>
    </row>
    <row r="23" spans="1:9" ht="14.4">
      <c r="A23" s="385"/>
      <c r="B23" s="385"/>
      <c r="D23" s="348"/>
      <c r="I23" s="391"/>
    </row>
    <row r="24" spans="1:9" ht="14.4">
      <c r="A24" s="385"/>
      <c r="B24" s="386" t="s">
        <v>2779</v>
      </c>
      <c r="D24" s="1252" t="s">
        <v>316</v>
      </c>
      <c r="E24" s="1252"/>
      <c r="F24" s="1252"/>
      <c r="I24" s="391"/>
    </row>
    <row r="25" spans="1:9" ht="14.4">
      <c r="A25" s="385"/>
      <c r="B25" s="385"/>
      <c r="D25" s="1252"/>
      <c r="E25" s="1252"/>
      <c r="F25" s="1252"/>
      <c r="I25" s="391"/>
    </row>
    <row r="26" spans="1:9">
      <c r="I26" s="391"/>
    </row>
    <row r="27" spans="1:9" ht="14.4">
      <c r="A27" s="385"/>
      <c r="B27" s="386" t="s">
        <v>2778</v>
      </c>
      <c r="D27" s="1252" t="s">
        <v>317</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2779</v>
      </c>
      <c r="D33" s="1252" t="s">
        <v>318</v>
      </c>
      <c r="E33" s="1252"/>
      <c r="F33" s="1252"/>
      <c r="I33" s="391"/>
    </row>
    <row r="34" spans="1:9">
      <c r="D34" s="1252"/>
      <c r="E34" s="1252"/>
      <c r="F34" s="1252"/>
      <c r="I34" s="391"/>
    </row>
    <row r="35" spans="1:9" ht="14.4">
      <c r="A35" s="385"/>
      <c r="B35" s="385"/>
      <c r="D35" s="349"/>
      <c r="I35" s="391"/>
    </row>
    <row r="36" spans="1:9" ht="14.4" customHeight="1">
      <c r="A36" s="385"/>
      <c r="B36" s="386" t="s">
        <v>2778</v>
      </c>
      <c r="D36" s="1252" t="s">
        <v>319</v>
      </c>
      <c r="E36" s="1252"/>
      <c r="F36" s="1252"/>
      <c r="I36" s="391"/>
    </row>
    <row r="37" spans="1:9" ht="14.4">
      <c r="A37" s="385"/>
      <c r="B37" s="385"/>
      <c r="D37" s="1252"/>
      <c r="E37" s="1252"/>
      <c r="F37" s="1252"/>
      <c r="I37" s="391"/>
    </row>
    <row r="38" spans="1:9" ht="14.4">
      <c r="A38" s="385"/>
      <c r="B38" s="385"/>
      <c r="D38" s="1252"/>
      <c r="E38" s="1252"/>
      <c r="F38" s="1252"/>
      <c r="I38" s="391"/>
    </row>
    <row r="39" spans="1:9" ht="14.4">
      <c r="A39" s="385"/>
      <c r="B39" s="385"/>
      <c r="D39" s="1252"/>
      <c r="E39" s="1252"/>
      <c r="F39" s="1252"/>
      <c r="I39" s="391"/>
    </row>
    <row r="40" spans="1:9" ht="14.4">
      <c r="A40" s="385"/>
      <c r="B40" s="385"/>
      <c r="I40" s="391"/>
    </row>
    <row r="41" spans="1:9" ht="14.4">
      <c r="A41" s="385"/>
      <c r="B41" s="386" t="s">
        <v>2779</v>
      </c>
      <c r="D41" s="1252" t="s">
        <v>320</v>
      </c>
      <c r="E41" s="1252"/>
      <c r="F41" s="1252"/>
      <c r="I41" s="391"/>
    </row>
    <row r="42" spans="1:9" ht="14.4">
      <c r="A42" s="385"/>
      <c r="B42" s="385"/>
      <c r="D42" s="1252"/>
      <c r="E42" s="1252"/>
      <c r="F42" s="1252"/>
      <c r="I42" s="391"/>
    </row>
    <row r="43" spans="1:9" ht="14.4">
      <c r="A43" s="385"/>
      <c r="B43" s="385"/>
      <c r="D43" s="1252"/>
      <c r="E43" s="1252"/>
      <c r="F43" s="1252"/>
      <c r="I43" s="391"/>
    </row>
    <row r="44" spans="1:9" ht="14.4">
      <c r="A44" s="385"/>
      <c r="B44" s="385"/>
      <c r="D44" s="1252"/>
      <c r="E44" s="1252"/>
      <c r="F44" s="1252"/>
      <c r="I44" s="391"/>
    </row>
    <row r="45" spans="1:9" ht="14.4">
      <c r="A45" s="385"/>
      <c r="B45" s="385"/>
      <c r="D45" s="1252"/>
      <c r="E45" s="1252"/>
      <c r="F45" s="1252"/>
      <c r="I45" s="391"/>
    </row>
    <row r="46" spans="1:9" ht="14.4">
      <c r="A46" s="385"/>
      <c r="B46" s="385"/>
      <c r="D46" s="347"/>
      <c r="E46" s="347"/>
      <c r="F46" s="347"/>
      <c r="I46" s="391"/>
    </row>
    <row r="47" spans="1:9" ht="14.4">
      <c r="A47" s="385"/>
      <c r="B47" s="386" t="s">
        <v>2779</v>
      </c>
      <c r="D47" s="1252" t="s">
        <v>321</v>
      </c>
      <c r="E47" s="1252"/>
      <c r="F47" s="1252"/>
      <c r="I47" s="391"/>
    </row>
    <row r="48" spans="1:9" ht="14.4">
      <c r="A48" s="385"/>
      <c r="B48" s="385"/>
      <c r="D48" s="1252"/>
      <c r="E48" s="1252"/>
      <c r="F48" s="1252"/>
      <c r="I48" s="391"/>
    </row>
    <row r="49" spans="1:9" ht="14.4">
      <c r="A49" s="385"/>
      <c r="B49" s="385"/>
      <c r="D49" s="1252"/>
      <c r="E49" s="1252"/>
      <c r="F49" s="1252"/>
      <c r="I49" s="391"/>
    </row>
    <row r="50" spans="1:9" ht="23.25" customHeight="1">
      <c r="A50" s="385"/>
      <c r="B50" s="385"/>
      <c r="D50" s="1252"/>
      <c r="E50" s="1252"/>
      <c r="F50" s="1252"/>
      <c r="I50" s="391"/>
    </row>
    <row r="51" spans="1:9" ht="14.4">
      <c r="A51" s="385"/>
      <c r="B51" s="385"/>
      <c r="D51" s="348"/>
      <c r="I51" s="391"/>
    </row>
    <row r="52" spans="1:9" ht="14.4" customHeight="1">
      <c r="A52" s="385"/>
      <c r="B52" s="386" t="s">
        <v>2778</v>
      </c>
      <c r="D52" s="1252" t="s">
        <v>322</v>
      </c>
      <c r="E52" s="1252"/>
      <c r="F52" s="1252"/>
      <c r="I52" s="391"/>
    </row>
    <row r="53" spans="1:9" ht="14.4">
      <c r="A53" s="385"/>
      <c r="B53" s="385"/>
      <c r="D53" s="1252"/>
      <c r="E53" s="1252"/>
      <c r="F53" s="1252"/>
      <c r="I53" s="391"/>
    </row>
    <row r="54" spans="1:9" ht="14.4">
      <c r="A54" s="385"/>
      <c r="B54" s="385"/>
      <c r="D54" s="1252"/>
      <c r="E54" s="1252"/>
      <c r="F54" s="1252"/>
      <c r="I54" s="391"/>
    </row>
    <row r="55" spans="1:9" ht="14.4">
      <c r="A55" s="385"/>
      <c r="B55" s="385"/>
      <c r="I55" s="391"/>
    </row>
    <row r="56" spans="1:9" ht="14.4">
      <c r="A56" s="385"/>
      <c r="B56" s="386" t="s">
        <v>2778</v>
      </c>
      <c r="D56" s="1274" t="s">
        <v>323</v>
      </c>
      <c r="E56" s="1274"/>
      <c r="F56" s="1274"/>
      <c r="I56" s="391"/>
    </row>
    <row r="57" spans="1:9" ht="14.4">
      <c r="A57" s="385"/>
      <c r="B57" s="385"/>
      <c r="D57" s="1274"/>
      <c r="E57" s="1274"/>
      <c r="F57" s="1274"/>
      <c r="I57" s="391"/>
    </row>
    <row r="58" spans="1:9" ht="14.4">
      <c r="A58" s="385"/>
      <c r="B58" s="385"/>
      <c r="D58" s="295" t="s">
        <v>324</v>
      </c>
      <c r="E58" s="347"/>
      <c r="F58" s="347"/>
      <c r="I58" s="391"/>
    </row>
    <row r="59" spans="1:9" ht="14.4">
      <c r="A59" s="385"/>
      <c r="B59" s="385"/>
      <c r="D59" s="347"/>
      <c r="E59" s="219" t="s">
        <v>313</v>
      </c>
      <c r="F59" s="347"/>
      <c r="I59" s="391"/>
    </row>
    <row r="60" spans="1:9">
      <c r="D60" s="349"/>
      <c r="I60" s="391"/>
    </row>
    <row r="61" spans="1:9" ht="14.4">
      <c r="A61" s="385"/>
      <c r="B61" s="386" t="s">
        <v>2778</v>
      </c>
      <c r="D61" s="1252" t="s">
        <v>325</v>
      </c>
      <c r="E61" s="1252"/>
      <c r="F61" s="1252"/>
      <c r="I61" s="391"/>
    </row>
    <row r="62" spans="1:9">
      <c r="D62" s="1252"/>
      <c r="E62" s="1252"/>
      <c r="F62" s="1252"/>
      <c r="I62" s="391"/>
    </row>
    <row r="63" spans="1:9">
      <c r="D63" s="1252"/>
      <c r="E63" s="1252"/>
      <c r="F63" s="1252"/>
      <c r="I63" s="391"/>
    </row>
    <row r="64" spans="1:9">
      <c r="I64" s="391"/>
    </row>
    <row r="65" spans="1:9" ht="14.4">
      <c r="A65" s="385"/>
      <c r="B65" s="386" t="s">
        <v>2779</v>
      </c>
      <c r="D65" s="1252" t="s">
        <v>326</v>
      </c>
      <c r="E65" s="1252"/>
      <c r="F65" s="1252"/>
      <c r="I65" s="391"/>
    </row>
    <row r="66" spans="1:9">
      <c r="D66" s="1252"/>
      <c r="E66" s="1252"/>
      <c r="F66" s="1252"/>
      <c r="I66" s="391"/>
    </row>
    <row r="67" spans="1:9">
      <c r="I67" s="391"/>
    </row>
    <row r="68" spans="1:9" ht="14.4">
      <c r="A68" s="385"/>
      <c r="B68" s="386" t="s">
        <v>2779</v>
      </c>
      <c r="D68" s="1252" t="s">
        <v>327</v>
      </c>
      <c r="E68" s="1252"/>
      <c r="F68" s="1252"/>
      <c r="I68" s="391"/>
    </row>
    <row r="69" spans="1:9">
      <c r="D69" s="1252"/>
      <c r="E69" s="1252"/>
      <c r="F69" s="1252"/>
      <c r="I69" s="391"/>
    </row>
    <row r="70" spans="1:9">
      <c r="D70" s="1252"/>
      <c r="E70" s="1252"/>
      <c r="F70" s="1252"/>
      <c r="I70" s="391"/>
    </row>
    <row r="71" spans="1:9">
      <c r="I71" s="391"/>
    </row>
    <row r="72" spans="1:9" ht="14.4">
      <c r="A72" s="385"/>
      <c r="B72" s="386" t="s">
        <v>2779</v>
      </c>
      <c r="D72" s="1252" t="s">
        <v>328</v>
      </c>
      <c r="E72" s="1252"/>
      <c r="F72" s="1252"/>
      <c r="I72" s="391"/>
    </row>
    <row r="73" spans="1:9">
      <c r="D73" s="1252"/>
      <c r="E73" s="1252"/>
      <c r="F73" s="1252"/>
      <c r="I73" s="391"/>
    </row>
    <row r="74" spans="1:9" ht="14.4">
      <c r="A74" s="385"/>
      <c r="B74" s="385"/>
      <c r="D74" s="348"/>
      <c r="I74" s="391"/>
    </row>
    <row r="75" spans="1:9">
      <c r="A75" s="1255" t="s">
        <v>329</v>
      </c>
      <c r="B75" s="1255"/>
      <c r="C75" s="1255"/>
      <c r="D75" s="1255"/>
      <c r="E75" s="1255"/>
      <c r="F75" s="1255"/>
      <c r="G75" s="1255"/>
      <c r="H75" s="914"/>
      <c r="I75" s="1035"/>
    </row>
    <row r="76" spans="1:9">
      <c r="I76" s="391"/>
    </row>
    <row r="77" spans="1:9">
      <c r="C77" s="387"/>
      <c r="D77" s="1254" t="s">
        <v>330</v>
      </c>
      <c r="E77" s="1254"/>
      <c r="F77" s="1254"/>
      <c r="I77" s="391"/>
    </row>
    <row r="78" spans="1:9">
      <c r="A78" s="348"/>
      <c r="B78" s="348"/>
      <c r="D78" s="1252" t="s">
        <v>331</v>
      </c>
      <c r="E78" s="1252"/>
      <c r="F78" s="1252"/>
      <c r="I78" s="391"/>
    </row>
    <row r="79" spans="1:9">
      <c r="A79" s="348"/>
      <c r="B79" s="348"/>
      <c r="I79" s="391"/>
    </row>
    <row r="80" spans="1:9" ht="13.65" customHeight="1">
      <c r="A80" s="385"/>
      <c r="B80" s="386" t="s">
        <v>2778</v>
      </c>
      <c r="D80" s="1252" t="s">
        <v>332</v>
      </c>
      <c r="E80" s="1252"/>
      <c r="F80" s="1252"/>
      <c r="I80" s="391"/>
    </row>
    <row r="81" spans="1:9" ht="14.4">
      <c r="A81" s="385"/>
      <c r="B81" s="385"/>
      <c r="D81" s="1252"/>
      <c r="E81" s="1252"/>
      <c r="F81" s="1252"/>
      <c r="I81" s="391"/>
    </row>
    <row r="82" spans="1:9" ht="14.4">
      <c r="A82" s="385"/>
      <c r="B82" s="385"/>
      <c r="D82" s="1252"/>
      <c r="E82" s="1252"/>
      <c r="F82" s="1252"/>
      <c r="I82" s="391"/>
    </row>
    <row r="83" spans="1:9" ht="14.4">
      <c r="A83" s="385"/>
      <c r="B83" s="385"/>
      <c r="D83" s="1252"/>
      <c r="E83" s="1252"/>
      <c r="F83" s="1252"/>
      <c r="I83" s="391"/>
    </row>
    <row r="84" spans="1:9" ht="14.4">
      <c r="A84" s="385"/>
      <c r="B84" s="385"/>
      <c r="D84" s="1252"/>
      <c r="E84" s="1252"/>
      <c r="F84" s="1252"/>
      <c r="I84" s="391"/>
    </row>
    <row r="85" spans="1:9" ht="14.4">
      <c r="A85" s="385"/>
      <c r="B85" s="385"/>
      <c r="D85" s="1252"/>
      <c r="E85" s="1252"/>
      <c r="F85" s="1252"/>
      <c r="I85" s="391"/>
    </row>
    <row r="86" spans="1:9" ht="14.4">
      <c r="A86" s="385"/>
      <c r="B86" s="385"/>
      <c r="D86" s="1252"/>
      <c r="E86" s="1252"/>
      <c r="F86" s="1252"/>
      <c r="I86" s="391"/>
    </row>
    <row r="87" spans="1:9" ht="14.4">
      <c r="A87" s="385"/>
      <c r="B87" s="385"/>
      <c r="D87" s="1252"/>
      <c r="E87" s="1252"/>
      <c r="F87" s="1252"/>
      <c r="I87" s="391"/>
    </row>
    <row r="88" spans="1:9" ht="14.4">
      <c r="A88" s="385"/>
      <c r="B88" s="385"/>
      <c r="D88" s="288"/>
      <c r="E88" s="288"/>
      <c r="F88" s="288"/>
      <c r="I88" s="391"/>
    </row>
    <row r="89" spans="1:9" ht="15" customHeight="1">
      <c r="A89" s="385"/>
      <c r="B89" s="386" t="s">
        <v>2778</v>
      </c>
      <c r="D89" s="1252" t="s">
        <v>333</v>
      </c>
      <c r="E89" s="1252"/>
      <c r="F89" s="1252"/>
      <c r="I89" s="391"/>
    </row>
    <row r="90" spans="1:9" ht="14.4">
      <c r="A90" s="385"/>
      <c r="B90" s="385"/>
      <c r="D90" s="1252"/>
      <c r="E90" s="1252"/>
      <c r="F90" s="1252"/>
      <c r="I90" s="391"/>
    </row>
    <row r="91" spans="1:9" ht="14.4">
      <c r="A91" s="385"/>
      <c r="B91" s="385"/>
      <c r="D91" s="347"/>
      <c r="E91" s="347"/>
      <c r="F91" s="347"/>
      <c r="I91" s="391"/>
    </row>
    <row r="92" spans="1:9" ht="14.4">
      <c r="A92" s="385"/>
      <c r="B92" s="386" t="s">
        <v>2778</v>
      </c>
      <c r="D92" s="1252" t="s">
        <v>334</v>
      </c>
      <c r="E92" s="1252"/>
      <c r="F92" s="1252"/>
      <c r="I92" s="391"/>
    </row>
    <row r="93" spans="1:9" ht="14.4">
      <c r="A93" s="385"/>
      <c r="B93" s="385"/>
      <c r="D93" s="1252"/>
      <c r="E93" s="1252"/>
      <c r="F93" s="1252"/>
      <c r="I93" s="391"/>
    </row>
    <row r="94" spans="1:9" ht="14.4">
      <c r="A94" s="385"/>
      <c r="B94" s="385"/>
      <c r="D94" s="1252"/>
      <c r="E94" s="1252"/>
      <c r="F94" s="1252"/>
      <c r="I94" s="391"/>
    </row>
    <row r="95" spans="1:9" ht="14.4">
      <c r="A95" s="385"/>
      <c r="B95" s="385"/>
      <c r="D95" s="347"/>
      <c r="E95" s="347"/>
      <c r="F95" s="347"/>
      <c r="I95" s="391"/>
    </row>
    <row r="96" spans="1:9" ht="14.4">
      <c r="A96" s="385"/>
      <c r="B96" s="386" t="s">
        <v>2778</v>
      </c>
      <c r="D96" s="1252" t="s">
        <v>335</v>
      </c>
      <c r="E96" s="1252"/>
      <c r="F96" s="1252"/>
      <c r="I96" s="391"/>
    </row>
    <row r="97" spans="1:9" s="876" customFormat="1" ht="14.4">
      <c r="A97" s="874"/>
      <c r="B97" s="874"/>
      <c r="C97" s="875"/>
      <c r="D97" s="1252"/>
      <c r="E97" s="1252"/>
      <c r="F97" s="1252"/>
      <c r="I97" s="1036"/>
    </row>
    <row r="98" spans="1:9" ht="14.4">
      <c r="A98" s="385"/>
      <c r="B98" s="385"/>
      <c r="D98" s="295"/>
      <c r="E98" s="219" t="s">
        <v>336</v>
      </c>
      <c r="F98" s="347"/>
      <c r="I98" s="391"/>
    </row>
    <row r="99" spans="1:9" ht="14.4">
      <c r="A99" s="385"/>
      <c r="B99" s="385"/>
      <c r="D99" s="288"/>
      <c r="E99" s="288"/>
      <c r="F99" s="288"/>
      <c r="I99" s="391"/>
    </row>
    <row r="100" spans="1:9" ht="14.4">
      <c r="A100" s="385"/>
      <c r="B100" s="386" t="s">
        <v>2779</v>
      </c>
      <c r="D100" s="1252" t="s">
        <v>337</v>
      </c>
      <c r="E100" s="1252"/>
      <c r="F100" s="1252"/>
      <c r="I100" s="391"/>
    </row>
    <row r="101" spans="1:9" ht="14.4">
      <c r="A101" s="385"/>
      <c r="B101" s="385"/>
      <c r="D101" s="1252"/>
      <c r="E101" s="1252"/>
      <c r="F101" s="1252"/>
      <c r="I101" s="391"/>
    </row>
    <row r="102" spans="1:9" ht="14.4">
      <c r="A102" s="385"/>
      <c r="B102" s="385"/>
      <c r="D102" s="347"/>
      <c r="E102" s="347"/>
      <c r="F102" s="347"/>
      <c r="I102" s="391"/>
    </row>
    <row r="103" spans="1:9" ht="14.4" customHeight="1">
      <c r="A103" s="385"/>
      <c r="B103" s="386" t="s">
        <v>2779</v>
      </c>
      <c r="D103" s="1252" t="s">
        <v>338</v>
      </c>
      <c r="E103" s="1252"/>
      <c r="F103" s="1252"/>
      <c r="I103" s="391"/>
    </row>
    <row r="104" spans="1:9" ht="14.4">
      <c r="A104" s="385"/>
      <c r="B104" s="385"/>
      <c r="D104" s="1252"/>
      <c r="E104" s="1252"/>
      <c r="F104" s="1252"/>
      <c r="I104" s="391"/>
    </row>
    <row r="105" spans="1:9" ht="14.4">
      <c r="A105" s="385"/>
      <c r="B105" s="385"/>
      <c r="D105" s="1252"/>
      <c r="E105" s="1252"/>
      <c r="F105" s="1252"/>
      <c r="I105" s="391"/>
    </row>
    <row r="106" spans="1:9" ht="14.4">
      <c r="A106" s="385"/>
      <c r="B106" s="385"/>
      <c r="D106" s="1252"/>
      <c r="E106" s="1252"/>
      <c r="F106" s="1252"/>
      <c r="I106" s="391"/>
    </row>
    <row r="107" spans="1:9" ht="14.4">
      <c r="A107" s="385"/>
      <c r="B107" s="385"/>
      <c r="D107" s="1252"/>
      <c r="E107" s="1252"/>
      <c r="F107" s="1252"/>
      <c r="I107" s="391"/>
    </row>
    <row r="108" spans="1:9" ht="14.4">
      <c r="A108" s="385"/>
      <c r="B108" s="385"/>
      <c r="D108" s="1252"/>
      <c r="E108" s="1252"/>
      <c r="F108" s="1252"/>
      <c r="I108" s="391"/>
    </row>
    <row r="109" spans="1:9" ht="14.4">
      <c r="A109" s="385"/>
      <c r="B109" s="385"/>
      <c r="D109" s="1252"/>
      <c r="E109" s="1252"/>
      <c r="F109" s="1252"/>
      <c r="I109" s="391"/>
    </row>
    <row r="110" spans="1:9" ht="14.4">
      <c r="A110" s="385"/>
      <c r="B110" s="385"/>
      <c r="D110" s="1252"/>
      <c r="E110" s="1252"/>
      <c r="F110" s="1252"/>
      <c r="I110" s="391"/>
    </row>
    <row r="111" spans="1:9" ht="14.4">
      <c r="A111" s="385"/>
      <c r="B111" s="385"/>
      <c r="D111" s="1252"/>
      <c r="E111" s="1252"/>
      <c r="F111" s="1252"/>
      <c r="I111" s="391"/>
    </row>
    <row r="112" spans="1:9" ht="14.4">
      <c r="A112" s="385"/>
      <c r="B112" s="385"/>
      <c r="D112" s="1252"/>
      <c r="E112" s="1252"/>
      <c r="F112" s="1252"/>
      <c r="I112" s="391"/>
    </row>
    <row r="113" spans="1:9" ht="14.4">
      <c r="A113" s="385"/>
      <c r="B113" s="385"/>
      <c r="D113" s="1252"/>
      <c r="E113" s="1252"/>
      <c r="F113" s="1252"/>
      <c r="I113" s="391"/>
    </row>
    <row r="114" spans="1:9" ht="14.4">
      <c r="A114" s="385"/>
      <c r="B114" s="385"/>
      <c r="D114" s="1252"/>
      <c r="E114" s="1252"/>
      <c r="F114" s="1252"/>
      <c r="I114" s="391"/>
    </row>
    <row r="115" spans="1:9" ht="14.4">
      <c r="A115" s="385"/>
      <c r="B115" s="385"/>
      <c r="D115" s="1252"/>
      <c r="E115" s="1252"/>
      <c r="F115" s="1252"/>
      <c r="I115" s="391"/>
    </row>
    <row r="116" spans="1:9" ht="14.4">
      <c r="A116" s="385"/>
      <c r="B116" s="385"/>
      <c r="D116" s="1252"/>
      <c r="E116" s="1252"/>
      <c r="F116" s="1252"/>
      <c r="I116" s="391"/>
    </row>
    <row r="117" spans="1:9" ht="14.4">
      <c r="A117" s="385"/>
      <c r="B117" s="385"/>
      <c r="D117" s="1252"/>
      <c r="E117" s="1252"/>
      <c r="F117" s="1252"/>
      <c r="I117" s="391"/>
    </row>
    <row r="118" spans="1:9" ht="14.4">
      <c r="A118" s="385"/>
      <c r="B118" s="385"/>
      <c r="D118" s="424"/>
      <c r="E118" s="424"/>
      <c r="F118" s="424"/>
      <c r="I118" s="391"/>
    </row>
    <row r="119" spans="1:9" ht="14.25" customHeight="1">
      <c r="A119" s="385"/>
      <c r="B119" s="386" t="s">
        <v>2779</v>
      </c>
      <c r="D119" s="1270" t="s">
        <v>339</v>
      </c>
      <c r="E119" s="1270"/>
      <c r="F119" s="1270"/>
      <c r="I119" s="391"/>
    </row>
    <row r="120" spans="1:9" ht="14.4">
      <c r="A120" s="385"/>
      <c r="B120" s="385"/>
      <c r="D120" s="1270"/>
      <c r="E120" s="1270"/>
      <c r="F120" s="1270"/>
      <c r="I120" s="391"/>
    </row>
    <row r="121" spans="1:9" ht="14.4">
      <c r="A121" s="385"/>
      <c r="B121" s="385"/>
      <c r="D121" s="1270"/>
      <c r="E121" s="1270"/>
      <c r="F121" s="1270"/>
      <c r="I121" s="391"/>
    </row>
    <row r="122" spans="1:9" ht="14.4">
      <c r="A122" s="385"/>
      <c r="B122" s="385"/>
      <c r="D122" s="1270"/>
      <c r="E122" s="1270"/>
      <c r="F122" s="1270"/>
      <c r="I122" s="391"/>
    </row>
    <row r="123" spans="1:9" ht="14.4">
      <c r="A123" s="385"/>
      <c r="B123" s="385"/>
      <c r="D123" s="1270"/>
      <c r="E123" s="1270"/>
      <c r="F123" s="1270"/>
      <c r="I123" s="391"/>
    </row>
    <row r="124" spans="1:9" ht="14.4">
      <c r="A124" s="385"/>
      <c r="B124" s="385"/>
      <c r="D124" s="1270"/>
      <c r="E124" s="1270"/>
      <c r="F124" s="1270"/>
      <c r="I124" s="391"/>
    </row>
    <row r="125" spans="1:9" ht="14.4">
      <c r="A125" s="385"/>
      <c r="B125" s="385"/>
      <c r="D125" s="1270"/>
      <c r="E125" s="1270"/>
      <c r="F125" s="1270"/>
      <c r="I125" s="391"/>
    </row>
    <row r="126" spans="1:9" ht="14.4">
      <c r="A126" s="385"/>
      <c r="B126" s="385"/>
      <c r="D126" s="1270"/>
      <c r="E126" s="1270"/>
      <c r="F126" s="1270"/>
      <c r="I126" s="391"/>
    </row>
    <row r="127" spans="1:9">
      <c r="C127" s="305"/>
      <c r="D127" s="425"/>
      <c r="E127" s="425"/>
      <c r="F127" s="425"/>
      <c r="I127" s="391"/>
    </row>
    <row r="128" spans="1:9" ht="14.4">
      <c r="A128" s="385"/>
      <c r="B128" s="386" t="s">
        <v>2778</v>
      </c>
      <c r="C128" s="305"/>
      <c r="D128" s="1270" t="s">
        <v>340</v>
      </c>
      <c r="E128" s="1270"/>
      <c r="F128" s="1270"/>
      <c r="I128" s="391"/>
    </row>
    <row r="129" spans="1:9" ht="14.4">
      <c r="A129" s="385"/>
      <c r="B129" s="385"/>
      <c r="C129" s="305"/>
      <c r="D129" s="1270"/>
      <c r="E129" s="1270"/>
      <c r="F129" s="1270"/>
      <c r="I129" s="391"/>
    </row>
    <row r="130" spans="1:9">
      <c r="I130" s="391"/>
    </row>
    <row r="131" spans="1:9" ht="14.4">
      <c r="A131" s="385"/>
      <c r="B131" s="386" t="s">
        <v>2778</v>
      </c>
      <c r="D131" s="1252" t="s">
        <v>341</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ht="14.4">
      <c r="A137" s="385"/>
      <c r="B137" s="386" t="s">
        <v>2778</v>
      </c>
      <c r="D137" s="1252" t="s">
        <v>342</v>
      </c>
      <c r="E137" s="1252"/>
      <c r="F137" s="1252"/>
      <c r="I137" s="391"/>
    </row>
    <row r="138" spans="1:9" s="320" customFormat="1" ht="13.65" customHeight="1">
      <c r="A138" s="389"/>
      <c r="B138" s="389"/>
      <c r="C138" s="389"/>
      <c r="D138" s="1252"/>
      <c r="E138" s="1252"/>
      <c r="F138" s="1252"/>
      <c r="I138" s="1037"/>
    </row>
    <row r="139" spans="1:9" ht="13.65" customHeight="1">
      <c r="D139" s="1252"/>
      <c r="E139" s="1252"/>
      <c r="F139" s="1252"/>
      <c r="I139" s="391"/>
    </row>
    <row r="140" spans="1:9" ht="13.65" customHeight="1">
      <c r="D140" s="1252"/>
      <c r="E140" s="1252"/>
      <c r="F140" s="1252"/>
      <c r="I140" s="391"/>
    </row>
    <row r="141" spans="1:9" ht="13.65" customHeight="1">
      <c r="D141" s="1252"/>
      <c r="E141" s="1252"/>
      <c r="F141" s="1252"/>
      <c r="I141" s="391"/>
    </row>
    <row r="142" spans="1:9" ht="13.65" customHeight="1">
      <c r="A142" s="390"/>
      <c r="B142" s="390"/>
      <c r="D142" s="1252"/>
      <c r="E142" s="1252"/>
      <c r="F142" s="1252"/>
      <c r="I142" s="391"/>
    </row>
    <row r="143" spans="1:9" ht="13.65" customHeight="1">
      <c r="D143" s="1252"/>
      <c r="E143" s="1252"/>
      <c r="F143" s="1252"/>
      <c r="I143" s="391"/>
    </row>
    <row r="144" spans="1:9" ht="13.65" customHeight="1">
      <c r="D144" s="1252"/>
      <c r="E144" s="1252"/>
      <c r="F144" s="1252"/>
      <c r="I144" s="391"/>
    </row>
    <row r="145" spans="2:9" ht="13.65" customHeight="1">
      <c r="D145" s="1252"/>
      <c r="E145" s="1252"/>
      <c r="F145" s="1252"/>
      <c r="I145" s="391"/>
    </row>
    <row r="146" spans="2:9" ht="13.65" customHeight="1">
      <c r="D146" s="1252"/>
      <c r="E146" s="1252"/>
      <c r="F146" s="1252"/>
      <c r="I146" s="391"/>
    </row>
    <row r="147" spans="2:9" ht="13.65" customHeight="1">
      <c r="D147" s="1252"/>
      <c r="E147" s="1252"/>
      <c r="F147" s="1252"/>
      <c r="I147" s="391"/>
    </row>
    <row r="148" spans="2:9" ht="13.65" customHeight="1">
      <c r="D148" s="1252"/>
      <c r="E148" s="1252"/>
      <c r="F148" s="1252"/>
      <c r="I148" s="391"/>
    </row>
    <row r="149" spans="2:9" ht="13.65" customHeight="1">
      <c r="D149" s="1252"/>
      <c r="E149" s="1252"/>
      <c r="F149" s="1252"/>
      <c r="I149" s="391"/>
    </row>
    <row r="150" spans="2:9" ht="13.65" customHeight="1">
      <c r="D150" s="377"/>
      <c r="E150" s="348"/>
      <c r="F150" s="348"/>
      <c r="I150" s="391"/>
    </row>
    <row r="151" spans="2:9" ht="13.65" customHeight="1">
      <c r="B151" s="386" t="s">
        <v>2779</v>
      </c>
      <c r="D151" s="1252" t="s">
        <v>343</v>
      </c>
      <c r="E151" s="1252"/>
      <c r="F151" s="1252"/>
      <c r="I151" s="391"/>
    </row>
    <row r="152" spans="2:9" ht="13.65" customHeight="1">
      <c r="D152" s="1252"/>
      <c r="E152" s="1252"/>
      <c r="F152" s="1252"/>
      <c r="I152" s="391"/>
    </row>
    <row r="153" spans="2:9" ht="13.65" customHeight="1">
      <c r="D153" s="1252"/>
      <c r="E153" s="1252"/>
      <c r="F153" s="1252"/>
      <c r="I153" s="391"/>
    </row>
    <row r="154" spans="2:9" ht="13.65" customHeight="1">
      <c r="D154" s="1252"/>
      <c r="E154" s="1252"/>
      <c r="F154" s="1252"/>
      <c r="I154" s="391"/>
    </row>
    <row r="155" spans="2:9" ht="13.65" customHeight="1">
      <c r="D155" s="1252"/>
      <c r="E155" s="1252"/>
      <c r="F155" s="1252"/>
      <c r="I155" s="391"/>
    </row>
    <row r="156" spans="2:9" ht="13.65" customHeight="1">
      <c r="D156" s="1252"/>
      <c r="E156" s="1252"/>
      <c r="F156" s="1252"/>
      <c r="I156" s="391"/>
    </row>
    <row r="157" spans="2:9" ht="13.65" customHeight="1">
      <c r="D157" s="1252"/>
      <c r="E157" s="1252"/>
      <c r="F157" s="1252"/>
      <c r="I157" s="391"/>
    </row>
    <row r="158" spans="2:9" ht="13.65" customHeight="1">
      <c r="D158" s="1252"/>
      <c r="E158" s="1252"/>
      <c r="F158" s="1252"/>
      <c r="I158" s="391"/>
    </row>
    <row r="159" spans="2:9" ht="13.65" customHeight="1">
      <c r="D159" s="1252"/>
      <c r="E159" s="1252"/>
      <c r="F159" s="1252"/>
      <c r="I159" s="391"/>
    </row>
    <row r="160" spans="2:9" ht="13.65" customHeight="1">
      <c r="D160" s="1252"/>
      <c r="E160" s="1252"/>
      <c r="F160" s="1252"/>
      <c r="I160" s="391"/>
    </row>
    <row r="161" spans="1:9" ht="13.65" customHeight="1">
      <c r="D161" s="1252"/>
      <c r="E161" s="1252"/>
      <c r="F161" s="1252"/>
      <c r="I161" s="391"/>
    </row>
    <row r="162" spans="1:9" ht="13.65" customHeight="1">
      <c r="D162" s="1252"/>
      <c r="E162" s="1252"/>
      <c r="F162" s="1252"/>
      <c r="I162" s="391"/>
    </row>
    <row r="163" spans="1:9" ht="13.65" customHeight="1">
      <c r="D163" s="1252"/>
      <c r="E163" s="1252"/>
      <c r="F163" s="1252"/>
      <c r="I163" s="391"/>
    </row>
    <row r="164" spans="1:9" ht="13.65" customHeight="1">
      <c r="D164" s="1252"/>
      <c r="E164" s="1252"/>
      <c r="F164" s="1252"/>
      <c r="I164" s="391"/>
    </row>
    <row r="165" spans="1:9" ht="13.65" customHeight="1">
      <c r="D165" s="1252"/>
      <c r="E165" s="1252"/>
      <c r="F165" s="1252"/>
      <c r="I165" s="391"/>
    </row>
    <row r="166" spans="1:9" ht="13.65" customHeight="1">
      <c r="D166" s="1252"/>
      <c r="E166" s="1252"/>
      <c r="F166" s="1252"/>
      <c r="I166" s="391"/>
    </row>
    <row r="167" spans="1:9" ht="13.65" customHeight="1">
      <c r="D167" s="1252"/>
      <c r="E167" s="1252"/>
      <c r="F167" s="1252"/>
      <c r="I167" s="391"/>
    </row>
    <row r="168" spans="1:9" ht="13.65" customHeight="1">
      <c r="D168" s="1252"/>
      <c r="E168" s="1252"/>
      <c r="F168" s="1252"/>
      <c r="I168" s="391"/>
    </row>
    <row r="169" spans="1:9" ht="13.65" customHeight="1">
      <c r="D169" s="1271" t="s">
        <v>344</v>
      </c>
      <c r="E169" s="1271"/>
      <c r="F169" s="1271"/>
      <c r="G169" s="408"/>
      <c r="I169" s="391"/>
    </row>
    <row r="170" spans="1:9" ht="13.65" customHeight="1">
      <c r="D170" s="1266"/>
      <c r="E170" s="1266"/>
      <c r="F170" s="1266"/>
      <c r="G170" s="1266"/>
      <c r="I170" s="391"/>
    </row>
    <row r="171" spans="1:9" ht="14.4" customHeight="1">
      <c r="A171" s="390"/>
      <c r="B171" s="386" t="s">
        <v>2778</v>
      </c>
      <c r="C171" s="377"/>
      <c r="D171" s="1231" t="s">
        <v>345</v>
      </c>
      <c r="E171" s="1231"/>
      <c r="F171" s="1231"/>
      <c r="G171" s="377"/>
      <c r="I171" s="391"/>
    </row>
    <row r="172" spans="1:9" ht="14.4" customHeight="1">
      <c r="A172" s="390"/>
      <c r="B172" s="390"/>
      <c r="C172" s="377"/>
      <c r="D172" s="1231"/>
      <c r="E172" s="1231"/>
      <c r="F172" s="1231"/>
      <c r="G172" s="377"/>
      <c r="I172" s="391"/>
    </row>
    <row r="173" spans="1:9" ht="14.4" customHeight="1">
      <c r="A173" s="390"/>
      <c r="B173" s="390"/>
      <c r="C173" s="377"/>
      <c r="D173" s="1231"/>
      <c r="E173" s="1231"/>
      <c r="F173" s="1231"/>
      <c r="G173" s="377"/>
      <c r="I173" s="391"/>
    </row>
    <row r="174" spans="1:9" ht="14.4" customHeight="1">
      <c r="A174" s="390"/>
      <c r="B174" s="390"/>
      <c r="C174" s="377"/>
      <c r="D174" s="1231"/>
      <c r="E174" s="1231"/>
      <c r="F174" s="1231"/>
      <c r="G174" s="377"/>
      <c r="I174" s="391"/>
    </row>
    <row r="175" spans="1:9" ht="13.65" customHeight="1">
      <c r="A175" s="390"/>
      <c r="B175" s="390"/>
      <c r="C175" s="377"/>
      <c r="D175" s="1231"/>
      <c r="E175" s="1231"/>
      <c r="F175" s="1231"/>
      <c r="G175" s="377"/>
      <c r="I175" s="391"/>
    </row>
    <row r="176" spans="1:9" ht="13.65" customHeight="1">
      <c r="A176" s="390"/>
      <c r="B176" s="390"/>
      <c r="C176" s="377"/>
      <c r="D176" s="377"/>
      <c r="E176" s="377"/>
      <c r="F176" s="377"/>
      <c r="G176" s="377"/>
      <c r="I176" s="391"/>
    </row>
    <row r="177" spans="1:9" ht="13.65" customHeight="1">
      <c r="A177" s="390"/>
      <c r="B177" s="386" t="s">
        <v>2778</v>
      </c>
      <c r="C177" s="377"/>
      <c r="D177" s="1231" t="s">
        <v>346</v>
      </c>
      <c r="E177" s="1231"/>
      <c r="F177" s="1231"/>
      <c r="G177" s="377"/>
      <c r="I177" s="391"/>
    </row>
    <row r="178" spans="1:9" ht="13.65" customHeight="1">
      <c r="A178" s="390"/>
      <c r="B178" s="390"/>
      <c r="C178" s="377"/>
      <c r="D178" s="1231"/>
      <c r="E178" s="1231"/>
      <c r="F178" s="1231"/>
      <c r="G178" s="377"/>
      <c r="I178" s="391"/>
    </row>
    <row r="179" spans="1:9" ht="13.65" customHeight="1">
      <c r="A179" s="390"/>
      <c r="B179" s="390"/>
      <c r="C179" s="377"/>
      <c r="D179" s="1231"/>
      <c r="E179" s="1231"/>
      <c r="F179" s="1231"/>
      <c r="G179" s="377"/>
      <c r="I179" s="391"/>
    </row>
    <row r="180" spans="1:9" ht="13.65" customHeight="1">
      <c r="A180" s="390"/>
      <c r="B180" s="390"/>
      <c r="C180" s="377"/>
      <c r="D180" s="1231"/>
      <c r="E180" s="1231"/>
      <c r="F180" s="1231"/>
      <c r="G180" s="377"/>
      <c r="I180" s="391"/>
    </row>
    <row r="181" spans="1:9" ht="13.65" customHeight="1">
      <c r="D181" s="348"/>
      <c r="E181" s="348"/>
      <c r="F181" s="348"/>
      <c r="I181" s="391"/>
    </row>
    <row r="182" spans="1:9" ht="13.65" hidden="1" customHeight="1">
      <c r="B182" s="386" t="s">
        <v>311</v>
      </c>
      <c r="D182" s="1256" t="s">
        <v>347</v>
      </c>
      <c r="E182" s="1256"/>
      <c r="F182" s="1256"/>
      <c r="I182" s="391"/>
    </row>
    <row r="183" spans="1:9" ht="13.65" hidden="1" customHeight="1">
      <c r="D183" s="1256"/>
      <c r="E183" s="1256"/>
      <c r="F183" s="1256"/>
      <c r="I183" s="391"/>
    </row>
    <row r="184" spans="1:9" ht="13.65" hidden="1" customHeight="1">
      <c r="D184" s="1256"/>
      <c r="E184" s="1256"/>
      <c r="F184" s="1256"/>
      <c r="I184" s="391"/>
    </row>
    <row r="185" spans="1:9" ht="13.65" customHeight="1">
      <c r="A185" s="391"/>
      <c r="B185" s="391"/>
      <c r="E185" s="348"/>
      <c r="F185" s="348"/>
      <c r="I185" s="391"/>
    </row>
    <row r="186" spans="1:9">
      <c r="A186" s="1255" t="s">
        <v>348</v>
      </c>
      <c r="B186" s="1255"/>
      <c r="C186" s="1255"/>
      <c r="D186" s="1255"/>
      <c r="E186" s="1255"/>
      <c r="F186" s="1255"/>
      <c r="G186" s="1255"/>
      <c r="H186" s="914"/>
      <c r="I186" s="1035"/>
    </row>
    <row r="187" spans="1:9" ht="12" customHeight="1">
      <c r="D187" s="348"/>
      <c r="E187" s="348"/>
      <c r="F187" s="348"/>
      <c r="I187" s="391"/>
    </row>
    <row r="188" spans="1:9">
      <c r="B188" s="1259" t="s">
        <v>349</v>
      </c>
      <c r="C188" s="1259"/>
      <c r="D188" s="1259"/>
      <c r="E188" s="1259"/>
      <c r="F188" s="1259"/>
      <c r="I188" s="391"/>
    </row>
    <row r="189" spans="1:9">
      <c r="B189" s="295" t="s">
        <v>350</v>
      </c>
      <c r="C189" s="295"/>
      <c r="D189" s="295"/>
      <c r="E189" s="295"/>
      <c r="F189" s="295"/>
      <c r="I189" s="391"/>
    </row>
    <row r="190" spans="1:9" ht="12" customHeight="1">
      <c r="A190" s="383"/>
      <c r="B190" s="383"/>
      <c r="C190" s="383"/>
      <c r="I190" s="391"/>
    </row>
    <row r="191" spans="1:9">
      <c r="A191" s="1255" t="s">
        <v>351</v>
      </c>
      <c r="B191" s="1255"/>
      <c r="C191" s="1255"/>
      <c r="D191" s="1255"/>
      <c r="E191" s="1255"/>
      <c r="F191" s="1255"/>
      <c r="G191" s="1255"/>
      <c r="H191" s="914"/>
      <c r="I191" s="1035"/>
    </row>
    <row r="192" spans="1:9" ht="12" customHeight="1">
      <c r="A192" s="307"/>
      <c r="B192" s="307"/>
      <c r="E192" s="307"/>
      <c r="I192" s="391"/>
    </row>
    <row r="193" spans="1:9" ht="13.65" customHeight="1">
      <c r="A193" s="307"/>
      <c r="B193" s="307"/>
      <c r="D193" s="1254" t="s">
        <v>352</v>
      </c>
      <c r="E193" s="1254"/>
      <c r="F193" s="1254"/>
      <c r="I193" s="391"/>
    </row>
    <row r="194" spans="1:9">
      <c r="A194" s="307"/>
      <c r="B194" s="307"/>
      <c r="D194" s="1254"/>
      <c r="E194" s="1254"/>
      <c r="F194" s="1254"/>
      <c r="I194" s="391"/>
    </row>
    <row r="195" spans="1:9">
      <c r="A195" s="307"/>
      <c r="B195" s="307"/>
      <c r="D195" s="1259" t="s">
        <v>353</v>
      </c>
      <c r="E195" s="1259"/>
      <c r="F195" s="1259"/>
      <c r="I195" s="391"/>
    </row>
    <row r="196" spans="1:9">
      <c r="A196" s="307"/>
      <c r="B196" s="307"/>
      <c r="D196" s="295"/>
      <c r="E196" s="295"/>
      <c r="F196" s="295"/>
      <c r="I196" s="391"/>
    </row>
    <row r="197" spans="1:9">
      <c r="A197" s="307"/>
      <c r="B197" s="386" t="s">
        <v>2779</v>
      </c>
      <c r="D197" s="1267" t="s">
        <v>354</v>
      </c>
      <c r="E197" s="1267"/>
      <c r="F197" s="1267"/>
      <c r="I197" s="391"/>
    </row>
    <row r="198" spans="1:9">
      <c r="A198" s="307"/>
      <c r="B198" s="307"/>
      <c r="D198" s="1268" t="s">
        <v>355</v>
      </c>
      <c r="E198" s="1268"/>
      <c r="F198" s="1268"/>
      <c r="I198" s="391"/>
    </row>
    <row r="199" spans="1:9">
      <c r="A199" s="307"/>
      <c r="B199" s="307"/>
      <c r="D199" s="71" t="s">
        <v>356</v>
      </c>
      <c r="E199" s="1269" t="s">
        <v>357</v>
      </c>
      <c r="F199" s="1269"/>
      <c r="I199" s="391"/>
    </row>
    <row r="200" spans="1:9">
      <c r="A200" s="307"/>
      <c r="B200" s="307"/>
      <c r="D200" s="3"/>
      <c r="E200" s="3"/>
      <c r="F200" s="3"/>
      <c r="I200" s="391"/>
    </row>
    <row r="201" spans="1:9">
      <c r="A201" s="307"/>
      <c r="B201" s="386" t="s">
        <v>2779</v>
      </c>
      <c r="D201" s="1268" t="s">
        <v>358</v>
      </c>
      <c r="E201" s="1268"/>
      <c r="F201" s="1268"/>
      <c r="I201" s="391"/>
    </row>
    <row r="202" spans="1:9">
      <c r="A202" s="307"/>
      <c r="B202" s="307"/>
      <c r="D202" s="1267" t="s">
        <v>355</v>
      </c>
      <c r="E202" s="1267"/>
      <c r="F202" s="1267"/>
      <c r="I202" s="391"/>
    </row>
    <row r="203" spans="1:9">
      <c r="A203" s="307"/>
      <c r="B203" s="307"/>
      <c r="D203" s="49" t="s">
        <v>359</v>
      </c>
      <c r="E203" s="1269" t="s">
        <v>360</v>
      </c>
      <c r="F203" s="1269"/>
      <c r="I203" s="391"/>
    </row>
    <row r="204" spans="1:9">
      <c r="A204" s="307"/>
      <c r="B204" s="307"/>
      <c r="D204" s="3"/>
      <c r="E204" s="3"/>
      <c r="F204" s="3"/>
      <c r="I204" s="391"/>
    </row>
    <row r="205" spans="1:9">
      <c r="A205" s="307"/>
      <c r="B205" s="386" t="s">
        <v>2779</v>
      </c>
      <c r="D205" s="1268" t="s">
        <v>361</v>
      </c>
      <c r="E205" s="1268"/>
      <c r="F205" s="1268"/>
      <c r="I205" s="391"/>
    </row>
    <row r="206" spans="1:9">
      <c r="A206" s="307"/>
      <c r="B206" s="307"/>
      <c r="D206" s="1267" t="s">
        <v>355</v>
      </c>
      <c r="E206" s="1267"/>
      <c r="F206" s="1267"/>
      <c r="I206" s="391"/>
    </row>
    <row r="207" spans="1:9">
      <c r="A207" s="307"/>
      <c r="B207" s="307"/>
      <c r="D207" s="49" t="s">
        <v>356</v>
      </c>
      <c r="E207" s="1269" t="s">
        <v>362</v>
      </c>
      <c r="F207" s="1269"/>
      <c r="I207" s="391"/>
    </row>
    <row r="208" spans="1:9">
      <c r="A208" s="307"/>
      <c r="B208" s="307"/>
      <c r="D208" s="295"/>
      <c r="E208" s="295"/>
      <c r="F208" s="295"/>
      <c r="I208" s="391"/>
    </row>
    <row r="209" spans="1:9" ht="14.25" customHeight="1">
      <c r="A209" s="385"/>
      <c r="B209" s="386" t="s">
        <v>2779</v>
      </c>
      <c r="D209" s="289" t="s">
        <v>363</v>
      </c>
      <c r="E209" s="288"/>
      <c r="F209" s="288"/>
      <c r="I209" s="391"/>
    </row>
    <row r="210" spans="1:9" ht="14.4">
      <c r="A210" s="385"/>
      <c r="B210" s="385"/>
      <c r="D210" s="1267" t="s">
        <v>355</v>
      </c>
      <c r="E210" s="1267"/>
      <c r="F210" s="1267"/>
      <c r="I210" s="391"/>
    </row>
    <row r="211" spans="1:9">
      <c r="D211" s="288"/>
      <c r="E211" s="1269" t="s">
        <v>364</v>
      </c>
      <c r="F211" s="1269"/>
      <c r="I211" s="391"/>
    </row>
    <row r="212" spans="1:9">
      <c r="D212" s="349"/>
      <c r="I212" s="391"/>
    </row>
    <row r="213" spans="1:9">
      <c r="B213" s="386" t="s">
        <v>2779</v>
      </c>
      <c r="D213" s="1268" t="s">
        <v>365</v>
      </c>
      <c r="E213" s="1268"/>
      <c r="F213" s="1268"/>
      <c r="I213" s="391"/>
    </row>
    <row r="214" spans="1:9">
      <c r="D214" s="1267" t="s">
        <v>355</v>
      </c>
      <c r="E214" s="1267"/>
      <c r="F214" s="1267"/>
      <c r="I214" s="391"/>
    </row>
    <row r="215" spans="1:9">
      <c r="D215" s="49" t="s">
        <v>356</v>
      </c>
      <c r="E215" s="1269" t="s">
        <v>366</v>
      </c>
      <c r="F215" s="1269"/>
      <c r="I215" s="391"/>
    </row>
    <row r="216" spans="1:9">
      <c r="D216" s="353"/>
      <c r="E216" s="353"/>
      <c r="F216" s="353"/>
      <c r="I216" s="391"/>
    </row>
    <row r="217" spans="1:9" ht="14.4">
      <c r="A217" s="385"/>
      <c r="B217" s="386" t="s">
        <v>2779</v>
      </c>
      <c r="D217" s="1252" t="s">
        <v>367</v>
      </c>
      <c r="E217" s="1252"/>
      <c r="F217" s="1252"/>
      <c r="I217" s="391"/>
    </row>
    <row r="218" spans="1:9" ht="14.4" customHeight="1">
      <c r="A218" s="385"/>
      <c r="B218" s="305"/>
      <c r="D218" s="1252"/>
      <c r="E218" s="1252"/>
      <c r="F218" s="1252"/>
      <c r="I218" s="391"/>
    </row>
    <row r="219" spans="1:9" ht="14.4">
      <c r="A219" s="385"/>
      <c r="D219" s="1252"/>
      <c r="E219" s="1252"/>
      <c r="F219" s="1252"/>
      <c r="I219" s="391"/>
    </row>
    <row r="220" spans="1:9" ht="14.4">
      <c r="A220" s="385"/>
      <c r="D220" s="1252"/>
      <c r="E220" s="1252"/>
      <c r="F220" s="1252"/>
      <c r="I220" s="391"/>
    </row>
    <row r="221" spans="1:9">
      <c r="D221" s="353"/>
      <c r="E221" s="353"/>
      <c r="F221" s="353"/>
      <c r="I221" s="391"/>
    </row>
    <row r="222" spans="1:9">
      <c r="A222" s="1255" t="s">
        <v>368</v>
      </c>
      <c r="B222" s="1255"/>
      <c r="C222" s="1255"/>
      <c r="D222" s="1255"/>
      <c r="E222" s="1255"/>
      <c r="F222" s="1255"/>
      <c r="G222" s="1255"/>
      <c r="H222" s="914"/>
      <c r="I222" s="1035"/>
    </row>
    <row r="223" spans="1:9" ht="12" customHeight="1">
      <c r="D223" s="348"/>
      <c r="E223" s="348"/>
      <c r="F223" s="348"/>
      <c r="I223" s="391"/>
    </row>
    <row r="224" spans="1:9">
      <c r="C224" s="387"/>
      <c r="D224" s="1261" t="s">
        <v>369</v>
      </c>
      <c r="E224" s="1261"/>
      <c r="F224" s="1261"/>
      <c r="I224" s="391"/>
    </row>
    <row r="225" spans="1:9">
      <c r="A225" s="383"/>
      <c r="B225" s="383"/>
      <c r="C225" s="383"/>
      <c r="D225" s="1253" t="s">
        <v>370</v>
      </c>
      <c r="E225" s="1253"/>
      <c r="F225" s="1253"/>
      <c r="I225" s="391"/>
    </row>
    <row r="226" spans="1:9" ht="12" customHeight="1">
      <c r="A226" s="391"/>
      <c r="B226" s="391"/>
      <c r="C226" s="391"/>
      <c r="I226" s="391"/>
    </row>
    <row r="227" spans="1:9" ht="13.65" customHeight="1">
      <c r="A227" s="391"/>
      <c r="C227" s="391"/>
      <c r="D227" s="1261" t="s">
        <v>371</v>
      </c>
      <c r="E227" s="1261"/>
      <c r="F227" s="1261"/>
      <c r="I227" s="391"/>
    </row>
    <row r="228" spans="1:9" ht="14.4">
      <c r="A228" s="385"/>
      <c r="B228" s="386" t="s">
        <v>2778</v>
      </c>
      <c r="D228" s="1252" t="s">
        <v>372</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ht="14.4">
      <c r="A231" s="385"/>
      <c r="B231" s="385"/>
      <c r="D231" s="1252"/>
      <c r="E231" s="1252"/>
      <c r="F231" s="1252"/>
      <c r="I231" s="391"/>
    </row>
    <row r="232" spans="1:9" ht="14.4">
      <c r="A232" s="385"/>
      <c r="B232" s="385"/>
      <c r="D232" s="347"/>
      <c r="E232" s="347"/>
      <c r="F232" s="347"/>
      <c r="I232" s="391"/>
    </row>
    <row r="233" spans="1:9" ht="14.4">
      <c r="A233" s="385"/>
      <c r="B233" s="386" t="s">
        <v>2778</v>
      </c>
      <c r="D233" s="1252" t="s">
        <v>373</v>
      </c>
      <c r="E233" s="1252"/>
      <c r="F233" s="1252"/>
      <c r="I233" s="391"/>
    </row>
    <row r="234" spans="1:9" ht="14.4">
      <c r="A234" s="385"/>
      <c r="B234" s="385"/>
      <c r="D234" s="1252"/>
      <c r="E234" s="1252"/>
      <c r="F234" s="1252"/>
      <c r="I234" s="391"/>
    </row>
    <row r="235" spans="1:9" ht="14.4">
      <c r="A235" s="385"/>
      <c r="B235" s="385"/>
      <c r="D235" s="1252"/>
      <c r="E235" s="1252"/>
      <c r="F235" s="1252"/>
      <c r="I235" s="391"/>
    </row>
    <row r="236" spans="1:9" ht="14.4">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ht="14.4">
      <c r="A239" s="385"/>
      <c r="B239" s="385"/>
      <c r="D239" s="1252" t="s">
        <v>374</v>
      </c>
      <c r="E239" s="1252"/>
      <c r="F239" s="1252"/>
      <c r="I239" s="391"/>
    </row>
    <row r="240" spans="1:9" ht="14.4">
      <c r="A240" s="385"/>
      <c r="B240" s="385"/>
      <c r="D240" s="1252"/>
      <c r="E240" s="1252"/>
      <c r="F240" s="1252"/>
      <c r="I240" s="391"/>
    </row>
    <row r="241" spans="1:9" ht="14.4">
      <c r="A241" s="385"/>
      <c r="B241" s="385"/>
      <c r="D241" s="1252"/>
      <c r="E241" s="1252"/>
      <c r="F241" s="1252"/>
      <c r="I241" s="391"/>
    </row>
    <row r="242" spans="1:9" ht="14.4">
      <c r="A242" s="385"/>
      <c r="B242" s="385"/>
      <c r="D242" s="1252"/>
      <c r="E242" s="1252"/>
      <c r="F242" s="1252"/>
      <c r="I242" s="391"/>
    </row>
    <row r="243" spans="1:9" ht="14.4">
      <c r="A243" s="385"/>
      <c r="B243" s="385"/>
      <c r="D243" s="1252"/>
      <c r="E243" s="1252"/>
      <c r="F243" s="1252"/>
      <c r="I243" s="391"/>
    </row>
    <row r="244" spans="1:9" ht="14.4">
      <c r="A244" s="385"/>
      <c r="B244" s="385"/>
      <c r="D244" s="348"/>
      <c r="E244" s="348"/>
      <c r="F244" s="348"/>
      <c r="I244" s="391"/>
    </row>
    <row r="245" spans="1:9" ht="14.4">
      <c r="A245" s="385"/>
      <c r="B245" s="386" t="s">
        <v>2778</v>
      </c>
      <c r="D245" s="1252" t="s">
        <v>375</v>
      </c>
      <c r="E245" s="1252"/>
      <c r="F245" s="1252"/>
      <c r="I245" s="391"/>
    </row>
    <row r="246" spans="1:9" ht="14.4">
      <c r="A246" s="385"/>
      <c r="B246" s="385"/>
      <c r="D246" s="1252"/>
      <c r="E246" s="1252"/>
      <c r="F246" s="1252"/>
      <c r="I246" s="391"/>
    </row>
    <row r="247" spans="1:9" ht="14.4">
      <c r="A247" s="385"/>
      <c r="B247" s="385"/>
      <c r="D247" s="1252"/>
      <c r="E247" s="1252"/>
      <c r="F247" s="1252"/>
      <c r="I247" s="391"/>
    </row>
    <row r="248" spans="1:9" ht="14.4">
      <c r="A248" s="385"/>
      <c r="B248" s="385"/>
      <c r="E248" s="922" t="s">
        <v>376</v>
      </c>
      <c r="I248" s="391"/>
    </row>
    <row r="249" spans="1:9" ht="14.4">
      <c r="A249" s="385"/>
      <c r="B249" s="385"/>
      <c r="D249" s="348"/>
      <c r="E249" s="348"/>
      <c r="F249" s="348"/>
      <c r="I249" s="391"/>
    </row>
    <row r="250" spans="1:9" ht="14.4" customHeight="1">
      <c r="A250" s="385"/>
      <c r="B250" s="386" t="s">
        <v>2779</v>
      </c>
      <c r="D250" s="1252" t="s">
        <v>377</v>
      </c>
      <c r="E250" s="1252"/>
      <c r="F250" s="1252"/>
      <c r="I250" s="391"/>
    </row>
    <row r="251" spans="1:9" ht="14.4">
      <c r="A251" s="385"/>
      <c r="B251" s="385"/>
      <c r="D251" s="1252"/>
      <c r="E251" s="1252"/>
      <c r="F251" s="1252"/>
      <c r="I251" s="391"/>
    </row>
    <row r="252" spans="1:9" ht="14.4">
      <c r="A252" s="385"/>
      <c r="B252" s="385"/>
      <c r="D252" s="1252"/>
      <c r="E252" s="1252"/>
      <c r="F252" s="1252"/>
      <c r="I252" s="391"/>
    </row>
    <row r="253" spans="1:9" ht="14.4">
      <c r="A253" s="385"/>
      <c r="B253" s="385"/>
      <c r="D253" s="1252"/>
      <c r="E253" s="1252"/>
      <c r="F253" s="1252"/>
      <c r="I253" s="391"/>
    </row>
    <row r="254" spans="1:9" ht="14.4">
      <c r="A254" s="385"/>
      <c r="B254" s="385"/>
      <c r="D254" s="1252"/>
      <c r="E254" s="1252"/>
      <c r="F254" s="1252"/>
      <c r="I254" s="391"/>
    </row>
    <row r="255" spans="1:9" ht="14.4">
      <c r="A255" s="385"/>
      <c r="B255" s="385"/>
      <c r="D255" s="347"/>
      <c r="E255" s="347"/>
      <c r="F255" s="347"/>
      <c r="I255" s="391"/>
    </row>
    <row r="256" spans="1:9" ht="14.4">
      <c r="A256" s="385"/>
      <c r="B256" s="386" t="s">
        <v>2778</v>
      </c>
      <c r="D256" s="295" t="s">
        <v>378</v>
      </c>
      <c r="E256" s="347"/>
      <c r="F256" s="347"/>
      <c r="I256" s="391"/>
    </row>
    <row r="257" spans="1:9" ht="14.4">
      <c r="A257" s="385"/>
      <c r="B257" s="385"/>
      <c r="E257" s="922" t="s">
        <v>379</v>
      </c>
      <c r="I257" s="391"/>
    </row>
    <row r="258" spans="1:9">
      <c r="D258" s="348"/>
      <c r="E258" s="348"/>
      <c r="F258" s="348"/>
      <c r="I258" s="391"/>
    </row>
    <row r="259" spans="1:9" ht="14.4">
      <c r="A259" s="385"/>
      <c r="B259" s="386" t="s">
        <v>2778</v>
      </c>
      <c r="D259" s="1252" t="s">
        <v>380</v>
      </c>
      <c r="E259" s="1252"/>
      <c r="F259" s="1252"/>
      <c r="I259" s="391"/>
    </row>
    <row r="260" spans="1:9" ht="14.4">
      <c r="A260" s="385"/>
      <c r="B260" s="385"/>
      <c r="D260" s="1252"/>
      <c r="E260" s="1252"/>
      <c r="F260" s="1252"/>
      <c r="I260" s="391"/>
    </row>
    <row r="261" spans="1:9">
      <c r="D261" s="392"/>
      <c r="I261" s="391"/>
    </row>
    <row r="262" spans="1:9">
      <c r="A262" s="1255" t="s">
        <v>381</v>
      </c>
      <c r="B262" s="1255"/>
      <c r="C262" s="1255"/>
      <c r="D262" s="1255"/>
      <c r="E262" s="1255"/>
      <c r="F262" s="1255"/>
      <c r="G262" s="1255"/>
      <c r="H262" s="914"/>
      <c r="I262" s="1035"/>
    </row>
    <row r="263" spans="1:9">
      <c r="D263" s="392"/>
      <c r="I263" s="391"/>
    </row>
    <row r="264" spans="1:9">
      <c r="C264" s="387"/>
      <c r="D264" s="1261" t="s">
        <v>382</v>
      </c>
      <c r="E264" s="1261"/>
      <c r="F264" s="1261"/>
      <c r="I264" s="391"/>
    </row>
    <row r="265" spans="1:9">
      <c r="A265" s="383"/>
      <c r="B265" s="383"/>
      <c r="C265" s="383"/>
      <c r="D265" s="348"/>
      <c r="E265" s="348"/>
      <c r="F265" s="348"/>
      <c r="I265" s="391"/>
    </row>
    <row r="266" spans="1:9">
      <c r="A266" s="384"/>
      <c r="B266" s="384"/>
      <c r="C266" s="384"/>
      <c r="D266" s="1261" t="s">
        <v>383</v>
      </c>
      <c r="E266" s="1261"/>
      <c r="F266" s="1261"/>
      <c r="I266" s="391"/>
    </row>
    <row r="267" spans="1:9" ht="14.4" customHeight="1">
      <c r="A267" s="385"/>
      <c r="B267" s="386" t="s">
        <v>2778</v>
      </c>
      <c r="D267" s="1252" t="s">
        <v>384</v>
      </c>
      <c r="E267" s="1252"/>
      <c r="F267" s="1252"/>
      <c r="I267" s="391"/>
    </row>
    <row r="268" spans="1:9">
      <c r="D268" s="1252"/>
      <c r="E268" s="1252"/>
      <c r="F268" s="1252"/>
      <c r="I268" s="391"/>
    </row>
    <row r="269" spans="1:9">
      <c r="E269" s="922" t="s">
        <v>385</v>
      </c>
      <c r="I269" s="391"/>
    </row>
    <row r="270" spans="1:9">
      <c r="D270" s="348"/>
      <c r="E270" s="348"/>
      <c r="F270" s="348"/>
      <c r="I270" s="391"/>
    </row>
    <row r="271" spans="1:9" ht="14.4" customHeight="1">
      <c r="A271" s="385"/>
      <c r="B271" s="386" t="s">
        <v>2779</v>
      </c>
      <c r="D271" s="1252" t="s">
        <v>386</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ht="14.4">
      <c r="A278" s="385"/>
      <c r="B278" s="386" t="s">
        <v>2779</v>
      </c>
      <c r="D278" s="1252" t="s">
        <v>387</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388</v>
      </c>
      <c r="B282" s="1255"/>
      <c r="C282" s="1255"/>
      <c r="D282" s="1255"/>
      <c r="E282" s="1255"/>
      <c r="F282" s="1255"/>
      <c r="G282" s="1255"/>
      <c r="H282" s="914"/>
      <c r="I282" s="1035"/>
    </row>
    <row r="283" spans="1:9">
      <c r="D283" s="393"/>
      <c r="E283" s="348"/>
      <c r="F283" s="348"/>
      <c r="I283" s="391"/>
    </row>
    <row r="284" spans="1:9">
      <c r="C284" s="383"/>
      <c r="D284" s="1254" t="s">
        <v>389</v>
      </c>
      <c r="E284" s="1254"/>
      <c r="F284" s="1254"/>
      <c r="I284" s="391"/>
    </row>
    <row r="285" spans="1:9">
      <c r="C285" s="383"/>
      <c r="D285" s="1254"/>
      <c r="E285" s="1254"/>
      <c r="F285" s="1254"/>
      <c r="I285" s="391"/>
    </row>
    <row r="286" spans="1:9">
      <c r="A286" s="384"/>
      <c r="B286" s="384"/>
      <c r="C286" s="384"/>
      <c r="D286" s="307"/>
      <c r="I286" s="391"/>
    </row>
    <row r="287" spans="1:9">
      <c r="C287" s="384"/>
      <c r="D287" s="1261" t="s">
        <v>390</v>
      </c>
      <c r="E287" s="1261"/>
      <c r="F287" s="1261"/>
      <c r="I287" s="391"/>
    </row>
    <row r="288" spans="1:9" ht="15.75" customHeight="1">
      <c r="A288" s="385"/>
      <c r="B288" s="385"/>
      <c r="D288" s="1264" t="s">
        <v>391</v>
      </c>
      <c r="E288" s="1264"/>
      <c r="F288" s="1264"/>
      <c r="I288" s="391"/>
    </row>
    <row r="289" spans="1:9">
      <c r="E289" s="348"/>
      <c r="F289" s="348"/>
      <c r="I289" s="391"/>
    </row>
    <row r="290" spans="1:9" ht="14.4">
      <c r="A290" s="385"/>
      <c r="B290" s="386" t="s">
        <v>2779</v>
      </c>
      <c r="D290" s="1252" t="s">
        <v>392</v>
      </c>
      <c r="E290" s="1252"/>
      <c r="F290" s="1252"/>
      <c r="I290" s="391"/>
    </row>
    <row r="291" spans="1:9" ht="14.4">
      <c r="A291" s="385"/>
      <c r="B291" s="385"/>
      <c r="D291" s="1252"/>
      <c r="E291" s="1252"/>
      <c r="F291" s="1252"/>
      <c r="I291" s="391"/>
    </row>
    <row r="292" spans="1:9">
      <c r="D292" s="348"/>
      <c r="E292" s="348"/>
      <c r="F292" s="348"/>
      <c r="I292" s="391"/>
    </row>
    <row r="293" spans="1:9" ht="14.4">
      <c r="A293" s="385"/>
      <c r="B293" s="386" t="s">
        <v>2778</v>
      </c>
      <c r="D293" s="1252" t="s">
        <v>393</v>
      </c>
      <c r="E293" s="1252"/>
      <c r="F293" s="1252"/>
      <c r="I293" s="391"/>
    </row>
    <row r="294" spans="1:9" ht="14.4">
      <c r="A294" s="385"/>
      <c r="B294" s="385"/>
      <c r="D294" s="1252"/>
      <c r="E294" s="1252"/>
      <c r="F294" s="1252"/>
      <c r="I294" s="391"/>
    </row>
    <row r="295" spans="1:9" ht="14.4">
      <c r="A295" s="385"/>
      <c r="B295" s="385"/>
      <c r="D295" s="1252"/>
      <c r="E295" s="1252"/>
      <c r="F295" s="1252"/>
      <c r="I295" s="391"/>
    </row>
    <row r="296" spans="1:9">
      <c r="D296" s="348"/>
      <c r="E296" s="348"/>
      <c r="F296" s="348"/>
      <c r="I296" s="391"/>
    </row>
    <row r="297" spans="1:9" ht="14.4">
      <c r="A297" s="385"/>
      <c r="B297" s="386" t="s">
        <v>2779</v>
      </c>
      <c r="D297" s="1252" t="s">
        <v>394</v>
      </c>
      <c r="E297" s="1252"/>
      <c r="F297" s="1252"/>
      <c r="I297" s="391"/>
    </row>
    <row r="298" spans="1:9" ht="14.4">
      <c r="A298" s="385"/>
      <c r="B298" s="385"/>
      <c r="D298" s="1252"/>
      <c r="E298" s="1252"/>
      <c r="F298" s="1252"/>
      <c r="I298" s="391"/>
    </row>
    <row r="299" spans="1:9">
      <c r="A299" s="391"/>
      <c r="B299" s="391"/>
      <c r="E299" s="348"/>
      <c r="F299" s="348"/>
      <c r="I299" s="391"/>
    </row>
    <row r="300" spans="1:9">
      <c r="A300" s="1255" t="s">
        <v>395</v>
      </c>
      <c r="B300" s="1255"/>
      <c r="C300" s="1255"/>
      <c r="D300" s="1255"/>
      <c r="E300" s="1255"/>
      <c r="F300" s="1255"/>
      <c r="G300" s="1255"/>
      <c r="H300" s="914"/>
      <c r="I300" s="1035"/>
    </row>
    <row r="301" spans="1:9">
      <c r="A301" s="391"/>
      <c r="B301" s="391"/>
      <c r="D301" s="348"/>
      <c r="E301" s="348"/>
      <c r="F301" s="348"/>
      <c r="I301" s="391"/>
    </row>
    <row r="302" spans="1:9">
      <c r="C302" s="391"/>
      <c r="D302" s="1261" t="s">
        <v>396</v>
      </c>
      <c r="E302" s="1261"/>
      <c r="F302" s="1261"/>
      <c r="I302" s="391"/>
    </row>
    <row r="303" spans="1:9">
      <c r="C303" s="391"/>
      <c r="D303" s="1253" t="s">
        <v>397</v>
      </c>
      <c r="E303" s="1253"/>
      <c r="F303" s="1253"/>
      <c r="I303" s="391"/>
    </row>
    <row r="304" spans="1:9">
      <c r="C304" s="391"/>
      <c r="D304" s="394"/>
      <c r="I304" s="391"/>
    </row>
    <row r="305" spans="1:9">
      <c r="B305" s="386" t="s">
        <v>2778</v>
      </c>
      <c r="D305" s="1253" t="s">
        <v>398</v>
      </c>
      <c r="E305" s="1253"/>
      <c r="F305" s="1253"/>
      <c r="I305" s="391"/>
    </row>
    <row r="306" spans="1:9" ht="14.4">
      <c r="A306" s="385"/>
      <c r="B306" s="385"/>
      <c r="D306" s="395"/>
      <c r="E306" s="396"/>
      <c r="F306" s="396"/>
      <c r="I306" s="391"/>
    </row>
    <row r="307" spans="1:9" ht="13.65" customHeight="1">
      <c r="B307" s="386" t="s">
        <v>2779</v>
      </c>
      <c r="D307" s="1276" t="s">
        <v>399</v>
      </c>
      <c r="E307" s="1276"/>
      <c r="F307" s="1276"/>
      <c r="I307" s="391"/>
    </row>
    <row r="308" spans="1:9" ht="14.4">
      <c r="A308" s="385"/>
      <c r="B308" s="385"/>
      <c r="D308" s="1276"/>
      <c r="E308" s="1276"/>
      <c r="F308" s="1276"/>
      <c r="I308" s="391"/>
    </row>
    <row r="309" spans="1:9" ht="14.4">
      <c r="A309" s="385"/>
      <c r="B309" s="385"/>
      <c r="D309" s="1276"/>
      <c r="E309" s="1276"/>
      <c r="F309" s="1276"/>
      <c r="I309" s="391"/>
    </row>
    <row r="310" spans="1:9" ht="14.4">
      <c r="A310" s="385"/>
      <c r="B310" s="385"/>
      <c r="D310" s="1276"/>
      <c r="E310" s="1276"/>
      <c r="F310" s="1276"/>
      <c r="I310" s="391"/>
    </row>
    <row r="311" spans="1:9" ht="14.4">
      <c r="A311" s="385"/>
      <c r="B311" s="385"/>
      <c r="D311" s="1276"/>
      <c r="E311" s="1276"/>
      <c r="F311" s="1276"/>
      <c r="I311" s="391"/>
    </row>
    <row r="312" spans="1:9" ht="14.4">
      <c r="A312" s="385"/>
      <c r="B312" s="385"/>
      <c r="D312" s="395"/>
      <c r="E312" s="396"/>
      <c r="F312" s="396"/>
      <c r="I312" s="391"/>
    </row>
    <row r="313" spans="1:9" ht="13.65" customHeight="1">
      <c r="B313" s="386" t="s">
        <v>2778</v>
      </c>
      <c r="D313" s="1276" t="s">
        <v>400</v>
      </c>
      <c r="E313" s="1276"/>
      <c r="F313" s="1276"/>
      <c r="I313" s="391"/>
    </row>
    <row r="314" spans="1:9">
      <c r="D314" s="1276"/>
      <c r="E314" s="1276"/>
      <c r="F314" s="1276"/>
      <c r="I314" s="391"/>
    </row>
    <row r="315" spans="1:9" ht="14.4">
      <c r="A315" s="385"/>
      <c r="B315" s="385"/>
      <c r="D315" s="395"/>
      <c r="E315" s="396"/>
      <c r="F315" s="396"/>
      <c r="I315" s="391"/>
    </row>
    <row r="316" spans="1:9">
      <c r="B316" s="386" t="s">
        <v>2778</v>
      </c>
      <c r="D316" s="1253" t="s">
        <v>401</v>
      </c>
      <c r="E316" s="1253"/>
      <c r="F316" s="1253"/>
      <c r="I316" s="391"/>
    </row>
    <row r="317" spans="1:9">
      <c r="E317" s="348"/>
      <c r="F317" s="348"/>
      <c r="I317" s="391"/>
    </row>
    <row r="318" spans="1:9" ht="14.4">
      <c r="A318" s="385"/>
      <c r="B318" s="386" t="s">
        <v>2778</v>
      </c>
      <c r="D318" s="1252" t="s">
        <v>402</v>
      </c>
      <c r="E318" s="1252"/>
      <c r="F318" s="1252"/>
      <c r="I318" s="391"/>
    </row>
    <row r="319" spans="1:9" ht="14.4">
      <c r="A319" s="385"/>
      <c r="B319" s="385"/>
      <c r="D319" s="1252"/>
      <c r="E319" s="1252"/>
      <c r="F319" s="1252"/>
      <c r="I319" s="391"/>
    </row>
    <row r="320" spans="1:9" ht="14.4">
      <c r="A320" s="385"/>
      <c r="B320" s="385"/>
      <c r="D320" s="1252"/>
      <c r="E320" s="1252"/>
      <c r="F320" s="1252"/>
      <c r="I320" s="391"/>
    </row>
    <row r="321" spans="1:9" ht="14.4">
      <c r="A321" s="385"/>
      <c r="B321" s="385"/>
      <c r="D321" s="1252"/>
      <c r="E321" s="1252"/>
      <c r="F321" s="1252"/>
      <c r="I321" s="391"/>
    </row>
    <row r="322" spans="1:9" ht="14.4">
      <c r="A322" s="385"/>
      <c r="B322" s="385"/>
      <c r="D322" s="1252"/>
      <c r="E322" s="1252"/>
      <c r="F322" s="1252"/>
      <c r="I322" s="391"/>
    </row>
    <row r="323" spans="1:9" ht="14.4">
      <c r="A323" s="385"/>
      <c r="B323" s="385"/>
      <c r="D323" s="1252"/>
      <c r="E323" s="1252"/>
      <c r="F323" s="1252"/>
      <c r="I323" s="391"/>
    </row>
    <row r="324" spans="1:9" ht="14.4">
      <c r="A324" s="385"/>
      <c r="B324" s="385"/>
      <c r="D324" s="1252"/>
      <c r="E324" s="1252"/>
      <c r="F324" s="1252"/>
      <c r="I324" s="391"/>
    </row>
    <row r="325" spans="1:9" ht="14.4">
      <c r="A325" s="385"/>
      <c r="B325" s="385"/>
      <c r="D325" s="1252"/>
      <c r="E325" s="1252"/>
      <c r="F325" s="1252"/>
      <c r="I325" s="391"/>
    </row>
    <row r="326" spans="1:9" ht="14.4">
      <c r="A326" s="385"/>
      <c r="B326" s="385"/>
      <c r="D326" s="1252"/>
      <c r="E326" s="1252"/>
      <c r="F326" s="1252"/>
      <c r="I326" s="391"/>
    </row>
    <row r="327" spans="1:9" ht="14.4">
      <c r="A327" s="385"/>
      <c r="B327" s="385"/>
      <c r="D327" s="1252"/>
      <c r="E327" s="1252"/>
      <c r="F327" s="1252"/>
      <c r="I327" s="391"/>
    </row>
    <row r="328" spans="1:9" ht="14.4">
      <c r="A328" s="385"/>
      <c r="B328" s="385"/>
      <c r="D328" s="1252"/>
      <c r="E328" s="1252"/>
      <c r="F328" s="1252"/>
      <c r="I328" s="391"/>
    </row>
    <row r="329" spans="1:9" ht="14.4">
      <c r="A329" s="385"/>
      <c r="B329" s="385"/>
      <c r="D329" s="1252"/>
      <c r="E329" s="1252"/>
      <c r="F329" s="1252"/>
      <c r="I329" s="391"/>
    </row>
    <row r="330" spans="1:9" ht="14.4">
      <c r="A330" s="385"/>
      <c r="B330" s="385"/>
      <c r="D330" s="1252"/>
      <c r="E330" s="1252"/>
      <c r="F330" s="1252"/>
      <c r="I330" s="391"/>
    </row>
    <row r="331" spans="1:9" ht="14.4">
      <c r="A331" s="385"/>
      <c r="B331" s="385"/>
      <c r="D331" s="1252"/>
      <c r="E331" s="1252"/>
      <c r="F331" s="1252"/>
      <c r="I331" s="391"/>
    </row>
    <row r="332" spans="1:9" ht="14.4">
      <c r="A332" s="385"/>
      <c r="B332" s="385"/>
      <c r="D332" s="1252"/>
      <c r="E332" s="1252"/>
      <c r="F332" s="1252"/>
      <c r="I332" s="391"/>
    </row>
    <row r="333" spans="1:9">
      <c r="D333" s="348"/>
      <c r="E333" s="348"/>
      <c r="F333" s="348"/>
      <c r="I333" s="391"/>
    </row>
    <row r="334" spans="1:9" ht="14.4">
      <c r="A334" s="385"/>
      <c r="B334" s="386" t="s">
        <v>2779</v>
      </c>
      <c r="D334" s="1252" t="s">
        <v>403</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2778</v>
      </c>
      <c r="D344" s="1252" t="s">
        <v>404</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355</v>
      </c>
      <c r="E348" s="288"/>
      <c r="F348" s="288"/>
      <c r="I348" s="391"/>
    </row>
    <row r="349" spans="1:9">
      <c r="D349" s="288"/>
      <c r="E349" s="71" t="s">
        <v>405</v>
      </c>
      <c r="G349" s="71"/>
      <c r="I349" s="391"/>
    </row>
    <row r="350" spans="1:9">
      <c r="D350" s="347"/>
      <c r="E350" s="347"/>
      <c r="F350" s="347"/>
      <c r="I350" s="391"/>
    </row>
    <row r="351" spans="1:9" ht="13.8" thickBot="1">
      <c r="A351" s="908"/>
      <c r="B351" s="908"/>
      <c r="C351" s="908"/>
      <c r="D351" s="1285" t="s">
        <v>406</v>
      </c>
      <c r="E351" s="1285"/>
      <c r="F351" s="1285"/>
      <c r="G351" s="913"/>
      <c r="H351" s="913"/>
      <c r="I351" s="1038"/>
    </row>
    <row r="352" spans="1:9" ht="13.8" thickTop="1">
      <c r="D352" s="1284" t="s">
        <v>407</v>
      </c>
      <c r="E352" s="1284"/>
      <c r="F352" s="1284"/>
      <c r="I352" s="391"/>
    </row>
    <row r="353" spans="1:9">
      <c r="D353" s="348"/>
      <c r="E353" s="348"/>
      <c r="F353" s="348"/>
      <c r="I353" s="391"/>
    </row>
    <row r="354" spans="1:9">
      <c r="A354" s="377"/>
      <c r="B354" s="377"/>
      <c r="C354" s="377"/>
      <c r="D354" s="349"/>
      <c r="E354" s="349"/>
      <c r="F354" s="348"/>
      <c r="I354" s="391"/>
    </row>
    <row r="355" spans="1:9" ht="14.4">
      <c r="A355" s="385"/>
      <c r="B355" s="386" t="s">
        <v>2778</v>
      </c>
      <c r="C355" s="388"/>
      <c r="D355" s="1253" t="s">
        <v>408</v>
      </c>
      <c r="E355" s="1253"/>
      <c r="F355" s="1253"/>
      <c r="I355" s="391"/>
    </row>
    <row r="356" spans="1:9" ht="12.75" customHeight="1">
      <c r="D356" s="923"/>
      <c r="E356" s="71" t="s">
        <v>409</v>
      </c>
      <c r="F356" s="923"/>
      <c r="I356" s="391"/>
    </row>
    <row r="357" spans="1:9">
      <c r="D357" s="1252" t="s">
        <v>410</v>
      </c>
      <c r="E357" s="1252"/>
      <c r="F357" s="1252"/>
      <c r="I357" s="391"/>
    </row>
    <row r="358" spans="1:9">
      <c r="D358" s="1252"/>
      <c r="E358" s="1252"/>
      <c r="F358" s="1252"/>
      <c r="I358" s="391"/>
    </row>
    <row r="359" spans="1:9">
      <c r="D359" s="1252"/>
      <c r="E359" s="1252"/>
      <c r="F359" s="1252"/>
      <c r="I359" s="391"/>
    </row>
    <row r="360" spans="1:9" ht="14.4">
      <c r="A360" s="385"/>
      <c r="B360" s="386" t="s">
        <v>2778</v>
      </c>
      <c r="C360" s="377"/>
      <c r="D360" s="1266" t="s">
        <v>411</v>
      </c>
      <c r="E360" s="1266"/>
      <c r="F360" s="1266"/>
      <c r="I360" s="381"/>
    </row>
    <row r="361" spans="1:9">
      <c r="A361" s="377"/>
      <c r="B361" s="377"/>
      <c r="C361" s="377"/>
      <c r="D361" s="349"/>
      <c r="E361" s="349"/>
      <c r="F361" s="348"/>
      <c r="I361" s="391"/>
    </row>
    <row r="362" spans="1:9">
      <c r="A362" s="377"/>
      <c r="B362" s="386" t="s">
        <v>2778</v>
      </c>
      <c r="C362" s="377"/>
      <c r="D362" s="1231" t="s">
        <v>412</v>
      </c>
      <c r="E362" s="1231"/>
      <c r="F362" s="1231"/>
      <c r="I362" s="391"/>
    </row>
    <row r="363" spans="1:9">
      <c r="A363" s="377"/>
      <c r="B363" s="377"/>
      <c r="C363" s="377"/>
      <c r="D363" s="1231"/>
      <c r="E363" s="1231"/>
      <c r="F363" s="1231"/>
      <c r="I363" s="391"/>
    </row>
    <row r="364" spans="1:9">
      <c r="A364" s="377"/>
      <c r="B364" s="377"/>
      <c r="C364" s="377"/>
      <c r="D364" s="1231"/>
      <c r="E364" s="1231"/>
      <c r="F364" s="1231"/>
      <c r="I364" s="391"/>
    </row>
    <row r="365" spans="1:9">
      <c r="A365" s="377"/>
      <c r="B365" s="377"/>
      <c r="C365" s="377"/>
      <c r="D365" s="1231"/>
      <c r="E365" s="1231"/>
      <c r="F365" s="1231"/>
      <c r="I365" s="391"/>
    </row>
    <row r="366" spans="1:9">
      <c r="A366" s="377"/>
      <c r="B366" s="377"/>
      <c r="C366" s="377"/>
      <c r="D366" s="1231"/>
      <c r="E366" s="1231"/>
      <c r="F366" s="1231"/>
      <c r="I366" s="391"/>
    </row>
    <row r="367" spans="1:9">
      <c r="A367" s="377"/>
      <c r="B367" s="377"/>
      <c r="C367" s="377"/>
      <c r="D367" s="1231"/>
      <c r="E367" s="1231"/>
      <c r="F367" s="1231"/>
      <c r="I367" s="391"/>
    </row>
    <row r="368" spans="1:9">
      <c r="A368" s="377"/>
      <c r="B368" s="377"/>
      <c r="C368" s="377"/>
      <c r="D368" s="1231"/>
      <c r="E368" s="1231"/>
      <c r="F368" s="1231"/>
      <c r="I368" s="391"/>
    </row>
    <row r="369" spans="1:9">
      <c r="A369" s="377"/>
      <c r="B369" s="377"/>
      <c r="C369" s="377"/>
      <c r="D369" s="1231"/>
      <c r="E369" s="1231"/>
      <c r="F369" s="1231"/>
      <c r="I369" s="391"/>
    </row>
    <row r="370" spans="1:9">
      <c r="A370" s="377"/>
      <c r="B370" s="377"/>
      <c r="C370" s="377"/>
      <c r="D370" s="1231"/>
      <c r="E370" s="1231"/>
      <c r="F370" s="1231"/>
      <c r="I370" s="391"/>
    </row>
    <row r="371" spans="1:9">
      <c r="A371" s="377"/>
      <c r="B371" s="377"/>
      <c r="C371" s="377"/>
      <c r="D371" s="1231"/>
      <c r="E371" s="1231"/>
      <c r="F371" s="1231"/>
      <c r="I371" s="391"/>
    </row>
    <row r="372" spans="1:9">
      <c r="A372" s="377"/>
      <c r="B372" s="377"/>
      <c r="C372" s="377"/>
      <c r="D372" s="1231"/>
      <c r="E372" s="1231"/>
      <c r="F372" s="1231"/>
      <c r="I372" s="391"/>
    </row>
    <row r="373" spans="1:9">
      <c r="A373" s="377"/>
      <c r="B373" s="377"/>
      <c r="C373" s="377"/>
      <c r="D373" s="1231"/>
      <c r="E373" s="1231"/>
      <c r="F373" s="1231"/>
      <c r="I373" s="391"/>
    </row>
    <row r="374" spans="1:9">
      <c r="A374" s="377"/>
      <c r="B374" s="377"/>
      <c r="C374" s="377"/>
      <c r="D374" s="353"/>
      <c r="E374" s="353"/>
      <c r="F374" s="353"/>
      <c r="I374" s="391"/>
    </row>
    <row r="375" spans="1:9" ht="12.45" customHeight="1">
      <c r="A375" s="377"/>
      <c r="B375" s="386" t="s">
        <v>2778</v>
      </c>
      <c r="C375" s="377"/>
      <c r="D375" s="1248" t="s">
        <v>413</v>
      </c>
      <c r="E375" s="1248"/>
      <c r="F375" s="1248"/>
      <c r="I375" s="391"/>
    </row>
    <row r="376" spans="1:9">
      <c r="A376" s="377"/>
      <c r="B376" s="377"/>
      <c r="C376" s="377"/>
      <c r="D376" s="1248"/>
      <c r="E376" s="1248"/>
      <c r="F376" s="1248"/>
      <c r="I376" s="391"/>
    </row>
    <row r="377" spans="1:9">
      <c r="A377" s="377"/>
      <c r="B377" s="377"/>
      <c r="C377" s="377"/>
      <c r="D377" s="1248"/>
      <c r="E377" s="1248"/>
      <c r="F377" s="1248"/>
      <c r="I377" s="391"/>
    </row>
    <row r="378" spans="1:9">
      <c r="A378" s="377"/>
      <c r="B378" s="377"/>
      <c r="C378" s="377"/>
      <c r="D378" s="1248"/>
      <c r="E378" s="1248"/>
      <c r="F378" s="1248"/>
      <c r="I378" s="391"/>
    </row>
    <row r="379" spans="1:9">
      <c r="A379" s="377"/>
      <c r="B379" s="377"/>
      <c r="C379" s="377"/>
      <c r="D379" s="424"/>
      <c r="E379" s="424"/>
      <c r="F379" s="424"/>
      <c r="I379" s="391"/>
    </row>
    <row r="380" spans="1:9">
      <c r="A380" s="377"/>
      <c r="B380" s="386" t="s">
        <v>2779</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4">
      <c r="A387" s="385"/>
      <c r="B387" s="386" t="s">
        <v>2779</v>
      </c>
      <c r="C387" s="377"/>
      <c r="D387" s="1231" t="s">
        <v>420</v>
      </c>
      <c r="E387" s="1231"/>
      <c r="F387" s="1231"/>
      <c r="I387" s="391"/>
    </row>
    <row r="388" spans="1:9">
      <c r="A388" s="377"/>
      <c r="B388" s="377"/>
      <c r="C388" s="377"/>
      <c r="D388" s="1231"/>
      <c r="E388" s="1231"/>
      <c r="F388" s="1231"/>
      <c r="I388" s="391"/>
    </row>
    <row r="389" spans="1:9">
      <c r="A389" s="377"/>
      <c r="B389" s="377"/>
      <c r="C389" s="377"/>
      <c r="D389" s="1231"/>
      <c r="E389" s="1231"/>
      <c r="F389" s="1231"/>
      <c r="I389" s="391"/>
    </row>
    <row r="390" spans="1:9">
      <c r="A390" s="377"/>
      <c r="B390" s="377"/>
      <c r="C390" s="377"/>
      <c r="D390" s="1231"/>
      <c r="E390" s="1231"/>
      <c r="F390" s="1231"/>
      <c r="I390" s="391"/>
    </row>
    <row r="391" spans="1:9">
      <c r="A391" s="377"/>
      <c r="B391" s="377"/>
      <c r="C391" s="377"/>
      <c r="D391" s="349"/>
      <c r="E391" s="349"/>
      <c r="F391" s="348"/>
      <c r="I391" s="391"/>
    </row>
    <row r="392" spans="1:9">
      <c r="A392" s="377"/>
      <c r="B392" s="377"/>
      <c r="C392" s="377"/>
      <c r="D392" s="1231" t="s">
        <v>421</v>
      </c>
      <c r="E392" s="1231"/>
      <c r="F392" s="1231"/>
      <c r="I392" s="391"/>
    </row>
    <row r="393" spans="1:9">
      <c r="A393" s="377"/>
      <c r="B393" s="377"/>
      <c r="C393" s="377"/>
      <c r="D393" s="1231"/>
      <c r="E393" s="1231"/>
      <c r="F393" s="1231"/>
      <c r="I393" s="391"/>
    </row>
    <row r="394" spans="1:9">
      <c r="A394" s="377"/>
      <c r="B394" s="377"/>
      <c r="C394" s="377"/>
      <c r="D394" s="1231"/>
      <c r="E394" s="1231"/>
      <c r="F394" s="1231"/>
      <c r="I394" s="391"/>
    </row>
    <row r="395" spans="1:9">
      <c r="A395" s="377"/>
      <c r="B395" s="377"/>
      <c r="C395" s="377"/>
      <c r="D395" s="1231"/>
      <c r="E395" s="1231"/>
      <c r="F395" s="1231"/>
      <c r="I395" s="391"/>
    </row>
    <row r="396" spans="1:9" ht="18" customHeight="1">
      <c r="A396" s="377"/>
      <c r="B396" s="377"/>
      <c r="C396" s="377"/>
      <c r="D396" s="1231"/>
      <c r="E396" s="1231"/>
      <c r="F396" s="1231"/>
      <c r="I396" s="391"/>
    </row>
    <row r="397" spans="1:9">
      <c r="A397" s="377"/>
      <c r="B397" s="377"/>
      <c r="C397" s="377"/>
      <c r="D397" s="1231"/>
      <c r="E397" s="1231"/>
      <c r="F397" s="1231"/>
      <c r="I397" s="391"/>
    </row>
    <row r="398" spans="1:9">
      <c r="A398" s="377"/>
      <c r="B398" s="377"/>
      <c r="C398" s="377"/>
      <c r="D398" s="1231"/>
      <c r="E398" s="1231"/>
      <c r="F398" s="1231"/>
      <c r="I398" s="391"/>
    </row>
    <row r="399" spans="1:9">
      <c r="A399" s="377"/>
      <c r="B399" s="377"/>
      <c r="C399" s="377"/>
      <c r="D399" s="1231"/>
      <c r="E399" s="1231"/>
      <c r="F399" s="1231"/>
      <c r="I399" s="391"/>
    </row>
    <row r="400" spans="1:9" ht="8.25" customHeight="1">
      <c r="A400" s="377"/>
      <c r="B400" s="377"/>
      <c r="C400" s="377"/>
      <c r="D400" s="1231"/>
      <c r="E400" s="1231"/>
      <c r="F400" s="1231"/>
      <c r="I400" s="391"/>
    </row>
    <row r="401" spans="1:9" ht="13.65" customHeight="1">
      <c r="A401" s="377"/>
      <c r="B401" s="377"/>
      <c r="C401" s="377"/>
      <c r="D401" s="1231" t="s">
        <v>422</v>
      </c>
      <c r="E401" s="1231"/>
      <c r="F401" s="1231"/>
      <c r="I401" s="391"/>
    </row>
    <row r="402" spans="1:9">
      <c r="A402" s="377"/>
      <c r="B402" s="377"/>
      <c r="C402" s="377"/>
      <c r="D402" s="1231"/>
      <c r="E402" s="1231"/>
      <c r="F402" s="1231"/>
      <c r="I402" s="391"/>
    </row>
    <row r="403" spans="1:9">
      <c r="A403" s="377"/>
      <c r="B403" s="377"/>
      <c r="C403" s="377"/>
      <c r="D403" s="1231"/>
      <c r="E403" s="1231"/>
      <c r="F403" s="1231"/>
      <c r="I403" s="391"/>
    </row>
    <row r="404" spans="1:9">
      <c r="A404" s="377"/>
      <c r="B404" s="377"/>
      <c r="C404" s="377"/>
      <c r="D404" s="1231"/>
      <c r="E404" s="1231"/>
      <c r="F404" s="1231"/>
      <c r="I404" s="391"/>
    </row>
    <row r="405" spans="1:9">
      <c r="A405" s="377"/>
      <c r="B405" s="377"/>
      <c r="C405" s="377"/>
      <c r="D405" s="1231"/>
      <c r="E405" s="1231"/>
      <c r="F405" s="1231"/>
      <c r="I405" s="391"/>
    </row>
    <row r="406" spans="1:9">
      <c r="A406" s="377"/>
      <c r="B406" s="377"/>
      <c r="C406" s="377"/>
      <c r="D406" s="1231"/>
      <c r="E406" s="1231"/>
      <c r="F406" s="1231"/>
      <c r="I406" s="391"/>
    </row>
    <row r="407" spans="1:9">
      <c r="A407" s="377"/>
      <c r="B407" s="377"/>
      <c r="C407" s="377"/>
      <c r="D407" s="1231"/>
      <c r="E407" s="1231"/>
      <c r="F407" s="1231"/>
      <c r="I407" s="391"/>
    </row>
    <row r="408" spans="1:9">
      <c r="A408" s="377"/>
      <c r="B408" s="377"/>
      <c r="C408" s="377"/>
      <c r="D408" s="1231"/>
      <c r="E408" s="1231"/>
      <c r="F408" s="1231"/>
      <c r="I408" s="391"/>
    </row>
    <row r="409" spans="1:9">
      <c r="A409" s="377"/>
      <c r="B409" s="377"/>
      <c r="C409" s="377"/>
      <c r="D409" s="1231"/>
      <c r="E409" s="1231"/>
      <c r="F409" s="1231"/>
      <c r="I409" s="391"/>
    </row>
    <row r="410" spans="1:9">
      <c r="A410" s="377"/>
      <c r="B410" s="377"/>
      <c r="C410" s="377"/>
      <c r="D410" s="1231"/>
      <c r="E410" s="1231"/>
      <c r="F410" s="1231"/>
      <c r="I410" s="391"/>
    </row>
    <row r="411" spans="1:9">
      <c r="A411" s="377"/>
      <c r="B411" s="377"/>
      <c r="C411" s="377"/>
      <c r="D411" s="1231"/>
      <c r="E411" s="1231"/>
      <c r="F411" s="1231"/>
      <c r="I411" s="391"/>
    </row>
    <row r="412" spans="1:9">
      <c r="A412" s="377"/>
      <c r="B412" s="377"/>
      <c r="C412" s="377"/>
      <c r="D412" s="1231"/>
      <c r="E412" s="1231"/>
      <c r="F412" s="1231"/>
      <c r="I412" s="391"/>
    </row>
    <row r="413" spans="1:9">
      <c r="A413" s="377"/>
      <c r="B413" s="377"/>
      <c r="C413" s="397"/>
      <c r="D413" s="1231"/>
      <c r="E413" s="1231"/>
      <c r="F413" s="1231"/>
      <c r="I413" s="391"/>
    </row>
    <row r="414" spans="1:9">
      <c r="A414" s="377"/>
      <c r="B414" s="377"/>
      <c r="C414" s="397"/>
      <c r="D414" s="1231"/>
      <c r="E414" s="1231"/>
      <c r="F414" s="1231"/>
      <c r="I414" s="391"/>
    </row>
    <row r="415" spans="1:9">
      <c r="A415" s="377"/>
      <c r="B415" s="377"/>
      <c r="C415" s="377"/>
      <c r="D415" s="1231"/>
      <c r="E415" s="1231"/>
      <c r="F415" s="1231"/>
      <c r="I415" s="391"/>
    </row>
    <row r="416" spans="1:9">
      <c r="A416" s="377"/>
      <c r="B416" s="377"/>
      <c r="C416" s="397"/>
      <c r="D416" s="1231"/>
      <c r="E416" s="1231"/>
      <c r="F416" s="1231"/>
      <c r="I416" s="391"/>
    </row>
    <row r="417" spans="1:9">
      <c r="A417" s="377"/>
      <c r="B417" s="377"/>
      <c r="C417" s="397"/>
      <c r="D417" s="1231"/>
      <c r="E417" s="1231"/>
      <c r="F417" s="1231"/>
      <c r="I417" s="391"/>
    </row>
    <row r="418" spans="1:9">
      <c r="A418" s="377"/>
      <c r="B418" s="377"/>
      <c r="C418" s="397"/>
      <c r="D418" s="1231"/>
      <c r="E418" s="1231"/>
      <c r="F418" s="1231"/>
      <c r="I418" s="391"/>
    </row>
    <row r="419" spans="1:9">
      <c r="A419" s="377"/>
      <c r="B419" s="377"/>
      <c r="C419" s="377"/>
      <c r="D419" s="349"/>
      <c r="E419" s="349"/>
      <c r="F419" s="348"/>
      <c r="I419" s="391"/>
    </row>
    <row r="420" spans="1:9">
      <c r="A420" s="377"/>
      <c r="B420" s="386" t="s">
        <v>2778</v>
      </c>
      <c r="C420" s="377"/>
      <c r="D420" s="1231" t="s">
        <v>423</v>
      </c>
      <c r="E420" s="1231"/>
      <c r="F420" s="1231"/>
      <c r="I420" s="391"/>
    </row>
    <row r="421" spans="1:9">
      <c r="A421" s="377"/>
      <c r="B421" s="377"/>
      <c r="C421" s="377"/>
      <c r="D421" s="1231"/>
      <c r="E421" s="1231"/>
      <c r="F421" s="1231"/>
      <c r="I421" s="391"/>
    </row>
    <row r="422" spans="1:9">
      <c r="A422" s="377"/>
      <c r="B422" s="377"/>
      <c r="C422" s="377"/>
      <c r="D422" s="353"/>
      <c r="E422" s="353"/>
      <c r="F422" s="353"/>
      <c r="I422" s="391"/>
    </row>
    <row r="423" spans="1:9" ht="14.4" customHeight="1">
      <c r="A423" s="385"/>
      <c r="B423" s="386" t="s">
        <v>2778</v>
      </c>
      <c r="D423" s="1231" t="s">
        <v>424</v>
      </c>
      <c r="E423" s="1231"/>
      <c r="F423" s="1231"/>
      <c r="I423" s="391"/>
    </row>
    <row r="424" spans="1:9" ht="14.4" customHeight="1">
      <c r="A424" s="385"/>
      <c r="D424" s="1231"/>
      <c r="E424" s="1231"/>
      <c r="F424" s="1231"/>
      <c r="I424" s="391"/>
    </row>
    <row r="425" spans="1:9" ht="14.4" customHeight="1">
      <c r="A425" s="385"/>
      <c r="D425" s="1231"/>
      <c r="E425" s="1231"/>
      <c r="F425" s="1231"/>
      <c r="I425" s="391"/>
    </row>
    <row r="426" spans="1:9" ht="14.4" customHeight="1">
      <c r="A426" s="385"/>
      <c r="D426" s="1231"/>
      <c r="E426" s="1231"/>
      <c r="F426" s="1231"/>
      <c r="I426" s="391"/>
    </row>
    <row r="427" spans="1:9" ht="14.4" customHeight="1">
      <c r="A427" s="385"/>
      <c r="D427" s="1231"/>
      <c r="E427" s="1231"/>
      <c r="F427" s="1231"/>
      <c r="I427" s="391"/>
    </row>
    <row r="428" spans="1:9" ht="14.4" customHeight="1">
      <c r="A428" s="385"/>
      <c r="D428" s="288"/>
      <c r="E428" s="288"/>
      <c r="F428" s="288"/>
      <c r="I428" s="391"/>
    </row>
    <row r="429" spans="1:9" ht="13.65" customHeight="1">
      <c r="A429" s="385"/>
      <c r="B429" s="386" t="s">
        <v>2778</v>
      </c>
      <c r="C429" s="377"/>
      <c r="D429" s="1231" t="s">
        <v>425</v>
      </c>
      <c r="E429" s="1231"/>
      <c r="F429" s="1231"/>
      <c r="I429" s="391"/>
    </row>
    <row r="430" spans="1:9" ht="14.4">
      <c r="A430" s="398"/>
      <c r="B430" s="398"/>
      <c r="C430" s="377"/>
      <c r="D430" s="1231"/>
      <c r="E430" s="1231"/>
      <c r="F430" s="1231"/>
      <c r="I430" s="391"/>
    </row>
    <row r="431" spans="1:9" ht="14.4">
      <c r="A431" s="398"/>
      <c r="B431" s="398"/>
      <c r="C431" s="377"/>
      <c r="D431" s="1231"/>
      <c r="E431" s="1231"/>
      <c r="F431" s="1231"/>
      <c r="I431" s="391"/>
    </row>
    <row r="432" spans="1:9" ht="14.4">
      <c r="A432" s="398"/>
      <c r="B432" s="398"/>
      <c r="C432" s="377"/>
      <c r="D432" s="1231"/>
      <c r="E432" s="1231"/>
      <c r="F432" s="1231"/>
      <c r="I432" s="391"/>
    </row>
    <row r="433" spans="1:9" ht="15.75" customHeight="1">
      <c r="A433" s="398"/>
      <c r="B433" s="398"/>
      <c r="C433" s="377"/>
      <c r="D433" s="1258" t="s">
        <v>426</v>
      </c>
      <c r="E433" s="1231"/>
      <c r="F433" s="1231"/>
      <c r="I433" s="391"/>
    </row>
    <row r="434" spans="1:9">
      <c r="D434" s="348"/>
      <c r="E434" s="348"/>
      <c r="F434" s="348"/>
      <c r="I434" s="391"/>
    </row>
    <row r="435" spans="1:9" ht="14.4">
      <c r="A435" s="385"/>
      <c r="B435" s="386" t="s">
        <v>2779</v>
      </c>
      <c r="C435" s="388"/>
      <c r="D435" s="1252" t="s">
        <v>427</v>
      </c>
      <c r="E435" s="1252"/>
      <c r="F435" s="1252"/>
      <c r="I435" s="391"/>
    </row>
    <row r="436" spans="1:9" ht="14.4">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65" customHeight="1">
      <c r="D465" s="1252"/>
      <c r="E465" s="1252"/>
      <c r="F465" s="1252"/>
      <c r="I465" s="391"/>
    </row>
    <row r="466" spans="1:9">
      <c r="D466" s="348"/>
      <c r="E466" s="348"/>
      <c r="F466" s="348"/>
      <c r="I466" s="391"/>
    </row>
    <row r="467" spans="1:9" ht="14.4">
      <c r="A467" s="385"/>
      <c r="B467" s="386" t="s">
        <v>2779</v>
      </c>
      <c r="C467" s="388"/>
      <c r="D467" s="1252" t="s">
        <v>428</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ht="14.4">
      <c r="B471" s="386" t="s">
        <v>2778</v>
      </c>
      <c r="C471" s="385"/>
      <c r="D471" s="1252" t="s">
        <v>429</v>
      </c>
      <c r="E471" s="1252"/>
      <c r="F471" s="1252"/>
      <c r="I471" s="391"/>
    </row>
    <row r="472" spans="1:9">
      <c r="D472" s="1252"/>
      <c r="E472" s="1252"/>
      <c r="F472" s="1252"/>
      <c r="I472" s="391"/>
    </row>
    <row r="473" spans="1:9">
      <c r="D473" s="348"/>
      <c r="E473" s="348"/>
      <c r="F473" s="348"/>
      <c r="I473" s="391"/>
    </row>
    <row r="474" spans="1:9" ht="14.4">
      <c r="B474" s="386" t="s">
        <v>2778</v>
      </c>
      <c r="C474" s="385"/>
      <c r="D474" s="1252" t="s">
        <v>430</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2778</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2779</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2779</v>
      </c>
      <c r="C486" s="305"/>
      <c r="D486" s="1252"/>
      <c r="E486" s="1252"/>
      <c r="F486" s="1252"/>
      <c r="I486" s="391"/>
    </row>
    <row r="487" spans="1:9">
      <c r="A487" s="305"/>
      <c r="C487" s="305"/>
      <c r="D487" s="1252"/>
      <c r="E487" s="1252"/>
      <c r="F487" s="1252"/>
      <c r="I487" s="391"/>
    </row>
    <row r="488" spans="1:9">
      <c r="A488" s="305"/>
      <c r="B488" s="386" t="s">
        <v>2779</v>
      </c>
      <c r="C488" s="305"/>
      <c r="D488" s="1252" t="s">
        <v>431</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2779</v>
      </c>
      <c r="D494" s="1253" t="s">
        <v>432</v>
      </c>
      <c r="E494" s="1253"/>
      <c r="F494" s="1253"/>
      <c r="I494" s="391"/>
    </row>
    <row r="495" spans="1:9">
      <c r="A495" s="348"/>
      <c r="B495" s="348"/>
      <c r="I495" s="391"/>
    </row>
    <row r="496" spans="1:9">
      <c r="A496" s="1255" t="s">
        <v>433</v>
      </c>
      <c r="B496" s="1255"/>
      <c r="C496" s="1255"/>
      <c r="D496" s="1255"/>
      <c r="E496" s="1255"/>
      <c r="F496" s="1255"/>
      <c r="G496" s="1255"/>
      <c r="H496" s="914"/>
      <c r="I496" s="1035"/>
    </row>
    <row r="497" spans="1:9">
      <c r="A497" s="348"/>
      <c r="B497" s="348"/>
      <c r="I497" s="391"/>
    </row>
    <row r="498" spans="1:9">
      <c r="D498" s="1265" t="s">
        <v>434</v>
      </c>
      <c r="E498" s="1265"/>
      <c r="F498" s="1265"/>
      <c r="I498" s="391"/>
    </row>
    <row r="499" spans="1:9" ht="14.4">
      <c r="A499" s="385"/>
      <c r="B499" s="385"/>
      <c r="D499" s="1266" t="s">
        <v>435</v>
      </c>
      <c r="E499" s="1266"/>
      <c r="F499" s="1266"/>
      <c r="I499" s="391"/>
    </row>
    <row r="500" spans="1:9" ht="14.4">
      <c r="A500" s="385"/>
      <c r="B500" s="385"/>
      <c r="D500" s="349"/>
      <c r="I500" s="391"/>
    </row>
    <row r="501" spans="1:9" ht="14.4">
      <c r="A501" s="385"/>
      <c r="B501" s="386" t="s">
        <v>2778</v>
      </c>
      <c r="D501" s="1231" t="s">
        <v>436</v>
      </c>
      <c r="E501" s="1231"/>
      <c r="F501" s="1231"/>
      <c r="I501" s="391"/>
    </row>
    <row r="502" spans="1:9" ht="14.4">
      <c r="A502" s="385"/>
      <c r="B502" s="385"/>
      <c r="D502" s="1231"/>
      <c r="E502" s="1231"/>
      <c r="F502" s="1231"/>
      <c r="I502" s="391"/>
    </row>
    <row r="503" spans="1:9" ht="14.4">
      <c r="A503" s="385"/>
      <c r="B503" s="385"/>
      <c r="D503" s="348"/>
      <c r="I503" s="391"/>
    </row>
    <row r="504" spans="1:9" ht="12.75" customHeight="1">
      <c r="B504" s="386" t="s">
        <v>2778</v>
      </c>
      <c r="D504" s="1256" t="s">
        <v>437</v>
      </c>
      <c r="E504" s="1256"/>
      <c r="F504" s="1256"/>
      <c r="I504" s="391"/>
    </row>
    <row r="505" spans="1:9" ht="14.4">
      <c r="A505" s="385"/>
      <c r="D505" s="1256"/>
      <c r="E505" s="1256"/>
      <c r="F505" s="1256"/>
      <c r="I505" s="391"/>
    </row>
    <row r="506" spans="1:9" ht="14.4">
      <c r="A506" s="385"/>
      <c r="B506" s="385"/>
      <c r="D506" s="1256"/>
      <c r="E506" s="1256"/>
      <c r="F506" s="1256"/>
      <c r="I506" s="391"/>
    </row>
    <row r="507" spans="1:9" ht="14.4">
      <c r="A507" s="385"/>
      <c r="B507" s="385"/>
      <c r="D507" s="1256"/>
      <c r="E507" s="1256"/>
      <c r="F507" s="1256"/>
      <c r="I507" s="391"/>
    </row>
    <row r="508" spans="1:9" ht="14.4">
      <c r="A508" s="385"/>
      <c r="D508" s="420"/>
      <c r="E508" s="420"/>
      <c r="F508" s="420"/>
      <c r="I508" s="391"/>
    </row>
    <row r="509" spans="1:9" ht="14.4">
      <c r="A509" s="385"/>
      <c r="B509" s="386" t="s">
        <v>2778</v>
      </c>
      <c r="D509" s="1253" t="s">
        <v>438</v>
      </c>
      <c r="E509" s="1253"/>
      <c r="F509" s="1253"/>
      <c r="I509" s="391"/>
    </row>
    <row r="510" spans="1:9" ht="14.4">
      <c r="A510" s="385"/>
      <c r="B510" s="385"/>
      <c r="D510" s="348"/>
      <c r="I510" s="391"/>
    </row>
    <row r="511" spans="1:9" ht="14.4">
      <c r="A511" s="385"/>
      <c r="B511" s="386" t="s">
        <v>2778</v>
      </c>
      <c r="D511" s="1252" t="s">
        <v>439</v>
      </c>
      <c r="E511" s="1252"/>
      <c r="F511" s="1252"/>
      <c r="I511" s="391"/>
    </row>
    <row r="512" spans="1:9" ht="14.4">
      <c r="A512" s="385"/>
      <c r="D512" s="1252"/>
      <c r="E512" s="1252"/>
      <c r="F512" s="1252"/>
      <c r="I512" s="391"/>
    </row>
    <row r="513" spans="1:9">
      <c r="A513" s="391"/>
      <c r="B513" s="391"/>
      <c r="D513" s="349"/>
      <c r="I513" s="391"/>
    </row>
    <row r="514" spans="1:9">
      <c r="A514" s="391"/>
      <c r="B514" s="386" t="s">
        <v>2779</v>
      </c>
      <c r="D514" s="1253" t="s">
        <v>440</v>
      </c>
      <c r="E514" s="1253"/>
      <c r="F514" s="1253"/>
      <c r="I514" s="391"/>
    </row>
    <row r="515" spans="1:9">
      <c r="D515" s="348"/>
      <c r="E515" s="348"/>
      <c r="F515" s="348"/>
      <c r="I515" s="391"/>
    </row>
    <row r="516" spans="1:9">
      <c r="B516" s="386" t="s">
        <v>2778</v>
      </c>
      <c r="D516" s="1252" t="s">
        <v>441</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ht="14.4">
      <c r="A520" s="385"/>
      <c r="B520" s="385"/>
      <c r="D520" s="348"/>
      <c r="I520" s="391"/>
    </row>
    <row r="521" spans="1:9">
      <c r="A521" s="1255" t="s">
        <v>442</v>
      </c>
      <c r="B521" s="1255"/>
      <c r="C521" s="1255"/>
      <c r="D521" s="1255"/>
      <c r="E521" s="1255"/>
      <c r="F521" s="1255"/>
      <c r="G521" s="1255"/>
      <c r="H521" s="914"/>
      <c r="I521" s="1035"/>
    </row>
    <row r="522" spans="1:9" ht="12" customHeight="1">
      <c r="A522" s="385"/>
      <c r="B522" s="385"/>
      <c r="D522" s="348"/>
      <c r="I522" s="391"/>
    </row>
    <row r="523" spans="1:9">
      <c r="C523" s="383"/>
      <c r="D523" s="1261" t="s">
        <v>443</v>
      </c>
      <c r="E523" s="1261"/>
      <c r="F523" s="1261"/>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65" customHeight="1">
      <c r="A527" s="384"/>
      <c r="B527" s="386" t="s">
        <v>2778</v>
      </c>
      <c r="C527" s="384"/>
      <c r="D527" s="1231" t="s">
        <v>446</v>
      </c>
      <c r="E527" s="1231"/>
      <c r="F527" s="1231"/>
      <c r="I527" s="391"/>
    </row>
    <row r="528" spans="1:9">
      <c r="A528" s="384"/>
      <c r="B528" s="384"/>
      <c r="C528" s="384"/>
      <c r="D528" s="1231"/>
      <c r="E528" s="1231"/>
      <c r="F528" s="1231"/>
      <c r="I528" s="391"/>
    </row>
    <row r="529" spans="1:9">
      <c r="A529" s="384"/>
      <c r="B529" s="384"/>
      <c r="C529" s="384"/>
      <c r="D529" s="353"/>
      <c r="E529" s="353"/>
      <c r="F529" s="353"/>
      <c r="I529" s="381"/>
    </row>
    <row r="530" spans="1:9" ht="12.75" customHeight="1">
      <c r="A530" s="384"/>
      <c r="B530" s="386" t="s">
        <v>2779</v>
      </c>
      <c r="D530" s="289" t="s">
        <v>447</v>
      </c>
      <c r="E530" s="288"/>
      <c r="F530" s="288"/>
      <c r="I530" s="391"/>
    </row>
    <row r="531" spans="1:9">
      <c r="A531" s="384"/>
      <c r="B531" s="384"/>
      <c r="C531" s="384"/>
      <c r="D531" s="288"/>
      <c r="E531" s="71" t="s">
        <v>448</v>
      </c>
      <c r="I531" s="391"/>
    </row>
    <row r="532" spans="1:9">
      <c r="A532" s="384"/>
      <c r="B532" s="384"/>
      <c r="D532" s="1248" t="s">
        <v>449</v>
      </c>
      <c r="E532" s="1248"/>
      <c r="F532" s="1248"/>
      <c r="I532" s="391"/>
    </row>
    <row r="533" spans="1:9">
      <c r="A533" s="384"/>
      <c r="B533" s="384"/>
      <c r="D533" s="1248"/>
      <c r="E533" s="1248"/>
      <c r="F533" s="1248"/>
      <c r="I533" s="391"/>
    </row>
    <row r="534" spans="1:9">
      <c r="A534" s="384"/>
      <c r="B534" s="384"/>
      <c r="C534" s="384"/>
      <c r="D534" s="1248"/>
      <c r="E534" s="1248"/>
      <c r="F534" s="1248"/>
      <c r="I534" s="391"/>
    </row>
    <row r="535" spans="1:9">
      <c r="A535" s="384"/>
      <c r="B535" s="384"/>
      <c r="C535" s="384"/>
      <c r="D535" s="399"/>
      <c r="F535" s="348"/>
      <c r="I535" s="391"/>
    </row>
    <row r="536" spans="1:9" ht="13.2" customHeight="1">
      <c r="A536" s="384"/>
      <c r="B536" s="386" t="s">
        <v>2779</v>
      </c>
      <c r="C536" s="384"/>
      <c r="D536" s="1252" t="s">
        <v>450</v>
      </c>
      <c r="E536" s="1252"/>
      <c r="F536" s="1252"/>
      <c r="I536" s="391"/>
    </row>
    <row r="537" spans="1:9" ht="13.2" customHeight="1">
      <c r="A537" s="384"/>
      <c r="B537" s="384"/>
      <c r="C537" s="384"/>
      <c r="D537" s="1252"/>
      <c r="E537" s="1252"/>
      <c r="F537" s="1252"/>
      <c r="I537" s="391"/>
    </row>
    <row r="538" spans="1:9">
      <c r="A538" s="384"/>
      <c r="B538" s="384"/>
      <c r="C538" s="384"/>
      <c r="D538" s="1252"/>
      <c r="E538" s="1252"/>
      <c r="F538" s="1252"/>
      <c r="I538" s="391"/>
    </row>
    <row r="539" spans="1:9" ht="12" customHeight="1">
      <c r="A539" s="348"/>
      <c r="B539" s="348"/>
      <c r="C539" s="388"/>
      <c r="D539" s="348"/>
      <c r="F539" s="350"/>
      <c r="I539" s="391"/>
    </row>
    <row r="540" spans="1:9">
      <c r="A540" s="1255" t="s">
        <v>451</v>
      </c>
      <c r="B540" s="1255"/>
      <c r="C540" s="1255"/>
      <c r="D540" s="1255"/>
      <c r="E540" s="1255"/>
      <c r="F540" s="1255"/>
      <c r="G540" s="1255"/>
      <c r="H540" s="914"/>
      <c r="I540" s="1035"/>
    </row>
    <row r="541" spans="1:9">
      <c r="A541" s="348"/>
      <c r="B541" s="348"/>
      <c r="C541" s="388"/>
      <c r="F541" s="350"/>
      <c r="I541" s="391"/>
    </row>
    <row r="542" spans="1:9">
      <c r="B542" s="1259" t="s">
        <v>349</v>
      </c>
      <c r="C542" s="1259"/>
      <c r="D542" s="1259"/>
      <c r="E542" s="1259"/>
      <c r="F542" s="1259"/>
      <c r="I542" s="391"/>
    </row>
    <row r="543" spans="1:9">
      <c r="A543" s="348"/>
      <c r="B543" s="348"/>
      <c r="C543" s="388"/>
      <c r="D543" s="348"/>
      <c r="F543" s="348"/>
      <c r="I543" s="391"/>
    </row>
    <row r="544" spans="1:9">
      <c r="A544" s="1260" t="s">
        <v>452</v>
      </c>
      <c r="B544" s="1260"/>
      <c r="C544" s="1260"/>
      <c r="D544" s="1260"/>
      <c r="E544" s="1260"/>
      <c r="F544" s="1260"/>
      <c r="G544" s="1260"/>
      <c r="H544" s="914"/>
      <c r="I544" s="1035"/>
    </row>
    <row r="545" spans="1:9">
      <c r="A545" s="348"/>
      <c r="B545" s="348"/>
      <c r="C545" s="388"/>
      <c r="D545" s="348"/>
      <c r="F545" s="348"/>
      <c r="I545" s="391"/>
    </row>
    <row r="546" spans="1:9">
      <c r="C546" s="388"/>
      <c r="D546" s="1261" t="s">
        <v>453</v>
      </c>
      <c r="E546" s="1261"/>
      <c r="F546" s="1261"/>
      <c r="I546" s="391"/>
    </row>
    <row r="547" spans="1:9">
      <c r="C547" s="388"/>
      <c r="D547" s="1253" t="s">
        <v>454</v>
      </c>
      <c r="E547" s="1253"/>
      <c r="F547" s="1253"/>
      <c r="I547" s="391"/>
    </row>
    <row r="548" spans="1:9">
      <c r="C548" s="388"/>
      <c r="D548" s="348"/>
      <c r="E548" s="348"/>
      <c r="F548" s="348"/>
      <c r="I548" s="391"/>
    </row>
    <row r="549" spans="1:9" ht="13.65" customHeight="1">
      <c r="A549" s="385"/>
      <c r="B549" s="386" t="s">
        <v>2778</v>
      </c>
      <c r="C549" s="388"/>
      <c r="D549" s="1253" t="s">
        <v>455</v>
      </c>
      <c r="E549" s="1253"/>
      <c r="F549" s="1253"/>
      <c r="I549" s="391"/>
    </row>
    <row r="550" spans="1:9" ht="13.65" customHeight="1">
      <c r="A550" s="388"/>
      <c r="B550" s="388"/>
      <c r="C550" s="388"/>
      <c r="D550" s="348"/>
      <c r="I550" s="391"/>
    </row>
    <row r="551" spans="1:9" ht="14.4">
      <c r="A551" s="385"/>
      <c r="B551" s="386" t="s">
        <v>2778</v>
      </c>
      <c r="C551" s="388"/>
      <c r="D551" s="1252" t="s">
        <v>456</v>
      </c>
      <c r="E551" s="1252"/>
      <c r="F551" s="1252"/>
      <c r="I551" s="391"/>
    </row>
    <row r="552" spans="1:9">
      <c r="A552" s="388"/>
      <c r="B552" s="388"/>
      <c r="C552" s="388"/>
      <c r="D552" s="1252"/>
      <c r="E552" s="1252"/>
      <c r="F552" s="1252"/>
      <c r="I552" s="391"/>
    </row>
    <row r="553" spans="1:9">
      <c r="A553" s="388"/>
      <c r="B553" s="388"/>
      <c r="C553" s="388"/>
      <c r="D553" s="348"/>
      <c r="E553" s="348"/>
      <c r="F553" s="348"/>
      <c r="I553" s="391"/>
    </row>
    <row r="554" spans="1:9" ht="14.4">
      <c r="A554" s="385"/>
      <c r="B554" s="386" t="s">
        <v>2778</v>
      </c>
      <c r="C554" s="388"/>
      <c r="D554" s="1252" t="s">
        <v>457</v>
      </c>
      <c r="E554" s="1252"/>
      <c r="F554" s="1252"/>
      <c r="I554" s="391"/>
    </row>
    <row r="555" spans="1:9">
      <c r="A555" s="388"/>
      <c r="B555" s="388"/>
      <c r="C555" s="388"/>
      <c r="D555" s="1252"/>
      <c r="E555" s="1252"/>
      <c r="F555" s="1252"/>
      <c r="I555" s="391"/>
    </row>
    <row r="556" spans="1:9">
      <c r="A556" s="388"/>
      <c r="B556" s="388"/>
      <c r="C556" s="388"/>
      <c r="D556" s="348"/>
      <c r="E556" s="348"/>
      <c r="F556" s="348"/>
      <c r="I556" s="391"/>
    </row>
    <row r="557" spans="1:9" ht="14.4">
      <c r="A557" s="385"/>
      <c r="B557" s="386" t="s">
        <v>2778</v>
      </c>
      <c r="C557" s="388"/>
      <c r="D557" s="1252" t="s">
        <v>458</v>
      </c>
      <c r="E557" s="1252"/>
      <c r="F557" s="1252"/>
      <c r="I557" s="391"/>
    </row>
    <row r="558" spans="1:9">
      <c r="A558" s="388"/>
      <c r="B558" s="388"/>
      <c r="C558" s="388"/>
      <c r="D558" s="1252"/>
      <c r="E558" s="1252"/>
      <c r="F558" s="1252"/>
      <c r="I558" s="391"/>
    </row>
    <row r="559" spans="1:9">
      <c r="A559" s="388"/>
      <c r="B559" s="388"/>
      <c r="C559" s="388"/>
      <c r="D559" s="348"/>
      <c r="E559" s="348"/>
      <c r="F559" s="348"/>
      <c r="I559" s="391"/>
    </row>
    <row r="560" spans="1:9" ht="14.4">
      <c r="A560" s="385"/>
      <c r="B560" s="386" t="s">
        <v>2778</v>
      </c>
      <c r="C560" s="388"/>
      <c r="D560" s="1252" t="s">
        <v>459</v>
      </c>
      <c r="E560" s="1252"/>
      <c r="F560" s="1252"/>
      <c r="I560" s="391"/>
    </row>
    <row r="561" spans="1:9">
      <c r="A561" s="388"/>
      <c r="B561" s="388"/>
      <c r="C561" s="388"/>
      <c r="D561" s="1252"/>
      <c r="E561" s="1252"/>
      <c r="F561" s="1252"/>
      <c r="I561" s="391"/>
    </row>
    <row r="562" spans="1:9">
      <c r="A562" s="388"/>
      <c r="B562" s="388"/>
      <c r="C562" s="388"/>
      <c r="D562" s="1252"/>
      <c r="E562" s="1252"/>
      <c r="F562" s="1252"/>
      <c r="I562" s="391"/>
    </row>
    <row r="563" spans="1:9">
      <c r="A563" s="388"/>
      <c r="B563" s="388"/>
      <c r="C563" s="388"/>
      <c r="D563" s="348"/>
      <c r="E563" s="348"/>
      <c r="F563" s="348"/>
      <c r="I563" s="391"/>
    </row>
    <row r="564" spans="1:9" ht="14.4">
      <c r="A564" s="385"/>
      <c r="B564" s="386" t="s">
        <v>2779</v>
      </c>
      <c r="C564" s="388"/>
      <c r="D564" s="1252" t="s">
        <v>460</v>
      </c>
      <c r="E564" s="1252"/>
      <c r="F564" s="1252"/>
      <c r="I564" s="391"/>
    </row>
    <row r="565" spans="1:9">
      <c r="A565" s="388"/>
      <c r="B565" s="388"/>
      <c r="C565" s="388"/>
      <c r="D565" s="1252"/>
      <c r="E565" s="1252"/>
      <c r="F565" s="1252"/>
      <c r="I565" s="391"/>
    </row>
    <row r="566" spans="1:9">
      <c r="A566" s="388"/>
      <c r="B566" s="388"/>
      <c r="C566" s="388"/>
      <c r="D566" s="348"/>
      <c r="E566" s="348"/>
      <c r="F566" s="348"/>
      <c r="I566" s="391"/>
    </row>
    <row r="567" spans="1:9" ht="14.4">
      <c r="A567" s="385"/>
      <c r="B567" s="386" t="s">
        <v>2778</v>
      </c>
      <c r="C567" s="388"/>
      <c r="D567" s="1252" t="s">
        <v>461</v>
      </c>
      <c r="E567" s="1252"/>
      <c r="F567" s="1252"/>
      <c r="I567" s="391"/>
    </row>
    <row r="568" spans="1:9">
      <c r="A568" s="388"/>
      <c r="B568" s="388"/>
      <c r="C568" s="388"/>
      <c r="D568" s="1252"/>
      <c r="E568" s="1252"/>
      <c r="F568" s="1252"/>
      <c r="I568" s="391"/>
    </row>
    <row r="569" spans="1:9">
      <c r="A569" s="388"/>
      <c r="B569" s="388"/>
      <c r="C569" s="388"/>
      <c r="D569" s="348"/>
      <c r="E569" s="348"/>
      <c r="F569" s="348"/>
      <c r="I569" s="391"/>
    </row>
    <row r="570" spans="1:9" ht="14.4">
      <c r="A570" s="385"/>
      <c r="B570" s="386" t="s">
        <v>2778</v>
      </c>
      <c r="C570" s="388"/>
      <c r="D570" s="1253" t="s">
        <v>462</v>
      </c>
      <c r="E570" s="1253"/>
      <c r="F570" s="1253"/>
      <c r="I570" s="391"/>
    </row>
    <row r="571" spans="1:9">
      <c r="A571" s="391"/>
      <c r="B571" s="391"/>
      <c r="C571" s="388"/>
      <c r="D571" s="1253" t="s">
        <v>463</v>
      </c>
      <c r="E571" s="1253"/>
      <c r="F571" s="1253"/>
      <c r="I571" s="391"/>
    </row>
    <row r="572" spans="1:9">
      <c r="A572" s="391"/>
      <c r="B572" s="391"/>
      <c r="C572" s="388"/>
      <c r="E572" s="71" t="s">
        <v>464</v>
      </c>
      <c r="F572" s="307"/>
      <c r="I572" s="391"/>
    </row>
    <row r="573" spans="1:9" ht="14.4">
      <c r="A573" s="385"/>
      <c r="B573" s="385"/>
      <c r="C573" s="388"/>
      <c r="E573" s="348"/>
      <c r="F573" s="348"/>
      <c r="I573" s="391"/>
    </row>
    <row r="574" spans="1:9" ht="14.4">
      <c r="A574" s="385"/>
      <c r="B574" s="386" t="s">
        <v>2778</v>
      </c>
      <c r="C574" s="388"/>
      <c r="D574" s="1253" t="s">
        <v>465</v>
      </c>
      <c r="E574" s="1253"/>
      <c r="F574" s="1253"/>
      <c r="I574" s="391"/>
    </row>
    <row r="575" spans="1:9">
      <c r="C575" s="388"/>
      <c r="D575" s="1252" t="s">
        <v>466</v>
      </c>
      <c r="E575" s="1252"/>
      <c r="F575" s="1252"/>
      <c r="I575" s="391"/>
    </row>
    <row r="576" spans="1:9">
      <c r="A576" s="388"/>
      <c r="B576" s="388"/>
      <c r="C576" s="388"/>
      <c r="D576" s="1252"/>
      <c r="E576" s="1252"/>
      <c r="F576" s="1252"/>
      <c r="I576" s="391"/>
    </row>
    <row r="577" spans="1:9">
      <c r="A577" s="388"/>
      <c r="B577" s="388"/>
      <c r="C577" s="388"/>
      <c r="D577" s="1252"/>
      <c r="E577" s="1252"/>
      <c r="F577" s="1252"/>
      <c r="I577" s="391"/>
    </row>
    <row r="578" spans="1:9">
      <c r="A578" s="388"/>
      <c r="B578" s="388"/>
      <c r="C578" s="388"/>
      <c r="D578" s="348"/>
      <c r="E578" s="348"/>
      <c r="F578" s="348"/>
      <c r="I578" s="391"/>
    </row>
    <row r="579" spans="1:9" ht="14.4">
      <c r="A579" s="385"/>
      <c r="B579" s="386" t="s">
        <v>2778</v>
      </c>
      <c r="C579" s="388"/>
      <c r="D579" s="1252" t="s">
        <v>467</v>
      </c>
      <c r="E579" s="1252"/>
      <c r="F579" s="1252"/>
      <c r="I579" s="391"/>
    </row>
    <row r="580" spans="1:9" ht="14.4">
      <c r="A580" s="385"/>
      <c r="B580" s="385"/>
      <c r="C580" s="388"/>
      <c r="D580" s="1252"/>
      <c r="E580" s="1252"/>
      <c r="F580" s="1252"/>
      <c r="I580" s="391"/>
    </row>
    <row r="581" spans="1:9" ht="14.4">
      <c r="A581" s="385"/>
      <c r="B581" s="385"/>
      <c r="C581" s="388"/>
      <c r="D581" s="1252"/>
      <c r="E581" s="1252"/>
      <c r="F581" s="1252"/>
      <c r="I581" s="391"/>
    </row>
    <row r="582" spans="1:9" ht="14.4">
      <c r="A582" s="385"/>
      <c r="B582" s="385"/>
      <c r="C582" s="388"/>
      <c r="D582" s="1252"/>
      <c r="E582" s="1252"/>
      <c r="F582" s="1252"/>
      <c r="I582" s="391"/>
    </row>
    <row r="583" spans="1:9" ht="14.4">
      <c r="A583" s="385"/>
      <c r="B583" s="385"/>
      <c r="C583" s="388"/>
      <c r="D583" s="348"/>
      <c r="E583" s="348"/>
      <c r="F583" s="348"/>
      <c r="I583" s="391"/>
    </row>
    <row r="584" spans="1:9">
      <c r="A584" s="1255" t="s">
        <v>468</v>
      </c>
      <c r="B584" s="1255"/>
      <c r="C584" s="1255"/>
      <c r="D584" s="1255"/>
      <c r="E584" s="1255"/>
      <c r="F584" s="1255"/>
      <c r="G584" s="1255"/>
      <c r="H584" s="914"/>
      <c r="I584" s="1035"/>
    </row>
    <row r="585" spans="1:9">
      <c r="A585" s="388"/>
      <c r="B585" s="388"/>
      <c r="C585" s="388"/>
      <c r="E585" s="348"/>
      <c r="F585" s="348"/>
      <c r="I585" s="391"/>
    </row>
    <row r="586" spans="1:9" ht="12.75" customHeight="1">
      <c r="C586" s="383"/>
      <c r="D586" s="1254" t="s">
        <v>469</v>
      </c>
      <c r="E586" s="1254"/>
      <c r="F586" s="1254"/>
      <c r="I586" s="391"/>
    </row>
    <row r="587" spans="1:9">
      <c r="A587" s="384"/>
      <c r="B587" s="384"/>
      <c r="C587" s="384"/>
      <c r="D587" s="1256" t="s">
        <v>470</v>
      </c>
      <c r="E587" s="1256"/>
      <c r="F587" s="1256"/>
      <c r="I587" s="391"/>
    </row>
    <row r="588" spans="1:9">
      <c r="A588" s="305"/>
      <c r="B588" s="305"/>
      <c r="C588" s="384"/>
      <c r="D588" s="400"/>
      <c r="I588" s="391"/>
    </row>
    <row r="589" spans="1:9" hidden="1">
      <c r="A589" s="384"/>
      <c r="B589" s="386" t="s">
        <v>311</v>
      </c>
      <c r="D589" s="1256" t="s">
        <v>471</v>
      </c>
      <c r="E589" s="1256"/>
      <c r="F589" s="1256"/>
      <c r="I589" s="391"/>
    </row>
    <row r="590" spans="1:9" hidden="1">
      <c r="A590" s="391"/>
      <c r="B590" s="391"/>
      <c r="D590" s="377"/>
      <c r="I590" s="391"/>
    </row>
    <row r="591" spans="1:9">
      <c r="A591" s="391"/>
      <c r="B591" s="386" t="s">
        <v>2778</v>
      </c>
      <c r="D591" s="1256" t="s">
        <v>472</v>
      </c>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91"/>
      <c r="D594" s="1256"/>
      <c r="E594" s="1256"/>
      <c r="F594" s="1256"/>
      <c r="I594" s="391"/>
    </row>
    <row r="595" spans="1:9">
      <c r="A595" s="391"/>
      <c r="B595" s="386" t="s">
        <v>2779</v>
      </c>
      <c r="D595" s="1256" t="s">
        <v>473</v>
      </c>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1256"/>
      <c r="E598" s="1256"/>
      <c r="F598" s="1256"/>
      <c r="I598" s="391"/>
    </row>
    <row r="599" spans="1:9">
      <c r="A599" s="391"/>
      <c r="B599" s="391"/>
      <c r="D599" s="343"/>
      <c r="E599" s="343"/>
      <c r="F599" s="343"/>
      <c r="I599" s="391"/>
    </row>
    <row r="600" spans="1:9">
      <c r="A600" s="391"/>
      <c r="B600" s="386" t="s">
        <v>2778</v>
      </c>
      <c r="D600" s="1256" t="s">
        <v>474</v>
      </c>
      <c r="E600" s="1256"/>
      <c r="F600" s="1256"/>
      <c r="I600" s="391"/>
    </row>
    <row r="601" spans="1:9">
      <c r="A601" s="391"/>
      <c r="B601" s="391"/>
      <c r="D601" s="1256"/>
      <c r="E601" s="1256"/>
      <c r="F601" s="1256"/>
      <c r="I601" s="391"/>
    </row>
    <row r="602" spans="1:9">
      <c r="A602" s="391"/>
      <c r="B602" s="391"/>
      <c r="D602" s="400"/>
      <c r="I602" s="391"/>
    </row>
    <row r="603" spans="1:9">
      <c r="A603" s="391"/>
      <c r="B603" s="386" t="s">
        <v>2779</v>
      </c>
      <c r="D603" s="1256" t="s">
        <v>475</v>
      </c>
      <c r="E603" s="1256"/>
      <c r="F603" s="1256"/>
      <c r="I603" s="391"/>
    </row>
    <row r="604" spans="1:9">
      <c r="A604" s="391"/>
      <c r="B604" s="391"/>
      <c r="D604" s="1256"/>
      <c r="E604" s="1256"/>
      <c r="F604" s="1256"/>
      <c r="I604" s="391"/>
    </row>
    <row r="605" spans="1:9" ht="14.4">
      <c r="A605" s="385"/>
      <c r="B605" s="385"/>
      <c r="D605" s="400"/>
      <c r="I605" s="391"/>
    </row>
    <row r="606" spans="1:9">
      <c r="A606" s="1255" t="s">
        <v>476</v>
      </c>
      <c r="B606" s="1255"/>
      <c r="C606" s="1255"/>
      <c r="D606" s="1255"/>
      <c r="E606" s="1255"/>
      <c r="F606" s="1255"/>
      <c r="G606" s="1255"/>
      <c r="H606" s="914"/>
      <c r="I606" s="1035"/>
    </row>
    <row r="607" spans="1:9">
      <c r="I607" s="391"/>
    </row>
    <row r="608" spans="1:9">
      <c r="D608" s="1261" t="s">
        <v>477</v>
      </c>
      <c r="E608" s="1261"/>
      <c r="F608" s="1261"/>
      <c r="I608" s="391"/>
    </row>
    <row r="609" spans="1:9">
      <c r="D609" s="1262" t="s">
        <v>478</v>
      </c>
      <c r="E609" s="1262"/>
      <c r="F609" s="1262"/>
      <c r="I609" s="391"/>
    </row>
    <row r="610" spans="1:9">
      <c r="D610" s="346"/>
      <c r="I610" s="391"/>
    </row>
    <row r="611" spans="1:9" ht="14.25" customHeight="1">
      <c r="A611" s="385"/>
      <c r="B611" s="386" t="s">
        <v>2779</v>
      </c>
      <c r="D611" s="1279" t="s">
        <v>479</v>
      </c>
      <c r="E611" s="1279"/>
      <c r="F611" s="1279"/>
      <c r="I611" s="391"/>
    </row>
    <row r="612" spans="1:9">
      <c r="D612" s="1279"/>
      <c r="E612" s="1279"/>
      <c r="F612" s="1279"/>
      <c r="I612" s="391"/>
    </row>
    <row r="613" spans="1:9">
      <c r="D613" s="288"/>
      <c r="E613" s="922" t="s">
        <v>480</v>
      </c>
      <c r="F613" s="288"/>
      <c r="I613" s="391"/>
    </row>
    <row r="614" spans="1:9">
      <c r="I614" s="391"/>
    </row>
    <row r="615" spans="1:9">
      <c r="A615" s="1255" t="s">
        <v>481</v>
      </c>
      <c r="B615" s="1255"/>
      <c r="C615" s="1255"/>
      <c r="D615" s="1255"/>
      <c r="E615" s="1255"/>
      <c r="F615" s="1255"/>
      <c r="G615" s="1255"/>
      <c r="H615" s="914"/>
      <c r="I615" s="1035"/>
    </row>
    <row r="616" spans="1:9">
      <c r="A616" s="348"/>
      <c r="B616" s="348"/>
      <c r="I616" s="391"/>
    </row>
    <row r="617" spans="1:9">
      <c r="A617" s="383"/>
      <c r="B617" s="383"/>
      <c r="C617" s="383"/>
      <c r="D617" s="1286" t="s">
        <v>482</v>
      </c>
      <c r="E617" s="1286"/>
      <c r="F617" s="1286"/>
      <c r="I617" s="391"/>
    </row>
    <row r="618" spans="1:9">
      <c r="A618" s="383"/>
      <c r="B618" s="383"/>
      <c r="C618" s="383"/>
      <c r="D618" s="1286"/>
      <c r="E618" s="1286"/>
      <c r="F618" s="1286"/>
      <c r="I618" s="391"/>
    </row>
    <row r="619" spans="1:9">
      <c r="C619" s="384"/>
      <c r="D619" s="1262" t="s">
        <v>483</v>
      </c>
      <c r="E619" s="1262"/>
      <c r="F619" s="1262"/>
      <c r="I619" s="391"/>
    </row>
    <row r="620" spans="1:9">
      <c r="C620" s="384"/>
      <c r="D620" s="346"/>
      <c r="E620" s="346"/>
      <c r="F620" s="346"/>
      <c r="I620" s="391"/>
    </row>
    <row r="621" spans="1:9">
      <c r="B621" s="386" t="s">
        <v>2778</v>
      </c>
      <c r="C621" s="384"/>
      <c r="D621" s="1268" t="s">
        <v>484</v>
      </c>
      <c r="E621" s="1268"/>
      <c r="F621" s="1268"/>
      <c r="I621" s="391"/>
    </row>
    <row r="622" spans="1:9">
      <c r="C622" s="384"/>
      <c r="D622" s="346"/>
      <c r="E622" s="346"/>
      <c r="F622" s="346"/>
      <c r="I622" s="391"/>
    </row>
    <row r="623" spans="1:9" ht="12.75" customHeight="1">
      <c r="A623" s="391"/>
      <c r="B623" s="386" t="s">
        <v>2778</v>
      </c>
      <c r="D623" s="1263" t="s">
        <v>485</v>
      </c>
      <c r="E623" s="1263"/>
      <c r="F623" s="1263"/>
      <c r="I623" s="391"/>
    </row>
    <row r="624" spans="1:9">
      <c r="D624" s="1263"/>
      <c r="E624" s="1263"/>
      <c r="F624" s="1263"/>
      <c r="I624" s="391"/>
    </row>
    <row r="625" spans="1:9">
      <c r="I625" s="391"/>
    </row>
    <row r="626" spans="1:9">
      <c r="B626" s="386" t="s">
        <v>2778</v>
      </c>
      <c r="D626" s="1263" t="s">
        <v>486</v>
      </c>
      <c r="E626" s="1263"/>
      <c r="F626" s="1263"/>
      <c r="I626" s="391"/>
    </row>
    <row r="627" spans="1:9">
      <c r="C627" s="401"/>
      <c r="D627" s="1263"/>
      <c r="E627" s="1263"/>
      <c r="F627" s="1263"/>
      <c r="I627" s="391"/>
    </row>
    <row r="628" spans="1:9">
      <c r="C628" s="401"/>
      <c r="I628" s="391"/>
    </row>
    <row r="629" spans="1:9">
      <c r="B629" s="386" t="s">
        <v>2779</v>
      </c>
      <c r="C629" s="401"/>
      <c r="D629" s="1263" t="s">
        <v>487</v>
      </c>
      <c r="E629" s="1263"/>
      <c r="F629" s="1263"/>
      <c r="I629" s="391"/>
    </row>
    <row r="630" spans="1:9">
      <c r="C630" s="401"/>
      <c r="D630" s="1263"/>
      <c r="E630" s="1263"/>
      <c r="F630" s="1263"/>
      <c r="I630" s="401"/>
    </row>
    <row r="631" spans="1:9">
      <c r="C631" s="401"/>
      <c r="I631" s="391"/>
    </row>
    <row r="632" spans="1:9">
      <c r="B632" s="386" t="s">
        <v>2779</v>
      </c>
      <c r="C632" s="401"/>
      <c r="D632" s="1268" t="s">
        <v>488</v>
      </c>
      <c r="E632" s="1268"/>
      <c r="F632" s="1268"/>
      <c r="I632" s="391"/>
    </row>
    <row r="633" spans="1:9">
      <c r="C633" s="401"/>
      <c r="I633" s="391"/>
    </row>
    <row r="634" spans="1:9">
      <c r="A634" s="1255" t="s">
        <v>489</v>
      </c>
      <c r="B634" s="1255"/>
      <c r="C634" s="1255"/>
      <c r="D634" s="1255"/>
      <c r="E634" s="1255"/>
      <c r="F634" s="1255"/>
      <c r="G634" s="1255"/>
      <c r="H634" s="914"/>
      <c r="I634" s="1035"/>
    </row>
    <row r="635" spans="1:9">
      <c r="A635" s="383"/>
      <c r="B635" s="383"/>
      <c r="C635" s="383"/>
      <c r="I635" s="391"/>
    </row>
    <row r="636" spans="1:9">
      <c r="C636" s="391"/>
      <c r="D636" s="1261" t="s">
        <v>490</v>
      </c>
      <c r="E636" s="1261"/>
      <c r="F636" s="1261"/>
      <c r="I636" s="391"/>
    </row>
    <row r="637" spans="1:9">
      <c r="A637" s="391"/>
      <c r="B637" s="391"/>
      <c r="D637" s="307"/>
      <c r="I637" s="391"/>
    </row>
    <row r="638" spans="1:9" ht="14.25" customHeight="1">
      <c r="A638" s="385"/>
      <c r="B638" s="386" t="s">
        <v>2778</v>
      </c>
      <c r="D638" s="1279" t="s">
        <v>491</v>
      </c>
      <c r="E638" s="1279"/>
      <c r="F638" s="1279"/>
      <c r="I638" s="391"/>
    </row>
    <row r="639" spans="1:9">
      <c r="D639" s="1279"/>
      <c r="E639" s="1279"/>
      <c r="F639" s="1279"/>
      <c r="I639" s="391"/>
    </row>
    <row r="640" spans="1:9">
      <c r="D640" s="288"/>
      <c r="E640" s="922" t="s">
        <v>492</v>
      </c>
      <c r="F640" s="288"/>
      <c r="I640" s="391"/>
    </row>
    <row r="641" spans="1:9">
      <c r="D641" s="1252" t="s">
        <v>493</v>
      </c>
      <c r="E641" s="1252"/>
      <c r="F641" s="1252"/>
      <c r="I641" s="391"/>
    </row>
    <row r="642" spans="1:9">
      <c r="D642" s="1252"/>
      <c r="E642" s="1252"/>
      <c r="F642" s="1252"/>
      <c r="I642" s="391"/>
    </row>
    <row r="643" spans="1:9">
      <c r="D643" s="1252"/>
      <c r="E643" s="1252"/>
      <c r="F643" s="1252"/>
      <c r="I643" s="391"/>
    </row>
    <row r="644" spans="1:9">
      <c r="D644" s="347"/>
      <c r="E644" s="347"/>
      <c r="F644" s="347"/>
      <c r="I644" s="391"/>
    </row>
    <row r="645" spans="1:9" ht="14.4">
      <c r="A645" s="385"/>
      <c r="B645" s="386" t="s">
        <v>2779</v>
      </c>
      <c r="D645" s="1252" t="s">
        <v>494</v>
      </c>
      <c r="E645" s="1252"/>
      <c r="F645" s="1252"/>
      <c r="I645" s="391"/>
    </row>
    <row r="646" spans="1:9">
      <c r="A646" s="388"/>
      <c r="B646" s="388"/>
      <c r="C646" s="388"/>
      <c r="D646" s="1252"/>
      <c r="E646" s="1252"/>
      <c r="F646" s="1252"/>
      <c r="I646" s="391"/>
    </row>
    <row r="647" spans="1:9">
      <c r="A647" s="388"/>
      <c r="B647" s="388"/>
      <c r="C647" s="388"/>
      <c r="D647" s="348"/>
      <c r="E647" s="348"/>
      <c r="F647" s="348"/>
      <c r="I647" s="391"/>
    </row>
    <row r="648" spans="1:9" ht="14.4">
      <c r="A648" s="385"/>
      <c r="B648" s="386" t="s">
        <v>2779</v>
      </c>
      <c r="C648" s="388"/>
      <c r="D648" s="1252" t="s">
        <v>495</v>
      </c>
      <c r="E648" s="1252"/>
      <c r="F648" s="1252"/>
      <c r="I648" s="391"/>
    </row>
    <row r="649" spans="1:9" ht="14.4">
      <c r="A649" s="385"/>
      <c r="B649" s="385"/>
      <c r="C649" s="388"/>
      <c r="D649" s="1252"/>
      <c r="E649" s="1252"/>
      <c r="F649" s="1252"/>
      <c r="I649" s="391"/>
    </row>
    <row r="650" spans="1:9" ht="14.4">
      <c r="A650" s="385"/>
      <c r="B650" s="385"/>
      <c r="C650" s="388"/>
      <c r="D650" s="1252"/>
      <c r="E650" s="1252"/>
      <c r="F650" s="1252"/>
      <c r="I650" s="391"/>
    </row>
    <row r="651" spans="1:9">
      <c r="A651" s="388"/>
      <c r="B651" s="386" t="s">
        <v>2779</v>
      </c>
      <c r="C651" s="388"/>
      <c r="D651" s="1253" t="s">
        <v>496</v>
      </c>
      <c r="E651" s="1253"/>
      <c r="F651" s="1253"/>
      <c r="I651" s="391"/>
    </row>
    <row r="652" spans="1:9">
      <c r="A652" s="388"/>
      <c r="B652" s="388"/>
      <c r="C652" s="388"/>
      <c r="D652" s="348"/>
      <c r="E652" s="348"/>
      <c r="F652" s="348"/>
      <c r="I652" s="391"/>
    </row>
    <row r="653" spans="1:9">
      <c r="A653" s="1255" t="s">
        <v>497</v>
      </c>
      <c r="B653" s="1255"/>
      <c r="C653" s="1255"/>
      <c r="D653" s="1255"/>
      <c r="E653" s="1255"/>
      <c r="F653" s="1255"/>
      <c r="G653" s="1255"/>
      <c r="H653" s="914"/>
      <c r="I653" s="1035"/>
    </row>
    <row r="654" spans="1:9">
      <c r="A654" s="348"/>
      <c r="B654" s="348"/>
      <c r="C654" s="388"/>
      <c r="D654" s="348"/>
      <c r="E654" s="348"/>
      <c r="F654" s="348"/>
      <c r="I654" s="391"/>
    </row>
    <row r="655" spans="1:9">
      <c r="C655" s="383"/>
      <c r="D655" s="1261" t="s">
        <v>498</v>
      </c>
      <c r="E655" s="1261"/>
      <c r="F655" s="1261"/>
      <c r="I655" s="391"/>
    </row>
    <row r="656" spans="1:9">
      <c r="A656" s="384"/>
      <c r="B656" s="384"/>
      <c r="C656" s="384"/>
      <c r="D656" s="1253" t="s">
        <v>499</v>
      </c>
      <c r="E656" s="1253"/>
      <c r="F656" s="1253"/>
      <c r="I656" s="391"/>
    </row>
    <row r="657" spans="1:9">
      <c r="A657" s="384"/>
      <c r="B657" s="384"/>
      <c r="C657" s="384"/>
      <c r="D657" s="348"/>
      <c r="E657" s="348"/>
      <c r="F657" s="348"/>
      <c r="I657" s="391"/>
    </row>
    <row r="658" spans="1:9" ht="12.75" customHeight="1">
      <c r="B658" s="386" t="s">
        <v>2779</v>
      </c>
      <c r="C658" s="388"/>
      <c r="D658" s="1252" t="s">
        <v>500</v>
      </c>
      <c r="E658" s="1252"/>
      <c r="F658" s="1252"/>
      <c r="I658" s="391"/>
    </row>
    <row r="659" spans="1:9">
      <c r="D659" s="1252"/>
      <c r="E659" s="1252"/>
      <c r="F659" s="1252"/>
      <c r="I659" s="391"/>
    </row>
    <row r="660" spans="1:9">
      <c r="D660" s="1252"/>
      <c r="E660" s="1252"/>
      <c r="F660" s="1252"/>
      <c r="I660" s="391"/>
    </row>
    <row r="661" spans="1:9">
      <c r="D661" s="1252"/>
      <c r="E661" s="1252"/>
      <c r="F661" s="1252"/>
      <c r="I661" s="391"/>
    </row>
    <row r="662" spans="1:9" ht="14.4" customHeight="1">
      <c r="A662" s="385"/>
      <c r="B662" s="385"/>
      <c r="C662" s="388"/>
      <c r="D662" s="288"/>
      <c r="E662" s="288"/>
      <c r="F662" s="288"/>
      <c r="I662" s="391"/>
    </row>
    <row r="663" spans="1:9" ht="12.75" customHeight="1">
      <c r="A663" s="384"/>
      <c r="B663" s="386" t="s">
        <v>2779</v>
      </c>
      <c r="C663" s="388"/>
      <c r="D663" s="1252" t="s">
        <v>501</v>
      </c>
      <c r="E663" s="1252"/>
      <c r="F663" s="1252"/>
      <c r="I663" s="391"/>
    </row>
    <row r="664" spans="1:9" ht="14.4">
      <c r="A664" s="384"/>
      <c r="B664" s="385"/>
      <c r="C664" s="388"/>
      <c r="D664" s="1252"/>
      <c r="E664" s="1252"/>
      <c r="F664" s="1252"/>
      <c r="I664" s="391"/>
    </row>
    <row r="665" spans="1:9" ht="14.4">
      <c r="A665" s="384"/>
      <c r="B665" s="385"/>
      <c r="C665" s="388"/>
      <c r="D665" s="1252"/>
      <c r="E665" s="1252"/>
      <c r="F665" s="1252"/>
      <c r="I665" s="391"/>
    </row>
    <row r="666" spans="1:9" ht="14.4">
      <c r="A666" s="384"/>
      <c r="B666" s="385"/>
      <c r="C666" s="388"/>
      <c r="D666" s="1252"/>
      <c r="E666" s="1252"/>
      <c r="F666" s="1252"/>
      <c r="I666" s="391"/>
    </row>
    <row r="667" spans="1:9" ht="14.4">
      <c r="A667" s="384"/>
      <c r="B667" s="385"/>
      <c r="C667" s="388"/>
      <c r="D667" s="1252"/>
      <c r="E667" s="1252"/>
      <c r="F667" s="1252"/>
      <c r="I667" s="391"/>
    </row>
    <row r="668" spans="1:9" ht="14.25" customHeight="1">
      <c r="A668" s="384"/>
      <c r="B668" s="385"/>
      <c r="C668" s="388"/>
      <c r="F668" s="289"/>
      <c r="I668" s="391"/>
    </row>
    <row r="669" spans="1:9" ht="12.75" customHeight="1">
      <c r="A669" s="384"/>
      <c r="B669" s="386" t="s">
        <v>2778</v>
      </c>
      <c r="C669" s="388"/>
      <c r="D669" s="1252" t="s">
        <v>502</v>
      </c>
      <c r="E669" s="1252"/>
      <c r="F669" s="1252"/>
      <c r="I669" s="391"/>
    </row>
    <row r="670" spans="1:9" ht="14.4">
      <c r="A670" s="384"/>
      <c r="B670" s="385"/>
      <c r="C670" s="388"/>
      <c r="D670" s="1252"/>
      <c r="E670" s="1252"/>
      <c r="F670" s="1252"/>
      <c r="I670" s="391"/>
    </row>
    <row r="671" spans="1:9" ht="14.4">
      <c r="A671" s="385"/>
      <c r="B671" s="385"/>
      <c r="C671" s="388"/>
      <c r="D671" s="1252"/>
      <c r="E671" s="1252"/>
      <c r="F671" s="1252"/>
      <c r="I671" s="391"/>
    </row>
    <row r="672" spans="1:9" ht="14.4">
      <c r="A672" s="385"/>
      <c r="B672" s="385"/>
      <c r="C672" s="388"/>
      <c r="D672" s="1252"/>
      <c r="E672" s="1252"/>
      <c r="F672" s="1252"/>
      <c r="I672" s="391"/>
    </row>
    <row r="673" spans="1:11" ht="14.4">
      <c r="A673" s="385"/>
      <c r="B673" s="385"/>
      <c r="C673" s="388"/>
      <c r="D673" s="347"/>
      <c r="E673" s="347"/>
      <c r="F673" s="347"/>
      <c r="I673" s="391"/>
    </row>
    <row r="674" spans="1:11" ht="12.75" customHeight="1">
      <c r="A674" s="384"/>
      <c r="B674" s="386" t="s">
        <v>2778</v>
      </c>
      <c r="C674" s="388"/>
      <c r="D674" s="1252" t="s">
        <v>503</v>
      </c>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ht="12.75" customHeight="1">
      <c r="A678" s="384"/>
      <c r="B678" s="385"/>
      <c r="C678" s="388"/>
      <c r="D678" s="1252"/>
      <c r="E678" s="1252"/>
      <c r="F678" s="1252"/>
      <c r="I678" s="391"/>
    </row>
    <row r="679" spans="1:11" ht="12.75" customHeight="1">
      <c r="A679" s="384"/>
      <c r="B679" s="385"/>
      <c r="C679" s="388"/>
      <c r="D679" s="1252"/>
      <c r="E679" s="1252"/>
      <c r="F679" s="1252"/>
      <c r="I679" s="391"/>
    </row>
    <row r="680" spans="1:11" ht="12.75" customHeight="1">
      <c r="A680" s="384"/>
      <c r="B680" s="385"/>
      <c r="C680" s="388"/>
      <c r="D680" s="1252"/>
      <c r="E680" s="1252"/>
      <c r="F680" s="1252"/>
      <c r="I680" s="391"/>
    </row>
    <row r="681" spans="1:11" ht="12.75" customHeight="1">
      <c r="A681" s="384"/>
      <c r="B681" s="385"/>
      <c r="C681" s="388"/>
      <c r="D681" s="1252"/>
      <c r="E681" s="1252"/>
      <c r="F681" s="1252"/>
      <c r="I681" s="391"/>
    </row>
    <row r="682" spans="1:11" ht="12.75" customHeight="1">
      <c r="A682" s="384"/>
      <c r="B682" s="385"/>
      <c r="C682" s="388"/>
      <c r="D682" s="1252"/>
      <c r="E682" s="1252"/>
      <c r="F682" s="1252"/>
      <c r="I682" s="391"/>
    </row>
    <row r="683" spans="1:11">
      <c r="A683" s="388"/>
      <c r="B683" s="388"/>
      <c r="C683" s="388"/>
      <c r="D683" s="348"/>
      <c r="E683" s="348"/>
      <c r="F683" s="348"/>
      <c r="I683" s="391"/>
    </row>
    <row r="684" spans="1:11">
      <c r="A684" s="1255" t="s">
        <v>504</v>
      </c>
      <c r="B684" s="1255"/>
      <c r="C684" s="1255"/>
      <c r="D684" s="1255"/>
      <c r="E684" s="1255"/>
      <c r="F684" s="1255"/>
      <c r="G684" s="1255"/>
      <c r="H684" s="916"/>
      <c r="I684" s="1039"/>
      <c r="J684" s="402"/>
      <c r="K684" s="402"/>
    </row>
    <row r="685" spans="1:11">
      <c r="A685" s="350"/>
      <c r="B685" s="350"/>
      <c r="C685" s="350"/>
      <c r="D685" s="350"/>
      <c r="E685" s="350"/>
      <c r="F685" s="350"/>
      <c r="G685" s="350"/>
      <c r="H685" s="402"/>
      <c r="I685" s="384"/>
      <c r="J685" s="402"/>
      <c r="K685" s="402"/>
    </row>
    <row r="686" spans="1:11">
      <c r="C686" s="383"/>
      <c r="D686" s="1261" t="s">
        <v>505</v>
      </c>
      <c r="E686" s="1261"/>
      <c r="F686" s="1261"/>
      <c r="H686" s="402"/>
      <c r="I686" s="384"/>
      <c r="J686" s="402"/>
      <c r="K686" s="402"/>
    </row>
    <row r="687" spans="1:11">
      <c r="A687" s="383"/>
      <c r="B687" s="383"/>
      <c r="C687" s="383"/>
      <c r="D687" s="1261" t="s">
        <v>506</v>
      </c>
      <c r="E687" s="1261"/>
      <c r="F687" s="1261"/>
      <c r="H687" s="402"/>
      <c r="I687" s="384"/>
      <c r="J687" s="402"/>
      <c r="K687" s="402"/>
    </row>
    <row r="688" spans="1:11">
      <c r="A688" s="384"/>
      <c r="B688" s="384"/>
      <c r="C688" s="384"/>
      <c r="D688" s="1253" t="s">
        <v>507</v>
      </c>
      <c r="E688" s="1253"/>
      <c r="F688" s="1253"/>
      <c r="H688" s="402"/>
      <c r="I688" s="384"/>
      <c r="J688" s="402"/>
      <c r="K688" s="402"/>
    </row>
    <row r="689" spans="1:11">
      <c r="A689" s="384"/>
      <c r="B689" s="384"/>
      <c r="C689" s="384"/>
      <c r="H689" s="402"/>
      <c r="I689" s="384"/>
      <c r="J689" s="402"/>
      <c r="K689" s="402"/>
    </row>
    <row r="690" spans="1:11" ht="14.4">
      <c r="A690" s="385"/>
      <c r="B690" s="386" t="s">
        <v>2779</v>
      </c>
      <c r="C690" s="384"/>
      <c r="D690" s="1253" t="s">
        <v>508</v>
      </c>
      <c r="E690" s="1253"/>
      <c r="F690" s="1253"/>
      <c r="H690" s="402"/>
      <c r="I690" s="384"/>
      <c r="J690" s="402"/>
      <c r="K690" s="402"/>
    </row>
    <row r="691" spans="1:11">
      <c r="A691" s="384"/>
      <c r="B691" s="384"/>
      <c r="C691" s="384"/>
      <c r="D691" s="1253" t="s">
        <v>509</v>
      </c>
      <c r="E691" s="1253"/>
      <c r="F691" s="1253"/>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ht="14.4">
      <c r="A695" s="385"/>
      <c r="B695" s="386" t="s">
        <v>2779</v>
      </c>
      <c r="C695" s="384"/>
      <c r="D695" s="1252" t="s">
        <v>512</v>
      </c>
      <c r="E695" s="1252"/>
      <c r="F695" s="1252"/>
      <c r="H695" s="402"/>
      <c r="I695" s="384"/>
      <c r="J695" s="402"/>
      <c r="K695" s="402"/>
    </row>
    <row r="696" spans="1:11">
      <c r="A696" s="391"/>
      <c r="B696" s="391"/>
      <c r="C696" s="384"/>
      <c r="D696" s="1252"/>
      <c r="E696" s="1252"/>
      <c r="F696" s="1252"/>
      <c r="H696" s="402"/>
      <c r="I696" s="384"/>
      <c r="J696" s="402"/>
      <c r="K696" s="402"/>
    </row>
    <row r="697" spans="1:11">
      <c r="A697" s="384"/>
      <c r="B697" s="384"/>
      <c r="C697" s="384"/>
      <c r="D697" s="1252"/>
      <c r="E697" s="1252"/>
      <c r="F697" s="1252"/>
      <c r="H697" s="402"/>
      <c r="I697" s="384"/>
      <c r="J697" s="402"/>
      <c r="K697" s="402"/>
    </row>
    <row r="698" spans="1:11">
      <c r="A698" s="384"/>
      <c r="B698" s="384"/>
      <c r="C698" s="384"/>
      <c r="H698" s="402"/>
      <c r="J698" s="402"/>
      <c r="K698" s="402"/>
    </row>
    <row r="699" spans="1:11" ht="14.4">
      <c r="A699" s="385"/>
      <c r="B699" s="386" t="s">
        <v>2778</v>
      </c>
      <c r="C699" s="384"/>
      <c r="D699" s="1253" t="s">
        <v>513</v>
      </c>
      <c r="E699" s="1253"/>
      <c r="F699" s="1253"/>
      <c r="H699" s="402"/>
      <c r="I699" s="384"/>
      <c r="J699" s="402"/>
      <c r="K699" s="402"/>
    </row>
    <row r="700" spans="1:11" ht="14.4">
      <c r="A700" s="385"/>
      <c r="B700" s="385"/>
      <c r="C700" s="384"/>
      <c r="D700" s="1253" t="s">
        <v>509</v>
      </c>
      <c r="E700" s="1253"/>
      <c r="F700" s="1253"/>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ht="14.4">
      <c r="A703" s="385"/>
      <c r="B703" s="386" t="s">
        <v>2779</v>
      </c>
      <c r="C703" s="384"/>
      <c r="D703" s="1253" t="s">
        <v>515</v>
      </c>
      <c r="E703" s="1253"/>
      <c r="F703" s="1253"/>
      <c r="H703" s="402"/>
      <c r="I703" s="384"/>
      <c r="J703" s="402"/>
      <c r="K703" s="402"/>
    </row>
    <row r="704" spans="1:11" ht="14.4">
      <c r="A704" s="385"/>
      <c r="B704" s="385"/>
      <c r="C704" s="384"/>
      <c r="D704" s="1253" t="s">
        <v>509</v>
      </c>
      <c r="E704" s="1253"/>
      <c r="F704" s="1253"/>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ht="14.4">
      <c r="A707" s="385"/>
      <c r="B707" s="386" t="s">
        <v>2778</v>
      </c>
      <c r="C707" s="384"/>
      <c r="D707" s="1252" t="s">
        <v>517</v>
      </c>
      <c r="E707" s="1252"/>
      <c r="F707" s="1252"/>
      <c r="H707" s="402"/>
      <c r="I707" s="384"/>
      <c r="J707" s="402"/>
      <c r="K707" s="402"/>
    </row>
    <row r="708" spans="1:11">
      <c r="A708" s="384"/>
      <c r="B708" s="384"/>
      <c r="C708" s="384"/>
      <c r="D708" s="1252"/>
      <c r="E708" s="1252"/>
      <c r="F708" s="1252"/>
      <c r="H708" s="402"/>
      <c r="I708" s="384"/>
      <c r="J708" s="402"/>
      <c r="K708" s="402"/>
    </row>
    <row r="709" spans="1:11">
      <c r="A709" s="384"/>
      <c r="B709" s="384"/>
      <c r="C709" s="384"/>
      <c r="D709" s="1252"/>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1252"/>
      <c r="E711" s="1252"/>
      <c r="F711" s="1252"/>
      <c r="H711" s="402"/>
      <c r="I711" s="384"/>
      <c r="J711" s="402"/>
      <c r="K711" s="402"/>
    </row>
    <row r="712" spans="1:11">
      <c r="A712" s="384"/>
      <c r="B712" s="384"/>
      <c r="C712" s="384"/>
      <c r="D712" s="1252"/>
      <c r="E712" s="1252"/>
      <c r="F712" s="1252"/>
      <c r="H712" s="402"/>
      <c r="I712" s="384"/>
      <c r="J712" s="402"/>
      <c r="K712" s="402"/>
    </row>
    <row r="713" spans="1:11">
      <c r="A713" s="384"/>
      <c r="B713" s="384"/>
      <c r="C713" s="384"/>
      <c r="D713" s="347"/>
      <c r="E713" s="347"/>
      <c r="F713" s="347"/>
      <c r="H713" s="402"/>
      <c r="I713" s="384"/>
      <c r="J713" s="402"/>
      <c r="K713" s="402"/>
    </row>
    <row r="714" spans="1:11">
      <c r="A714" s="384"/>
      <c r="B714" s="386" t="s">
        <v>2779</v>
      </c>
      <c r="C714" s="384"/>
      <c r="D714" s="1252" t="s">
        <v>518</v>
      </c>
      <c r="E714" s="1252"/>
      <c r="F714" s="1252"/>
      <c r="H714" s="402"/>
      <c r="I714" s="384"/>
      <c r="J714" s="402"/>
      <c r="K714" s="402"/>
    </row>
    <row r="715" spans="1:11">
      <c r="A715" s="384"/>
      <c r="B715" s="384"/>
      <c r="C715" s="384"/>
      <c r="D715" s="1252"/>
      <c r="E715" s="1252"/>
      <c r="F715" s="1252"/>
      <c r="H715" s="402"/>
      <c r="I715" s="384"/>
      <c r="J715" s="402"/>
      <c r="K715" s="402"/>
    </row>
    <row r="716" spans="1:11">
      <c r="A716" s="384"/>
      <c r="B716" s="384"/>
      <c r="C716" s="384"/>
      <c r="D716" s="347"/>
      <c r="E716" s="347"/>
      <c r="F716" s="347"/>
      <c r="H716" s="402"/>
      <c r="I716" s="384"/>
      <c r="J716" s="402"/>
      <c r="K716" s="402"/>
    </row>
    <row r="717" spans="1:11" ht="14.4">
      <c r="A717" s="385"/>
      <c r="B717" s="386" t="s">
        <v>2779</v>
      </c>
      <c r="C717" s="384"/>
      <c r="D717" s="1252" t="s">
        <v>519</v>
      </c>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ht="15" customHeight="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ht="15" customHeight="1">
      <c r="A725" s="384"/>
      <c r="B725" s="384"/>
      <c r="C725" s="384"/>
      <c r="D725" s="1252"/>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1252"/>
      <c r="E728" s="1252"/>
      <c r="F728" s="1252"/>
      <c r="H728" s="402"/>
      <c r="I728" s="384"/>
      <c r="J728" s="402"/>
      <c r="K728" s="402"/>
    </row>
    <row r="729" spans="1:11">
      <c r="A729" s="384"/>
      <c r="B729" s="384"/>
      <c r="C729" s="384"/>
      <c r="D729" s="1252"/>
      <c r="E729" s="1252"/>
      <c r="F729" s="1252"/>
      <c r="H729" s="402"/>
      <c r="I729" s="384"/>
      <c r="J729" s="402"/>
      <c r="K729" s="402"/>
    </row>
    <row r="730" spans="1:11">
      <c r="A730" s="384"/>
      <c r="B730" s="386" t="s">
        <v>2779</v>
      </c>
      <c r="C730" s="384"/>
      <c r="D730" s="1252" t="s">
        <v>520</v>
      </c>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D732" s="1252"/>
      <c r="E732" s="1252"/>
      <c r="F732" s="1252"/>
      <c r="H732" s="402"/>
      <c r="I732" s="384"/>
      <c r="J732" s="402"/>
      <c r="K732" s="402"/>
    </row>
    <row r="733" spans="1:11">
      <c r="A733" s="384"/>
      <c r="B733" s="384"/>
      <c r="C733" s="384"/>
      <c r="D733" s="347"/>
      <c r="E733" s="347"/>
      <c r="F733" s="347"/>
      <c r="H733" s="402"/>
      <c r="I733" s="384"/>
      <c r="J733" s="402"/>
      <c r="K733" s="402"/>
    </row>
    <row r="734" spans="1:11">
      <c r="A734" s="384"/>
      <c r="B734" s="386" t="s">
        <v>2779</v>
      </c>
      <c r="C734" s="384"/>
      <c r="D734" s="1252" t="s">
        <v>521</v>
      </c>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c r="A738" s="384"/>
      <c r="B738" s="386" t="s">
        <v>2779</v>
      </c>
      <c r="C738" s="384"/>
      <c r="D738" s="1252" t="s">
        <v>522</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H742" s="402"/>
      <c r="I742" s="384"/>
      <c r="J742" s="402"/>
      <c r="K742" s="402"/>
    </row>
    <row r="743" spans="1:11" ht="14.4">
      <c r="A743" s="385"/>
      <c r="B743" s="386" t="s">
        <v>2779</v>
      </c>
      <c r="C743" s="384"/>
      <c r="D743" s="1252" t="s">
        <v>523</v>
      </c>
      <c r="E743" s="1252"/>
      <c r="F743" s="1252"/>
      <c r="H743" s="402"/>
      <c r="I743" s="384"/>
      <c r="J743" s="402"/>
      <c r="K743" s="402"/>
    </row>
    <row r="744" spans="1:11">
      <c r="A744" s="384"/>
      <c r="B744" s="384"/>
      <c r="C744" s="384"/>
      <c r="D744" s="1252"/>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393"/>
      <c r="H748" s="402"/>
      <c r="I748" s="384"/>
      <c r="J748" s="402"/>
      <c r="K748" s="402"/>
    </row>
    <row r="749" spans="1:11" ht="14.4">
      <c r="A749" s="385"/>
      <c r="B749" s="386" t="s">
        <v>2779</v>
      </c>
      <c r="C749" s="384"/>
      <c r="D749" s="1252" t="s">
        <v>524</v>
      </c>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52"/>
      <c r="E751" s="1252"/>
      <c r="F751" s="1252"/>
      <c r="H751" s="402"/>
      <c r="I751" s="384"/>
      <c r="J751" s="402"/>
      <c r="K751" s="402"/>
    </row>
    <row r="752" spans="1:11">
      <c r="A752" s="384"/>
      <c r="B752" s="384"/>
      <c r="C752" s="384"/>
      <c r="D752" s="1252"/>
      <c r="E752" s="1252"/>
      <c r="F752" s="1252"/>
      <c r="H752" s="402"/>
      <c r="I752" s="384"/>
      <c r="J752" s="402"/>
      <c r="K752" s="402"/>
    </row>
    <row r="753" spans="1:11">
      <c r="A753" s="384"/>
      <c r="B753" s="384"/>
      <c r="C753" s="384"/>
      <c r="D753" s="1252"/>
      <c r="E753" s="1252"/>
      <c r="F753" s="1252"/>
      <c r="H753" s="402"/>
      <c r="I753" s="384"/>
      <c r="J753" s="402"/>
      <c r="K753" s="402"/>
    </row>
    <row r="754" spans="1:11">
      <c r="A754" s="384"/>
      <c r="B754" s="384"/>
      <c r="C754" s="384"/>
      <c r="D754" s="1252"/>
      <c r="E754" s="1252"/>
      <c r="F754" s="1252"/>
      <c r="H754" s="402"/>
      <c r="I754" s="384"/>
      <c r="J754" s="402"/>
      <c r="K754" s="402"/>
    </row>
    <row r="755" spans="1:11">
      <c r="A755" s="384"/>
      <c r="B755" s="384"/>
      <c r="C755" s="384"/>
      <c r="D755" s="1252"/>
      <c r="E755" s="1252"/>
      <c r="F755" s="1252"/>
      <c r="H755" s="402"/>
      <c r="I755" s="384"/>
      <c r="J755" s="402"/>
      <c r="K755" s="402"/>
    </row>
    <row r="756" spans="1:11">
      <c r="A756" s="384"/>
      <c r="B756" s="384"/>
      <c r="C756" s="384"/>
      <c r="D756" s="1290" t="s">
        <v>525</v>
      </c>
      <c r="E756" s="1290"/>
      <c r="F756" s="1290"/>
      <c r="H756" s="402"/>
      <c r="I756" s="384"/>
      <c r="J756" s="402"/>
      <c r="K756" s="402"/>
    </row>
    <row r="757" spans="1:11">
      <c r="A757" s="384"/>
      <c r="B757" s="384"/>
      <c r="C757" s="384"/>
      <c r="D757" s="244"/>
      <c r="H757" s="402"/>
      <c r="I757" s="384"/>
      <c r="J757" s="402"/>
      <c r="K757" s="402"/>
    </row>
    <row r="758" spans="1:11">
      <c r="A758" s="1260" t="s">
        <v>526</v>
      </c>
      <c r="B758" s="1260"/>
      <c r="C758" s="1260"/>
      <c r="D758" s="1260"/>
      <c r="E758" s="1260"/>
      <c r="F758" s="1260"/>
      <c r="G758" s="1260"/>
      <c r="H758" s="916"/>
      <c r="I758" s="1039"/>
      <c r="J758" s="402"/>
      <c r="K758" s="402"/>
    </row>
    <row r="759" spans="1:11">
      <c r="A759" s="384"/>
      <c r="B759" s="384"/>
      <c r="C759" s="384"/>
      <c r="D759" s="393"/>
      <c r="G759" s="402"/>
      <c r="H759" s="402"/>
      <c r="I759" s="384"/>
      <c r="J759" s="402"/>
      <c r="K759" s="402"/>
    </row>
    <row r="760" spans="1:11" ht="13.65" customHeight="1">
      <c r="C760" s="384"/>
      <c r="D760" s="1254" t="s">
        <v>527</v>
      </c>
      <c r="E760" s="1254"/>
      <c r="F760" s="1254"/>
      <c r="G760" s="402"/>
      <c r="H760" s="402"/>
      <c r="I760" s="384"/>
      <c r="J760" s="402"/>
      <c r="K760" s="402"/>
    </row>
    <row r="761" spans="1:11">
      <c r="A761" s="384"/>
      <c r="B761" s="384"/>
      <c r="C761" s="384"/>
      <c r="D761" s="1259" t="s">
        <v>528</v>
      </c>
      <c r="E761" s="1259"/>
      <c r="F761" s="1259"/>
      <c r="G761" s="402"/>
      <c r="H761" s="402"/>
      <c r="I761" s="384"/>
      <c r="J761" s="402"/>
      <c r="K761" s="402"/>
    </row>
    <row r="762" spans="1:11">
      <c r="A762" s="384"/>
      <c r="B762" s="384"/>
      <c r="C762" s="384"/>
      <c r="G762" s="402"/>
      <c r="H762" s="402"/>
      <c r="I762" s="384"/>
      <c r="J762" s="402"/>
      <c r="K762" s="402"/>
    </row>
    <row r="763" spans="1:11" ht="14.4">
      <c r="A763" s="385"/>
      <c r="B763" s="386" t="s">
        <v>2778</v>
      </c>
      <c r="D763" s="1252" t="s">
        <v>529</v>
      </c>
      <c r="E763" s="1252"/>
      <c r="F763" s="1252"/>
      <c r="G763" s="402"/>
      <c r="H763" s="402"/>
      <c r="I763" s="384"/>
      <c r="J763" s="402"/>
      <c r="K763" s="402"/>
    </row>
    <row r="764" spans="1:11" ht="10.5" customHeight="1">
      <c r="D764" s="1252"/>
      <c r="E764" s="1252"/>
      <c r="F764" s="1252"/>
      <c r="G764" s="402"/>
      <c r="H764" s="402"/>
      <c r="I764" s="384"/>
      <c r="J764" s="402"/>
      <c r="K764" s="402"/>
    </row>
    <row r="765" spans="1:11">
      <c r="D765" s="1252"/>
      <c r="E765" s="1252"/>
      <c r="F765" s="1252"/>
      <c r="G765" s="402"/>
      <c r="H765" s="402"/>
      <c r="I765" s="384"/>
      <c r="J765" s="402"/>
      <c r="K765" s="402"/>
    </row>
    <row r="766" spans="1:11">
      <c r="D766" s="1252"/>
      <c r="E766" s="1252"/>
      <c r="F766" s="1252"/>
      <c r="G766" s="402"/>
      <c r="H766" s="402"/>
      <c r="I766" s="384"/>
      <c r="J766" s="402"/>
      <c r="K766" s="402"/>
    </row>
    <row r="767" spans="1:11">
      <c r="D767" s="1252"/>
      <c r="E767" s="1252"/>
      <c r="F767" s="1252"/>
      <c r="G767" s="402"/>
      <c r="H767" s="402"/>
      <c r="I767" s="384"/>
      <c r="J767" s="402"/>
      <c r="K767" s="402"/>
    </row>
    <row r="768" spans="1:11" ht="15.6" customHeight="1">
      <c r="D768" s="1252"/>
      <c r="E768" s="1252"/>
      <c r="F768" s="1252"/>
      <c r="G768" s="402"/>
      <c r="H768" s="402"/>
      <c r="I768" s="384"/>
      <c r="J768" s="402"/>
      <c r="K768" s="402"/>
    </row>
    <row r="769" spans="1:11">
      <c r="D769" s="400"/>
      <c r="E769" s="348"/>
      <c r="F769" s="348"/>
      <c r="G769" s="402"/>
      <c r="H769" s="402"/>
      <c r="I769" s="384"/>
      <c r="J769" s="402"/>
      <c r="K769" s="402"/>
    </row>
    <row r="770" spans="1:11" s="406" customFormat="1" ht="14.4">
      <c r="A770" s="404"/>
      <c r="B770" s="386" t="s">
        <v>2778</v>
      </c>
      <c r="C770" s="405"/>
      <c r="D770" s="1252" t="s">
        <v>530</v>
      </c>
      <c r="E770" s="1252"/>
      <c r="F770" s="1252"/>
      <c r="I770" s="1040"/>
    </row>
    <row r="771" spans="1:11" s="406" customFormat="1">
      <c r="A771" s="405"/>
      <c r="B771" s="405"/>
      <c r="C771" s="405"/>
      <c r="D771" s="1252"/>
      <c r="E771" s="1252"/>
      <c r="F771" s="1252"/>
      <c r="I771" s="1040"/>
    </row>
    <row r="772" spans="1:11" s="406" customFormat="1">
      <c r="A772" s="405"/>
      <c r="B772" s="405"/>
      <c r="C772" s="405"/>
      <c r="D772" s="1252"/>
      <c r="E772" s="1252"/>
      <c r="F772" s="1252"/>
      <c r="I772" s="1040"/>
    </row>
    <row r="773" spans="1:11" s="406" customFormat="1">
      <c r="A773" s="405"/>
      <c r="B773" s="405"/>
      <c r="C773" s="405"/>
      <c r="D773" s="1252"/>
      <c r="E773" s="1252"/>
      <c r="F773" s="1252"/>
      <c r="I773" s="1040"/>
    </row>
    <row r="774" spans="1:11" s="406" customFormat="1">
      <c r="A774" s="405"/>
      <c r="B774" s="405"/>
      <c r="C774" s="405"/>
      <c r="D774" s="400"/>
      <c r="I774" s="1040"/>
    </row>
    <row r="775" spans="1:11" s="406" customFormat="1" ht="14.4">
      <c r="A775" s="385"/>
      <c r="B775" s="386" t="s">
        <v>2778</v>
      </c>
      <c r="C775" s="405"/>
      <c r="D775" s="1263" t="s">
        <v>531</v>
      </c>
      <c r="E775" s="1263"/>
      <c r="F775" s="1263"/>
      <c r="I775" s="1040"/>
    </row>
    <row r="776" spans="1:11" s="406" customFormat="1">
      <c r="A776" s="405"/>
      <c r="B776" s="405"/>
      <c r="C776" s="405"/>
      <c r="D776" s="1263"/>
      <c r="E776" s="1263"/>
      <c r="F776" s="1263"/>
      <c r="I776" s="1040"/>
    </row>
    <row r="777" spans="1:11" s="406" customFormat="1">
      <c r="A777" s="405"/>
      <c r="B777" s="405"/>
      <c r="C777" s="405"/>
      <c r="D777" s="1263"/>
      <c r="E777" s="1263"/>
      <c r="F777" s="1263"/>
      <c r="I777" s="1040"/>
    </row>
    <row r="778" spans="1:11">
      <c r="D778" s="400"/>
      <c r="E778" s="348"/>
      <c r="F778" s="348"/>
      <c r="G778" s="402"/>
      <c r="H778" s="402"/>
      <c r="I778" s="384"/>
      <c r="J778" s="402"/>
      <c r="K778" s="402"/>
    </row>
    <row r="779" spans="1:11" ht="14.4">
      <c r="A779" s="385"/>
      <c r="B779" s="386" t="s">
        <v>2778</v>
      </c>
      <c r="D779" s="1252" t="s">
        <v>532</v>
      </c>
      <c r="E779" s="1252"/>
      <c r="F779" s="1252"/>
      <c r="G779" s="402"/>
      <c r="H779" s="402"/>
      <c r="I779" s="384"/>
      <c r="J779" s="402"/>
      <c r="K779" s="402"/>
    </row>
    <row r="780" spans="1:11">
      <c r="D780" s="1252"/>
      <c r="E780" s="1252"/>
      <c r="F780" s="1252"/>
      <c r="G780" s="402"/>
      <c r="H780" s="402"/>
      <c r="I780" s="384"/>
      <c r="J780" s="402"/>
      <c r="K780" s="402"/>
    </row>
    <row r="781" spans="1:11">
      <c r="D781" s="347"/>
      <c r="E781" s="347"/>
      <c r="F781" s="347"/>
      <c r="G781" s="402"/>
      <c r="H781" s="402"/>
      <c r="I781" s="384"/>
      <c r="J781" s="402"/>
      <c r="K781" s="402"/>
    </row>
    <row r="782" spans="1:11">
      <c r="B782" s="386" t="s">
        <v>2779</v>
      </c>
      <c r="D782" s="1252" t="s">
        <v>533</v>
      </c>
      <c r="E782" s="1252"/>
      <c r="F782" s="1252"/>
      <c r="G782" s="402"/>
      <c r="H782" s="402"/>
      <c r="I782" s="384"/>
      <c r="J782" s="402"/>
      <c r="K782" s="402"/>
    </row>
    <row r="783" spans="1:11">
      <c r="D783" s="1252"/>
      <c r="E783" s="1252"/>
      <c r="F783" s="1252"/>
      <c r="G783" s="402"/>
      <c r="H783" s="402"/>
      <c r="I783" s="384"/>
      <c r="J783" s="402"/>
      <c r="K783" s="402"/>
    </row>
    <row r="784" spans="1:11">
      <c r="D784" s="1252"/>
      <c r="E784" s="1252"/>
      <c r="F784" s="1252"/>
      <c r="G784" s="402"/>
      <c r="H784" s="402"/>
      <c r="I784" s="384"/>
      <c r="J784" s="402"/>
      <c r="K784" s="402"/>
    </row>
    <row r="785" spans="1:11">
      <c r="D785" s="347"/>
      <c r="E785" s="347"/>
      <c r="F785" s="347"/>
      <c r="G785" s="402"/>
      <c r="H785" s="402"/>
      <c r="I785" s="384"/>
      <c r="J785" s="402"/>
      <c r="K785" s="402"/>
    </row>
    <row r="786" spans="1:11">
      <c r="A786" s="1282" t="s">
        <v>534</v>
      </c>
      <c r="B786" s="1282"/>
      <c r="C786" s="1282"/>
      <c r="D786" s="1282"/>
      <c r="E786" s="1282"/>
      <c r="F786" s="1282"/>
      <c r="G786" s="1282"/>
      <c r="H786" s="914"/>
      <c r="I786" s="1035"/>
    </row>
    <row r="787" spans="1:11">
      <c r="A787" s="49"/>
      <c r="B787" s="49"/>
      <c r="C787" s="257"/>
      <c r="D787" s="3"/>
      <c r="E787" s="3"/>
      <c r="F787" s="3"/>
      <c r="G787" s="3"/>
      <c r="I787" s="391"/>
    </row>
    <row r="788" spans="1:11">
      <c r="A788" s="49"/>
      <c r="B788" s="49"/>
      <c r="C788" s="257"/>
      <c r="D788" s="1281" t="s">
        <v>535</v>
      </c>
      <c r="E788" s="1281"/>
      <c r="F788" s="1281"/>
      <c r="G788" s="3"/>
      <c r="I788" s="391"/>
    </row>
    <row r="789" spans="1:11">
      <c r="A789" s="49"/>
      <c r="B789" s="49"/>
      <c r="C789" s="257"/>
      <c r="D789" s="1266" t="s">
        <v>536</v>
      </c>
      <c r="E789" s="1266"/>
      <c r="F789" s="1266"/>
      <c r="G789" s="3"/>
      <c r="I789" s="391"/>
    </row>
    <row r="790" spans="1:11">
      <c r="A790" s="49"/>
      <c r="B790" s="49"/>
      <c r="C790" s="257"/>
      <c r="D790" s="349"/>
      <c r="E790" s="349"/>
      <c r="F790" s="349"/>
      <c r="G790" s="3"/>
      <c r="I790" s="391"/>
    </row>
    <row r="791" spans="1:11">
      <c r="A791" s="49"/>
      <c r="B791" s="386" t="s">
        <v>2779</v>
      </c>
      <c r="C791" s="257"/>
      <c r="D791" s="1283" t="s">
        <v>537</v>
      </c>
      <c r="E791" s="1283"/>
      <c r="F791" s="1283"/>
      <c r="G791" s="3"/>
      <c r="I791" s="384"/>
    </row>
    <row r="792" spans="1:11">
      <c r="A792" s="49"/>
      <c r="B792" s="49"/>
      <c r="C792" s="257"/>
      <c r="D792" s="1283"/>
      <c r="E792" s="1283"/>
      <c r="F792" s="1283"/>
      <c r="G792" s="3"/>
      <c r="I792" s="391"/>
    </row>
    <row r="793" spans="1:11">
      <c r="A793" s="121"/>
      <c r="B793" s="121"/>
      <c r="C793" s="121"/>
      <c r="D793" s="1283"/>
      <c r="E793" s="1283"/>
      <c r="F793" s="1283"/>
      <c r="G793" s="84"/>
      <c r="I793" s="391"/>
    </row>
    <row r="794" spans="1:11">
      <c r="A794" s="257"/>
      <c r="B794" s="257"/>
      <c r="C794" s="257"/>
      <c r="D794" s="120"/>
      <c r="E794" s="3"/>
      <c r="F794" s="3"/>
      <c r="G794" s="3"/>
      <c r="I794" s="391"/>
    </row>
    <row r="795" spans="1:11">
      <c r="A795" s="119"/>
      <c r="B795" s="386" t="s">
        <v>2779</v>
      </c>
      <c r="C795" s="119"/>
      <c r="D795" s="1283" t="s">
        <v>538</v>
      </c>
      <c r="E795" s="1283"/>
      <c r="F795" s="1283"/>
      <c r="G795" s="3"/>
      <c r="I795" s="384"/>
    </row>
    <row r="796" spans="1:11">
      <c r="A796" s="119"/>
      <c r="B796" s="119"/>
      <c r="C796" s="119"/>
      <c r="D796" s="1283"/>
      <c r="E796" s="1283"/>
      <c r="F796" s="1283"/>
      <c r="G796" s="3"/>
      <c r="I796" s="391"/>
    </row>
    <row r="797" spans="1:11">
      <c r="A797" s="119"/>
      <c r="B797" s="119"/>
      <c r="C797" s="119"/>
      <c r="D797" s="1283"/>
      <c r="E797" s="1283"/>
      <c r="F797" s="1283"/>
      <c r="G797" s="3"/>
      <c r="I797" s="391"/>
    </row>
    <row r="798" spans="1:11">
      <c r="A798" s="121"/>
      <c r="B798" s="121"/>
      <c r="C798" s="121"/>
      <c r="D798" s="3"/>
      <c r="E798" s="877"/>
      <c r="F798" s="877"/>
      <c r="G798" s="877"/>
      <c r="I798" s="391"/>
    </row>
    <row r="799" spans="1:11" ht="14.4">
      <c r="A799" s="122"/>
      <c r="B799" s="386" t="s">
        <v>2779</v>
      </c>
      <c r="C799" s="878"/>
      <c r="D799" s="1283" t="s">
        <v>539</v>
      </c>
      <c r="E799" s="1283"/>
      <c r="F799" s="1283"/>
      <c r="G799" s="877"/>
      <c r="I799" s="384"/>
    </row>
    <row r="800" spans="1:11" ht="14.4">
      <c r="A800" s="122"/>
      <c r="B800" s="122"/>
      <c r="C800" s="878"/>
      <c r="D800" s="1283"/>
      <c r="E800" s="1283"/>
      <c r="F800" s="1283"/>
      <c r="G800" s="877"/>
      <c r="I800" s="391"/>
    </row>
    <row r="801" spans="1:9" ht="14.4">
      <c r="A801" s="122"/>
      <c r="B801" s="122"/>
      <c r="C801" s="878"/>
      <c r="D801" s="1283"/>
      <c r="E801" s="1283"/>
      <c r="F801" s="1283"/>
      <c r="G801" s="877"/>
      <c r="I801" s="391"/>
    </row>
    <row r="802" spans="1:9" ht="14.4">
      <c r="A802" s="122"/>
      <c r="B802" s="122"/>
      <c r="C802" s="878"/>
      <c r="D802" s="84"/>
      <c r="E802" s="3"/>
      <c r="F802" s="3"/>
      <c r="G802" s="877"/>
      <c r="I802" s="391"/>
    </row>
    <row r="803" spans="1:9" ht="14.4">
      <c r="A803" s="122"/>
      <c r="B803" s="386" t="s">
        <v>2779</v>
      </c>
      <c r="C803" s="878"/>
      <c r="D803" s="1283" t="s">
        <v>540</v>
      </c>
      <c r="E803" s="1283"/>
      <c r="F803" s="1283"/>
      <c r="G803" s="877"/>
      <c r="I803" s="384"/>
    </row>
    <row r="804" spans="1:9" ht="14.4">
      <c r="A804" s="122"/>
      <c r="B804" s="122"/>
      <c r="C804" s="878"/>
      <c r="D804" s="1283"/>
      <c r="E804" s="1283"/>
      <c r="F804" s="1283"/>
      <c r="G804" s="877"/>
      <c r="I804" s="391"/>
    </row>
    <row r="805" spans="1:9" ht="14.4">
      <c r="A805" s="122"/>
      <c r="B805" s="122"/>
      <c r="C805" s="878"/>
      <c r="D805" s="1283"/>
      <c r="E805" s="1283"/>
      <c r="F805" s="1283"/>
      <c r="G805" s="877"/>
      <c r="I805" s="391"/>
    </row>
    <row r="806" spans="1:9" ht="14.4">
      <c r="A806" s="122"/>
      <c r="B806" s="122"/>
      <c r="C806" s="878"/>
      <c r="D806" s="1283"/>
      <c r="E806" s="1283"/>
      <c r="F806" s="1283"/>
      <c r="G806" s="877"/>
      <c r="I806" s="391"/>
    </row>
    <row r="807" spans="1:9" ht="14.4">
      <c r="A807" s="122"/>
      <c r="B807" s="122"/>
      <c r="C807" s="878"/>
      <c r="D807" s="1283"/>
      <c r="E807" s="1283"/>
      <c r="F807" s="1283"/>
      <c r="G807" s="877"/>
      <c r="I807" s="391"/>
    </row>
    <row r="808" spans="1:9" ht="14.4">
      <c r="A808" s="122"/>
      <c r="B808" s="122"/>
      <c r="C808" s="878"/>
      <c r="D808" s="1283"/>
      <c r="E808" s="1283"/>
      <c r="F808" s="1283"/>
      <c r="G808" s="877"/>
      <c r="I808" s="391"/>
    </row>
    <row r="809" spans="1:9" ht="14.4">
      <c r="A809" s="122"/>
      <c r="B809" s="122"/>
      <c r="C809" s="878"/>
      <c r="D809" s="1283" t="s">
        <v>541</v>
      </c>
      <c r="E809" s="1283"/>
      <c r="F809" s="1283"/>
      <c r="G809" s="877"/>
      <c r="I809" s="391"/>
    </row>
    <row r="810" spans="1:9" ht="14.4">
      <c r="A810" s="122"/>
      <c r="B810" s="122"/>
      <c r="C810" s="878"/>
      <c r="D810" s="1283"/>
      <c r="E810" s="1283"/>
      <c r="F810" s="1283"/>
      <c r="G810" s="877"/>
      <c r="I810" s="391"/>
    </row>
    <row r="811" spans="1:9" ht="14.4">
      <c r="A811" s="122"/>
      <c r="B811" s="122"/>
      <c r="C811" s="878"/>
      <c r="D811" s="1283"/>
      <c r="E811" s="1283"/>
      <c r="F811" s="1283"/>
      <c r="G811" s="877"/>
      <c r="I811" s="391"/>
    </row>
    <row r="812" spans="1:9" ht="14.4">
      <c r="A812" s="122"/>
      <c r="B812" s="257"/>
      <c r="C812" s="878"/>
      <c r="D812" s="879"/>
      <c r="E812" s="879"/>
      <c r="F812" s="879"/>
      <c r="G812" s="877"/>
      <c r="I812" s="391"/>
    </row>
    <row r="813" spans="1:9" ht="14.4">
      <c r="A813" s="122"/>
      <c r="B813" s="386" t="s">
        <v>2779</v>
      </c>
      <c r="C813" s="878"/>
      <c r="D813" s="1283" t="s">
        <v>542</v>
      </c>
      <c r="E813" s="1283"/>
      <c r="F813" s="1283"/>
      <c r="G813" s="877"/>
      <c r="I813" s="384"/>
    </row>
    <row r="814" spans="1:9" ht="14.4">
      <c r="A814" s="122"/>
      <c r="B814" s="122"/>
      <c r="C814" s="878"/>
      <c r="D814" s="1283"/>
      <c r="E814" s="1283"/>
      <c r="F814" s="1283"/>
      <c r="G814" s="877"/>
      <c r="I814" s="391"/>
    </row>
    <row r="815" spans="1:9" ht="14.4">
      <c r="A815" s="122"/>
      <c r="B815" s="122"/>
      <c r="C815" s="878"/>
      <c r="D815" s="1283"/>
      <c r="E815" s="1283"/>
      <c r="F815" s="1283"/>
      <c r="G815" s="877"/>
      <c r="I815" s="391"/>
    </row>
    <row r="816" spans="1:9" ht="14.4">
      <c r="A816" s="122"/>
      <c r="B816" s="122"/>
      <c r="C816" s="878"/>
      <c r="D816" s="1283"/>
      <c r="E816" s="1283"/>
      <c r="F816" s="1283"/>
      <c r="G816" s="877"/>
      <c r="I816" s="391"/>
    </row>
    <row r="817" spans="1:9" ht="14.4">
      <c r="A817" s="122"/>
      <c r="B817" s="122"/>
      <c r="C817" s="878"/>
      <c r="D817" s="1283"/>
      <c r="E817" s="1283"/>
      <c r="F817" s="1283"/>
      <c r="G817" s="877"/>
      <c r="I817" s="391"/>
    </row>
    <row r="818" spans="1:9" ht="14.4">
      <c r="A818" s="122"/>
      <c r="B818" s="122"/>
      <c r="C818" s="878"/>
      <c r="D818" s="1283"/>
      <c r="E818" s="1283"/>
      <c r="F818" s="1283"/>
      <c r="G818" s="877"/>
      <c r="I818" s="391"/>
    </row>
    <row r="819" spans="1:9" ht="14.4">
      <c r="A819" s="122"/>
      <c r="B819" s="122"/>
      <c r="C819" s="878"/>
      <c r="D819" s="871"/>
      <c r="E819" s="871"/>
      <c r="F819" s="871"/>
      <c r="G819" s="877"/>
      <c r="I819" s="391"/>
    </row>
    <row r="820" spans="1:9" ht="14.4">
      <c r="A820" s="122"/>
      <c r="B820" s="386" t="s">
        <v>2779</v>
      </c>
      <c r="C820" s="878"/>
      <c r="D820" s="1283" t="s">
        <v>543</v>
      </c>
      <c r="E820" s="1283"/>
      <c r="F820" s="1283"/>
      <c r="G820" s="877"/>
      <c r="I820" s="384"/>
    </row>
    <row r="821" spans="1:9" ht="14.4">
      <c r="A821" s="122"/>
      <c r="B821" s="122"/>
      <c r="C821" s="878"/>
      <c r="D821" s="1283"/>
      <c r="E821" s="1283"/>
      <c r="F821" s="1283"/>
      <c r="G821" s="877"/>
      <c r="I821" s="391"/>
    </row>
    <row r="822" spans="1:9" ht="14.4">
      <c r="A822" s="122"/>
      <c r="B822" s="122"/>
      <c r="C822" s="878"/>
      <c r="D822" s="1283"/>
      <c r="E822" s="1283"/>
      <c r="F822" s="1283"/>
      <c r="G822" s="877"/>
      <c r="I822" s="391"/>
    </row>
    <row r="823" spans="1:9" ht="14.4">
      <c r="A823" s="122"/>
      <c r="B823" s="122"/>
      <c r="C823" s="878"/>
      <c r="D823" s="1283"/>
      <c r="E823" s="1283"/>
      <c r="F823" s="1283"/>
      <c r="G823" s="877"/>
      <c r="I823" s="391"/>
    </row>
    <row r="824" spans="1:9" ht="14.4">
      <c r="A824" s="122"/>
      <c r="B824" s="122"/>
      <c r="C824" s="878"/>
      <c r="D824" s="1283"/>
      <c r="E824" s="1283"/>
      <c r="F824" s="1283"/>
      <c r="G824" s="877"/>
      <c r="I824" s="391"/>
    </row>
    <row r="825" spans="1:9" ht="14.4">
      <c r="A825" s="122"/>
      <c r="B825" s="122"/>
      <c r="C825" s="878"/>
      <c r="D825" s="1283"/>
      <c r="E825" s="1283"/>
      <c r="F825" s="1283"/>
      <c r="G825" s="877"/>
      <c r="I825" s="391"/>
    </row>
    <row r="826" spans="1:9" ht="14.4">
      <c r="A826" s="122"/>
      <c r="B826" s="122"/>
      <c r="C826" s="878"/>
      <c r="D826" s="871"/>
      <c r="E826" s="871"/>
      <c r="F826" s="871"/>
      <c r="G826" s="877"/>
      <c r="I826" s="391"/>
    </row>
    <row r="827" spans="1:9" ht="14.4">
      <c r="A827" s="122"/>
      <c r="B827" s="386" t="s">
        <v>2779</v>
      </c>
      <c r="C827" s="878"/>
      <c r="D827" s="1257" t="s">
        <v>544</v>
      </c>
      <c r="E827" s="1257"/>
      <c r="F827" s="1257"/>
      <c r="G827" s="877"/>
      <c r="I827" s="384"/>
    </row>
    <row r="828" spans="1:9" ht="14.4">
      <c r="A828" s="122"/>
      <c r="B828" s="122"/>
      <c r="C828" s="878"/>
      <c r="D828" s="1257"/>
      <c r="E828" s="1257"/>
      <c r="F828" s="1257"/>
      <c r="G828" s="877"/>
      <c r="I828" s="391"/>
    </row>
    <row r="829" spans="1:9">
      <c r="A829" s="12"/>
      <c r="B829" s="12"/>
      <c r="C829" s="878"/>
      <c r="D829" s="1257"/>
      <c r="E829" s="1257"/>
      <c r="F829" s="1257"/>
      <c r="G829" s="877"/>
      <c r="I829" s="391"/>
    </row>
    <row r="830" spans="1:9" ht="14.4">
      <c r="A830" s="122"/>
      <c r="B830" s="12"/>
      <c r="C830" s="878"/>
      <c r="D830" s="1257"/>
      <c r="E830" s="1257"/>
      <c r="F830" s="1257"/>
      <c r="G830" s="877"/>
      <c r="I830" s="391"/>
    </row>
    <row r="831" spans="1:9" ht="12.75" customHeight="1">
      <c r="A831" s="122"/>
      <c r="B831" s="12"/>
      <c r="C831" s="878"/>
      <c r="D831" s="1257"/>
      <c r="E831" s="1257"/>
      <c r="F831" s="1257"/>
      <c r="G831" s="877"/>
      <c r="I831" s="391"/>
    </row>
    <row r="832" spans="1:9" ht="12.75" customHeight="1">
      <c r="A832" s="122"/>
      <c r="B832" s="12"/>
      <c r="C832" s="878"/>
      <c r="D832" s="1257"/>
      <c r="E832" s="1257"/>
      <c r="F832" s="1257"/>
      <c r="G832" s="877"/>
      <c r="I832" s="391"/>
    </row>
    <row r="833" spans="1:9" ht="12.75" customHeight="1">
      <c r="A833" s="12"/>
      <c r="B833" s="12"/>
      <c r="C833" s="878"/>
      <c r="D833" s="877"/>
      <c r="E833" s="3"/>
      <c r="F833" s="3"/>
      <c r="G833" s="877"/>
      <c r="I833" s="391"/>
    </row>
    <row r="834" spans="1:9" ht="12.75" customHeight="1">
      <c r="A834" s="1275" t="s">
        <v>545</v>
      </c>
      <c r="B834" s="1275"/>
      <c r="C834" s="1275"/>
      <c r="D834" s="1275"/>
      <c r="E834" s="1275"/>
      <c r="F834" s="1275"/>
      <c r="G834" s="1275"/>
      <c r="H834" s="914"/>
      <c r="I834" s="1035"/>
    </row>
    <row r="835" spans="1:9" ht="12.75" customHeight="1">
      <c r="A835" s="119"/>
      <c r="B835" s="119"/>
      <c r="C835" s="878"/>
      <c r="D835" s="877"/>
      <c r="E835" s="877"/>
      <c r="F835" s="877"/>
      <c r="G835" s="877"/>
      <c r="I835" s="391"/>
    </row>
    <row r="836" spans="1:9" ht="12.75" customHeight="1">
      <c r="A836" s="122"/>
      <c r="B836" s="122"/>
      <c r="C836" s="257"/>
      <c r="D836" s="1280" t="s">
        <v>546</v>
      </c>
      <c r="E836" s="1280"/>
      <c r="F836" s="1280"/>
      <c r="G836" s="3"/>
      <c r="I836" s="391"/>
    </row>
    <row r="837" spans="1:9" ht="14.25" customHeight="1">
      <c r="A837" s="122"/>
      <c r="B837" s="122"/>
      <c r="C837" s="257"/>
      <c r="D837" s="1228" t="s">
        <v>547</v>
      </c>
      <c r="E837" s="1228"/>
      <c r="F837" s="1228"/>
      <c r="G837" s="3"/>
      <c r="I837" s="391"/>
    </row>
    <row r="838" spans="1:9" ht="12.75" customHeight="1">
      <c r="A838" s="122"/>
      <c r="B838" s="122"/>
      <c r="C838" s="257"/>
      <c r="D838" s="344"/>
      <c r="E838" s="344"/>
      <c r="F838" s="344"/>
      <c r="G838" s="3"/>
      <c r="I838" s="391"/>
    </row>
    <row r="839" spans="1:9" ht="12.75" customHeight="1">
      <c r="A839" s="257"/>
      <c r="B839" s="386" t="s">
        <v>2778</v>
      </c>
      <c r="C839" s="878"/>
      <c r="D839" s="1228" t="s">
        <v>548</v>
      </c>
      <c r="E839" s="1228"/>
      <c r="F839" s="1228"/>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89" t="s">
        <v>550</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2778</v>
      </c>
      <c r="C853" s="878"/>
      <c r="D853" s="1228" t="s">
        <v>551</v>
      </c>
      <c r="E853" s="1228"/>
      <c r="F853" s="1228"/>
      <c r="G853" s="3"/>
      <c r="I853" s="391" t="s">
        <v>552</v>
      </c>
    </row>
    <row r="854" spans="1:9" ht="12.75" customHeight="1">
      <c r="A854" s="122"/>
      <c r="B854" s="122"/>
      <c r="C854" s="878"/>
      <c r="D854" s="1228"/>
      <c r="E854" s="1228"/>
      <c r="F854" s="1228"/>
      <c r="G854" s="3"/>
      <c r="I854" s="391"/>
    </row>
    <row r="855" spans="1:9" ht="12.75" customHeight="1">
      <c r="A855" s="122"/>
      <c r="B855" s="122"/>
      <c r="C855" s="878"/>
      <c r="D855" s="1228"/>
      <c r="E855" s="1228"/>
      <c r="F855" s="1228"/>
      <c r="G855" s="3"/>
      <c r="I855" s="391"/>
    </row>
    <row r="856" spans="1:9" ht="12.75" customHeight="1">
      <c r="A856" s="122"/>
      <c r="B856" s="122"/>
      <c r="C856" s="878"/>
      <c r="D856" s="84"/>
      <c r="E856" s="3"/>
      <c r="F856" s="3"/>
      <c r="G856" s="3"/>
      <c r="I856" s="391"/>
    </row>
    <row r="857" spans="1:9" ht="12.75" customHeight="1">
      <c r="A857" s="881"/>
      <c r="B857" s="386" t="s">
        <v>2779</v>
      </c>
      <c r="C857" s="878"/>
      <c r="D857" s="1280" t="s">
        <v>553</v>
      </c>
      <c r="E857" s="1280"/>
      <c r="F857" s="1280"/>
      <c r="G857" s="3"/>
      <c r="I857" s="391"/>
    </row>
    <row r="858" spans="1:9" ht="12.75" customHeight="1">
      <c r="A858" s="257"/>
      <c r="B858" s="881"/>
      <c r="C858" s="878"/>
      <c r="D858" s="1280"/>
      <c r="E858" s="1280"/>
      <c r="F858" s="1280"/>
      <c r="G858" s="3"/>
      <c r="I858" s="391"/>
    </row>
    <row r="859" spans="1:9" ht="12.75" customHeight="1">
      <c r="A859" s="122"/>
      <c r="B859" s="257"/>
      <c r="C859" s="878"/>
      <c r="D859" s="1228" t="s">
        <v>554</v>
      </c>
      <c r="E859" s="1228"/>
      <c r="F859" s="1228"/>
      <c r="G859" s="3"/>
      <c r="I859" s="391"/>
    </row>
    <row r="860" spans="1:9" ht="12.75" customHeight="1">
      <c r="A860" s="122"/>
      <c r="B860" s="122"/>
      <c r="C860" s="878"/>
      <c r="D860" s="1228"/>
      <c r="E860" s="1228"/>
      <c r="F860" s="1228"/>
      <c r="G860" s="3"/>
      <c r="I860" s="391"/>
    </row>
    <row r="861" spans="1:9" ht="12.75" customHeight="1">
      <c r="A861" s="122"/>
      <c r="B861" s="122"/>
      <c r="C861" s="878"/>
      <c r="D861" s="1228"/>
      <c r="E861" s="1228"/>
      <c r="F861" s="1228"/>
      <c r="G861" s="3"/>
      <c r="I861" s="391"/>
    </row>
    <row r="862" spans="1:9" ht="12.75" customHeight="1">
      <c r="A862" s="122"/>
      <c r="B862" s="122"/>
      <c r="C862" s="878"/>
      <c r="D862" s="1228"/>
      <c r="E862" s="1228"/>
      <c r="F862" s="1228"/>
      <c r="G862" s="3"/>
      <c r="I862" s="391"/>
    </row>
    <row r="863" spans="1:9" ht="12.75" customHeight="1">
      <c r="A863" s="122"/>
      <c r="B863" s="122"/>
      <c r="C863" s="878"/>
      <c r="D863" s="1228"/>
      <c r="E863" s="1228"/>
      <c r="F863" s="1228"/>
      <c r="G863" s="3"/>
      <c r="I863" s="391"/>
    </row>
    <row r="864" spans="1:9" ht="12.75" customHeight="1">
      <c r="A864" s="122"/>
      <c r="B864" s="122"/>
      <c r="C864" s="878"/>
      <c r="D864" s="1228"/>
      <c r="E864" s="1228"/>
      <c r="F864" s="1228"/>
      <c r="G864" s="3"/>
      <c r="I864" s="391"/>
    </row>
    <row r="865" spans="1:9" ht="12.75" customHeight="1">
      <c r="A865" s="122"/>
      <c r="B865" s="122"/>
      <c r="C865" s="878"/>
      <c r="D865" s="84"/>
      <c r="E865" s="3"/>
      <c r="F865" s="3"/>
      <c r="G865" s="3"/>
      <c r="I865" s="391"/>
    </row>
    <row r="866" spans="1:9" ht="12.75" customHeight="1">
      <c r="A866" s="122"/>
      <c r="B866" s="386" t="s">
        <v>2779</v>
      </c>
      <c r="C866" s="878"/>
      <c r="D866" s="1228" t="s">
        <v>555</v>
      </c>
      <c r="E866" s="1228"/>
      <c r="F866" s="1228"/>
      <c r="G866" s="3"/>
      <c r="I866" s="391" t="s">
        <v>556</v>
      </c>
    </row>
    <row r="867" spans="1:9" ht="12.75" customHeight="1">
      <c r="A867" s="122"/>
      <c r="B867" s="122"/>
      <c r="C867" s="878"/>
      <c r="D867" s="1228" t="s">
        <v>557</v>
      </c>
      <c r="E867" s="1228"/>
      <c r="F867" s="1228"/>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2779</v>
      </c>
      <c r="C870" s="878"/>
      <c r="D870" s="1228" t="s">
        <v>558</v>
      </c>
      <c r="E870" s="1228"/>
      <c r="F870" s="1228"/>
      <c r="G870" s="3"/>
      <c r="I870" s="391" t="s">
        <v>559</v>
      </c>
    </row>
    <row r="871" spans="1:9" ht="12.75" customHeight="1">
      <c r="A871" s="122"/>
      <c r="B871" s="122"/>
      <c r="C871" s="878"/>
      <c r="D871" s="1228"/>
      <c r="E871" s="1228"/>
      <c r="F871" s="1228"/>
      <c r="G871" s="3"/>
      <c r="I871" s="391"/>
    </row>
    <row r="872" spans="1:9" ht="12.75" customHeight="1">
      <c r="A872" s="122"/>
      <c r="B872" s="122"/>
      <c r="C872" s="878"/>
      <c r="D872" s="1228"/>
      <c r="E872" s="1228"/>
      <c r="F872" s="1228"/>
      <c r="G872" s="3"/>
      <c r="I872" s="391"/>
    </row>
    <row r="873" spans="1:9" ht="12.75" customHeight="1">
      <c r="A873" s="122"/>
      <c r="B873" s="122"/>
      <c r="C873" s="878"/>
      <c r="D873" s="1228"/>
      <c r="E873" s="1228"/>
      <c r="F873" s="1228"/>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5"/>
    </row>
    <row r="876" spans="1:9" ht="12.75" customHeight="1">
      <c r="A876" s="119"/>
      <c r="B876" s="119"/>
      <c r="C876" s="119"/>
      <c r="D876" s="883"/>
      <c r="E876" s="3"/>
      <c r="F876" s="3"/>
      <c r="G876" s="3"/>
      <c r="I876" s="391"/>
    </row>
    <row r="877" spans="1:9" ht="12.75" customHeight="1">
      <c r="A877" s="257"/>
      <c r="B877" s="257"/>
      <c r="C877" s="121"/>
      <c r="D877" s="1287" t="s">
        <v>561</v>
      </c>
      <c r="E877" s="1287"/>
      <c r="F877" s="1287"/>
      <c r="G877" s="877"/>
      <c r="I877" s="391"/>
    </row>
    <row r="878" spans="1:9" ht="12.75" customHeight="1">
      <c r="A878" s="257"/>
      <c r="B878" s="257"/>
      <c r="C878" s="121"/>
      <c r="D878" s="1288" t="s">
        <v>562</v>
      </c>
      <c r="E878" s="1288"/>
      <c r="F878" s="1288"/>
      <c r="G878" s="877"/>
      <c r="I878" s="391"/>
    </row>
    <row r="879" spans="1:9" ht="12.75" customHeight="1">
      <c r="A879" s="257"/>
      <c r="B879" s="257"/>
      <c r="C879" s="121"/>
      <c r="D879" s="884"/>
      <c r="E879" s="884"/>
      <c r="F879" s="884"/>
      <c r="G879" s="877"/>
      <c r="I879" s="391"/>
    </row>
    <row r="880" spans="1:9" ht="12.75" customHeight="1">
      <c r="A880" s="122"/>
      <c r="B880" s="386" t="s">
        <v>2778</v>
      </c>
      <c r="C880" s="257"/>
      <c r="D880" s="1267" t="s">
        <v>563</v>
      </c>
      <c r="E880" s="1267"/>
      <c r="F880" s="1267"/>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2778</v>
      </c>
      <c r="C883" s="257"/>
      <c r="D883" s="1228" t="s">
        <v>564</v>
      </c>
      <c r="E883" s="1277"/>
      <c r="F883" s="1277"/>
      <c r="G883" s="3"/>
      <c r="I883" s="391" t="s">
        <v>559</v>
      </c>
    </row>
    <row r="884" spans="1:9" ht="12.75" customHeight="1">
      <c r="A884" s="257"/>
      <c r="B884" s="257"/>
      <c r="C884" s="257"/>
      <c r="D884" s="1277"/>
      <c r="E884" s="1277"/>
      <c r="F884" s="1277"/>
      <c r="G884" s="3"/>
      <c r="I884" s="391"/>
    </row>
    <row r="885" spans="1:9" ht="12.75" customHeight="1">
      <c r="A885" s="257"/>
      <c r="B885" s="257"/>
      <c r="C885" s="257"/>
      <c r="D885" s="84"/>
      <c r="E885" s="3"/>
      <c r="F885" s="3"/>
      <c r="G885" s="3"/>
      <c r="I885" s="391"/>
    </row>
    <row r="886" spans="1:9" ht="12.75" customHeight="1">
      <c r="A886" s="257"/>
      <c r="B886" s="386" t="s">
        <v>2779</v>
      </c>
      <c r="C886" s="257"/>
      <c r="D886" s="1278" t="s">
        <v>565</v>
      </c>
      <c r="E886" s="1278"/>
      <c r="F886" s="1278"/>
      <c r="G886" s="877"/>
      <c r="I886" s="391"/>
    </row>
    <row r="887" spans="1:9" ht="12.75" customHeight="1">
      <c r="A887" s="257"/>
      <c r="B887" s="885"/>
      <c r="C887" s="257"/>
      <c r="D887" s="1278"/>
      <c r="E887" s="1278"/>
      <c r="F887" s="1278"/>
      <c r="G887" s="877"/>
      <c r="I887" s="391"/>
    </row>
    <row r="888" spans="1:9" ht="12.75" customHeight="1">
      <c r="A888" s="122"/>
      <c r="B888"/>
      <c r="C888" s="257"/>
      <c r="D888" s="1228" t="s">
        <v>554</v>
      </c>
      <c r="E888" s="1228"/>
      <c r="F888" s="1228"/>
      <c r="G888" s="877"/>
      <c r="I888" s="391"/>
    </row>
    <row r="889" spans="1:9" ht="12.75" customHeight="1">
      <c r="A889" s="122"/>
      <c r="B889" s="122"/>
      <c r="C889" s="257"/>
      <c r="D889" s="1228"/>
      <c r="E889" s="1228"/>
      <c r="F889" s="1228"/>
      <c r="G889" s="877"/>
      <c r="I889" s="391"/>
    </row>
    <row r="890" spans="1:9" ht="12.75" customHeight="1">
      <c r="A890" s="122"/>
      <c r="B890" s="122"/>
      <c r="C890" s="257"/>
      <c r="D890" s="1228"/>
      <c r="E890" s="1228"/>
      <c r="F890" s="1228"/>
      <c r="G890" s="877"/>
      <c r="I890" s="391"/>
    </row>
    <row r="891" spans="1:9" ht="12.75" customHeight="1">
      <c r="A891" s="122"/>
      <c r="B891" s="122"/>
      <c r="C891" s="257"/>
      <c r="D891" s="1228"/>
      <c r="E891" s="1228"/>
      <c r="F891" s="1228"/>
      <c r="G891" s="877"/>
      <c r="I891" s="391"/>
    </row>
    <row r="892" spans="1:9" ht="12.75" customHeight="1">
      <c r="A892" s="122"/>
      <c r="B892" s="122"/>
      <c r="C892" s="257"/>
      <c r="D892" s="1228"/>
      <c r="E892" s="1228"/>
      <c r="F892" s="1228"/>
      <c r="G892" s="877"/>
      <c r="I892" s="391"/>
    </row>
    <row r="893" spans="1:9" ht="12.75" customHeight="1">
      <c r="A893" s="122"/>
      <c r="B893" s="122"/>
      <c r="C893" s="257"/>
      <c r="D893" s="1228"/>
      <c r="E893" s="1228"/>
      <c r="F893" s="1228"/>
      <c r="G893" s="877"/>
      <c r="I893" s="391"/>
    </row>
    <row r="894" spans="1:9" ht="12.75" customHeight="1">
      <c r="A894" s="122"/>
      <c r="B894" s="122"/>
      <c r="C894" s="257"/>
      <c r="D894" s="84"/>
      <c r="E894" s="877"/>
      <c r="F894" s="877"/>
      <c r="G894" s="877"/>
      <c r="I894" s="391"/>
    </row>
    <row r="895" spans="1:9" ht="12.75" customHeight="1">
      <c r="A895" s="122"/>
      <c r="B895" s="386" t="s">
        <v>2779</v>
      </c>
      <c r="C895" s="257"/>
      <c r="D895" s="1268" t="s">
        <v>555</v>
      </c>
      <c r="E895" s="1268"/>
      <c r="F895" s="1268"/>
      <c r="G895" s="877"/>
      <c r="I895" s="391"/>
    </row>
    <row r="896" spans="1:9" ht="12.75" customHeight="1">
      <c r="A896" s="122"/>
      <c r="B896" s="122"/>
      <c r="C896" s="257"/>
      <c r="D896" s="1268" t="s">
        <v>557</v>
      </c>
      <c r="E896" s="1268"/>
      <c r="F896" s="1268"/>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2779</v>
      </c>
      <c r="C899" s="257"/>
      <c r="D899" s="1228" t="s">
        <v>558</v>
      </c>
      <c r="E899" s="1228"/>
      <c r="F899" s="1228"/>
      <c r="G899" s="877"/>
      <c r="I899" s="391"/>
    </row>
    <row r="900" spans="1:9" ht="12.75" customHeight="1">
      <c r="A900" s="122"/>
      <c r="B900" s="122"/>
      <c r="C900" s="257"/>
      <c r="D900" s="1228"/>
      <c r="E900" s="1228"/>
      <c r="F900" s="1228"/>
      <c r="G900" s="877"/>
      <c r="I900" s="391"/>
    </row>
    <row r="901" spans="1:9" ht="12.75" customHeight="1">
      <c r="A901" s="122"/>
      <c r="B901" s="122"/>
      <c r="C901" s="257"/>
      <c r="D901" s="1228"/>
      <c r="E901" s="1228"/>
      <c r="F901" s="1228"/>
      <c r="G901" s="877"/>
      <c r="I901" s="391"/>
    </row>
    <row r="902" spans="1:9" ht="12.75" customHeight="1">
      <c r="A902" s="122"/>
      <c r="B902" s="122"/>
      <c r="C902" s="257"/>
      <c r="D902" s="1228"/>
      <c r="E902" s="1228"/>
      <c r="F902" s="1228"/>
      <c r="G902" s="877"/>
      <c r="I902" s="391"/>
    </row>
    <row r="903" spans="1:9" ht="12.75" customHeight="1">
      <c r="A903" s="84"/>
      <c r="B903" s="84"/>
      <c r="C903" s="878"/>
      <c r="D903" s="877"/>
      <c r="E903" s="877"/>
      <c r="F903" s="877"/>
      <c r="G903" s="877"/>
      <c r="I903" s="391"/>
    </row>
    <row r="904" spans="1:9" ht="12.75" customHeight="1">
      <c r="A904" s="1275" t="s">
        <v>567</v>
      </c>
      <c r="B904" s="1275"/>
      <c r="C904" s="1275"/>
      <c r="D904" s="1275"/>
      <c r="E904" s="1275"/>
      <c r="F904" s="1275"/>
      <c r="G904" s="1275"/>
      <c r="H904" s="914"/>
      <c r="I904" s="1035"/>
    </row>
    <row r="905" spans="1:9" ht="12.75" customHeight="1">
      <c r="A905" s="49"/>
      <c r="B905" s="49"/>
      <c r="C905" s="49"/>
      <c r="D905" s="49"/>
      <c r="E905" s="49"/>
      <c r="F905" s="49"/>
      <c r="G905" s="49"/>
      <c r="I905" s="391"/>
    </row>
    <row r="906" spans="1:9" ht="12.75" customHeight="1">
      <c r="A906" s="49"/>
      <c r="B906" s="49"/>
      <c r="C906" s="49"/>
      <c r="D906" s="1291" t="s">
        <v>568</v>
      </c>
      <c r="E906" s="1291"/>
      <c r="F906" s="1291"/>
      <c r="G906" s="49"/>
      <c r="I906" s="391"/>
    </row>
    <row r="907" spans="1:9" ht="12.75" customHeight="1">
      <c r="A907" s="49"/>
      <c r="B907" s="49"/>
      <c r="C907" s="49"/>
      <c r="D907" s="870"/>
      <c r="E907" s="870"/>
      <c r="F907" s="870"/>
      <c r="G907" s="49"/>
      <c r="I907" s="391"/>
    </row>
    <row r="908" spans="1:9" ht="12.75" customHeight="1">
      <c r="A908" s="49"/>
      <c r="B908" s="386" t="s">
        <v>2779</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1" t="s">
        <v>570</v>
      </c>
      <c r="E910" s="1291"/>
      <c r="F910" s="1291"/>
      <c r="G910" s="877"/>
      <c r="I910" s="391"/>
    </row>
    <row r="911" spans="1:9" ht="12.75" customHeight="1">
      <c r="A911" s="119"/>
      <c r="B911" s="119"/>
      <c r="C911" s="119"/>
      <c r="D911" s="1267" t="s">
        <v>571</v>
      </c>
      <c r="E911" s="1267"/>
      <c r="F911" s="1267"/>
      <c r="G911" s="877"/>
      <c r="I911" s="391"/>
    </row>
    <row r="912" spans="1:9" ht="12.75" customHeight="1">
      <c r="A912" s="878"/>
      <c r="B912" s="878"/>
      <c r="C912" s="878"/>
      <c r="D912" s="2"/>
      <c r="E912" s="877"/>
      <c r="F912" s="877"/>
      <c r="G912" s="877"/>
      <c r="I912" s="391"/>
    </row>
    <row r="913" spans="1:9" ht="12.75" customHeight="1">
      <c r="A913" s="122"/>
      <c r="B913" s="386" t="s">
        <v>2778</v>
      </c>
      <c r="C913" s="257"/>
      <c r="D913" s="1228" t="s">
        <v>572</v>
      </c>
      <c r="E913" s="1228"/>
      <c r="F913" s="1228"/>
      <c r="G913" s="3"/>
      <c r="I913" s="391"/>
    </row>
    <row r="914" spans="1:9" ht="12.75" customHeight="1">
      <c r="A914" s="257"/>
      <c r="B914" s="257"/>
      <c r="C914" s="257"/>
      <c r="D914" s="1228"/>
      <c r="E914" s="1228"/>
      <c r="F914" s="1228"/>
      <c r="G914" s="3"/>
      <c r="I914" s="391"/>
    </row>
    <row r="915" spans="1:9" ht="12.75" customHeight="1">
      <c r="A915" s="119"/>
      <c r="B915" s="119"/>
      <c r="C915" s="119"/>
      <c r="D915" s="1228" t="s">
        <v>573</v>
      </c>
      <c r="E915" s="1228"/>
      <c r="F915" s="1228"/>
      <c r="G915" s="877"/>
      <c r="I915" s="391"/>
    </row>
    <row r="916" spans="1:9" ht="12.75" customHeight="1">
      <c r="A916" s="119"/>
      <c r="B916" s="119"/>
      <c r="C916" s="119"/>
      <c r="D916" s="1228"/>
      <c r="E916" s="1228"/>
      <c r="F916" s="1228"/>
      <c r="G916" s="877"/>
      <c r="I916" s="391"/>
    </row>
    <row r="917" spans="1:9" ht="12.75" customHeight="1">
      <c r="A917" s="119"/>
      <c r="B917" s="119"/>
      <c r="C917" s="119"/>
      <c r="D917" s="3"/>
      <c r="E917" s="3"/>
      <c r="F917" s="877"/>
      <c r="G917" s="877"/>
      <c r="I917" s="391"/>
    </row>
    <row r="918" spans="1:9" ht="12.75" customHeight="1">
      <c r="A918" s="122"/>
      <c r="B918" s="386" t="s">
        <v>2778</v>
      </c>
      <c r="C918" s="121"/>
      <c r="D918" s="1232" t="s">
        <v>574</v>
      </c>
      <c r="E918" s="1232"/>
      <c r="F918" s="1232"/>
      <c r="G918" s="877"/>
      <c r="I918" s="391"/>
    </row>
    <row r="919" spans="1:9" ht="12.75" customHeight="1">
      <c r="A919" s="122"/>
      <c r="B919" s="122"/>
      <c r="C919" s="121"/>
      <c r="D919" s="1232"/>
      <c r="E919" s="1232"/>
      <c r="F919" s="1232"/>
      <c r="G919" s="877"/>
      <c r="I919" s="391"/>
    </row>
    <row r="920" spans="1:9" ht="12.75" customHeight="1">
      <c r="A920" s="122"/>
      <c r="B920" s="122"/>
      <c r="C920" s="121"/>
      <c r="D920" s="1232"/>
      <c r="E920" s="1232"/>
      <c r="F920" s="1232"/>
      <c r="G920" s="877"/>
      <c r="I920" s="391"/>
    </row>
    <row r="921" spans="1:9" ht="12.75" customHeight="1">
      <c r="A921" s="122"/>
      <c r="B921" s="122"/>
      <c r="C921" s="121"/>
      <c r="D921" s="1232"/>
      <c r="E921" s="1232"/>
      <c r="F921" s="1232"/>
      <c r="G921" s="877"/>
      <c r="I921" s="391"/>
    </row>
    <row r="922" spans="1:9" ht="12.75" customHeight="1">
      <c r="A922" s="122"/>
      <c r="B922" s="122"/>
      <c r="C922" s="121"/>
      <c r="D922" s="1232"/>
      <c r="E922" s="1232"/>
      <c r="F922" s="1232"/>
      <c r="G922" s="877"/>
      <c r="I922" s="391"/>
    </row>
    <row r="923" spans="1:9" ht="12.75" customHeight="1">
      <c r="A923" s="121"/>
      <c r="B923" s="121"/>
      <c r="C923" s="121"/>
      <c r="D923" s="1232"/>
      <c r="E923" s="1232"/>
      <c r="F923" s="1232"/>
      <c r="G923" s="877"/>
      <c r="I923" s="391"/>
    </row>
    <row r="924" spans="1:9" ht="12.75" customHeight="1">
      <c r="A924" s="121"/>
      <c r="B924" s="121"/>
      <c r="C924" s="121"/>
      <c r="D924" s="1232"/>
      <c r="E924" s="1232"/>
      <c r="F924" s="1232"/>
      <c r="G924" s="877"/>
      <c r="I924" s="391"/>
    </row>
    <row r="925" spans="1:9" ht="12.75" customHeight="1">
      <c r="A925" s="121"/>
      <c r="B925" s="121"/>
      <c r="C925" s="121"/>
      <c r="D925" s="1232"/>
      <c r="E925" s="1232"/>
      <c r="F925" s="1232"/>
      <c r="G925" s="877"/>
      <c r="I925" s="391"/>
    </row>
    <row r="926" spans="1:9" ht="12.75" customHeight="1">
      <c r="A926" s="121"/>
      <c r="B926" s="121"/>
      <c r="C926" s="121"/>
      <c r="D926" s="240"/>
      <c r="E926" s="240"/>
      <c r="F926" s="240"/>
      <c r="G926" s="877"/>
      <c r="I926" s="391"/>
    </row>
    <row r="927" spans="1:9" ht="12.75" customHeight="1">
      <c r="A927" s="878"/>
      <c r="B927" s="386" t="s">
        <v>2779</v>
      </c>
      <c r="C927" s="878"/>
      <c r="D927" s="1228" t="s">
        <v>575</v>
      </c>
      <c r="E927" s="1228"/>
      <c r="F927" s="1228"/>
      <c r="G927" s="877"/>
      <c r="I927" s="391"/>
    </row>
    <row r="928" spans="1:9" ht="12.75" customHeight="1">
      <c r="A928" s="878"/>
      <c r="B928" s="878"/>
      <c r="C928" s="878"/>
      <c r="D928" s="1228"/>
      <c r="E928" s="1228"/>
      <c r="F928" s="1228"/>
      <c r="G928" s="877"/>
      <c r="I928" s="391"/>
    </row>
    <row r="929" spans="1:9" ht="12.75" customHeight="1">
      <c r="A929" s="878"/>
      <c r="B929" s="878"/>
      <c r="C929" s="878"/>
      <c r="D929" s="877"/>
      <c r="E929" s="877"/>
      <c r="F929" s="877"/>
      <c r="G929" s="877"/>
      <c r="I929" s="391"/>
    </row>
    <row r="930" spans="1:9" ht="12.75" customHeight="1">
      <c r="A930" s="878"/>
      <c r="B930" s="386" t="s">
        <v>2779</v>
      </c>
      <c r="C930" s="878"/>
      <c r="D930" s="1257" t="s">
        <v>576</v>
      </c>
      <c r="E930" s="1257"/>
      <c r="F930" s="1257"/>
      <c r="G930" s="877"/>
      <c r="I930" s="391"/>
    </row>
    <row r="931" spans="1:9" ht="12.75" customHeight="1">
      <c r="A931" s="878"/>
      <c r="B931" s="878"/>
      <c r="C931" s="878"/>
      <c r="D931" s="1257"/>
      <c r="E931" s="1257"/>
      <c r="F931" s="1257"/>
      <c r="G931" s="877"/>
      <c r="I931" s="391"/>
    </row>
    <row r="932" spans="1:9" ht="12.75" customHeight="1">
      <c r="A932" s="878"/>
      <c r="B932" s="878"/>
      <c r="C932" s="878"/>
      <c r="D932" s="1257"/>
      <c r="E932" s="1257"/>
      <c r="F932" s="1257"/>
      <c r="G932" s="877"/>
      <c r="I932" s="391"/>
    </row>
    <row r="933" spans="1:9" ht="12.75" customHeight="1">
      <c r="A933" s="878"/>
      <c r="B933" s="878"/>
      <c r="C933" s="878"/>
      <c r="D933" s="1257"/>
      <c r="E933" s="1257"/>
      <c r="F933" s="1257"/>
      <c r="G933" s="877"/>
      <c r="I933" s="391"/>
    </row>
    <row r="934" spans="1:9" ht="12.75" customHeight="1">
      <c r="A934" s="878"/>
      <c r="B934" s="878"/>
      <c r="C934" s="878"/>
      <c r="D934" s="84"/>
      <c r="E934" s="877"/>
      <c r="F934" s="877"/>
      <c r="G934" s="877"/>
      <c r="I934" s="391"/>
    </row>
    <row r="935" spans="1:9" ht="12.75" customHeight="1">
      <c r="A935" s="878"/>
      <c r="B935" s="386" t="s">
        <v>2779</v>
      </c>
      <c r="C935" s="878"/>
      <c r="D935" s="1267" t="s">
        <v>577</v>
      </c>
      <c r="E935" s="1267"/>
      <c r="F935" s="1267"/>
      <c r="G935" s="877"/>
      <c r="I935" s="391"/>
    </row>
    <row r="936" spans="1:9" ht="12.75" customHeight="1">
      <c r="A936" s="878"/>
      <c r="B936" s="878"/>
      <c r="C936" s="878"/>
      <c r="D936" s="84"/>
      <c r="E936" s="877"/>
      <c r="F936" s="877"/>
      <c r="G936" s="877"/>
      <c r="I936" s="391"/>
    </row>
    <row r="937" spans="1:9" ht="12.75" customHeight="1">
      <c r="A937" s="878"/>
      <c r="B937" s="386" t="s">
        <v>2779</v>
      </c>
      <c r="C937" s="878"/>
      <c r="D937" s="1267" t="s">
        <v>578</v>
      </c>
      <c r="E937" s="1267"/>
      <c r="F937" s="1267"/>
      <c r="G937" s="877"/>
      <c r="I937" s="391"/>
    </row>
    <row r="938" spans="1:9" ht="12.75" customHeight="1">
      <c r="A938" s="121"/>
      <c r="B938" s="121"/>
      <c r="C938" s="121"/>
      <c r="D938" s="2"/>
      <c r="E938" s="3"/>
      <c r="F938" s="877"/>
      <c r="G938" s="877"/>
      <c r="I938" s="391"/>
    </row>
    <row r="939" spans="1:9" ht="12.75" customHeight="1">
      <c r="A939" s="886"/>
      <c r="B939" s="386" t="s">
        <v>2779</v>
      </c>
      <c r="C939" s="887"/>
      <c r="D939" s="1232" t="s">
        <v>579</v>
      </c>
      <c r="E939" s="1232"/>
      <c r="F939" s="1232"/>
      <c r="G939" s="888"/>
      <c r="I939" s="391"/>
    </row>
    <row r="940" spans="1:9" ht="12.75" customHeight="1">
      <c r="A940" s="886"/>
      <c r="B940" s="886"/>
      <c r="C940" s="887"/>
      <c r="D940" s="1232"/>
      <c r="E940" s="1232"/>
      <c r="F940" s="1232"/>
      <c r="G940" s="888"/>
      <c r="I940" s="391"/>
    </row>
    <row r="941" spans="1:9" ht="12.75" customHeight="1">
      <c r="A941" s="886"/>
      <c r="B941" s="886"/>
      <c r="C941" s="887"/>
      <c r="D941" s="1232"/>
      <c r="E941" s="1232"/>
      <c r="F941" s="1232"/>
      <c r="G941" s="888"/>
      <c r="I941" s="391"/>
    </row>
    <row r="942" spans="1:9" ht="12.75" customHeight="1">
      <c r="A942" s="886"/>
      <c r="B942" s="886"/>
      <c r="C942" s="887"/>
      <c r="D942" s="1232"/>
      <c r="E942" s="1232"/>
      <c r="F942" s="1232"/>
      <c r="G942" s="888"/>
      <c r="I942" s="391"/>
    </row>
    <row r="943" spans="1:9" ht="12.75" customHeight="1">
      <c r="A943" s="886"/>
      <c r="B943" s="886"/>
      <c r="C943" s="887"/>
      <c r="D943" s="1232"/>
      <c r="E943" s="1232"/>
      <c r="F943" s="1232"/>
      <c r="G943" s="888"/>
      <c r="I943" s="391"/>
    </row>
    <row r="944" spans="1:9" ht="12.75" customHeight="1">
      <c r="A944" s="886"/>
      <c r="B944" s="886"/>
      <c r="C944" s="887"/>
      <c r="D944" s="1232"/>
      <c r="E944" s="1232"/>
      <c r="F944" s="1232"/>
      <c r="G944" s="888"/>
      <c r="I944" s="391"/>
    </row>
    <row r="945" spans="1:9" ht="12.75" customHeight="1">
      <c r="A945" s="886"/>
      <c r="B945" s="886"/>
      <c r="C945" s="887"/>
      <c r="D945" s="1232"/>
      <c r="E945" s="1232"/>
      <c r="F945" s="1232"/>
      <c r="G945" s="888"/>
      <c r="I945" s="391"/>
    </row>
    <row r="946" spans="1:9" ht="12.75" customHeight="1">
      <c r="A946" s="886"/>
      <c r="B946" s="886"/>
      <c r="C946" s="887"/>
      <c r="D946" s="1232"/>
      <c r="E946" s="1232"/>
      <c r="F946" s="1232"/>
      <c r="G946" s="888"/>
      <c r="I946" s="391"/>
    </row>
    <row r="947" spans="1:9" ht="12.75" customHeight="1">
      <c r="A947" s="886"/>
      <c r="B947" s="886"/>
      <c r="C947" s="887"/>
      <c r="D947" s="1232"/>
      <c r="E947" s="1232"/>
      <c r="F947" s="1232"/>
      <c r="G947" s="888"/>
      <c r="I947" s="391"/>
    </row>
    <row r="948" spans="1:9" ht="12.75" customHeight="1">
      <c r="A948" s="121"/>
      <c r="B948" s="121"/>
      <c r="C948" s="121"/>
      <c r="D948" s="2"/>
      <c r="E948" s="3"/>
      <c r="F948" s="877"/>
      <c r="G948" s="877"/>
      <c r="I948" s="391"/>
    </row>
    <row r="949" spans="1:9" ht="12.75" customHeight="1">
      <c r="A949" s="122"/>
      <c r="B949" s="386" t="s">
        <v>2778</v>
      </c>
      <c r="C949" s="121"/>
      <c r="D949" s="1292" t="s">
        <v>580</v>
      </c>
      <c r="E949" s="1292"/>
      <c r="F949" s="1292"/>
      <c r="G949" s="877"/>
      <c r="I949" s="391"/>
    </row>
    <row r="950" spans="1:9" ht="12.75" customHeight="1">
      <c r="A950" s="122"/>
      <c r="B950" s="122"/>
      <c r="C950" s="121"/>
      <c r="D950" s="1292"/>
      <c r="E950" s="1292"/>
      <c r="F950" s="1292"/>
      <c r="G950" s="877"/>
      <c r="I950" s="391"/>
    </row>
    <row r="951" spans="1:9" ht="12.75" customHeight="1">
      <c r="A951" s="122"/>
      <c r="B951" s="122"/>
      <c r="C951" s="121"/>
      <c r="D951" s="1292"/>
      <c r="E951" s="1292"/>
      <c r="F951" s="1292"/>
      <c r="G951" s="877"/>
      <c r="I951" s="391"/>
    </row>
    <row r="952" spans="1:9" ht="12.75" customHeight="1">
      <c r="A952" s="122"/>
      <c r="B952" s="122"/>
      <c r="C952" s="121"/>
      <c r="D952" s="1292"/>
      <c r="E952" s="1292"/>
      <c r="F952" s="1292"/>
      <c r="G952" s="877"/>
      <c r="I952" s="391"/>
    </row>
    <row r="953" spans="1:9" ht="12.75" customHeight="1">
      <c r="A953" s="122"/>
      <c r="B953" s="122"/>
      <c r="C953" s="121"/>
      <c r="D953" s="1292"/>
      <c r="E953" s="1292"/>
      <c r="F953" s="1292"/>
      <c r="G953" s="877"/>
      <c r="I953" s="391"/>
    </row>
    <row r="954" spans="1:9" ht="12.75" customHeight="1">
      <c r="A954" s="122"/>
      <c r="B954" s="122"/>
      <c r="C954" s="121"/>
      <c r="D954" s="1292"/>
      <c r="E954" s="1292"/>
      <c r="F954" s="1292"/>
      <c r="G954" s="877"/>
      <c r="I954" s="391"/>
    </row>
    <row r="955" spans="1:9" ht="12.75" customHeight="1">
      <c r="A955" s="122"/>
      <c r="B955" s="122"/>
      <c r="C955" s="121"/>
      <c r="D955" s="1292"/>
      <c r="E955" s="1292"/>
      <c r="F955" s="1292"/>
      <c r="G955" s="877"/>
      <c r="I955" s="391"/>
    </row>
    <row r="956" spans="1:9" ht="12.75" customHeight="1">
      <c r="A956" s="122"/>
      <c r="B956" s="122"/>
      <c r="C956" s="121"/>
      <c r="D956" s="912"/>
      <c r="E956" s="912"/>
      <c r="F956" s="912"/>
      <c r="G956" s="877"/>
      <c r="I956" s="391"/>
    </row>
    <row r="957" spans="1:9" ht="12.75" customHeight="1">
      <c r="A957" s="122"/>
      <c r="B957" s="386" t="s">
        <v>2779</v>
      </c>
      <c r="C957" s="121"/>
      <c r="D957" s="1231" t="s">
        <v>581</v>
      </c>
      <c r="E957" s="1231"/>
      <c r="F957" s="1231"/>
      <c r="G957" s="877"/>
      <c r="I957" s="391"/>
    </row>
    <row r="958" spans="1:9" ht="12.75" customHeight="1">
      <c r="A958" s="122"/>
      <c r="B958" s="122"/>
      <c r="C958" s="121"/>
      <c r="D958" s="1231"/>
      <c r="E958" s="1231"/>
      <c r="F958" s="1231"/>
      <c r="G958" s="877"/>
      <c r="I958" s="391"/>
    </row>
    <row r="959" spans="1:9" ht="12.75" customHeight="1">
      <c r="A959" s="122"/>
      <c r="B959" s="122"/>
      <c r="C959" s="121"/>
      <c r="D959" s="1231"/>
      <c r="E959" s="1231"/>
      <c r="F959" s="1231"/>
      <c r="G959" s="877"/>
      <c r="I959" s="391"/>
    </row>
    <row r="960" spans="1:9" ht="12.75" customHeight="1">
      <c r="A960" s="122"/>
      <c r="B960" s="122"/>
      <c r="C960" s="121"/>
      <c r="D960" s="1231"/>
      <c r="E960" s="1231"/>
      <c r="F960" s="1231"/>
      <c r="G960" s="877"/>
      <c r="I960" s="391"/>
    </row>
    <row r="961" spans="1:9" ht="12.75" customHeight="1">
      <c r="A961" s="122"/>
      <c r="B961" s="122"/>
      <c r="C961" s="121"/>
      <c r="D961" s="1231"/>
      <c r="E961" s="1231"/>
      <c r="F961" s="1231"/>
      <c r="G961" s="877"/>
      <c r="I961" s="391"/>
    </row>
    <row r="962" spans="1:9" ht="12.75" customHeight="1">
      <c r="A962" s="122"/>
      <c r="B962" s="122"/>
      <c r="C962" s="121"/>
      <c r="D962" s="1231"/>
      <c r="E962" s="1231"/>
      <c r="F962" s="1231"/>
      <c r="G962" s="877"/>
      <c r="I962" s="391"/>
    </row>
    <row r="963" spans="1:9" ht="12.75" customHeight="1">
      <c r="A963" s="122"/>
      <c r="B963" s="122"/>
      <c r="C963" s="121"/>
      <c r="D963" s="912"/>
      <c r="E963" s="912"/>
      <c r="F963" s="912"/>
      <c r="G963" s="877"/>
      <c r="I963" s="391"/>
    </row>
    <row r="964" spans="1:9" ht="12.75" customHeight="1">
      <c r="A964" s="878"/>
      <c r="B964" s="386" t="s">
        <v>2779</v>
      </c>
      <c r="C964" s="878"/>
      <c r="D964" s="1257" t="s">
        <v>582</v>
      </c>
      <c r="E964" s="1257"/>
      <c r="F964" s="1257"/>
      <c r="G964" s="877"/>
      <c r="I964" s="391"/>
    </row>
    <row r="965" spans="1:9" ht="12.75" customHeight="1">
      <c r="A965" s="878"/>
      <c r="B965" s="878"/>
      <c r="C965" s="878"/>
      <c r="D965" s="1257"/>
      <c r="E965" s="1257"/>
      <c r="F965" s="1257"/>
      <c r="G965" s="877"/>
      <c r="I965" s="391"/>
    </row>
    <row r="966" spans="1:9" ht="12.75" customHeight="1">
      <c r="A966" s="878"/>
      <c r="B966" s="878"/>
      <c r="C966" s="878"/>
      <c r="D966" s="1257"/>
      <c r="E966" s="1257"/>
      <c r="F966" s="1257"/>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2779</v>
      </c>
      <c r="C969" s="121"/>
      <c r="D969" s="1232" t="s">
        <v>583</v>
      </c>
      <c r="E969" s="1232"/>
      <c r="F969" s="1232"/>
      <c r="G969" s="877"/>
      <c r="I969" s="391"/>
    </row>
    <row r="970" spans="1:9" ht="12.75" customHeight="1">
      <c r="A970" s="122"/>
      <c r="B970" s="122"/>
      <c r="C970" s="121"/>
      <c r="D970" s="1232"/>
      <c r="E970" s="1232"/>
      <c r="F970" s="1232"/>
      <c r="G970" s="877"/>
      <c r="I970" s="391"/>
    </row>
    <row r="971" spans="1:9" ht="12.75" customHeight="1">
      <c r="A971" s="122"/>
      <c r="B971" s="122"/>
      <c r="C971" s="121"/>
      <c r="D971" s="1232"/>
      <c r="E971" s="1232"/>
      <c r="F971" s="1232"/>
      <c r="G971" s="877"/>
      <c r="I971" s="391"/>
    </row>
    <row r="972" spans="1:9" ht="12.75" customHeight="1">
      <c r="A972" s="122"/>
      <c r="B972" s="122"/>
      <c r="C972" s="121"/>
      <c r="D972" s="1232"/>
      <c r="E972" s="1232"/>
      <c r="F972" s="1232"/>
      <c r="G972" s="877"/>
      <c r="I972" s="391"/>
    </row>
    <row r="973" spans="1:9" ht="12.75" customHeight="1">
      <c r="A973" s="878"/>
      <c r="B973" s="878"/>
      <c r="C973" s="878"/>
      <c r="D973" s="869"/>
      <c r="E973" s="869"/>
      <c r="F973" s="869"/>
      <c r="G973" s="869"/>
      <c r="I973" s="391"/>
    </row>
    <row r="974" spans="1:9" ht="12.75" customHeight="1">
      <c r="A974" s="257"/>
      <c r="B974" s="257"/>
      <c r="C974" s="257"/>
      <c r="D974" s="1287" t="s">
        <v>584</v>
      </c>
      <c r="E974" s="1287"/>
      <c r="F974" s="1287"/>
      <c r="G974" s="3"/>
      <c r="I974" s="391"/>
    </row>
    <row r="975" spans="1:9" ht="12.75" customHeight="1">
      <c r="A975" s="122"/>
      <c r="B975" s="386" t="s">
        <v>2779</v>
      </c>
      <c r="C975" s="257"/>
      <c r="D975" s="1267" t="s">
        <v>585</v>
      </c>
      <c r="E975" s="1267"/>
      <c r="F975" s="1267"/>
      <c r="G975" s="3"/>
      <c r="I975" s="391"/>
    </row>
    <row r="976" spans="1:9" ht="12.75" customHeight="1">
      <c r="A976" s="257"/>
      <c r="B976" s="257"/>
      <c r="C976" s="257"/>
      <c r="D976" s="3"/>
      <c r="E976" s="3"/>
      <c r="F976" s="3"/>
      <c r="G976" s="3"/>
      <c r="I976" s="391"/>
    </row>
    <row r="977" spans="1:9" ht="12.75" customHeight="1">
      <c r="A977" s="257"/>
      <c r="B977" s="257"/>
      <c r="C977" s="257"/>
      <c r="D977" s="1287" t="s">
        <v>586</v>
      </c>
      <c r="E977" s="1287"/>
      <c r="F977" s="1287"/>
      <c r="G977"/>
      <c r="I977" s="391"/>
    </row>
    <row r="978" spans="1:9" ht="12.75" customHeight="1">
      <c r="A978" s="122"/>
      <c r="B978" s="386" t="s">
        <v>2779</v>
      </c>
      <c r="C978" s="257"/>
      <c r="D978" s="1228" t="s">
        <v>587</v>
      </c>
      <c r="E978" s="1228"/>
      <c r="F978" s="1228"/>
      <c r="G978"/>
      <c r="I978" s="391"/>
    </row>
    <row r="979" spans="1:9" ht="12.75" customHeight="1">
      <c r="A979" s="122"/>
      <c r="B979" s="122"/>
      <c r="C979" s="257"/>
      <c r="D979" s="1228"/>
      <c r="E979" s="1228"/>
      <c r="F979" s="1228"/>
      <c r="G979"/>
      <c r="I979" s="391"/>
    </row>
    <row r="980" spans="1:9" ht="12.75" customHeight="1">
      <c r="A980" s="122"/>
      <c r="B980" s="122"/>
      <c r="C980" s="257"/>
      <c r="D980" s="1228"/>
      <c r="E980" s="1228"/>
      <c r="F980" s="1228"/>
      <c r="G980"/>
      <c r="I980" s="391"/>
    </row>
    <row r="981" spans="1:9" ht="12.75" customHeight="1">
      <c r="A981" s="122"/>
      <c r="B981" s="122"/>
      <c r="C981" s="257"/>
      <c r="D981" s="1228"/>
      <c r="E981" s="1228"/>
      <c r="F981" s="1228"/>
      <c r="G981"/>
      <c r="I981" s="391"/>
    </row>
    <row r="982" spans="1:9" ht="12.75" customHeight="1">
      <c r="A982" s="122"/>
      <c r="B982" s="122"/>
      <c r="C982" s="257"/>
      <c r="D982" s="1228"/>
      <c r="E982" s="1228"/>
      <c r="F982" s="1228"/>
      <c r="G982"/>
      <c r="I982" s="391"/>
    </row>
    <row r="983" spans="1:9" ht="12.75" customHeight="1">
      <c r="A983" s="122"/>
      <c r="B983" s="122"/>
      <c r="C983" s="257"/>
      <c r="D983" s="1228"/>
      <c r="E983" s="1228"/>
      <c r="F983" s="1228"/>
      <c r="G983"/>
      <c r="I983" s="391"/>
    </row>
    <row r="984" spans="1:9" ht="12.75" customHeight="1">
      <c r="A984" s="122"/>
      <c r="B984" s="122"/>
      <c r="C984" s="257"/>
      <c r="D984" s="1228"/>
      <c r="E984" s="1228"/>
      <c r="F984" s="1228"/>
      <c r="G984"/>
      <c r="I984" s="391"/>
    </row>
    <row r="985" spans="1:9" ht="12.75" customHeight="1">
      <c r="A985" s="122"/>
      <c r="B985" s="122"/>
      <c r="C985" s="257"/>
      <c r="D985" s="1228"/>
      <c r="E985" s="1228"/>
      <c r="F985" s="1228"/>
      <c r="G985"/>
      <c r="I985" s="391"/>
    </row>
    <row r="986" spans="1:9" ht="12.75" customHeight="1">
      <c r="A986" s="122"/>
      <c r="B986" s="122"/>
      <c r="C986" s="257"/>
      <c r="D986" s="1228"/>
      <c r="E986" s="1228"/>
      <c r="F986" s="1228"/>
      <c r="G986"/>
      <c r="I986" s="391"/>
    </row>
    <row r="987" spans="1:9" ht="12.75" customHeight="1">
      <c r="A987" s="122"/>
      <c r="B987" s="122"/>
      <c r="C987" s="257"/>
      <c r="D987" s="1228"/>
      <c r="E987" s="1228"/>
      <c r="F987" s="1228"/>
      <c r="G987"/>
      <c r="I987" s="391"/>
    </row>
    <row r="988" spans="1:9" ht="12.75" customHeight="1">
      <c r="A988" s="122"/>
      <c r="B988" s="122"/>
      <c r="C988" s="257"/>
      <c r="D988" s="1228"/>
      <c r="E988" s="1228"/>
      <c r="F988" s="1228"/>
      <c r="G988"/>
      <c r="I988" s="391"/>
    </row>
    <row r="989" spans="1:9" ht="12.75" customHeight="1">
      <c r="A989" s="122"/>
      <c r="B989" s="122"/>
      <c r="C989" s="257"/>
      <c r="D989" s="1228"/>
      <c r="E989" s="1228"/>
      <c r="F989" s="1228"/>
      <c r="G989"/>
      <c r="I989" s="391"/>
    </row>
    <row r="990" spans="1:9" ht="12.75" customHeight="1">
      <c r="A990" s="122"/>
      <c r="B990" s="122"/>
      <c r="C990" s="257"/>
      <c r="D990" s="1228"/>
      <c r="E990" s="1228"/>
      <c r="F990" s="1228"/>
      <c r="G990"/>
      <c r="I990" s="391"/>
    </row>
    <row r="991" spans="1:9" ht="12.75" customHeight="1">
      <c r="A991" s="122"/>
      <c r="B991" s="122"/>
      <c r="C991" s="257"/>
      <c r="D991" s="1228"/>
      <c r="E991" s="1228"/>
      <c r="F991" s="1228"/>
      <c r="G991"/>
      <c r="I991" s="391"/>
    </row>
    <row r="992" spans="1:9" ht="12.75" customHeight="1">
      <c r="A992" s="122"/>
      <c r="B992" s="122"/>
      <c r="C992" s="257"/>
      <c r="D992" s="1228"/>
      <c r="E992" s="1228"/>
      <c r="F992" s="1228"/>
      <c r="G992" s="3"/>
      <c r="I992" s="391"/>
    </row>
    <row r="993" spans="1:9" ht="12.75" customHeight="1">
      <c r="A993" s="257"/>
      <c r="B993" s="257"/>
      <c r="C993" s="257"/>
      <c r="D993" s="3"/>
      <c r="E993" s="3"/>
      <c r="F993" s="3"/>
      <c r="G993" s="3"/>
      <c r="I993" s="391"/>
    </row>
    <row r="994" spans="1:9" ht="12.75" customHeight="1">
      <c r="A994" s="1275" t="s">
        <v>588</v>
      </c>
      <c r="B994" s="1275"/>
      <c r="C994" s="1275"/>
      <c r="D994" s="1275"/>
      <c r="E994" s="1275"/>
      <c r="F994" s="1275"/>
      <c r="G994" s="1275"/>
      <c r="H994" s="914"/>
      <c r="I994" s="1035"/>
    </row>
    <row r="995" spans="1:9" ht="12.75" customHeight="1">
      <c r="A995" s="84"/>
      <c r="B995" s="84"/>
      <c r="C995" s="257"/>
      <c r="D995" s="3"/>
      <c r="E995" s="3"/>
      <c r="F995" s="3"/>
      <c r="G995" s="3"/>
      <c r="I995" s="391"/>
    </row>
    <row r="996" spans="1:9" ht="12.75" customHeight="1">
      <c r="A996" s="257"/>
      <c r="B996" s="257"/>
      <c r="C996" s="878"/>
      <c r="D996" s="1287" t="s">
        <v>589</v>
      </c>
      <c r="E996" s="1287"/>
      <c r="F996" s="1287"/>
      <c r="G996" s="3"/>
      <c r="I996" s="391"/>
    </row>
    <row r="997" spans="1:9" ht="12.75" customHeight="1">
      <c r="A997" s="119"/>
      <c r="B997" s="119"/>
      <c r="C997" s="119"/>
      <c r="D997" s="1267" t="s">
        <v>590</v>
      </c>
      <c r="E997" s="1267"/>
      <c r="F997" s="1267"/>
      <c r="G997" s="3"/>
      <c r="I997" s="391"/>
    </row>
    <row r="998" spans="1:9" ht="12.75" customHeight="1">
      <c r="A998" s="119"/>
      <c r="B998" s="119"/>
      <c r="C998" s="119"/>
      <c r="D998" s="3"/>
      <c r="E998" s="3"/>
      <c r="F998" s="877"/>
      <c r="G998"/>
      <c r="I998" s="391"/>
    </row>
    <row r="999" spans="1:9" ht="12.75" customHeight="1">
      <c r="A999" s="257"/>
      <c r="B999" s="386" t="s">
        <v>2778</v>
      </c>
      <c r="C999" s="257"/>
      <c r="D999" s="1297" t="s">
        <v>591</v>
      </c>
      <c r="E999" s="1297"/>
      <c r="F999" s="1297"/>
      <c r="G999"/>
      <c r="I999" s="391"/>
    </row>
    <row r="1000" spans="1:9" ht="12.75" customHeight="1">
      <c r="A1000" s="257"/>
      <c r="B1000" s="257"/>
      <c r="C1000" s="257"/>
      <c r="D1000" s="1297"/>
      <c r="E1000" s="1297"/>
      <c r="F1000" s="1297"/>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34" t="s">
        <v>593</v>
      </c>
      <c r="E1002" s="1234"/>
      <c r="F1002" s="1234"/>
      <c r="G1002"/>
      <c r="I1002" s="391"/>
    </row>
    <row r="1003" spans="1:9" ht="12.75" customHeight="1">
      <c r="A1003" s="257"/>
      <c r="B1003" s="257"/>
      <c r="C1003" s="257"/>
      <c r="D1003" s="1234"/>
      <c r="E1003" s="1234"/>
      <c r="F1003" s="1234"/>
      <c r="G1003"/>
      <c r="I1003" s="391"/>
    </row>
    <row r="1004" spans="1:9" ht="12.75" customHeight="1">
      <c r="A1004" s="121"/>
      <c r="B1004" s="121"/>
      <c r="C1004" s="121"/>
      <c r="D1004" s="1234"/>
      <c r="E1004" s="1234"/>
      <c r="F1004" s="1234"/>
      <c r="G1004"/>
      <c r="I1004" s="391"/>
    </row>
    <row r="1005" spans="1:9" ht="12.75" customHeight="1">
      <c r="A1005" s="121"/>
      <c r="B1005" s="121"/>
      <c r="C1005" s="121"/>
      <c r="D1005" s="1234"/>
      <c r="E1005" s="1234"/>
      <c r="F1005" s="1234"/>
      <c r="G1005"/>
      <c r="I1005" s="391"/>
    </row>
    <row r="1006" spans="1:9" ht="12.75" customHeight="1">
      <c r="A1006" s="121"/>
      <c r="B1006" s="121"/>
      <c r="C1006" s="121"/>
      <c r="D1006" s="240"/>
      <c r="E1006" s="240"/>
      <c r="F1006" s="240"/>
      <c r="G1006"/>
      <c r="I1006" s="391"/>
    </row>
    <row r="1007" spans="1:9" ht="12.75" customHeight="1">
      <c r="A1007" s="121"/>
      <c r="B1007" s="386" t="s">
        <v>2779</v>
      </c>
      <c r="C1007" s="121"/>
      <c r="D1007" s="1228" t="s">
        <v>594</v>
      </c>
      <c r="E1007" s="1228"/>
      <c r="F1007" s="1228"/>
      <c r="G1007"/>
      <c r="I1007" s="391"/>
    </row>
    <row r="1008" spans="1:9" ht="12.75" customHeight="1">
      <c r="A1008" s="121"/>
      <c r="B1008" s="121"/>
      <c r="C1008" s="121"/>
      <c r="D1008" s="1228"/>
      <c r="E1008" s="1228"/>
      <c r="F1008" s="1228"/>
      <c r="G1008"/>
      <c r="I1008" s="391"/>
    </row>
    <row r="1009" spans="1:9" ht="12.75" customHeight="1">
      <c r="A1009" s="121"/>
      <c r="B1009" s="121"/>
      <c r="C1009" s="121"/>
      <c r="D1009" s="1228"/>
      <c r="E1009" s="1228"/>
      <c r="F1009" s="1228"/>
      <c r="G1009"/>
      <c r="I1009" s="391"/>
    </row>
    <row r="1010" spans="1:9" ht="12.75" customHeight="1">
      <c r="A1010" s="121"/>
      <c r="B1010" s="121"/>
      <c r="C1010" s="121"/>
      <c r="D1010" s="1228"/>
      <c r="E1010" s="1228"/>
      <c r="F1010" s="1228"/>
      <c r="G1010"/>
      <c r="I1010" s="391"/>
    </row>
    <row r="1011" spans="1:9" ht="12.75" customHeight="1">
      <c r="A1011" s="121"/>
      <c r="B1011" s="121"/>
      <c r="C1011" s="121"/>
      <c r="D1011" s="344"/>
      <c r="E1011" s="344"/>
      <c r="F1011" s="344"/>
      <c r="G1011"/>
      <c r="I1011" s="391"/>
    </row>
    <row r="1012" spans="1:9" ht="12.75" customHeight="1">
      <c r="A1012" s="121"/>
      <c r="B1012" s="386" t="s">
        <v>2779</v>
      </c>
      <c r="C1012" s="121"/>
      <c r="D1012" s="1228" t="s">
        <v>595</v>
      </c>
      <c r="E1012" s="1228"/>
      <c r="F1012" s="1228"/>
      <c r="G1012"/>
      <c r="I1012" s="391"/>
    </row>
    <row r="1013" spans="1:9" ht="12.75" customHeight="1">
      <c r="A1013" s="121"/>
      <c r="B1013" s="121"/>
      <c r="C1013" s="121"/>
      <c r="D1013" s="1228"/>
      <c r="E1013" s="1228"/>
      <c r="F1013" s="1228"/>
      <c r="G1013"/>
      <c r="I1013" s="391"/>
    </row>
    <row r="1014" spans="1:9" ht="12.75" customHeight="1">
      <c r="A1014" s="121"/>
      <c r="B1014" s="121"/>
      <c r="C1014" s="121"/>
      <c r="D1014" s="344"/>
      <c r="E1014" s="344"/>
      <c r="F1014" s="344"/>
      <c r="G1014"/>
      <c r="I1014" s="391"/>
    </row>
    <row r="1015" spans="1:9" ht="12.75" customHeight="1">
      <c r="A1015" s="122"/>
      <c r="B1015" s="386" t="s">
        <v>2778</v>
      </c>
      <c r="C1015" s="257"/>
      <c r="D1015" s="1267" t="s">
        <v>596</v>
      </c>
      <c r="E1015" s="1267"/>
      <c r="F1015" s="1267"/>
      <c r="G1015"/>
      <c r="I1015" s="391"/>
    </row>
    <row r="1016" spans="1:9" ht="12.75" customHeight="1">
      <c r="A1016" s="257"/>
      <c r="B1016" s="257"/>
      <c r="C1016" s="257"/>
      <c r="D1016" s="3"/>
      <c r="E1016" s="3"/>
      <c r="F1016" s="3"/>
      <c r="G1016"/>
      <c r="I1016" s="391"/>
    </row>
    <row r="1017" spans="1:9" ht="12.75" customHeight="1">
      <c r="A1017" s="122"/>
      <c r="B1017" s="386" t="s">
        <v>2779</v>
      </c>
      <c r="C1017" s="257"/>
      <c r="D1017" s="1267" t="s">
        <v>597</v>
      </c>
      <c r="E1017" s="1267"/>
      <c r="F1017" s="1267"/>
      <c r="G1017"/>
      <c r="I1017" s="391"/>
    </row>
    <row r="1018" spans="1:9" ht="12.75" customHeight="1">
      <c r="A1018" s="257"/>
      <c r="B1018" s="257"/>
      <c r="C1018" s="257"/>
      <c r="D1018" s="84"/>
      <c r="E1018" s="3"/>
      <c r="F1018" s="3"/>
      <c r="G1018"/>
      <c r="I1018" s="391"/>
    </row>
    <row r="1019" spans="1:9" ht="12.75" customHeight="1">
      <c r="A1019" s="122"/>
      <c r="B1019" s="386" t="s">
        <v>2778</v>
      </c>
      <c r="C1019" s="257"/>
      <c r="D1019" s="1267" t="s">
        <v>598</v>
      </c>
      <c r="E1019" s="1267"/>
      <c r="F1019" s="1267"/>
      <c r="G1019"/>
      <c r="I1019" s="391"/>
    </row>
    <row r="1020" spans="1:9" ht="12.75" customHeight="1">
      <c r="A1020" s="257"/>
      <c r="B1020" s="257"/>
      <c r="C1020" s="257"/>
      <c r="D1020" s="84"/>
      <c r="E1020" s="3"/>
      <c r="F1020" s="3"/>
      <c r="G1020"/>
      <c r="I1020" s="391"/>
    </row>
    <row r="1021" spans="1:9" ht="12.75" customHeight="1">
      <c r="A1021" s="122"/>
      <c r="B1021" s="386" t="s">
        <v>2779</v>
      </c>
      <c r="C1021" s="257"/>
      <c r="D1021" s="1228" t="s">
        <v>599</v>
      </c>
      <c r="E1021" s="1228"/>
      <c r="F1021" s="1228"/>
      <c r="G1021"/>
      <c r="I1021" s="391"/>
    </row>
    <row r="1022" spans="1:9" ht="12.75" customHeight="1">
      <c r="A1022" s="122"/>
      <c r="B1022" s="122"/>
      <c r="C1022" s="257"/>
      <c r="D1022" s="1228"/>
      <c r="E1022" s="1228"/>
      <c r="F1022" s="1228"/>
      <c r="G1022"/>
      <c r="I1022" s="391"/>
    </row>
    <row r="1023" spans="1:9" ht="12.75" customHeight="1">
      <c r="A1023" s="122"/>
      <c r="B1023" s="122"/>
      <c r="C1023" s="257"/>
      <c r="D1023" s="84"/>
      <c r="E1023" s="3"/>
      <c r="F1023" s="3"/>
      <c r="G1023" s="3"/>
      <c r="I1023" s="391"/>
    </row>
    <row r="1024" spans="1:9" ht="12.75" customHeight="1">
      <c r="A1024" s="169"/>
      <c r="B1024" s="386" t="s">
        <v>2779</v>
      </c>
      <c r="C1024" s="889"/>
      <c r="D1024" s="1283" t="s">
        <v>600</v>
      </c>
      <c r="E1024" s="1283"/>
      <c r="F1024" s="1283"/>
      <c r="G1024" s="890"/>
      <c r="I1024" s="391"/>
    </row>
    <row r="1025" spans="1:9" ht="12.75" customHeight="1">
      <c r="A1025" s="889"/>
      <c r="B1025" s="889"/>
      <c r="C1025" s="889"/>
      <c r="D1025" s="1283"/>
      <c r="E1025" s="1283"/>
      <c r="F1025" s="1283"/>
      <c r="G1025" s="890"/>
      <c r="I1025" s="391"/>
    </row>
    <row r="1026" spans="1:9" ht="12.75" customHeight="1">
      <c r="A1026" s="889"/>
      <c r="B1026" s="889"/>
      <c r="C1026" s="889"/>
      <c r="D1026" s="873"/>
      <c r="E1026" s="890"/>
      <c r="F1026" s="890"/>
      <c r="G1026" s="890"/>
      <c r="I1026" s="391"/>
    </row>
    <row r="1027" spans="1:9" ht="12.75" customHeight="1">
      <c r="A1027" s="169"/>
      <c r="B1027" s="386" t="s">
        <v>2779</v>
      </c>
      <c r="C1027" s="889"/>
      <c r="D1027" s="1298" t="s">
        <v>601</v>
      </c>
      <c r="E1027" s="1298"/>
      <c r="F1027" s="1298"/>
      <c r="G1027" s="890"/>
      <c r="I1027" s="391"/>
    </row>
    <row r="1028" spans="1:9" ht="12.75" customHeight="1">
      <c r="A1028" s="889"/>
      <c r="B1028" s="889"/>
      <c r="C1028" s="889"/>
      <c r="D1028" s="873"/>
      <c r="E1028" s="890"/>
      <c r="F1028" s="890"/>
      <c r="G1028" s="890"/>
      <c r="I1028" s="391"/>
    </row>
    <row r="1029" spans="1:9" ht="12.75" customHeight="1">
      <c r="A1029" s="122"/>
      <c r="B1029" s="386" t="s">
        <v>2779</v>
      </c>
      <c r="C1029" s="257"/>
      <c r="D1029" s="1267" t="s">
        <v>602</v>
      </c>
      <c r="E1029" s="1267"/>
      <c r="F1029" s="1267"/>
      <c r="G1029" s="3"/>
      <c r="I1029" s="391"/>
    </row>
    <row r="1030" spans="1:9" ht="12.75" customHeight="1">
      <c r="A1030" s="122"/>
      <c r="B1030" s="122"/>
      <c r="C1030" s="257"/>
      <c r="D1030" s="84"/>
      <c r="E1030" s="3"/>
      <c r="F1030" s="3"/>
      <c r="G1030" s="3"/>
      <c r="I1030" s="391"/>
    </row>
    <row r="1031" spans="1:9" ht="12.75" customHeight="1">
      <c r="A1031" s="122"/>
      <c r="B1031" s="386" t="s">
        <v>2779</v>
      </c>
      <c r="C1031" s="257"/>
      <c r="D1031" s="1228" t="s">
        <v>603</v>
      </c>
      <c r="E1031" s="1228"/>
      <c r="F1031" s="1228"/>
      <c r="G1031" s="3"/>
      <c r="I1031" s="391"/>
    </row>
    <row r="1032" spans="1:9" ht="12.75" customHeight="1">
      <c r="A1032" s="122"/>
      <c r="B1032" s="122"/>
      <c r="C1032" s="257"/>
      <c r="D1032" s="1228"/>
      <c r="E1032" s="1228"/>
      <c r="F1032" s="1228"/>
      <c r="G1032" s="3"/>
      <c r="I1032" s="391"/>
    </row>
    <row r="1033" spans="1:9" ht="12.75" customHeight="1">
      <c r="A1033" s="257"/>
      <c r="B1033" s="257"/>
      <c r="C1033" s="257"/>
      <c r="D1033" s="3"/>
      <c r="E1033" s="3"/>
      <c r="F1033" s="3"/>
      <c r="G1033" s="3"/>
      <c r="I1033" s="391"/>
    </row>
    <row r="1034" spans="1:9" ht="12.75" customHeight="1">
      <c r="A1034" s="1275" t="s">
        <v>604</v>
      </c>
      <c r="B1034" s="1275"/>
      <c r="C1034" s="1275"/>
      <c r="D1034" s="1275"/>
      <c r="E1034" s="1275"/>
      <c r="F1034" s="1275"/>
      <c r="G1034" s="1275"/>
      <c r="H1034" s="914"/>
      <c r="I1034" s="1035"/>
    </row>
    <row r="1035" spans="1:9" ht="12.75" customHeight="1">
      <c r="A1035" s="257"/>
      <c r="B1035" s="257"/>
      <c r="C1035" s="257"/>
      <c r="D1035" s="3"/>
      <c r="E1035" s="3"/>
      <c r="F1035" s="3"/>
      <c r="G1035" s="3"/>
      <c r="I1035" s="391"/>
    </row>
    <row r="1036" spans="1:9" ht="12.75" customHeight="1">
      <c r="A1036" s="257"/>
      <c r="B1036" s="257"/>
      <c r="C1036" s="257"/>
      <c r="D1036" s="1291" t="s">
        <v>605</v>
      </c>
      <c r="E1036" s="1291"/>
      <c r="F1036" s="1291"/>
      <c r="G1036" s="3"/>
      <c r="I1036" s="391"/>
    </row>
    <row r="1037" spans="1:9" ht="12.75" customHeight="1">
      <c r="A1037" s="257"/>
      <c r="B1037" s="257"/>
      <c r="C1037" s="257"/>
      <c r="D1037" s="1298" t="s">
        <v>606</v>
      </c>
      <c r="E1037" s="1298"/>
      <c r="F1037" s="1298"/>
      <c r="G1037" s="3"/>
      <c r="I1037" s="391"/>
    </row>
    <row r="1038" spans="1:9" ht="12.75" customHeight="1">
      <c r="A1038" s="119"/>
      <c r="B1038" s="119"/>
      <c r="C1038" s="119"/>
      <c r="D1038" s="3"/>
      <c r="E1038" s="3"/>
      <c r="F1038" s="3"/>
      <c r="G1038" s="3"/>
      <c r="I1038" s="391"/>
    </row>
    <row r="1039" spans="1:9" ht="12.75" customHeight="1">
      <c r="A1039" s="122"/>
      <c r="B1039" s="122"/>
      <c r="C1039" s="121"/>
      <c r="D1039" s="1291" t="s">
        <v>607</v>
      </c>
      <c r="E1039" s="1291"/>
      <c r="F1039" s="1291"/>
      <c r="G1039" s="3"/>
      <c r="I1039" s="391"/>
    </row>
    <row r="1040" spans="1:9" ht="12.75" customHeight="1">
      <c r="A1040" s="257"/>
      <c r="B1040" s="386" t="s">
        <v>2778</v>
      </c>
      <c r="C1040" s="257"/>
      <c r="D1040" s="1298" t="s">
        <v>608</v>
      </c>
      <c r="E1040" s="1298"/>
      <c r="F1040" s="1298"/>
      <c r="G1040" s="3"/>
      <c r="I1040" s="391"/>
    </row>
    <row r="1041" spans="1:9" ht="12.75" customHeight="1">
      <c r="A1041" s="257"/>
      <c r="B1041" s="122"/>
      <c r="C1041" s="257"/>
      <c r="D1041" s="1298" t="s">
        <v>609</v>
      </c>
      <c r="E1041" s="1298"/>
      <c r="F1041" s="1298"/>
      <c r="G1041" s="3"/>
      <c r="I1041" s="391"/>
    </row>
    <row r="1042" spans="1:9" ht="12.75" customHeight="1">
      <c r="A1042" s="257"/>
      <c r="B1042" s="257"/>
      <c r="C1042" s="257"/>
      <c r="D1042" s="1298"/>
      <c r="E1042" s="1298"/>
      <c r="F1042" s="1298"/>
      <c r="G1042" s="3"/>
      <c r="I1042" s="391"/>
    </row>
    <row r="1043" spans="1:9" ht="12.75" customHeight="1">
      <c r="A1043" s="1275" t="s">
        <v>610</v>
      </c>
      <c r="B1043" s="1275"/>
      <c r="C1043" s="1275"/>
      <c r="D1043" s="1275"/>
      <c r="E1043" s="1275"/>
      <c r="F1043" s="1275"/>
      <c r="G1043" s="1275"/>
      <c r="H1043" s="914"/>
      <c r="I1043" s="1035"/>
    </row>
    <row r="1044" spans="1:9" ht="12.75" customHeight="1">
      <c r="A1044" s="84"/>
      <c r="B1044" s="84"/>
      <c r="C1044" s="257"/>
      <c r="D1044" s="3"/>
      <c r="E1044" s="3"/>
      <c r="F1044" s="3"/>
      <c r="G1044" s="3"/>
      <c r="I1044" s="391"/>
    </row>
    <row r="1045" spans="1:9" ht="12.75" hidden="1" customHeight="1">
      <c r="A1045" s="84"/>
      <c r="B1045" s="305"/>
      <c r="D1045" s="1299" t="s">
        <v>611</v>
      </c>
      <c r="E1045" s="1299"/>
      <c r="F1045" s="1299"/>
      <c r="G1045" s="3"/>
      <c r="I1045" s="391"/>
    </row>
    <row r="1046" spans="1:9" ht="12.75" hidden="1" customHeight="1">
      <c r="A1046" s="84"/>
      <c r="B1046" s="386" t="s">
        <v>311</v>
      </c>
      <c r="D1046" s="1262" t="s">
        <v>608</v>
      </c>
      <c r="E1046" s="1262"/>
      <c r="F1046" s="1262"/>
      <c r="G1046" s="3"/>
      <c r="I1046" s="391"/>
    </row>
    <row r="1047" spans="1:9" ht="12.75" hidden="1" customHeight="1">
      <c r="A1047" s="84"/>
      <c r="B1047" s="305"/>
      <c r="D1047" s="1262" t="s">
        <v>612</v>
      </c>
      <c r="E1047" s="1262"/>
      <c r="F1047" s="1262"/>
      <c r="G1047" s="3"/>
      <c r="I1047" s="391"/>
    </row>
    <row r="1048" spans="1:9" ht="12.75" hidden="1" customHeight="1">
      <c r="A1048" s="84"/>
      <c r="B1048" s="305"/>
      <c r="D1048" s="346"/>
      <c r="E1048" s="346"/>
      <c r="F1048" s="346"/>
      <c r="G1048" s="3"/>
      <c r="I1048" s="391"/>
    </row>
    <row r="1049" spans="1:9" ht="12.75" customHeight="1">
      <c r="A1049" s="84"/>
      <c r="B1049" s="84"/>
      <c r="C1049" s="257"/>
      <c r="D1049" s="1300" t="s">
        <v>613</v>
      </c>
      <c r="E1049" s="1300"/>
      <c r="F1049" s="1300"/>
      <c r="G1049" s="3"/>
      <c r="I1049" s="391"/>
    </row>
    <row r="1050" spans="1:9" ht="12.75" customHeight="1">
      <c r="A1050" s="224"/>
      <c r="B1050" s="224"/>
      <c r="C1050" s="224"/>
      <c r="D1050" s="1268" t="s">
        <v>614</v>
      </c>
      <c r="E1050" s="1268"/>
      <c r="F1050" s="1268"/>
      <c r="G1050" s="73"/>
      <c r="I1050" s="391"/>
    </row>
    <row r="1051" spans="1:9" ht="12.75" customHeight="1">
      <c r="A1051" s="122"/>
      <c r="B1051" s="386" t="s">
        <v>2779</v>
      </c>
      <c r="C1051" s="257"/>
      <c r="D1051" s="1268" t="s">
        <v>615</v>
      </c>
      <c r="E1051" s="1268"/>
      <c r="F1051" s="1268"/>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75" t="s">
        <v>617</v>
      </c>
      <c r="B1054" s="1275"/>
      <c r="C1054" s="1275"/>
      <c r="D1054" s="1275"/>
      <c r="E1054" s="1275"/>
      <c r="F1054" s="1275"/>
      <c r="G1054" s="1275"/>
      <c r="H1054" s="914"/>
      <c r="I1054" s="1035"/>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2779</v>
      </c>
      <c r="C1059" s="305"/>
      <c r="D1059" s="1249" t="s">
        <v>620</v>
      </c>
      <c r="E1059" s="1249"/>
      <c r="F1059" s="1249"/>
      <c r="I1059" s="391"/>
    </row>
    <row r="1060" spans="1:9">
      <c r="A1060" s="305"/>
      <c r="B1060" s="305"/>
      <c r="C1060" s="305"/>
      <c r="D1060" s="1249"/>
      <c r="E1060" s="1249"/>
      <c r="F1060" s="1249"/>
      <c r="I1060" s="391"/>
    </row>
    <row r="1061" spans="1:9">
      <c r="A1061" s="305"/>
      <c r="B1061" s="305"/>
      <c r="C1061" s="305"/>
      <c r="D1061" s="1249"/>
      <c r="E1061" s="1249"/>
      <c r="F1061" s="1249"/>
      <c r="I1061" s="391"/>
    </row>
    <row r="1062" spans="1:9">
      <c r="A1062" s="305"/>
      <c r="B1062" s="305"/>
      <c r="C1062" s="305"/>
      <c r="D1062" s="1249"/>
      <c r="E1062" s="1249"/>
      <c r="F1062" s="1249"/>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2779</v>
      </c>
      <c r="C1067" s="305"/>
      <c r="D1067" s="305" t="s">
        <v>569</v>
      </c>
      <c r="I1067" s="391"/>
    </row>
    <row r="1068" spans="1:9">
      <c r="A1068" s="305"/>
      <c r="B1068" s="305"/>
      <c r="C1068" s="305"/>
      <c r="I1068" s="391"/>
    </row>
    <row r="1069" spans="1:9">
      <c r="A1069" s="305"/>
      <c r="B1069" s="386" t="s">
        <v>2779</v>
      </c>
      <c r="C1069" s="305"/>
      <c r="D1069" s="1249" t="s">
        <v>623</v>
      </c>
      <c r="E1069" s="1249"/>
      <c r="F1069" s="1249"/>
      <c r="I1069" s="391"/>
    </row>
    <row r="1070" spans="1:9">
      <c r="A1070" s="305"/>
      <c r="B1070" s="305"/>
      <c r="C1070" s="305"/>
      <c r="D1070" s="1249"/>
      <c r="E1070" s="1249"/>
      <c r="F1070" s="1249"/>
      <c r="I1070" s="391"/>
    </row>
    <row r="1071" spans="1:9">
      <c r="A1071" s="305"/>
      <c r="B1071" s="305"/>
      <c r="C1071" s="305"/>
      <c r="D1071" s="1249"/>
      <c r="E1071" s="1249"/>
      <c r="F1071" s="1249"/>
      <c r="I1071" s="391"/>
    </row>
    <row r="1072" spans="1:9">
      <c r="A1072" s="305"/>
      <c r="B1072" s="305"/>
      <c r="C1072" s="305"/>
      <c r="D1072" s="1249"/>
      <c r="E1072" s="1249"/>
      <c r="F1072" s="1249"/>
      <c r="I1072" s="391"/>
    </row>
    <row r="1073" spans="1:9">
      <c r="A1073" s="305"/>
      <c r="B1073" s="305"/>
      <c r="C1073" s="305"/>
      <c r="D1073" s="1249"/>
      <c r="E1073" s="1249"/>
      <c r="F1073" s="1249"/>
      <c r="I1073" s="391"/>
    </row>
    <row r="1074" spans="1:9">
      <c r="A1074" s="305"/>
      <c r="B1074" s="305"/>
      <c r="C1074" s="305"/>
      <c r="I1074" s="391"/>
    </row>
    <row r="1075" spans="1:9">
      <c r="A1075" s="1275" t="s">
        <v>624</v>
      </c>
      <c r="B1075" s="1275"/>
      <c r="C1075" s="1275"/>
      <c r="D1075" s="1275"/>
      <c r="E1075" s="1275"/>
      <c r="F1075" s="1275"/>
      <c r="G1075" s="1275"/>
      <c r="H1075" s="914"/>
      <c r="I1075" s="1035"/>
    </row>
    <row r="1076" spans="1:9">
      <c r="A1076" s="305"/>
      <c r="B1076" s="305"/>
      <c r="C1076" s="305"/>
      <c r="I1076" s="391"/>
    </row>
    <row r="1077" spans="1:9">
      <c r="A1077" s="305"/>
      <c r="B1077" s="305"/>
      <c r="C1077" s="305"/>
      <c r="I1077" s="391"/>
    </row>
    <row r="1078" spans="1:9">
      <c r="A1078" s="305"/>
      <c r="B1078" s="386" t="s">
        <v>2778</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2779</v>
      </c>
      <c r="C1081" s="305"/>
      <c r="D1081" s="1296" t="s">
        <v>627</v>
      </c>
      <c r="E1081" s="1296"/>
      <c r="F1081" s="1296"/>
      <c r="I1081" s="391"/>
    </row>
    <row r="1082" spans="1:9">
      <c r="A1082" s="305"/>
      <c r="B1082" s="305"/>
      <c r="C1082" s="305"/>
      <c r="D1082" s="1296"/>
      <c r="E1082" s="1296"/>
      <c r="F1082" s="1296"/>
      <c r="I1082" s="391"/>
    </row>
    <row r="1083" spans="1:9">
      <c r="A1083" s="305"/>
      <c r="B1083" s="305"/>
      <c r="C1083" s="305"/>
      <c r="D1083" s="427" t="s">
        <v>628</v>
      </c>
      <c r="I1083" s="391"/>
    </row>
    <row r="1084" spans="1:9">
      <c r="A1084" s="305"/>
      <c r="B1084" s="305"/>
      <c r="C1084" s="305"/>
      <c r="D1084" s="427"/>
      <c r="I1084" s="391"/>
    </row>
    <row r="1085" spans="1:9">
      <c r="A1085" s="305"/>
      <c r="B1085" s="386" t="s">
        <v>2779</v>
      </c>
      <c r="C1085" s="305"/>
      <c r="D1085" s="85" t="s">
        <v>629</v>
      </c>
      <c r="I1085" s="391"/>
    </row>
    <row r="1086" spans="1:9">
      <c r="A1086" s="305"/>
      <c r="B1086" s="305"/>
      <c r="C1086" s="305"/>
      <c r="D1086" s="1228" t="s">
        <v>630</v>
      </c>
      <c r="E1086" s="1228"/>
      <c r="F1086" s="1228"/>
      <c r="I1086" s="391"/>
    </row>
    <row r="1087" spans="1:9">
      <c r="A1087" s="305"/>
      <c r="B1087" s="305"/>
      <c r="C1087" s="305"/>
      <c r="D1087" s="1228"/>
      <c r="E1087" s="1228"/>
      <c r="F1087" s="1228"/>
      <c r="I1087" s="391"/>
    </row>
    <row r="1088" spans="1:9">
      <c r="A1088" s="305"/>
      <c r="B1088" s="305"/>
      <c r="C1088" s="305"/>
      <c r="D1088" s="1228"/>
      <c r="E1088" s="1228"/>
      <c r="F1088" s="1228"/>
      <c r="I1088" s="391"/>
    </row>
    <row r="1089" spans="1:9">
      <c r="A1089" s="305"/>
      <c r="B1089" s="305"/>
      <c r="C1089" s="305"/>
      <c r="D1089" s="1228"/>
      <c r="E1089" s="1228"/>
      <c r="F1089" s="1228"/>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2779</v>
      </c>
      <c r="C1093" s="305"/>
      <c r="D1093" s="1293" t="s">
        <v>633</v>
      </c>
      <c r="E1093" s="1293"/>
      <c r="F1093" s="1293"/>
      <c r="I1093" s="391"/>
    </row>
    <row r="1094" spans="1:9">
      <c r="A1094" s="305"/>
      <c r="B1094" s="305"/>
      <c r="C1094" s="305"/>
      <c r="D1094" s="1293"/>
      <c r="E1094" s="1293"/>
      <c r="F1094" s="1293"/>
      <c r="I1094" s="391"/>
    </row>
    <row r="1095" spans="1:9">
      <c r="A1095" s="305"/>
      <c r="B1095" s="305"/>
      <c r="C1095" s="305"/>
      <c r="D1095" s="1293"/>
      <c r="E1095" s="1293"/>
      <c r="F1095" s="1293"/>
      <c r="I1095" s="391"/>
    </row>
    <row r="1096" spans="1:9">
      <c r="A1096" s="305"/>
      <c r="B1096" s="305"/>
      <c r="C1096" s="305"/>
      <c r="D1096" s="1293"/>
      <c r="E1096" s="1293"/>
      <c r="F1096" s="1293"/>
      <c r="I1096" s="391"/>
    </row>
    <row r="1097" spans="1:9">
      <c r="A1097" s="305"/>
      <c r="B1097" s="305"/>
      <c r="C1097" s="305"/>
      <c r="D1097" s="1293"/>
      <c r="E1097" s="1293"/>
      <c r="F1097" s="1293"/>
      <c r="I1097" s="391"/>
    </row>
    <row r="1098" spans="1:9">
      <c r="A1098" s="305"/>
      <c r="B1098" s="305"/>
      <c r="C1098" s="305"/>
      <c r="D1098" s="427" t="s">
        <v>634</v>
      </c>
      <c r="I1098" s="391"/>
    </row>
    <row r="1099" spans="1:9">
      <c r="A1099" s="305"/>
      <c r="B1099" s="305"/>
      <c r="C1099" s="305"/>
      <c r="I1099" s="391"/>
    </row>
    <row r="1100" spans="1:9">
      <c r="A1100" s="305"/>
      <c r="B1100" s="386" t="s">
        <v>2779</v>
      </c>
      <c r="C1100" s="305"/>
      <c r="D1100" s="1244" t="s">
        <v>635</v>
      </c>
      <c r="E1100" s="1244"/>
      <c r="F1100" s="1244"/>
      <c r="I1100" s="391"/>
    </row>
    <row r="1101" spans="1:9">
      <c r="A1101" s="305"/>
      <c r="B1101" s="305"/>
      <c r="C1101" s="305"/>
      <c r="D1101" s="1244"/>
      <c r="E1101" s="1244"/>
      <c r="F1101" s="1244"/>
      <c r="I1101" s="391"/>
    </row>
    <row r="1102" spans="1:9">
      <c r="A1102" s="305"/>
      <c r="B1102" s="305"/>
      <c r="C1102" s="305"/>
      <c r="D1102" s="1244"/>
      <c r="E1102" s="1244"/>
      <c r="F1102" s="1244"/>
      <c r="I1102" s="391"/>
    </row>
    <row r="1103" spans="1:9">
      <c r="A1103" s="305"/>
      <c r="B1103" s="305"/>
      <c r="C1103" s="305"/>
      <c r="I1103" s="391"/>
    </row>
    <row r="1104" spans="1:9">
      <c r="A1104" s="1275" t="s">
        <v>636</v>
      </c>
      <c r="B1104" s="1275"/>
      <c r="C1104" s="1275"/>
      <c r="D1104" s="1275"/>
      <c r="E1104" s="1275"/>
      <c r="F1104" s="1275"/>
      <c r="G1104" s="1275"/>
      <c r="H1104" s="914"/>
      <c r="I1104" s="1035"/>
    </row>
    <row r="1105" spans="1:9">
      <c r="A1105" s="305"/>
      <c r="B1105" s="305"/>
      <c r="C1105" s="305"/>
      <c r="I1105" s="391"/>
    </row>
    <row r="1106" spans="1:9">
      <c r="A1106" s="305"/>
      <c r="B1106" s="305"/>
      <c r="C1106" s="305"/>
      <c r="I1106" s="391"/>
    </row>
    <row r="1107" spans="1:9" ht="12.75" customHeight="1">
      <c r="A1107" s="305"/>
      <c r="B1107" s="386" t="s">
        <v>2779</v>
      </c>
      <c r="C1107" s="305"/>
      <c r="D1107" s="1294" t="s">
        <v>637</v>
      </c>
      <c r="E1107" s="1294"/>
      <c r="F1107" s="1294"/>
      <c r="I1107" s="391"/>
    </row>
    <row r="1108" spans="1:9">
      <c r="A1108" s="305"/>
      <c r="B1108" s="305"/>
      <c r="C1108" s="305"/>
      <c r="D1108" s="1294"/>
      <c r="E1108" s="1294"/>
      <c r="F1108" s="1294"/>
      <c r="I1108" s="391"/>
    </row>
    <row r="1109" spans="1:9">
      <c r="A1109" s="305"/>
      <c r="B1109" s="305"/>
      <c r="C1109" s="305"/>
      <c r="D1109" s="1295" t="s">
        <v>638</v>
      </c>
      <c r="E1109" s="1228"/>
      <c r="F1109" s="1228"/>
      <c r="I1109" s="391"/>
    </row>
    <row r="1110" spans="1:9">
      <c r="A1110" s="305"/>
      <c r="B1110" s="305"/>
      <c r="C1110" s="305"/>
      <c r="D1110" s="427"/>
      <c r="I1110" s="391"/>
    </row>
    <row r="1111" spans="1:9">
      <c r="A1111" s="305"/>
      <c r="B1111" s="386" t="s">
        <v>2778</v>
      </c>
      <c r="C1111" s="305"/>
      <c r="D1111" s="1293" t="s">
        <v>639</v>
      </c>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c r="A1114" s="305"/>
      <c r="B1114" s="305"/>
      <c r="C1114" s="305"/>
      <c r="D1114" s="427"/>
      <c r="I1114" s="391"/>
    </row>
    <row r="1115" spans="1:9">
      <c r="A1115" s="305"/>
      <c r="B1115" s="386" t="s">
        <v>2779</v>
      </c>
      <c r="C1115" s="305"/>
      <c r="D1115" s="1293" t="s">
        <v>640</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1293"/>
      <c r="E1118" s="1293"/>
      <c r="F1118" s="1293"/>
      <c r="I1118" s="391"/>
    </row>
    <row r="1119" spans="1:9">
      <c r="A1119" s="305"/>
      <c r="B1119" s="305"/>
      <c r="C1119" s="305"/>
      <c r="D1119" s="1293"/>
      <c r="E1119" s="1293"/>
      <c r="F1119" s="1293"/>
      <c r="I1119" s="391"/>
    </row>
    <row r="1120" spans="1:9">
      <c r="A1120" s="305"/>
      <c r="B1120" s="305"/>
      <c r="C1120" s="305"/>
      <c r="D1120" s="427"/>
      <c r="I1120" s="381"/>
    </row>
    <row r="1121" spans="1:9">
      <c r="A1121" s="305"/>
      <c r="B1121" s="386" t="s">
        <v>2779</v>
      </c>
      <c r="C1121" s="305"/>
      <c r="D1121" s="1293" t="s">
        <v>641</v>
      </c>
      <c r="E1121" s="1293"/>
      <c r="F1121" s="1293"/>
      <c r="I1121" s="391"/>
    </row>
    <row r="1122" spans="1:9">
      <c r="A1122" s="305"/>
      <c r="B1122" s="305"/>
      <c r="C1122" s="305"/>
      <c r="D1122" s="1293"/>
      <c r="E1122" s="1293"/>
      <c r="F1122" s="1293"/>
      <c r="I1122" s="391"/>
    </row>
    <row r="1123" spans="1:9">
      <c r="A1123" s="305"/>
      <c r="B1123" s="305"/>
      <c r="C1123" s="305"/>
      <c r="D1123" s="1293"/>
      <c r="E1123" s="1293"/>
      <c r="F1123" s="1293"/>
      <c r="I1123" s="391"/>
    </row>
    <row r="1124" spans="1:9">
      <c r="A1124" s="305"/>
      <c r="B1124" s="305"/>
      <c r="C1124" s="305"/>
      <c r="D1124" s="427"/>
      <c r="I1124" s="391"/>
    </row>
    <row r="1125" spans="1:9">
      <c r="A1125" s="305"/>
      <c r="B1125" s="386" t="s">
        <v>2779</v>
      </c>
      <c r="C1125" s="305"/>
      <c r="D1125" s="1234" t="s">
        <v>642</v>
      </c>
      <c r="E1125" s="1234"/>
      <c r="F1125" s="1234"/>
      <c r="I1125" s="391"/>
    </row>
    <row r="1126" spans="1:9">
      <c r="A1126" s="305"/>
      <c r="B1126" s="305"/>
      <c r="C1126" s="305"/>
      <c r="D1126" s="1234"/>
      <c r="E1126" s="1234"/>
      <c r="F1126" s="1234"/>
      <c r="I1126" s="391"/>
    </row>
    <row r="1127" spans="1:9">
      <c r="A1127" s="305"/>
      <c r="B1127" s="305"/>
      <c r="C1127" s="305"/>
      <c r="D1127" s="1234"/>
      <c r="E1127" s="1234"/>
      <c r="F1127" s="1234"/>
      <c r="I1127" s="391"/>
    </row>
    <row r="1128" spans="1:9">
      <c r="A1128" s="305"/>
      <c r="B1128" s="305"/>
      <c r="C1128" s="305"/>
      <c r="D1128" s="869"/>
      <c r="E1128" s="869"/>
      <c r="F1128" s="869"/>
      <c r="I1128" s="391"/>
    </row>
    <row r="1129" spans="1:9" ht="15.75" customHeight="1">
      <c r="A1129" s="305"/>
      <c r="B1129" s="386" t="s">
        <v>2779</v>
      </c>
      <c r="C1129" s="305"/>
      <c r="D1129" s="1228" t="s">
        <v>643</v>
      </c>
      <c r="E1129" s="1228"/>
      <c r="F1129" s="1228"/>
      <c r="I1129" s="391"/>
    </row>
    <row r="1130" spans="1:9">
      <c r="A1130" s="305"/>
      <c r="B1130" s="305"/>
      <c r="C1130" s="305"/>
      <c r="D1130" s="1228"/>
      <c r="E1130" s="1228"/>
      <c r="F1130" s="1228"/>
      <c r="I1130" s="391"/>
    </row>
    <row r="1131" spans="1:9">
      <c r="A1131" s="305"/>
      <c r="B1131" s="305"/>
      <c r="C1131" s="305"/>
      <c r="D1131" s="1228"/>
      <c r="E1131" s="1228"/>
      <c r="F1131" s="1228"/>
      <c r="I1131" s="391"/>
    </row>
    <row r="1132" spans="1:9">
      <c r="A1132" s="305"/>
      <c r="B1132" s="305"/>
      <c r="C1132" s="305"/>
      <c r="D1132" s="1228"/>
      <c r="E1132" s="1228"/>
      <c r="F1132" s="1228"/>
      <c r="I1132" s="391"/>
    </row>
    <row r="1133" spans="1:9">
      <c r="A1133" s="305"/>
      <c r="B1133" s="305"/>
      <c r="C1133" s="305"/>
      <c r="D1133" s="869"/>
      <c r="E1133" s="869"/>
      <c r="F1133" s="869"/>
      <c r="I1133" s="391"/>
    </row>
    <row r="1134" spans="1:9">
      <c r="A1134" s="305"/>
      <c r="B1134" s="386" t="s">
        <v>2779</v>
      </c>
      <c r="C1134" s="305"/>
      <c r="D1134" s="1234" t="s">
        <v>644</v>
      </c>
      <c r="E1134" s="1234"/>
      <c r="F1134" s="1234"/>
      <c r="I1134" s="391"/>
    </row>
    <row r="1135" spans="1:9">
      <c r="A1135" s="305"/>
      <c r="B1135" s="305"/>
      <c r="C1135" s="305"/>
      <c r="D1135" s="1234"/>
      <c r="E1135" s="1234"/>
      <c r="F1135" s="1234"/>
      <c r="I1135" s="391"/>
    </row>
    <row r="1136" spans="1:9">
      <c r="A1136" s="305"/>
      <c r="B1136" s="305"/>
      <c r="C1136" s="305"/>
      <c r="D1136" s="1234"/>
      <c r="E1136" s="1234"/>
      <c r="F1136" s="1234"/>
      <c r="I1136" s="391"/>
    </row>
    <row r="1137" spans="1:9">
      <c r="A1137" s="305"/>
      <c r="B1137" s="305"/>
      <c r="C1137" s="305"/>
      <c r="D1137" s="1234"/>
      <c r="E1137" s="1234"/>
      <c r="F1137" s="1234"/>
      <c r="I1137" s="391"/>
    </row>
    <row r="1138" spans="1:9">
      <c r="A1138" s="305"/>
      <c r="B1138" s="305"/>
      <c r="C1138" s="305"/>
      <c r="D1138" s="1234"/>
      <c r="E1138" s="1234"/>
      <c r="F1138" s="1234"/>
      <c r="I1138" s="391"/>
    </row>
    <row r="1139" spans="1:9">
      <c r="A1139" s="305"/>
      <c r="B1139" s="305"/>
      <c r="C1139" s="305"/>
      <c r="D1139" s="1234"/>
      <c r="E1139" s="1234"/>
      <c r="F1139" s="1234"/>
      <c r="I1139" s="391"/>
    </row>
    <row r="1140" spans="1:9">
      <c r="A1140" s="305"/>
      <c r="B1140" s="305"/>
      <c r="C1140" s="305"/>
      <c r="D1140" s="869"/>
      <c r="E1140" s="869"/>
      <c r="F1140" s="869"/>
      <c r="I1140" s="391"/>
    </row>
    <row r="1141" spans="1:9">
      <c r="A1141" s="305"/>
      <c r="B1141" s="386" t="s">
        <v>2779</v>
      </c>
      <c r="C1141" s="305"/>
      <c r="D1141" s="1249" t="s">
        <v>645</v>
      </c>
      <c r="E1141" s="1249"/>
      <c r="F1141" s="1249"/>
      <c r="I1141" s="1041"/>
    </row>
    <row r="1142" spans="1:9">
      <c r="A1142" s="305"/>
      <c r="B1142" s="305"/>
      <c r="C1142" s="305"/>
      <c r="D1142" s="1249"/>
      <c r="E1142" s="1249"/>
      <c r="F1142" s="1249"/>
      <c r="I1142" s="391"/>
    </row>
    <row r="1143" spans="1:9">
      <c r="A1143" s="305"/>
      <c r="B1143" s="305"/>
      <c r="C1143" s="305"/>
      <c r="D1143" s="1249"/>
      <c r="E1143" s="1249"/>
      <c r="F1143" s="1249"/>
    </row>
    <row r="1144" spans="1:9">
      <c r="A1144" s="305"/>
      <c r="B1144" s="305"/>
      <c r="C1144" s="305"/>
      <c r="D1144" s="1249"/>
      <c r="E1144" s="1249"/>
      <c r="F1144" s="1249"/>
    </row>
    <row r="1145" spans="1:9">
      <c r="A1145" s="305"/>
      <c r="B1145" s="305"/>
      <c r="C1145" s="305"/>
      <c r="D1145" s="1249"/>
      <c r="E1145" s="1249"/>
      <c r="F1145" s="1249"/>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1"/>
      <c r="H1553" s="1261"/>
      <c r="I1553" s="126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5 B24 B27 B33 B36 B41 B47 B52 B56 B61 B65 B68 B72 B80 B89 B103 B119 B128 B131 B137 B151 B171 B177 B182 B205 B213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217 B738 B743 B763 B749 B770 B775 B782 B245 B20 B100 B96 B92 B201 B1031 B197 B209 B233 B791 B779 B795 B799 B803 B813 B820 B839 B842 B827 B857 B866 B853 B880 B870 B886 B883 B895 B899 B939 B949 B969 B913 B927 B930 B935 B937 B964 B975 B978 B999 B1007 B1012 B1015 B1017 B1019 B1021 B536 B1024 B1027 B1029 B908 B1046 B1051 B1040 B1059 B1067 B1069 B1078 B1129 B1085 B1093 B1121 B1134 B918 B1115 B1107 B380 B957 B514 B516 B730 B703 B621 B632 B1111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election activeCell="T551" sqref="T551"/>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75"/>
      <c r="AS1" s="917">
        <v>4</v>
      </c>
      <c r="BD1" s="3" t="s">
        <v>646</v>
      </c>
      <c r="BE1" s="3"/>
      <c r="BF1" s="3"/>
    </row>
    <row r="2" spans="1:58" ht="12.9" customHeight="1">
      <c r="BD2" s="3" t="s">
        <v>647</v>
      </c>
      <c r="BE2" s="3" t="s">
        <v>648</v>
      </c>
      <c r="BF2" s="3" t="s">
        <v>649</v>
      </c>
    </row>
    <row r="3" spans="1:58" ht="12.9" customHeight="1">
      <c r="BD3" s="3" t="s">
        <v>650</v>
      </c>
      <c r="BE3" t="str">
        <f>AC220</f>
        <v>Bay Area ((Alameda, Contra Costa, Marin, San Francisco, San Mateo, Santa Clara, and Santa Cruz Counties)</v>
      </c>
    </row>
    <row r="4" spans="1:58" ht="12.9" customHeight="1">
      <c r="BD4" s="3" t="s">
        <v>651</v>
      </c>
      <c r="BE4" s="1068"/>
    </row>
    <row r="5" spans="1:58" ht="12.9" customHeight="1">
      <c r="BD5" s="3" t="s">
        <v>652</v>
      </c>
      <c r="BE5">
        <f>SUMIF($AC$726:$AC$760,"&lt;=20%",$G$726:G$760)</f>
        <v>0</v>
      </c>
      <c r="BF5" s="3" t="s">
        <v>653</v>
      </c>
    </row>
    <row r="6" spans="1:58" ht="12.9" customHeight="1">
      <c r="BD6" s="3" t="s">
        <v>654</v>
      </c>
      <c r="BE6" s="1071">
        <f>SUMIF($AC$726:$AC$760,"&lt;=25%",$G$726:G$760)-SUM($BE$5:BE5)</f>
        <v>0</v>
      </c>
    </row>
    <row r="7" spans="1:58" ht="12.9" customHeight="1">
      <c r="BD7" s="1069" t="s">
        <v>655</v>
      </c>
      <c r="BE7" s="1071">
        <f>SUMIF($AC$726:$AC$760,"&lt;=30%",$G$726:G$760)-SUM($BE$5:BE6)</f>
        <v>45</v>
      </c>
    </row>
    <row r="8" spans="1:58" ht="26.25" customHeight="1">
      <c r="A8" s="1775" t="s">
        <v>656</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790"/>
      <c r="AV8" s="790"/>
      <c r="AW8" s="790"/>
      <c r="AX8" s="790"/>
      <c r="AY8" s="790"/>
      <c r="BD8" s="3" t="s">
        <v>657</v>
      </c>
      <c r="BE8" s="1071">
        <f>SUMIF($AC$726:$AC$760,"&lt;=35%",$G$726:G$760)-SUM($BE$5:BE7)</f>
        <v>0</v>
      </c>
    </row>
    <row r="9" spans="1:58" ht="12.9" customHeight="1">
      <c r="A9" s="1776" t="s">
        <v>658</v>
      </c>
      <c r="B9" s="1776"/>
      <c r="C9" s="1776"/>
      <c r="D9" s="1776"/>
      <c r="E9" s="1776"/>
      <c r="F9" s="1776"/>
      <c r="G9" s="1776"/>
      <c r="H9" s="1776"/>
      <c r="I9" s="1776"/>
      <c r="J9" s="1776"/>
      <c r="K9" s="1776"/>
      <c r="L9" s="1776"/>
      <c r="M9" s="1776"/>
      <c r="N9" s="1776"/>
      <c r="O9" s="1776"/>
      <c r="P9" s="1776"/>
      <c r="Q9" s="1776"/>
      <c r="R9" s="1776"/>
      <c r="S9" s="1776"/>
      <c r="T9" s="1776"/>
      <c r="U9" s="1776"/>
      <c r="V9" s="1776"/>
      <c r="W9" s="1776"/>
      <c r="X9" s="1776"/>
      <c r="Y9" s="1776"/>
      <c r="Z9" s="1776"/>
      <c r="AA9" s="1776"/>
      <c r="AB9" s="1776"/>
      <c r="AC9" s="1776"/>
      <c r="AD9" s="1776"/>
      <c r="AE9" s="1776"/>
      <c r="AF9" s="1776"/>
      <c r="AG9" s="1776"/>
      <c r="AH9" s="1776"/>
      <c r="AI9" s="1776"/>
      <c r="AJ9" s="1776"/>
      <c r="AK9" s="1776"/>
      <c r="AL9" s="1776"/>
      <c r="AM9" s="1776"/>
      <c r="AN9" s="1776"/>
      <c r="AO9" s="1776"/>
      <c r="AP9" s="1776"/>
      <c r="AQ9" s="1776"/>
      <c r="AR9" s="1776"/>
      <c r="AS9" s="1776"/>
      <c r="AT9" s="1776"/>
      <c r="AU9" s="12"/>
      <c r="AV9" s="12"/>
      <c r="AW9" s="12"/>
      <c r="AX9" s="12"/>
      <c r="AY9" s="12"/>
      <c r="BD9" s="1070" t="s">
        <v>659</v>
      </c>
      <c r="BE9" s="1071">
        <f>SUMIF($AC$726:$AC$760,"&lt;=40%",$G$726:G$760)-SUM($BE$5:BE8)</f>
        <v>0</v>
      </c>
    </row>
    <row r="10" spans="1:58" ht="12.9" customHeight="1">
      <c r="A10" s="1776" t="s">
        <v>660</v>
      </c>
      <c r="B10" s="1776"/>
      <c r="C10" s="1776"/>
      <c r="D10" s="1776"/>
      <c r="E10" s="1776"/>
      <c r="F10" s="1776"/>
      <c r="G10" s="1776"/>
      <c r="H10" s="1776"/>
      <c r="I10" s="1776"/>
      <c r="J10" s="1776"/>
      <c r="K10" s="1776"/>
      <c r="L10" s="1776"/>
      <c r="M10" s="1776"/>
      <c r="N10" s="1776"/>
      <c r="O10" s="1776"/>
      <c r="P10" s="1776"/>
      <c r="Q10" s="1776"/>
      <c r="R10" s="1776"/>
      <c r="S10" s="1776"/>
      <c r="T10" s="1776"/>
      <c r="U10" s="1776"/>
      <c r="V10" s="1776"/>
      <c r="W10" s="1776"/>
      <c r="X10" s="1776"/>
      <c r="Y10" s="1776"/>
      <c r="Z10" s="1776"/>
      <c r="AA10" s="1776"/>
      <c r="AB10" s="1776"/>
      <c r="AC10" s="1776"/>
      <c r="AD10" s="1776"/>
      <c r="AE10" s="1776"/>
      <c r="AF10" s="1776"/>
      <c r="AG10" s="1776"/>
      <c r="AH10" s="1776"/>
      <c r="AI10" s="1776"/>
      <c r="AJ10" s="1776"/>
      <c r="AK10" s="1776"/>
      <c r="AL10" s="1776"/>
      <c r="AM10" s="1776"/>
      <c r="AN10" s="1776"/>
      <c r="AO10" s="1776"/>
      <c r="AP10" s="1776"/>
      <c r="AQ10" s="1776"/>
      <c r="AR10" s="1776"/>
      <c r="AS10" s="1776"/>
      <c r="AT10" s="1776"/>
      <c r="AU10" s="12"/>
      <c r="AV10" s="12"/>
      <c r="AW10" s="12"/>
      <c r="AX10" s="12"/>
      <c r="AY10" s="12"/>
      <c r="BD10" s="3" t="s">
        <v>661</v>
      </c>
      <c r="BE10" s="1071">
        <f>SUMIF($AC$726:$AC$760,"&lt;=45%",$G$726:G$760)-SUM($BE$5:BE9)</f>
        <v>0</v>
      </c>
    </row>
    <row r="11" spans="1:58" ht="12.9" customHeight="1">
      <c r="A11" s="1776" t="s">
        <v>662</v>
      </c>
      <c r="B11" s="1776"/>
      <c r="C11" s="1776"/>
      <c r="D11" s="1776"/>
      <c r="E11" s="1776"/>
      <c r="F11" s="1776"/>
      <c r="G11" s="1776"/>
      <c r="H11" s="1776"/>
      <c r="I11" s="1776"/>
      <c r="J11" s="1776"/>
      <c r="K11" s="1776"/>
      <c r="L11" s="1776"/>
      <c r="M11" s="1776"/>
      <c r="N11" s="1776"/>
      <c r="O11" s="1776"/>
      <c r="P11" s="1776"/>
      <c r="Q11" s="1776"/>
      <c r="R11" s="1776"/>
      <c r="S11" s="1776"/>
      <c r="T11" s="1776"/>
      <c r="U11" s="1776"/>
      <c r="V11" s="1776"/>
      <c r="W11" s="1776"/>
      <c r="X11" s="1776"/>
      <c r="Y11" s="1776"/>
      <c r="Z11" s="1776"/>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2"/>
      <c r="AV11" s="12"/>
      <c r="AW11" s="12"/>
      <c r="AX11" s="12"/>
      <c r="AY11" s="12"/>
      <c r="BD11" s="1069" t="s">
        <v>663</v>
      </c>
      <c r="BE11" s="1071">
        <f>SUMIF($AC$726:$AC$760,"&lt;=50%",$G$726:G$760)-SUM($BE$5:BE10)</f>
        <v>39</v>
      </c>
    </row>
    <row r="12" spans="1:58" ht="12.9" customHeight="1">
      <c r="A12" s="1777" t="s">
        <v>664</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1777"/>
      <c r="AN12" s="1777"/>
      <c r="AO12" s="1777"/>
      <c r="AP12" s="1777"/>
      <c r="AQ12" s="1777"/>
      <c r="AR12" s="1777"/>
      <c r="AS12" s="1777"/>
      <c r="AT12" s="1777"/>
      <c r="AU12" s="257"/>
      <c r="AV12" s="257"/>
      <c r="AW12" s="257"/>
      <c r="AX12" s="257"/>
      <c r="AY12" s="257"/>
      <c r="BD12" s="3" t="s">
        <v>665</v>
      </c>
      <c r="BE12" s="1071">
        <f>SUMIF($AC$726:$AC$760,"&lt;=55%",$G$726:G$760)-SUM($BE$5:BE11)</f>
        <v>0</v>
      </c>
    </row>
    <row r="13" spans="1:58" ht="12.9" customHeight="1">
      <c r="A13" s="1238" t="s">
        <v>666</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238"/>
      <c r="AO13" s="1238"/>
      <c r="AP13" s="1238"/>
      <c r="AQ13" s="1238"/>
      <c r="AR13" s="1238"/>
      <c r="AS13" s="1238"/>
      <c r="AT13" s="1238"/>
      <c r="AU13" s="791"/>
      <c r="AV13" s="791"/>
      <c r="AW13" s="791"/>
      <c r="AX13" s="791"/>
      <c r="AY13" s="791"/>
      <c r="BD13" s="1070" t="s">
        <v>667</v>
      </c>
      <c r="BE13" s="1071">
        <f>SUMIF($AC$726:$AC$760,"&lt;=60%",$G$726:G$760)-SUM($BE$5:BE12)</f>
        <v>6</v>
      </c>
    </row>
    <row r="14" spans="1:58" ht="12.9" customHeight="1">
      <c r="A14" s="1238"/>
      <c r="B14" s="1238"/>
      <c r="C14" s="1238"/>
      <c r="D14" s="1238"/>
      <c r="E14" s="1238"/>
      <c r="F14" s="1238"/>
      <c r="G14" s="1238"/>
      <c r="H14" s="1238"/>
      <c r="I14" s="1238"/>
      <c r="J14" s="1238"/>
      <c r="K14" s="1238"/>
      <c r="L14" s="1238"/>
      <c r="M14" s="1238"/>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8"/>
      <c r="AL14" s="1238"/>
      <c r="AM14" s="1238"/>
      <c r="AN14" s="1238"/>
      <c r="AO14" s="1238"/>
      <c r="AP14" s="1238"/>
      <c r="AQ14" s="1238"/>
      <c r="AR14" s="1238"/>
      <c r="AS14" s="1238"/>
      <c r="AT14" s="1238"/>
      <c r="AU14" s="791"/>
      <c r="AV14" s="791"/>
      <c r="AW14" s="791"/>
      <c r="AX14" s="791"/>
      <c r="AY14" s="791"/>
      <c r="BD14" s="1069" t="s">
        <v>668</v>
      </c>
      <c r="BE14" s="1071">
        <f>SUMIF($AC$726:$AC$760,"&lt;=70%",$G$726:G$760)-SUM($BE$5:BE13)</f>
        <v>0</v>
      </c>
    </row>
    <row r="15" spans="1:58" ht="12.9"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0" t="s">
        <v>669</v>
      </c>
      <c r="BE15" s="1071">
        <f>SUMIF($AC$726:$AC$760,"&lt;=80%",$G$726:G$760)-SUM($BE$5:BE14)</f>
        <v>0</v>
      </c>
    </row>
    <row r="16" spans="1:58" ht="12.9" customHeight="1">
      <c r="A16" s="49" t="s">
        <v>670</v>
      </c>
      <c r="C16" s="3"/>
      <c r="D16" s="3"/>
      <c r="E16" s="3"/>
      <c r="F16" s="3"/>
      <c r="G16" s="3"/>
      <c r="H16" s="1501" t="s">
        <v>671</v>
      </c>
      <c r="I16" s="1501"/>
      <c r="J16" s="1501"/>
      <c r="K16" s="1501"/>
      <c r="L16" s="1501"/>
      <c r="M16" s="1501"/>
      <c r="N16" s="1501"/>
      <c r="O16" s="1501"/>
      <c r="P16" s="1501"/>
      <c r="Q16" s="1501"/>
      <c r="R16" s="1501"/>
      <c r="S16" s="1501"/>
      <c r="T16" s="1501"/>
      <c r="U16" s="1501"/>
      <c r="V16" s="1501"/>
      <c r="W16" s="1501"/>
      <c r="X16" s="1501"/>
      <c r="Y16" s="1501"/>
      <c r="Z16" s="1501"/>
      <c r="AA16" s="1501"/>
      <c r="AB16" s="1501"/>
      <c r="AC16" s="1501"/>
      <c r="AD16" s="1501"/>
      <c r="AE16" s="1501"/>
      <c r="AF16" s="1501"/>
      <c r="AG16" s="1501"/>
      <c r="AH16" s="1501"/>
      <c r="AI16" s="1501"/>
      <c r="AJ16" s="1501"/>
      <c r="BD16" s="1070" t="s">
        <v>77</v>
      </c>
      <c r="BE16" s="1071" t="str">
        <f>Application!H18</f>
        <v>Ocean Beach Apartments II</v>
      </c>
    </row>
    <row r="17" spans="1:58" ht="12.9" customHeight="1">
      <c r="BD17" s="1069" t="s">
        <v>672</v>
      </c>
      <c r="BE17" s="1071">
        <f>Application!AA943</f>
        <v>0</v>
      </c>
    </row>
    <row r="18" spans="1:58" ht="12.9" customHeight="1">
      <c r="A18" s="49" t="s">
        <v>673</v>
      </c>
      <c r="C18" s="3"/>
      <c r="D18" s="3"/>
      <c r="E18" s="3"/>
      <c r="F18" s="3"/>
      <c r="G18" s="3"/>
      <c r="H18" s="1484" t="s">
        <v>674</v>
      </c>
      <c r="I18" s="1484"/>
      <c r="J18" s="1484"/>
      <c r="K18" s="1484"/>
      <c r="L18" s="1484"/>
      <c r="M18" s="1484"/>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BD18" s="1070" t="s">
        <v>675</v>
      </c>
      <c r="BE18" s="1071">
        <f>AA943</f>
        <v>0</v>
      </c>
    </row>
    <row r="19" spans="1:58" ht="12.9" customHeight="1">
      <c r="BD19" s="1069" t="s">
        <v>676</v>
      </c>
      <c r="BE19" s="1071">
        <f>Application!M26</f>
        <v>3513100</v>
      </c>
    </row>
    <row r="20" spans="1:58" ht="12.9" customHeight="1">
      <c r="A20" s="1778" t="s">
        <v>677</v>
      </c>
      <c r="B20" s="1778"/>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c r="AT20" s="1778"/>
      <c r="AU20" s="792"/>
      <c r="AV20" s="792"/>
      <c r="AW20" s="792"/>
      <c r="AX20" s="792"/>
      <c r="AY20" s="792"/>
      <c r="BD20" s="1070" t="s">
        <v>678</v>
      </c>
      <c r="BE20" s="1071">
        <f>Application!M27</f>
        <v>0</v>
      </c>
    </row>
    <row r="21" spans="1:58" ht="12.9" customHeight="1">
      <c r="A21" s="1784" t="s">
        <v>679</v>
      </c>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793"/>
      <c r="AN21" s="793"/>
      <c r="AO21" s="793"/>
      <c r="AP21" s="793"/>
      <c r="AQ21" s="793"/>
      <c r="AR21" s="793"/>
      <c r="AS21" s="793"/>
      <c r="AT21" s="793"/>
      <c r="AU21" s="793"/>
      <c r="AV21" s="793"/>
      <c r="AW21" s="793"/>
      <c r="AX21" s="793"/>
      <c r="AY21" s="793"/>
      <c r="BD21" s="1069" t="s">
        <v>680</v>
      </c>
      <c r="BE21" s="1071">
        <f>Application!AM562</f>
        <v>22306185</v>
      </c>
    </row>
    <row r="22" spans="1:58" ht="12.9"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0" t="s">
        <v>681</v>
      </c>
      <c r="BE22" s="1071">
        <f>'Sources and Uses Budget'!B105</f>
        <v>86048414</v>
      </c>
      <c r="BF22" s="3" t="s">
        <v>682</v>
      </c>
    </row>
    <row r="23" spans="1:58" ht="12.9" customHeight="1">
      <c r="A23" s="1294" t="s">
        <v>683</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6"/>
      <c r="AV23" s="16"/>
      <c r="AW23" s="16"/>
      <c r="AX23" s="16"/>
      <c r="AY23" s="16"/>
      <c r="AZ23" s="16"/>
      <c r="BD23" s="1069" t="s">
        <v>684</v>
      </c>
      <c r="BE23" s="1071">
        <f>'Sources and Uses Budget'!B4</f>
        <v>0</v>
      </c>
    </row>
    <row r="24" spans="1:58" ht="12.9"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6"/>
      <c r="AV24" s="16"/>
      <c r="AW24" s="16"/>
      <c r="AX24" s="16"/>
      <c r="AY24" s="16"/>
      <c r="AZ24" s="16"/>
      <c r="BD24" s="1070" t="s">
        <v>685</v>
      </c>
      <c r="BE24" s="1071">
        <f>Application!AG459</f>
        <v>102023</v>
      </c>
    </row>
    <row r="25" spans="1:58" ht="12.9"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69" t="s">
        <v>686</v>
      </c>
      <c r="BE25" s="1071" t="str">
        <f>Application!D208</f>
        <v>40%/60%</v>
      </c>
    </row>
    <row r="26" spans="1:58" ht="12.9" customHeight="1">
      <c r="A26" s="3"/>
      <c r="C26" s="3"/>
      <c r="D26" s="3"/>
      <c r="E26" s="3"/>
      <c r="F26" s="3"/>
      <c r="G26" s="3"/>
      <c r="H26" s="3"/>
      <c r="I26" s="3"/>
      <c r="J26" s="3"/>
      <c r="K26" s="3"/>
      <c r="L26" s="3"/>
      <c r="M26" s="1508">
        <f>'Basis &amp; Credits'!AB56</f>
        <v>3513100</v>
      </c>
      <c r="N26" s="1508"/>
      <c r="O26" s="1508"/>
      <c r="P26" s="1508"/>
      <c r="Q26" s="1508"/>
      <c r="R26" s="3" t="s">
        <v>687</v>
      </c>
      <c r="S26" s="3"/>
      <c r="T26" s="3"/>
      <c r="U26" s="3"/>
      <c r="V26" s="3"/>
      <c r="W26" s="3"/>
      <c r="X26" s="3"/>
      <c r="Y26" s="3"/>
      <c r="Z26" s="3"/>
      <c r="AF26" s="3"/>
      <c r="AG26" s="3"/>
      <c r="AH26" s="3"/>
      <c r="AI26" s="3"/>
      <c r="AJ26" s="3"/>
      <c r="AK26" s="3"/>
      <c r="BD26" s="1070" t="s">
        <v>688</v>
      </c>
      <c r="BE26" s="1071" t="b">
        <f>Application!M365="Yes"</f>
        <v>0</v>
      </c>
    </row>
    <row r="27" spans="1:58" ht="12.9" customHeight="1">
      <c r="A27" s="3"/>
      <c r="C27" s="3"/>
      <c r="D27" s="3"/>
      <c r="E27" s="3"/>
      <c r="F27" s="3"/>
      <c r="G27" s="3"/>
      <c r="H27" s="3"/>
      <c r="I27" s="3"/>
      <c r="J27" s="3"/>
      <c r="K27" s="3"/>
      <c r="L27" s="3"/>
      <c r="M27" s="1322">
        <f>'Basis &amp; Credits'!AB78</f>
        <v>0</v>
      </c>
      <c r="N27" s="1322"/>
      <c r="O27" s="1322"/>
      <c r="P27" s="1322"/>
      <c r="Q27" s="1322"/>
      <c r="R27" s="3" t="s">
        <v>689</v>
      </c>
      <c r="S27" s="3"/>
      <c r="T27" s="3"/>
      <c r="U27" s="3"/>
      <c r="V27" s="3"/>
      <c r="W27" s="3"/>
      <c r="X27" s="3"/>
      <c r="Y27" s="3"/>
      <c r="Z27" s="3"/>
      <c r="AF27" s="3"/>
      <c r="AG27" s="3"/>
      <c r="AH27" s="3"/>
      <c r="AI27" s="3"/>
      <c r="AJ27" s="3"/>
      <c r="AK27" s="3"/>
      <c r="BD27" s="1069" t="s">
        <v>690</v>
      </c>
      <c r="BE27" s="1071" t="b">
        <f>Application!M364="Yes"</f>
        <v>0</v>
      </c>
    </row>
    <row r="28" spans="1:58"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0" t="s">
        <v>691</v>
      </c>
      <c r="BE28" s="1071" t="b">
        <f>Application!M366="Yes"</f>
        <v>0</v>
      </c>
    </row>
    <row r="29" spans="1:58" ht="12.9" customHeight="1">
      <c r="A29" s="1495" t="s">
        <v>692</v>
      </c>
      <c r="B29" s="1495"/>
      <c r="C29" s="1495"/>
      <c r="D29" s="1495"/>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BD29" s="1069" t="s">
        <v>693</v>
      </c>
      <c r="BE29" s="1071" t="b">
        <f>Application!M367="Yes"</f>
        <v>1</v>
      </c>
    </row>
    <row r="30" spans="1:58" ht="12.9" customHeight="1">
      <c r="A30" s="1495"/>
      <c r="B30" s="1495"/>
      <c r="C30" s="1495"/>
      <c r="D30" s="1495"/>
      <c r="E30" s="1495"/>
      <c r="F30" s="1495"/>
      <c r="G30" s="1495"/>
      <c r="H30" s="1495"/>
      <c r="I30" s="1495"/>
      <c r="J30" s="1495"/>
      <c r="K30" s="1495"/>
      <c r="L30" s="1495"/>
      <c r="M30" s="1495"/>
      <c r="N30" s="1495"/>
      <c r="O30" s="1495"/>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Z30" s="17"/>
      <c r="BD30" s="1070" t="s">
        <v>694</v>
      </c>
      <c r="BE30" s="1071" t="b">
        <f>Application!AJ364="Yes"</f>
        <v>0</v>
      </c>
    </row>
    <row r="31" spans="1:58" ht="12.9" customHeight="1">
      <c r="A31" s="1495"/>
      <c r="B31" s="1495"/>
      <c r="C31" s="1495"/>
      <c r="D31" s="1495"/>
      <c r="E31" s="1495"/>
      <c r="F31" s="1495"/>
      <c r="G31" s="1495"/>
      <c r="H31" s="1495"/>
      <c r="I31" s="1495"/>
      <c r="J31" s="1495"/>
      <c r="K31" s="1495"/>
      <c r="L31" s="1495"/>
      <c r="M31" s="1495"/>
      <c r="N31" s="1495"/>
      <c r="O31" s="1495"/>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7"/>
      <c r="AV31" s="17"/>
      <c r="AW31" s="17"/>
      <c r="AX31" s="17"/>
      <c r="AY31" s="17"/>
      <c r="AZ31" s="17"/>
      <c r="BD31" s="1069" t="s">
        <v>695</v>
      </c>
      <c r="BE31" s="1071" t="str">
        <f>Application!D211</f>
        <v>Non-Targeted</v>
      </c>
    </row>
    <row r="32" spans="1:58" ht="12.9"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0" t="s">
        <v>696</v>
      </c>
      <c r="BE32" s="1071">
        <f>IF(ISNUMBER(Application!W473),W473,0)</f>
        <v>0</v>
      </c>
    </row>
    <row r="33" spans="1:57" ht="12.9" hidden="1" customHeight="1">
      <c r="A33" s="419" t="s">
        <v>697</v>
      </c>
      <c r="C33" s="419"/>
      <c r="D33" s="419"/>
      <c r="E33" s="419"/>
      <c r="F33" s="419"/>
      <c r="G33" s="419"/>
      <c r="H33" s="419"/>
      <c r="I33" s="419"/>
      <c r="J33" s="419"/>
      <c r="K33" s="419"/>
      <c r="L33" s="419"/>
      <c r="M33" s="419"/>
      <c r="N33" s="419"/>
      <c r="O33" s="1380" t="s">
        <v>698</v>
      </c>
      <c r="P33" s="1380"/>
      <c r="Q33" s="1779" t="s">
        <v>699</v>
      </c>
      <c r="R33" s="1779"/>
      <c r="S33" s="1779"/>
      <c r="T33" s="1779"/>
      <c r="U33" s="1779"/>
      <c r="V33" s="1779"/>
      <c r="W33" s="1779"/>
      <c r="X33" s="1779"/>
      <c r="Y33" s="1779"/>
      <c r="Z33" s="1779"/>
      <c r="AA33" s="1779"/>
      <c r="AB33" s="1779"/>
      <c r="AC33" s="1779"/>
      <c r="AD33" s="1779"/>
      <c r="AE33" s="1779"/>
      <c r="AF33" s="1779"/>
      <c r="AG33" s="1779"/>
      <c r="AH33" s="1779"/>
      <c r="AI33" s="1779"/>
      <c r="AJ33" s="1779"/>
      <c r="AK33" s="1779"/>
      <c r="AL33" s="1779"/>
      <c r="AM33" s="1779"/>
      <c r="AN33" s="1779"/>
      <c r="AO33" s="1779"/>
      <c r="AP33" s="1779"/>
      <c r="AQ33" s="1779"/>
      <c r="AR33" s="1779"/>
      <c r="AS33" s="1779"/>
      <c r="AT33" s="1779"/>
      <c r="AU33" s="17"/>
      <c r="AV33" s="17"/>
      <c r="AW33" s="17"/>
      <c r="AX33" s="17"/>
      <c r="AY33" s="17"/>
      <c r="BD33" s="1069" t="s">
        <v>700</v>
      </c>
      <c r="BE33" s="1071" t="str">
        <f>Application!D220</f>
        <v>San Francisco County</v>
      </c>
    </row>
    <row r="34" spans="1:57" ht="12.9" hidden="1" customHeight="1">
      <c r="A34" s="1495" t="s">
        <v>701</v>
      </c>
      <c r="B34" s="1495"/>
      <c r="C34" s="1495"/>
      <c r="D34" s="1495"/>
      <c r="E34" s="1495"/>
      <c r="F34" s="1495"/>
      <c r="G34" s="1495"/>
      <c r="H34" s="1495"/>
      <c r="I34" s="1495"/>
      <c r="J34" s="1495"/>
      <c r="K34" s="1495"/>
      <c r="L34" s="1495"/>
      <c r="M34" s="1495"/>
      <c r="N34" s="1495"/>
      <c r="O34" s="1495"/>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7"/>
      <c r="AV34" s="17"/>
      <c r="AW34" s="17"/>
      <c r="AX34" s="17"/>
      <c r="AY34" s="17"/>
      <c r="AZ34" s="17"/>
      <c r="BD34" s="1070" t="s">
        <v>702</v>
      </c>
      <c r="BE34" s="1071" t="str">
        <f>Application!I185</f>
        <v>720-760 La Playa Street</v>
      </c>
    </row>
    <row r="35" spans="1:57" ht="12.9" hidden="1" customHeight="1">
      <c r="A35" s="1495"/>
      <c r="B35" s="1495"/>
      <c r="C35" s="1495"/>
      <c r="D35" s="1495"/>
      <c r="E35" s="1495"/>
      <c r="F35" s="1495"/>
      <c r="G35" s="1495"/>
      <c r="H35" s="1495"/>
      <c r="I35" s="1495"/>
      <c r="J35" s="1495"/>
      <c r="K35" s="1495"/>
      <c r="L35" s="1495"/>
      <c r="M35" s="1495"/>
      <c r="N35" s="1495"/>
      <c r="O35" s="1495"/>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7"/>
      <c r="AV35" s="17"/>
      <c r="AW35" s="17"/>
      <c r="AX35" s="17"/>
      <c r="AY35" s="17"/>
      <c r="AZ35" s="17"/>
      <c r="BD35" s="1069" t="s">
        <v>703</v>
      </c>
      <c r="BE35" s="1071" t="str">
        <f>IF(Application!E187="","",Application!E187)</f>
        <v/>
      </c>
    </row>
    <row r="36" spans="1:57" ht="12.9" hidden="1" customHeight="1">
      <c r="A36" s="1495"/>
      <c r="B36" s="1495"/>
      <c r="C36" s="1495"/>
      <c r="D36" s="1495"/>
      <c r="E36" s="1495"/>
      <c r="F36" s="1495"/>
      <c r="G36" s="1495"/>
      <c r="H36" s="1495"/>
      <c r="I36" s="1495"/>
      <c r="J36" s="1495"/>
      <c r="K36" s="1495"/>
      <c r="L36" s="1495"/>
      <c r="M36" s="1495"/>
      <c r="N36" s="1495"/>
      <c r="O36" s="1495"/>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7"/>
      <c r="AV36" s="17"/>
      <c r="AW36" s="17"/>
      <c r="AX36" s="17"/>
      <c r="AY36" s="17"/>
      <c r="AZ36" s="17"/>
      <c r="BD36" s="1070" t="s">
        <v>704</v>
      </c>
      <c r="BE36" s="1071" t="str">
        <f>Application!I189</f>
        <v>San Francisco</v>
      </c>
    </row>
    <row r="37" spans="1:57" ht="12.9" hidden="1" customHeight="1">
      <c r="A37" s="1495"/>
      <c r="B37" s="1495"/>
      <c r="C37" s="1495"/>
      <c r="D37" s="1495"/>
      <c r="E37" s="1495"/>
      <c r="F37" s="1495"/>
      <c r="G37" s="1495"/>
      <c r="H37" s="1495"/>
      <c r="I37" s="1495"/>
      <c r="J37" s="1495"/>
      <c r="K37" s="1495"/>
      <c r="L37" s="1495"/>
      <c r="M37" s="1495"/>
      <c r="N37" s="1495"/>
      <c r="O37" s="1495"/>
      <c r="P37" s="1495"/>
      <c r="Q37" s="1495"/>
      <c r="R37" s="1495"/>
      <c r="S37" s="1495"/>
      <c r="T37" s="1495"/>
      <c r="U37" s="1495"/>
      <c r="V37" s="1495"/>
      <c r="W37" s="1495"/>
      <c r="X37" s="1495"/>
      <c r="Y37" s="1495"/>
      <c r="Z37" s="1495"/>
      <c r="AA37" s="1495"/>
      <c r="AB37" s="1495"/>
      <c r="AC37" s="1495"/>
      <c r="AD37" s="1495"/>
      <c r="AE37" s="1495"/>
      <c r="AF37" s="1495"/>
      <c r="AG37" s="1495"/>
      <c r="AH37" s="1495"/>
      <c r="AI37" s="1495"/>
      <c r="AJ37" s="1495"/>
      <c r="AK37" s="1495"/>
      <c r="AL37" s="1495"/>
      <c r="AM37" s="1495"/>
      <c r="AN37" s="1495"/>
      <c r="AO37" s="1495"/>
      <c r="AP37" s="1495"/>
      <c r="AQ37" s="1495"/>
      <c r="AR37" s="1495"/>
      <c r="AS37" s="1495"/>
      <c r="AT37" s="1495"/>
      <c r="AZ37" s="17"/>
      <c r="BD37" s="1069" t="s">
        <v>705</v>
      </c>
      <c r="BE37" s="1071" t="str">
        <f>Application!T189</f>
        <v>San Francisco</v>
      </c>
    </row>
    <row r="38" spans="1:57" ht="12.9" hidden="1" customHeight="1">
      <c r="A38" s="3"/>
      <c r="AZ38" s="17"/>
      <c r="BD38" s="1070" t="s">
        <v>706</v>
      </c>
      <c r="BE38" s="1071">
        <f>Application!I190</f>
        <v>94121</v>
      </c>
    </row>
    <row r="39" spans="1:57" ht="12.9" customHeight="1">
      <c r="A39" s="1228" t="s">
        <v>707</v>
      </c>
      <c r="B39" s="1228"/>
      <c r="C39" s="1228"/>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Z39" s="17"/>
      <c r="BD39" s="1069" t="s">
        <v>708</v>
      </c>
      <c r="BE39" s="1071">
        <f>Application!AG446</f>
        <v>91</v>
      </c>
    </row>
    <row r="40" spans="1:57" ht="12.9" customHeight="1">
      <c r="A40" s="1228"/>
      <c r="B40" s="1228"/>
      <c r="C40" s="1228"/>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7"/>
      <c r="AV40" s="17"/>
      <c r="AW40" s="17"/>
      <c r="AX40" s="17"/>
      <c r="AY40" s="17"/>
      <c r="AZ40" s="17"/>
      <c r="BD40" s="1070" t="s">
        <v>201</v>
      </c>
      <c r="BE40" s="1071">
        <f>Application!AG449</f>
        <v>90</v>
      </c>
    </row>
    <row r="41" spans="1:57" ht="12.9" customHeight="1">
      <c r="A41" s="1228"/>
      <c r="B41" s="1228"/>
      <c r="C41" s="1228"/>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7"/>
      <c r="AV41" s="17"/>
      <c r="AW41" s="17"/>
      <c r="AX41" s="17"/>
      <c r="AY41" s="17"/>
      <c r="AZ41" s="17"/>
      <c r="BD41" s="1069" t="s">
        <v>209</v>
      </c>
      <c r="BE41" s="1071">
        <f>Application!AG447</f>
        <v>0</v>
      </c>
    </row>
    <row r="42" spans="1:57" ht="12.9" customHeight="1">
      <c r="A42" s="1228"/>
      <c r="B42" s="1228"/>
      <c r="C42" s="1228"/>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Z42" s="17"/>
      <c r="BD42" s="1070" t="s">
        <v>709</v>
      </c>
      <c r="BE42" s="1073">
        <f>Application!AC761</f>
        <v>0.40666666666666668</v>
      </c>
    </row>
    <row r="43" spans="1:57" ht="12.9" customHeight="1">
      <c r="A43" s="1228"/>
      <c r="B43" s="1228"/>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7"/>
      <c r="AV43" s="17"/>
      <c r="AW43" s="17"/>
      <c r="AX43" s="17"/>
      <c r="AY43" s="17"/>
      <c r="AZ43" s="17"/>
      <c r="BD43" s="1069" t="s">
        <v>710</v>
      </c>
      <c r="BE43" s="1073">
        <f>Application!AH761</f>
        <v>0.40662513396036332</v>
      </c>
    </row>
    <row r="44" spans="1:57" ht="12.9" customHeight="1">
      <c r="A44" s="1228"/>
      <c r="B44" s="1228"/>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7"/>
      <c r="AV44" s="17"/>
      <c r="AW44" s="17"/>
      <c r="AX44" s="17"/>
      <c r="AY44" s="17"/>
      <c r="AZ44" s="17"/>
      <c r="BD44" s="1070" t="s">
        <v>711</v>
      </c>
      <c r="BE44" s="1071">
        <f>Application!AC463</f>
        <v>945586.96703296702</v>
      </c>
    </row>
    <row r="45" spans="1:57" ht="12.9"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69" t="s">
        <v>712</v>
      </c>
      <c r="BE45" s="1071">
        <f>Application!AE433</f>
        <v>1</v>
      </c>
    </row>
    <row r="46" spans="1:57" ht="12.9" customHeight="1">
      <c r="A46" s="1294" t="s">
        <v>713</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17"/>
      <c r="AV46" s="17"/>
      <c r="AW46" s="17"/>
      <c r="AX46" s="17"/>
      <c r="AY46" s="17"/>
      <c r="AZ46" s="17"/>
      <c r="BD46" s="1070" t="s">
        <v>714</v>
      </c>
      <c r="BE46" s="1071" t="b">
        <f>Application!T195="Yes"</f>
        <v>0</v>
      </c>
    </row>
    <row r="47" spans="1:57" ht="12.9"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17"/>
      <c r="AV47" s="17"/>
      <c r="AW47" s="17"/>
      <c r="AX47" s="17"/>
      <c r="AY47" s="17"/>
      <c r="AZ47" s="17"/>
      <c r="BD47" s="1069" t="s">
        <v>715</v>
      </c>
      <c r="BE47" s="1071" t="b">
        <f>Application!T196="Yes"</f>
        <v>1</v>
      </c>
    </row>
    <row r="48" spans="1:57" ht="12.9"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17"/>
      <c r="AV48" s="17"/>
      <c r="AW48" s="17"/>
      <c r="AX48" s="17"/>
      <c r="AY48" s="17"/>
      <c r="AZ48" s="17"/>
      <c r="BD48" s="1070" t="s">
        <v>716</v>
      </c>
      <c r="BE48" s="1071" t="str">
        <f>Application!M252</f>
        <v>Ocean Beach Manager, LLC</v>
      </c>
    </row>
    <row r="49" spans="1:57" ht="12.9"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17"/>
      <c r="AV49" s="17"/>
      <c r="AW49" s="17"/>
      <c r="AX49" s="17"/>
      <c r="AY49" s="17"/>
      <c r="AZ49" s="17"/>
      <c r="BD49" s="1069" t="s">
        <v>717</v>
      </c>
      <c r="BE49" s="1071" t="str">
        <f>Application!M255</f>
        <v>Kathleen Balderrama</v>
      </c>
    </row>
    <row r="50" spans="1:57" ht="12.9"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0" t="s">
        <v>718</v>
      </c>
      <c r="BE50" s="1071" t="str">
        <f>Application!AA258</f>
        <v>Alliant Community Preservation Company, LLC</v>
      </c>
    </row>
    <row r="51" spans="1:57" ht="12.9" customHeight="1">
      <c r="A51" s="1228" t="s">
        <v>719</v>
      </c>
      <c r="B51" s="1228"/>
      <c r="C51" s="1228"/>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7"/>
      <c r="AV51" s="17"/>
      <c r="AW51" s="17"/>
      <c r="AX51" s="17"/>
      <c r="AY51" s="17"/>
      <c r="AZ51" s="17"/>
      <c r="BD51" s="1069" t="s">
        <v>720</v>
      </c>
      <c r="BE51" s="1071" t="str">
        <f>Application!M260</f>
        <v>San Francisco Housing Development Corporation</v>
      </c>
    </row>
    <row r="52" spans="1:57" ht="12.9" customHeight="1">
      <c r="A52" s="1228"/>
      <c r="B52" s="1228"/>
      <c r="C52" s="1228"/>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7"/>
      <c r="AV52" s="17"/>
      <c r="AW52" s="17"/>
      <c r="AX52" s="17"/>
      <c r="AY52" s="17"/>
      <c r="AZ52" s="17"/>
      <c r="BD52" s="1070" t="s">
        <v>721</v>
      </c>
      <c r="BE52" s="1071" t="str">
        <f>Application!M263</f>
        <v>David J. Sobel</v>
      </c>
    </row>
    <row r="53" spans="1:57" ht="12.9"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69" t="s">
        <v>722</v>
      </c>
      <c r="BE53" s="1071">
        <f>Application!AA266</f>
        <v>0</v>
      </c>
    </row>
    <row r="54" spans="1:57" ht="12.9" customHeight="1">
      <c r="A54" s="1228" t="s">
        <v>723</v>
      </c>
      <c r="B54" s="1228"/>
      <c r="C54" s="1228"/>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7"/>
      <c r="AV54" s="17"/>
      <c r="AW54" s="17"/>
      <c r="AX54" s="17"/>
      <c r="AY54" s="17"/>
      <c r="AZ54" s="18"/>
      <c r="BD54" s="1070" t="s">
        <v>724</v>
      </c>
      <c r="BE54" s="1071">
        <f>Application!M268</f>
        <v>0</v>
      </c>
    </row>
    <row r="55" spans="1:57" ht="12.9" customHeight="1">
      <c r="A55" s="1228"/>
      <c r="B55" s="1228"/>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Z55" s="18"/>
      <c r="BD55" s="1069" t="s">
        <v>725</v>
      </c>
      <c r="BE55" s="1071">
        <f>Application!M271</f>
        <v>0</v>
      </c>
    </row>
    <row r="56" spans="1:57" ht="12.9" customHeight="1">
      <c r="A56" s="1228"/>
      <c r="B56" s="1228"/>
      <c r="C56" s="1228"/>
      <c r="D56" s="1228"/>
      <c r="E56" s="1228"/>
      <c r="F56" s="1228"/>
      <c r="G56" s="1228"/>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BD56" s="1070" t="s">
        <v>726</v>
      </c>
      <c r="BE56" s="1071">
        <f>Application!AA274</f>
        <v>0</v>
      </c>
    </row>
    <row r="57" spans="1:57" ht="12.9" customHeight="1">
      <c r="A57" s="1228"/>
      <c r="B57" s="1228"/>
      <c r="C57" s="1228"/>
      <c r="D57" s="1228"/>
      <c r="E57" s="1228"/>
      <c r="F57" s="1228"/>
      <c r="G57" s="1228"/>
      <c r="H57" s="1228"/>
      <c r="I57" s="1228"/>
      <c r="J57" s="1228"/>
      <c r="K57" s="1228"/>
      <c r="L57" s="1228"/>
      <c r="M57" s="1228"/>
      <c r="N57" s="1228"/>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BD57" s="1069" t="s">
        <v>727</v>
      </c>
      <c r="BE57" s="1071" t="str">
        <f>Application!H296</f>
        <v>Alliant Community Preservation Company, LLC</v>
      </c>
    </row>
    <row r="58" spans="1:57" ht="12.9" customHeight="1">
      <c r="A58" s="1228"/>
      <c r="B58" s="1228"/>
      <c r="C58" s="1228"/>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BD58" s="1070" t="s">
        <v>728</v>
      </c>
      <c r="BE58" s="1071" t="str">
        <f>Application!H297</f>
        <v>26050 Mureau Rd., Suite 101</v>
      </c>
    </row>
    <row r="59" spans="1:57" ht="12.9"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69" t="s">
        <v>729</v>
      </c>
      <c r="BE59" s="1071" t="str">
        <f>Application!H298</f>
        <v>Calabasas, CA 91302</v>
      </c>
    </row>
    <row r="60" spans="1:57" ht="12.9" customHeight="1">
      <c r="A60" s="1228" t="s">
        <v>730</v>
      </c>
      <c r="B60" s="1228"/>
      <c r="C60" s="1228"/>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7"/>
      <c r="AV60" s="17"/>
      <c r="AW60" s="17"/>
      <c r="AX60" s="17"/>
      <c r="AY60" s="17"/>
      <c r="AZ60" s="17"/>
      <c r="BD60" s="1070" t="s">
        <v>731</v>
      </c>
      <c r="BE60" s="1071" t="str">
        <f>Application!H299</f>
        <v>Kathleen Balderrama</v>
      </c>
    </row>
    <row r="61" spans="1:57" ht="12.9" customHeight="1">
      <c r="A61" s="1228"/>
      <c r="B61" s="1228"/>
      <c r="C61" s="1228"/>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7"/>
      <c r="AV61" s="17"/>
      <c r="AW61" s="17"/>
      <c r="AX61" s="17"/>
      <c r="AY61" s="17"/>
      <c r="AZ61" s="17"/>
      <c r="BD61" s="1069" t="s">
        <v>732</v>
      </c>
      <c r="BE61" s="1071" t="str">
        <f>Application!H302</f>
        <v>Katie.Balderrama@acpco.com</v>
      </c>
    </row>
    <row r="62" spans="1:57" ht="12.9"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0" t="s">
        <v>733</v>
      </c>
      <c r="BE62" s="1074">
        <f>'Basis &amp; Credits'!AB50</f>
        <v>0.87</v>
      </c>
    </row>
    <row r="63" spans="1:57" ht="12.9"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69" t="s">
        <v>735</v>
      </c>
      <c r="BE63" s="1074">
        <f>'Basis &amp; Credits'!AB72</f>
        <v>0</v>
      </c>
    </row>
    <row r="64" spans="1:57" ht="12.9"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0" t="s">
        <v>736</v>
      </c>
      <c r="BE64" s="1071" t="b">
        <f>Application!X180="Yes"</f>
        <v>1</v>
      </c>
    </row>
    <row r="65" spans="1:57" ht="12.9" customHeight="1">
      <c r="A65" s="1228" t="s">
        <v>737</v>
      </c>
      <c r="B65" s="1228"/>
      <c r="C65" s="1228"/>
      <c r="D65" s="1228"/>
      <c r="E65" s="1228"/>
      <c r="F65" s="1228"/>
      <c r="G65" s="1228"/>
      <c r="H65" s="1228"/>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8"/>
      <c r="AV65" s="18"/>
      <c r="AW65" s="18"/>
      <c r="AX65" s="18"/>
      <c r="AY65" s="18"/>
      <c r="AZ65" s="17"/>
      <c r="BD65" s="1069" t="s">
        <v>738</v>
      </c>
      <c r="BE65" s="1071" t="str">
        <f>Z205</f>
        <v>(select)</v>
      </c>
    </row>
    <row r="66" spans="1:57" ht="12.9" customHeight="1">
      <c r="A66" s="1228"/>
      <c r="B66" s="1228"/>
      <c r="C66" s="1228"/>
      <c r="D66" s="1228"/>
      <c r="E66" s="1228"/>
      <c r="F66" s="1228"/>
      <c r="G66" s="1228"/>
      <c r="H66" s="1228"/>
      <c r="I66" s="1228"/>
      <c r="J66" s="1228"/>
      <c r="K66" s="1228"/>
      <c r="L66" s="1228"/>
      <c r="M66" s="1228"/>
      <c r="N66" s="1228"/>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8"/>
      <c r="AV66" s="18"/>
      <c r="AW66" s="18"/>
      <c r="AX66" s="18"/>
      <c r="AY66" s="18"/>
      <c r="AZ66" s="17"/>
      <c r="BD66" s="1070" t="s">
        <v>739</v>
      </c>
      <c r="BE66" s="1071" t="b">
        <f>Application!Z205="State Farmworker Credit"</f>
        <v>0</v>
      </c>
    </row>
    <row r="67" spans="1:57" ht="12.9" customHeight="1">
      <c r="A67" s="1228"/>
      <c r="B67" s="1228"/>
      <c r="C67" s="1228"/>
      <c r="D67" s="1228"/>
      <c r="E67" s="1228"/>
      <c r="F67" s="1228"/>
      <c r="G67" s="1228"/>
      <c r="H67" s="1228"/>
      <c r="I67" s="1228"/>
      <c r="J67" s="1228"/>
      <c r="K67" s="1228"/>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Z67" s="17"/>
      <c r="BD67" s="1069" t="s">
        <v>740</v>
      </c>
      <c r="BE67" s="1071" t="b">
        <f>Application!O33="Yes"</f>
        <v>0</v>
      </c>
    </row>
    <row r="68" spans="1:57" ht="12.9"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0" t="s">
        <v>741</v>
      </c>
      <c r="BE68" s="1071">
        <f>'Sources and Uses Budget'!D105</f>
        <v>0</v>
      </c>
    </row>
    <row r="69" spans="1:57" ht="12.9" customHeight="1">
      <c r="A69" s="1228" t="s">
        <v>742</v>
      </c>
      <c r="B69" s="1228"/>
      <c r="C69" s="1228"/>
      <c r="D69" s="1228"/>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Z69" s="17"/>
      <c r="BD69" s="1069" t="s">
        <v>743</v>
      </c>
      <c r="BE69" s="1071" t="str">
        <f>Application!W708</f>
        <v>City and County of San Francisco</v>
      </c>
    </row>
    <row r="70" spans="1:57" ht="12.9" customHeight="1">
      <c r="A70" s="1228"/>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7"/>
      <c r="AV70" s="17"/>
      <c r="AW70" s="17"/>
      <c r="AX70" s="17"/>
      <c r="AY70" s="17"/>
      <c r="AZ70" s="17"/>
      <c r="BD70" s="1070" t="s">
        <v>744</v>
      </c>
      <c r="BE70" s="1071">
        <f>'Points System'!AF843</f>
        <v>100</v>
      </c>
    </row>
    <row r="71" spans="1:57" ht="12.9"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69" t="s">
        <v>745</v>
      </c>
      <c r="BE71" s="1071">
        <f>'Points System'!AF826</f>
        <v>18</v>
      </c>
    </row>
    <row r="72" spans="1:57" ht="12.9" customHeight="1">
      <c r="A72" s="1495" t="s">
        <v>746</v>
      </c>
      <c r="B72" s="1495"/>
      <c r="C72" s="1495"/>
      <c r="D72" s="1495"/>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1495"/>
      <c r="AB72" s="1495"/>
      <c r="AC72" s="1495"/>
      <c r="AD72" s="1495"/>
      <c r="AE72" s="1495"/>
      <c r="AF72" s="1495"/>
      <c r="AG72" s="1495"/>
      <c r="AH72" s="1495"/>
      <c r="AI72" s="1495"/>
      <c r="AJ72" s="1495"/>
      <c r="AK72" s="1495"/>
      <c r="AL72" s="1495"/>
      <c r="AM72" s="1495"/>
      <c r="AN72" s="1495"/>
      <c r="AO72" s="1495"/>
      <c r="AP72" s="1495"/>
      <c r="AQ72" s="1495"/>
      <c r="AR72" s="1495"/>
      <c r="AS72" s="1495"/>
      <c r="AT72" s="1495"/>
      <c r="AU72" s="17"/>
      <c r="AV72" s="17"/>
      <c r="AW72" s="17"/>
      <c r="AX72" s="17"/>
      <c r="AY72" s="17"/>
      <c r="AZ72" s="17"/>
      <c r="BD72" s="1070" t="s">
        <v>747</v>
      </c>
      <c r="BE72" s="1071">
        <f>'Points System'!AF827</f>
        <v>0</v>
      </c>
    </row>
    <row r="73" spans="1:57" ht="12.9" customHeight="1">
      <c r="A73" s="1495"/>
      <c r="B73" s="1495"/>
      <c r="C73" s="1495"/>
      <c r="D73" s="1495"/>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1495"/>
      <c r="AB73" s="1495"/>
      <c r="AC73" s="1495"/>
      <c r="AD73" s="1495"/>
      <c r="AE73" s="1495"/>
      <c r="AF73" s="1495"/>
      <c r="AG73" s="1495"/>
      <c r="AH73" s="1495"/>
      <c r="AI73" s="1495"/>
      <c r="AJ73" s="1495"/>
      <c r="AK73" s="1495"/>
      <c r="AL73" s="1495"/>
      <c r="AM73" s="1495"/>
      <c r="AN73" s="1495"/>
      <c r="AO73" s="1495"/>
      <c r="AP73" s="1495"/>
      <c r="AQ73" s="1495"/>
      <c r="AR73" s="1495"/>
      <c r="AS73" s="1495"/>
      <c r="AT73" s="1495"/>
      <c r="AU73" s="17"/>
      <c r="AV73" s="17"/>
      <c r="AW73" s="17"/>
      <c r="AX73" s="17"/>
      <c r="AY73" s="17"/>
      <c r="AZ73" s="17"/>
      <c r="BD73" s="1069" t="s">
        <v>748</v>
      </c>
      <c r="BE73" s="1071">
        <f>'Points System'!AF828</f>
        <v>20</v>
      </c>
    </row>
    <row r="74" spans="1:57" ht="12.9"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0" t="s">
        <v>749</v>
      </c>
      <c r="BE74" s="1071">
        <f>'Points System'!AF829</f>
        <v>10</v>
      </c>
    </row>
    <row r="75" spans="1:57" ht="12.9" customHeight="1">
      <c r="A75" s="1503" t="s">
        <v>750</v>
      </c>
      <c r="B75" s="1503"/>
      <c r="C75" s="1503"/>
      <c r="D75" s="1503"/>
      <c r="E75" s="1503"/>
      <c r="F75" s="1503"/>
      <c r="G75" s="1503"/>
      <c r="H75" s="1503"/>
      <c r="I75" s="1503"/>
      <c r="J75" s="1503"/>
      <c r="K75" s="1503"/>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3"/>
      <c r="AJ75" s="1503"/>
      <c r="AK75" s="1503"/>
      <c r="AL75" s="1503"/>
      <c r="AM75" s="1503"/>
      <c r="AN75" s="1503"/>
      <c r="AO75" s="1503"/>
      <c r="AP75" s="1503"/>
      <c r="AQ75" s="1503"/>
      <c r="AR75" s="1503"/>
      <c r="AS75" s="1503"/>
      <c r="AT75" s="1503"/>
      <c r="AU75" s="17"/>
      <c r="AV75" s="17"/>
      <c r="AW75" s="17"/>
      <c r="AX75" s="17"/>
      <c r="AY75" s="17"/>
      <c r="AZ75" s="17"/>
      <c r="BD75" s="1069" t="s">
        <v>751</v>
      </c>
      <c r="BE75" s="1071">
        <f>'Points System'!AF830</f>
        <v>10</v>
      </c>
    </row>
    <row r="76" spans="1:57" ht="12.9" customHeight="1">
      <c r="A76" s="1503"/>
      <c r="B76" s="1503"/>
      <c r="C76" s="1503"/>
      <c r="D76" s="1503"/>
      <c r="E76" s="1503"/>
      <c r="F76" s="1503"/>
      <c r="G76" s="1503"/>
      <c r="H76" s="1503"/>
      <c r="I76" s="1503"/>
      <c r="J76" s="1503"/>
      <c r="K76" s="1503"/>
      <c r="L76" s="1503"/>
      <c r="M76" s="1503"/>
      <c r="N76" s="1503"/>
      <c r="O76" s="1503"/>
      <c r="P76" s="1503"/>
      <c r="Q76" s="1503"/>
      <c r="R76" s="1503"/>
      <c r="S76" s="1503"/>
      <c r="T76" s="1503"/>
      <c r="U76" s="1503"/>
      <c r="V76" s="1503"/>
      <c r="W76" s="1503"/>
      <c r="X76" s="1503"/>
      <c r="Y76" s="1503"/>
      <c r="Z76" s="1503"/>
      <c r="AA76" s="1503"/>
      <c r="AB76" s="1503"/>
      <c r="AC76" s="1503"/>
      <c r="AD76" s="1503"/>
      <c r="AE76" s="1503"/>
      <c r="AF76" s="1503"/>
      <c r="AG76" s="1503"/>
      <c r="AH76" s="1503"/>
      <c r="AI76" s="1503"/>
      <c r="AJ76" s="1503"/>
      <c r="AK76" s="1503"/>
      <c r="AL76" s="1503"/>
      <c r="AM76" s="1503"/>
      <c r="AN76" s="1503"/>
      <c r="AO76" s="1503"/>
      <c r="AP76" s="1503"/>
      <c r="AQ76" s="1503"/>
      <c r="AR76" s="1503"/>
      <c r="AS76" s="1503"/>
      <c r="AT76" s="1503"/>
      <c r="AU76" s="17"/>
      <c r="AV76" s="17"/>
      <c r="AW76" s="17"/>
      <c r="AX76" s="17"/>
      <c r="AY76" s="17"/>
      <c r="AZ76" s="15"/>
      <c r="BD76" s="1070" t="s">
        <v>752</v>
      </c>
      <c r="BE76" s="1071">
        <f>'Points System'!AF833</f>
        <v>0</v>
      </c>
    </row>
    <row r="77" spans="1:57" ht="12.9" customHeight="1">
      <c r="A77" s="1503"/>
      <c r="B77" s="1503"/>
      <c r="C77" s="1503"/>
      <c r="D77" s="1503"/>
      <c r="E77" s="1503"/>
      <c r="F77" s="1503"/>
      <c r="G77" s="1503"/>
      <c r="H77" s="1503"/>
      <c r="I77" s="1503"/>
      <c r="J77" s="1503"/>
      <c r="K77" s="1503"/>
      <c r="L77" s="1503"/>
      <c r="M77" s="1503"/>
      <c r="N77" s="1503"/>
      <c r="O77" s="1503"/>
      <c r="P77" s="1503"/>
      <c r="Q77" s="1503"/>
      <c r="R77" s="1503"/>
      <c r="S77" s="1503"/>
      <c r="T77" s="1503"/>
      <c r="U77" s="1503"/>
      <c r="V77" s="1503"/>
      <c r="W77" s="1503"/>
      <c r="X77" s="1503"/>
      <c r="Y77" s="1503"/>
      <c r="Z77" s="1503"/>
      <c r="AA77" s="1503"/>
      <c r="AB77" s="1503"/>
      <c r="AC77" s="1503"/>
      <c r="AD77" s="1503"/>
      <c r="AE77" s="1503"/>
      <c r="AF77" s="1503"/>
      <c r="AG77" s="1503"/>
      <c r="AH77" s="1503"/>
      <c r="AI77" s="1503"/>
      <c r="AJ77" s="1503"/>
      <c r="AK77" s="1503"/>
      <c r="AL77" s="1503"/>
      <c r="AM77" s="1503"/>
      <c r="AN77" s="1503"/>
      <c r="AO77" s="1503"/>
      <c r="AP77" s="1503"/>
      <c r="AQ77" s="1503"/>
      <c r="AR77" s="1503"/>
      <c r="AS77" s="1503"/>
      <c r="AT77" s="1503"/>
      <c r="AU77" s="17"/>
      <c r="AV77" s="17"/>
      <c r="AW77" s="17"/>
      <c r="AX77" s="17"/>
      <c r="AY77" s="17"/>
      <c r="AZ77" s="15"/>
      <c r="BD77" s="1069" t="s">
        <v>753</v>
      </c>
      <c r="BE77" s="1071">
        <f>'Points System'!AF834</f>
        <v>0</v>
      </c>
    </row>
    <row r="78" spans="1:57" ht="12.9"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0" t="s">
        <v>754</v>
      </c>
      <c r="BE78" s="1071">
        <f>'Points System'!AF836</f>
        <v>10</v>
      </c>
    </row>
    <row r="79" spans="1:57" ht="12.9" customHeight="1">
      <c r="A79" s="1228" t="s">
        <v>755</v>
      </c>
      <c r="B79" s="1228"/>
      <c r="C79" s="1228"/>
      <c r="D79" s="1228"/>
      <c r="E79" s="1228"/>
      <c r="F79" s="1228"/>
      <c r="G79" s="1228"/>
      <c r="H79" s="1228"/>
      <c r="I79" s="1228"/>
      <c r="J79" s="1228"/>
      <c r="K79" s="1228"/>
      <c r="L79" s="1228"/>
      <c r="M79" s="1228"/>
      <c r="N79" s="1228"/>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7"/>
      <c r="AV79" s="17"/>
      <c r="AW79" s="17"/>
      <c r="AX79" s="17"/>
      <c r="AY79" s="17"/>
      <c r="AZ79" s="17"/>
      <c r="BD79" s="1069" t="s">
        <v>756</v>
      </c>
      <c r="BE79" s="1071">
        <f>'Points System'!AF837</f>
        <v>0</v>
      </c>
    </row>
    <row r="80" spans="1:57" ht="12.9" customHeight="1">
      <c r="A80" s="1228"/>
      <c r="B80" s="1228"/>
      <c r="C80" s="1228"/>
      <c r="D80" s="1228"/>
      <c r="E80" s="1228"/>
      <c r="F80" s="1228"/>
      <c r="G80" s="1228"/>
      <c r="H80" s="1228"/>
      <c r="I80" s="1228"/>
      <c r="J80" s="1228"/>
      <c r="K80" s="1228"/>
      <c r="L80" s="1228"/>
      <c r="M80" s="1228"/>
      <c r="N80" s="1228"/>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7"/>
      <c r="AV80" s="17"/>
      <c r="AW80" s="17"/>
      <c r="AX80" s="17"/>
      <c r="AY80" s="17"/>
      <c r="AZ80" s="17"/>
      <c r="BD80" s="1070" t="s">
        <v>757</v>
      </c>
      <c r="BE80" s="1071">
        <f>'Points System'!AF839</f>
        <v>10</v>
      </c>
    </row>
    <row r="81" spans="1:57" ht="12.9" customHeight="1">
      <c r="A81" s="1228"/>
      <c r="B81" s="1228"/>
      <c r="C81" s="1228"/>
      <c r="D81" s="1228"/>
      <c r="E81" s="1228"/>
      <c r="F81" s="1228"/>
      <c r="G81" s="1228"/>
      <c r="H81" s="1228"/>
      <c r="I81" s="1228"/>
      <c r="J81" s="1228"/>
      <c r="K81" s="1228"/>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7"/>
      <c r="AV81" s="17"/>
      <c r="AW81" s="17"/>
      <c r="AX81" s="17"/>
      <c r="AY81" s="17"/>
      <c r="AZ81" s="17"/>
      <c r="BD81" s="1069" t="s">
        <v>758</v>
      </c>
      <c r="BE81" s="1071">
        <f>'Points System'!AF840</f>
        <v>12</v>
      </c>
    </row>
    <row r="82" spans="1:57" ht="12.9"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0" t="s">
        <v>759</v>
      </c>
      <c r="BE82" s="1071">
        <f>'Points System'!AF841</f>
        <v>10</v>
      </c>
    </row>
    <row r="83" spans="1:57" ht="12.9" customHeight="1">
      <c r="A83" s="1228" t="s">
        <v>760</v>
      </c>
      <c r="B83" s="1228"/>
      <c r="C83" s="1228"/>
      <c r="D83" s="1228"/>
      <c r="E83" s="1228"/>
      <c r="F83" s="1228"/>
      <c r="G83" s="1228"/>
      <c r="H83" s="1228"/>
      <c r="I83" s="1228"/>
      <c r="J83" s="1228"/>
      <c r="K83" s="1228"/>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7"/>
      <c r="AV83" s="17"/>
      <c r="AW83" s="17"/>
      <c r="AX83" s="17"/>
      <c r="AY83" s="17"/>
      <c r="AZ83" s="17"/>
      <c r="BD83" s="1069" t="s">
        <v>761</v>
      </c>
      <c r="BE83" s="1075">
        <f>'Tie Breaker'!H5</f>
        <v>3.0327410091629132</v>
      </c>
    </row>
    <row r="84" spans="1:57" ht="12.9" customHeight="1">
      <c r="A84" s="1228"/>
      <c r="B84" s="1228"/>
      <c r="C84" s="1228"/>
      <c r="D84" s="1228"/>
      <c r="E84" s="1228"/>
      <c r="F84" s="1228"/>
      <c r="G84" s="1228"/>
      <c r="H84" s="1228"/>
      <c r="I84" s="1228"/>
      <c r="J84" s="1228"/>
      <c r="K84" s="1228"/>
      <c r="L84" s="1228"/>
      <c r="M84" s="1228"/>
      <c r="N84" s="1228"/>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7"/>
      <c r="AV84" s="17"/>
      <c r="AW84" s="17"/>
      <c r="AX84" s="17"/>
      <c r="AY84" s="17"/>
      <c r="AZ84" s="17"/>
      <c r="BD84" s="1070" t="s">
        <v>762</v>
      </c>
      <c r="BE84" s="1071" t="str">
        <f>Application!O153</f>
        <v>City and County of San Francisco</v>
      </c>
    </row>
    <row r="85" spans="1:57" ht="12.9"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69" t="s">
        <v>763</v>
      </c>
      <c r="BE85" s="1071" t="str">
        <f>Application!O154</f>
        <v>Daniel Adams</v>
      </c>
    </row>
    <row r="86" spans="1:57" ht="12.9" customHeight="1">
      <c r="A86" s="1228" t="s">
        <v>764</v>
      </c>
      <c r="B86" s="1228"/>
      <c r="C86" s="1228"/>
      <c r="D86" s="1228"/>
      <c r="E86" s="1228"/>
      <c r="F86" s="1228"/>
      <c r="G86" s="1228"/>
      <c r="H86" s="1228"/>
      <c r="I86" s="1228"/>
      <c r="J86" s="1228"/>
      <c r="K86" s="1228"/>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7"/>
      <c r="AV86" s="17"/>
      <c r="AW86" s="17"/>
      <c r="AX86" s="17"/>
      <c r="AY86" s="17"/>
      <c r="AZ86" s="17"/>
      <c r="BD86" s="1070" t="s">
        <v>765</v>
      </c>
      <c r="BE86" s="1071" t="str">
        <f>Application!O155</f>
        <v>Director of Mayor's Office of Housing and Community Development</v>
      </c>
    </row>
    <row r="87" spans="1:57" ht="12.9" customHeight="1">
      <c r="A87" s="1228"/>
      <c r="B87" s="1228"/>
      <c r="C87" s="1228"/>
      <c r="D87" s="1228"/>
      <c r="E87" s="1228"/>
      <c r="F87" s="1228"/>
      <c r="G87" s="1228"/>
      <c r="H87" s="1228"/>
      <c r="I87" s="1228"/>
      <c r="J87" s="1228"/>
      <c r="K87" s="1228"/>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7"/>
      <c r="AV87" s="17"/>
      <c r="AW87" s="17"/>
      <c r="AX87" s="17"/>
      <c r="AY87" s="17"/>
      <c r="AZ87" s="17"/>
      <c r="BD87" s="1069" t="s">
        <v>766</v>
      </c>
      <c r="BE87" s="1071" t="str">
        <f>Application!O156</f>
        <v>One So. Van Ness Ave. 5th Floor</v>
      </c>
    </row>
    <row r="88" spans="1:57" ht="12.9"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0" t="s">
        <v>767</v>
      </c>
      <c r="BE88" s="1071" t="str">
        <f>Application!O157</f>
        <v>San Francisco</v>
      </c>
    </row>
    <row r="89" spans="1:57" ht="12.9" customHeight="1">
      <c r="A89" s="1511" t="s">
        <v>768</v>
      </c>
      <c r="B89" s="1511"/>
      <c r="C89" s="1511"/>
      <c r="D89" s="1511"/>
      <c r="E89" s="1511"/>
      <c r="F89" s="1511"/>
      <c r="G89" s="1511"/>
      <c r="H89" s="1511"/>
      <c r="I89" s="1511"/>
      <c r="J89" s="1511"/>
      <c r="K89" s="1511"/>
      <c r="L89" s="1511"/>
      <c r="M89" s="1511"/>
      <c r="N89" s="1511"/>
      <c r="O89" s="1511"/>
      <c r="P89" s="1511"/>
      <c r="Q89" s="1511"/>
      <c r="R89" s="1511"/>
      <c r="S89" s="1511"/>
      <c r="T89" s="1511"/>
      <c r="U89" s="1511"/>
      <c r="V89" s="1511"/>
      <c r="W89" s="1511"/>
      <c r="X89" s="1511"/>
      <c r="Y89" s="1511"/>
      <c r="Z89" s="1511"/>
      <c r="AA89" s="1511"/>
      <c r="AB89" s="1511"/>
      <c r="AC89" s="1511"/>
      <c r="AD89" s="1511"/>
      <c r="AE89" s="1511"/>
      <c r="AF89" s="1511"/>
      <c r="AG89" s="1511"/>
      <c r="AH89" s="1511"/>
      <c r="AI89" s="1511"/>
      <c r="AJ89" s="1511"/>
      <c r="AK89" s="1511"/>
      <c r="AL89" s="1511"/>
      <c r="AM89" s="1511"/>
      <c r="AN89" s="1511"/>
      <c r="AO89" s="1511"/>
      <c r="AP89" s="1511"/>
      <c r="AQ89" s="1511"/>
      <c r="AR89" s="1511"/>
      <c r="AS89" s="1511"/>
      <c r="AT89" s="1511"/>
      <c r="AU89" s="15"/>
      <c r="AV89" s="15"/>
      <c r="AW89" s="15"/>
      <c r="AX89" s="15"/>
      <c r="AY89" s="15"/>
      <c r="AZ89" s="17"/>
      <c r="BD89" s="1069" t="s">
        <v>769</v>
      </c>
      <c r="BE89" s="1071">
        <f>Application!O158</f>
        <v>94103</v>
      </c>
    </row>
    <row r="90" spans="1:57" ht="12.9" customHeight="1">
      <c r="A90" s="1511"/>
      <c r="B90" s="1511"/>
      <c r="C90" s="1511"/>
      <c r="D90" s="1511"/>
      <c r="E90" s="1511"/>
      <c r="F90" s="1511"/>
      <c r="G90" s="1511"/>
      <c r="H90" s="1511"/>
      <c r="I90" s="1511"/>
      <c r="J90" s="1511"/>
      <c r="K90" s="1511"/>
      <c r="L90" s="1511"/>
      <c r="M90" s="1511"/>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511"/>
      <c r="AM90" s="1511"/>
      <c r="AN90" s="1511"/>
      <c r="AO90" s="1511"/>
      <c r="AP90" s="1511"/>
      <c r="AQ90" s="1511"/>
      <c r="AR90" s="1511"/>
      <c r="AS90" s="1511"/>
      <c r="AT90" s="1511"/>
      <c r="AU90" s="15"/>
      <c r="AV90" s="15"/>
      <c r="AW90" s="15"/>
      <c r="AX90" s="15"/>
      <c r="AY90" s="15"/>
      <c r="AZ90" s="17"/>
      <c r="BD90" s="1070" t="s">
        <v>770</v>
      </c>
      <c r="BE90" s="1071" t="str">
        <f>Application!H16</f>
        <v>Ocean Beach Apartments II, LP</v>
      </c>
    </row>
    <row r="91" spans="1:57" ht="12.9"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69" t="s">
        <v>771</v>
      </c>
      <c r="BE91" s="1071" t="str">
        <f>Application!M242</f>
        <v>26050 Mureau Rd., Suite 101</v>
      </c>
    </row>
    <row r="92" spans="1:57" ht="12.9" customHeight="1">
      <c r="A92" s="1503" t="s">
        <v>772</v>
      </c>
      <c r="B92" s="1503"/>
      <c r="C92" s="1503"/>
      <c r="D92" s="1503"/>
      <c r="E92" s="1503"/>
      <c r="F92" s="1503"/>
      <c r="G92" s="1503"/>
      <c r="H92" s="1503"/>
      <c r="I92" s="1503"/>
      <c r="J92" s="1503"/>
      <c r="K92" s="1503"/>
      <c r="L92" s="1503"/>
      <c r="M92" s="1503"/>
      <c r="N92" s="1503"/>
      <c r="O92" s="1503"/>
      <c r="P92" s="1503"/>
      <c r="Q92" s="1503"/>
      <c r="R92" s="1503"/>
      <c r="S92" s="1503"/>
      <c r="T92" s="1503"/>
      <c r="U92" s="1503"/>
      <c r="V92" s="1503"/>
      <c r="W92" s="1503"/>
      <c r="X92" s="1503"/>
      <c r="Y92" s="1503"/>
      <c r="Z92" s="1503"/>
      <c r="AA92" s="1503"/>
      <c r="AB92" s="1503"/>
      <c r="AC92" s="1503"/>
      <c r="AD92" s="1503"/>
      <c r="AE92" s="1503"/>
      <c r="AF92" s="1503"/>
      <c r="AG92" s="1503"/>
      <c r="AH92" s="1503"/>
      <c r="AI92" s="1503"/>
      <c r="AJ92" s="1503"/>
      <c r="AK92" s="1503"/>
      <c r="AL92" s="1503"/>
      <c r="AM92" s="1503"/>
      <c r="AN92" s="1503"/>
      <c r="AO92" s="1503"/>
      <c r="AP92" s="1503"/>
      <c r="AQ92" s="1503"/>
      <c r="AR92" s="1503"/>
      <c r="AS92" s="1503"/>
      <c r="AT92" s="1503"/>
      <c r="AU92" s="17"/>
      <c r="AV92" s="17"/>
      <c r="AW92" s="17"/>
      <c r="AX92" s="17"/>
      <c r="AY92" s="17"/>
      <c r="AZ92" s="17"/>
      <c r="BD92" s="1070" t="s">
        <v>773</v>
      </c>
      <c r="BE92" s="1071" t="str">
        <f>Application!M243</f>
        <v>Calabasas</v>
      </c>
    </row>
    <row r="93" spans="1:57" ht="12.9" customHeight="1">
      <c r="A93" s="1503"/>
      <c r="B93" s="1503"/>
      <c r="C93" s="1503"/>
      <c r="D93" s="1503"/>
      <c r="E93" s="1503"/>
      <c r="F93" s="1503"/>
      <c r="G93" s="1503"/>
      <c r="H93" s="1503"/>
      <c r="I93" s="1503"/>
      <c r="J93" s="1503"/>
      <c r="K93" s="1503"/>
      <c r="L93" s="1503"/>
      <c r="M93" s="1503"/>
      <c r="N93" s="1503"/>
      <c r="O93" s="1503"/>
      <c r="P93" s="1503"/>
      <c r="Q93" s="1503"/>
      <c r="R93" s="1503"/>
      <c r="S93" s="1503"/>
      <c r="T93" s="1503"/>
      <c r="U93" s="1503"/>
      <c r="V93" s="1503"/>
      <c r="W93" s="1503"/>
      <c r="X93" s="1503"/>
      <c r="Y93" s="1503"/>
      <c r="Z93" s="1503"/>
      <c r="AA93" s="1503"/>
      <c r="AB93" s="1503"/>
      <c r="AC93" s="1503"/>
      <c r="AD93" s="1503"/>
      <c r="AE93" s="1503"/>
      <c r="AF93" s="1503"/>
      <c r="AG93" s="1503"/>
      <c r="AH93" s="1503"/>
      <c r="AI93" s="1503"/>
      <c r="AJ93" s="1503"/>
      <c r="AK93" s="1503"/>
      <c r="AL93" s="1503"/>
      <c r="AM93" s="1503"/>
      <c r="AN93" s="1503"/>
      <c r="AO93" s="1503"/>
      <c r="AP93" s="1503"/>
      <c r="AQ93" s="1503"/>
      <c r="AR93" s="1503"/>
      <c r="AS93" s="1503"/>
      <c r="AT93" s="1503"/>
      <c r="AU93" s="17"/>
      <c r="AV93" s="17"/>
      <c r="AW93" s="17"/>
      <c r="AX93" s="17"/>
      <c r="AY93" s="17"/>
      <c r="AZ93" s="17"/>
      <c r="BD93" s="1069" t="s">
        <v>774</v>
      </c>
      <c r="BE93" s="1071" t="str">
        <f>Application!W243</f>
        <v>CA</v>
      </c>
    </row>
    <row r="94" spans="1:57" ht="12.9" customHeight="1">
      <c r="A94" s="1503"/>
      <c r="B94" s="1503"/>
      <c r="C94" s="1503"/>
      <c r="D94" s="1503"/>
      <c r="E94" s="1503"/>
      <c r="F94" s="1503"/>
      <c r="G94" s="1503"/>
      <c r="H94" s="1503"/>
      <c r="I94" s="1503"/>
      <c r="J94" s="1503"/>
      <c r="K94" s="1503"/>
      <c r="L94" s="1503"/>
      <c r="M94" s="1503"/>
      <c r="N94" s="1503"/>
      <c r="O94" s="1503"/>
      <c r="P94" s="1503"/>
      <c r="Q94" s="1503"/>
      <c r="R94" s="1503"/>
      <c r="S94" s="1503"/>
      <c r="T94" s="1503"/>
      <c r="U94" s="1503"/>
      <c r="V94" s="1503"/>
      <c r="W94" s="1503"/>
      <c r="X94" s="1503"/>
      <c r="Y94" s="1503"/>
      <c r="Z94" s="1503"/>
      <c r="AA94" s="1503"/>
      <c r="AB94" s="1503"/>
      <c r="AC94" s="1503"/>
      <c r="AD94" s="1503"/>
      <c r="AE94" s="1503"/>
      <c r="AF94" s="1503"/>
      <c r="AG94" s="1503"/>
      <c r="AH94" s="1503"/>
      <c r="AI94" s="1503"/>
      <c r="AJ94" s="1503"/>
      <c r="AK94" s="1503"/>
      <c r="AL94" s="1503"/>
      <c r="AM94" s="1503"/>
      <c r="AN94" s="1503"/>
      <c r="AO94" s="1503"/>
      <c r="AP94" s="1503"/>
      <c r="AQ94" s="1503"/>
      <c r="AR94" s="1503"/>
      <c r="AS94" s="1503"/>
      <c r="AT94" s="1503"/>
      <c r="AU94" s="17"/>
      <c r="AV94" s="17"/>
      <c r="AW94" s="17"/>
      <c r="AX94" s="17"/>
      <c r="AY94" s="17"/>
      <c r="AZ94" s="17"/>
      <c r="BD94" s="1070" t="s">
        <v>775</v>
      </c>
      <c r="BE94" s="1071">
        <f>Application!AC243</f>
        <v>91302</v>
      </c>
    </row>
    <row r="95" spans="1:57" ht="12.9" customHeight="1">
      <c r="A95" s="1503"/>
      <c r="B95" s="1503"/>
      <c r="C95" s="1503"/>
      <c r="D95" s="1503"/>
      <c r="E95" s="1503"/>
      <c r="F95" s="1503"/>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503"/>
      <c r="AF95" s="1503"/>
      <c r="AG95" s="1503"/>
      <c r="AH95" s="1503"/>
      <c r="AI95" s="1503"/>
      <c r="AJ95" s="1503"/>
      <c r="AK95" s="1503"/>
      <c r="AL95" s="1503"/>
      <c r="AM95" s="1503"/>
      <c r="AN95" s="1503"/>
      <c r="AO95" s="1503"/>
      <c r="AP95" s="1503"/>
      <c r="AQ95" s="1503"/>
      <c r="AR95" s="1503"/>
      <c r="AS95" s="1503"/>
      <c r="AT95" s="1503"/>
      <c r="AU95" s="17"/>
      <c r="AV95" s="17"/>
      <c r="AW95" s="17"/>
      <c r="AX95" s="17"/>
      <c r="AY95" s="17"/>
      <c r="AZ95" s="17"/>
      <c r="BD95" s="1069" t="s">
        <v>776</v>
      </c>
      <c r="BE95" s="1071" t="str">
        <f>Application!M244</f>
        <v>Kathleen Balderrama</v>
      </c>
    </row>
    <row r="96" spans="1:57" ht="12.9" customHeight="1">
      <c r="A96" s="1503"/>
      <c r="B96" s="1503"/>
      <c r="C96" s="1503"/>
      <c r="D96" s="1503"/>
      <c r="E96" s="1503"/>
      <c r="F96" s="1503"/>
      <c r="G96" s="1503"/>
      <c r="H96" s="1503"/>
      <c r="I96" s="1503"/>
      <c r="J96" s="1503"/>
      <c r="K96" s="1503"/>
      <c r="L96" s="1503"/>
      <c r="M96" s="1503"/>
      <c r="N96" s="1503"/>
      <c r="O96" s="1503"/>
      <c r="P96" s="1503"/>
      <c r="Q96" s="1503"/>
      <c r="R96" s="1503"/>
      <c r="S96" s="1503"/>
      <c r="T96" s="1503"/>
      <c r="U96" s="1503"/>
      <c r="V96" s="1503"/>
      <c r="W96" s="1503"/>
      <c r="X96" s="1503"/>
      <c r="Y96" s="1503"/>
      <c r="Z96" s="1503"/>
      <c r="AA96" s="1503"/>
      <c r="AB96" s="1503"/>
      <c r="AC96" s="1503"/>
      <c r="AD96" s="1503"/>
      <c r="AE96" s="1503"/>
      <c r="AF96" s="1503"/>
      <c r="AG96" s="1503"/>
      <c r="AH96" s="1503"/>
      <c r="AI96" s="1503"/>
      <c r="AJ96" s="1503"/>
      <c r="AK96" s="1503"/>
      <c r="AL96" s="1503"/>
      <c r="AM96" s="1503"/>
      <c r="AN96" s="1503"/>
      <c r="AO96" s="1503"/>
      <c r="AP96" s="1503"/>
      <c r="AQ96" s="1503"/>
      <c r="AR96" s="1503"/>
      <c r="AS96" s="1503"/>
      <c r="AT96" s="1503"/>
      <c r="AU96" s="17"/>
      <c r="AV96" s="17"/>
      <c r="AW96" s="17"/>
      <c r="AX96" s="17"/>
      <c r="AY96" s="17"/>
      <c r="AZ96" s="17"/>
      <c r="BD96" s="1070" t="s">
        <v>777</v>
      </c>
      <c r="BE96" s="1071" t="str">
        <f>Application!M246</f>
        <v>Katie.Balderrama@acpco.com</v>
      </c>
    </row>
    <row r="97" spans="1:57" ht="12.9" customHeight="1">
      <c r="A97" s="1503"/>
      <c r="B97" s="1503"/>
      <c r="C97" s="1503"/>
      <c r="D97" s="1503"/>
      <c r="E97" s="1503"/>
      <c r="F97" s="1503"/>
      <c r="G97" s="1503"/>
      <c r="H97" s="1503"/>
      <c r="I97" s="1503"/>
      <c r="J97" s="1503"/>
      <c r="K97" s="1503"/>
      <c r="L97" s="1503"/>
      <c r="M97" s="1503"/>
      <c r="N97" s="1503"/>
      <c r="O97" s="1503"/>
      <c r="P97" s="1503"/>
      <c r="Q97" s="1503"/>
      <c r="R97" s="1503"/>
      <c r="S97" s="1503"/>
      <c r="T97" s="1503"/>
      <c r="U97" s="1503"/>
      <c r="V97" s="1503"/>
      <c r="W97" s="1503"/>
      <c r="X97" s="1503"/>
      <c r="Y97" s="1503"/>
      <c r="Z97" s="1503"/>
      <c r="AA97" s="1503"/>
      <c r="AB97" s="1503"/>
      <c r="AC97" s="1503"/>
      <c r="AD97" s="1503"/>
      <c r="AE97" s="1503"/>
      <c r="AF97" s="1503"/>
      <c r="AG97" s="1503"/>
      <c r="AH97" s="1503"/>
      <c r="AI97" s="1503"/>
      <c r="AJ97" s="1503"/>
      <c r="AK97" s="1503"/>
      <c r="AL97" s="1503"/>
      <c r="AM97" s="1503"/>
      <c r="AN97" s="1503"/>
      <c r="AO97" s="1503"/>
      <c r="AP97" s="1503"/>
      <c r="AQ97" s="1503"/>
      <c r="AR97" s="1503"/>
      <c r="AS97" s="1503"/>
      <c r="AT97" s="1503"/>
      <c r="AU97" s="17"/>
      <c r="AV97" s="17"/>
      <c r="AW97" s="17"/>
      <c r="AX97" s="17"/>
      <c r="AY97" s="17"/>
      <c r="AZ97" s="17"/>
      <c r="BD97" s="1069" t="s">
        <v>778</v>
      </c>
      <c r="BE97" s="1071" t="str">
        <f>Application!M257</f>
        <v>Katie.Balderrama@acpco.com</v>
      </c>
    </row>
    <row r="98" spans="1:57" ht="12.9" customHeight="1">
      <c r="A98" s="1503"/>
      <c r="B98" s="1503"/>
      <c r="C98" s="1503"/>
      <c r="D98" s="1503"/>
      <c r="E98" s="1503"/>
      <c r="F98" s="1503"/>
      <c r="G98" s="1503"/>
      <c r="H98" s="1503"/>
      <c r="I98" s="1503"/>
      <c r="J98" s="1503"/>
      <c r="K98" s="1503"/>
      <c r="L98" s="1503"/>
      <c r="M98" s="1503"/>
      <c r="N98" s="1503"/>
      <c r="O98" s="1503"/>
      <c r="P98" s="1503"/>
      <c r="Q98" s="1503"/>
      <c r="R98" s="1503"/>
      <c r="S98" s="1503"/>
      <c r="T98" s="1503"/>
      <c r="U98" s="1503"/>
      <c r="V98" s="1503"/>
      <c r="W98" s="1503"/>
      <c r="X98" s="1503"/>
      <c r="Y98" s="1503"/>
      <c r="Z98" s="1503"/>
      <c r="AA98" s="1503"/>
      <c r="AB98" s="1503"/>
      <c r="AC98" s="1503"/>
      <c r="AD98" s="1503"/>
      <c r="AE98" s="1503"/>
      <c r="AF98" s="1503"/>
      <c r="AG98" s="1503"/>
      <c r="AH98" s="1503"/>
      <c r="AI98" s="1503"/>
      <c r="AJ98" s="1503"/>
      <c r="AK98" s="1503"/>
      <c r="AL98" s="1503"/>
      <c r="AM98" s="1503"/>
      <c r="AN98" s="1503"/>
      <c r="AO98" s="1503"/>
      <c r="AP98" s="1503"/>
      <c r="AQ98" s="1503"/>
      <c r="AR98" s="1503"/>
      <c r="AS98" s="1503"/>
      <c r="AT98" s="1503"/>
      <c r="AU98" s="17"/>
      <c r="AV98" s="17"/>
      <c r="AW98" s="17"/>
      <c r="AX98" s="17"/>
      <c r="AY98" s="17"/>
      <c r="AZ98" s="17"/>
      <c r="BD98" s="1070" t="s">
        <v>779</v>
      </c>
      <c r="BE98" s="1071" t="str">
        <f>Application!M265</f>
        <v>david@sfhdc.org</v>
      </c>
    </row>
    <row r="99" spans="1:57" ht="12.9"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69" t="s">
        <v>780</v>
      </c>
      <c r="BE99" s="1071">
        <f>Application!M273</f>
        <v>0</v>
      </c>
    </row>
    <row r="100" spans="1:57" ht="12.9" customHeight="1">
      <c r="A100" s="1512" t="s">
        <v>781</v>
      </c>
      <c r="B100" s="1512"/>
      <c r="C100" s="1512"/>
      <c r="D100" s="1512"/>
      <c r="E100" s="1512"/>
      <c r="F100" s="1512"/>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512"/>
      <c r="AM100" s="1512"/>
      <c r="AN100" s="1512"/>
      <c r="AO100" s="1512"/>
      <c r="AP100" s="1512"/>
      <c r="AQ100" s="1512"/>
      <c r="AR100" s="1512"/>
      <c r="AS100" s="1512"/>
      <c r="AT100" s="1512"/>
      <c r="AU100" s="17"/>
      <c r="AV100" s="17"/>
      <c r="AW100" s="17"/>
      <c r="AX100" s="17"/>
      <c r="AY100" s="17"/>
      <c r="AZ100" s="17"/>
      <c r="BD100" s="1070" t="s">
        <v>782</v>
      </c>
      <c r="BE100" s="1071" t="str">
        <f>Application!L288</f>
        <v>Katie.Balderrama@acpco.com</v>
      </c>
    </row>
    <row r="101" spans="1:57" ht="12.9" customHeight="1">
      <c r="A101" s="1512"/>
      <c r="B101" s="1512"/>
      <c r="C101" s="1512"/>
      <c r="D101" s="1512"/>
      <c r="E101" s="1512"/>
      <c r="F101" s="1512"/>
      <c r="G101" s="1512"/>
      <c r="H101" s="1512"/>
      <c r="I101" s="1512"/>
      <c r="J101" s="1512"/>
      <c r="K101" s="1512"/>
      <c r="L101" s="1512"/>
      <c r="M101" s="1512"/>
      <c r="N101" s="1512"/>
      <c r="O101" s="1512"/>
      <c r="P101" s="1512"/>
      <c r="Q101" s="1512"/>
      <c r="R101" s="1512"/>
      <c r="S101" s="1512"/>
      <c r="T101" s="1512"/>
      <c r="U101" s="1512"/>
      <c r="V101" s="1512"/>
      <c r="W101" s="1512"/>
      <c r="X101" s="1512"/>
      <c r="Y101" s="1512"/>
      <c r="Z101" s="1512"/>
      <c r="AA101" s="1512"/>
      <c r="AB101" s="1512"/>
      <c r="AC101" s="1512"/>
      <c r="AD101" s="1512"/>
      <c r="AE101" s="1512"/>
      <c r="AF101" s="1512"/>
      <c r="AG101" s="1512"/>
      <c r="AH101" s="1512"/>
      <c r="AI101" s="1512"/>
      <c r="AJ101" s="1512"/>
      <c r="AK101" s="1512"/>
      <c r="AL101" s="1512"/>
      <c r="AM101" s="1512"/>
      <c r="AN101" s="1512"/>
      <c r="AO101" s="1512"/>
      <c r="AP101" s="1512"/>
      <c r="AQ101" s="1512"/>
      <c r="AR101" s="1512"/>
      <c r="AS101" s="1512"/>
      <c r="AT101" s="1512"/>
      <c r="AU101" s="17"/>
      <c r="AV101" s="17"/>
      <c r="AW101" s="17"/>
      <c r="AX101" s="17"/>
      <c r="AY101" s="17"/>
      <c r="AZ101" s="17"/>
      <c r="BD101" s="3" t="s">
        <v>783</v>
      </c>
      <c r="BE101">
        <f>'Sources and Uses Budget'!C105</f>
        <v>86048414</v>
      </c>
    </row>
    <row r="102" spans="1:57" ht="12.9" customHeight="1">
      <c r="A102" s="1512"/>
      <c r="B102" s="1512"/>
      <c r="C102" s="1512"/>
      <c r="D102" s="1512"/>
      <c r="E102" s="1512"/>
      <c r="F102" s="1512"/>
      <c r="G102" s="1512"/>
      <c r="H102" s="1512"/>
      <c r="I102" s="1512"/>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512"/>
      <c r="AJ102" s="1512"/>
      <c r="AK102" s="1512"/>
      <c r="AL102" s="1512"/>
      <c r="AM102" s="1512"/>
      <c r="AN102" s="1512"/>
      <c r="AO102" s="1512"/>
      <c r="AP102" s="1512"/>
      <c r="AQ102" s="1512"/>
      <c r="AR102" s="1512"/>
      <c r="AS102" s="1512"/>
      <c r="AT102" s="1512"/>
      <c r="AU102" s="17"/>
      <c r="AV102" s="17"/>
      <c r="AW102" s="17"/>
      <c r="AX102" s="17"/>
      <c r="AY102" s="17"/>
      <c r="AZ102" s="17"/>
      <c r="BD102" s="3" t="s">
        <v>784</v>
      </c>
      <c r="BE102" t="b">
        <f>T197="Yes"</f>
        <v>0</v>
      </c>
    </row>
    <row r="103" spans="1:57" ht="12.9" customHeight="1">
      <c r="A103" s="1512"/>
      <c r="B103" s="1512"/>
      <c r="C103" s="1512"/>
      <c r="D103" s="1512"/>
      <c r="E103" s="1512"/>
      <c r="F103" s="1512"/>
      <c r="G103" s="1512"/>
      <c r="H103" s="1512"/>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c r="AC103" s="1512"/>
      <c r="AD103" s="1512"/>
      <c r="AE103" s="1512"/>
      <c r="AF103" s="1512"/>
      <c r="AG103" s="1512"/>
      <c r="AH103" s="1512"/>
      <c r="AI103" s="1512"/>
      <c r="AJ103" s="1512"/>
      <c r="AK103" s="1512"/>
      <c r="AL103" s="1512"/>
      <c r="AM103" s="1512"/>
      <c r="AN103" s="1512"/>
      <c r="AO103" s="1512"/>
      <c r="AP103" s="1512"/>
      <c r="AQ103" s="1512"/>
      <c r="AR103" s="1512"/>
      <c r="AS103" s="1512"/>
      <c r="AT103" s="1512"/>
      <c r="AU103" s="17"/>
      <c r="AV103" s="17"/>
      <c r="AW103" s="17"/>
      <c r="AX103" s="17"/>
      <c r="AY103" s="17"/>
      <c r="BD103" t="s">
        <v>785</v>
      </c>
      <c r="BE103" s="1071" t="b">
        <f>T199="Yes"</f>
        <v>0</v>
      </c>
    </row>
    <row r="104" spans="1:57" ht="12.9"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1" t="b">
        <f>T200="Yes"</f>
        <v>0</v>
      </c>
    </row>
    <row r="105" spans="1:57" ht="12.9" customHeight="1">
      <c r="A105" s="1512" t="s">
        <v>787</v>
      </c>
      <c r="B105" s="1512"/>
      <c r="C105" s="1512"/>
      <c r="D105" s="1512"/>
      <c r="E105" s="1512"/>
      <c r="F105" s="1512"/>
      <c r="G105" s="1512"/>
      <c r="H105" s="1512"/>
      <c r="I105" s="1512"/>
      <c r="J105" s="1512"/>
      <c r="K105" s="1512"/>
      <c r="L105" s="1512"/>
      <c r="M105" s="1512"/>
      <c r="N105" s="1512"/>
      <c r="O105" s="1512"/>
      <c r="P105" s="1512"/>
      <c r="Q105" s="1512"/>
      <c r="R105" s="1512"/>
      <c r="S105" s="1512"/>
      <c r="T105" s="1512"/>
      <c r="U105" s="1512"/>
      <c r="V105" s="1512"/>
      <c r="W105" s="1512"/>
      <c r="X105" s="1512"/>
      <c r="Y105" s="1512"/>
      <c r="Z105" s="1512"/>
      <c r="AA105" s="1512"/>
      <c r="AB105" s="1512"/>
      <c r="AC105" s="1512"/>
      <c r="AD105" s="1512"/>
      <c r="AE105" s="1512"/>
      <c r="AF105" s="1512"/>
      <c r="AG105" s="1512"/>
      <c r="AH105" s="1512"/>
      <c r="AI105" s="1512"/>
      <c r="AJ105" s="1512"/>
      <c r="AK105" s="1512"/>
      <c r="AL105" s="1512"/>
      <c r="AM105" s="1512"/>
      <c r="AN105" s="1512"/>
      <c r="AO105" s="1512"/>
      <c r="AP105" s="1512"/>
      <c r="AQ105" s="1512"/>
      <c r="AR105" s="1512"/>
      <c r="AS105" s="1512"/>
      <c r="AT105" s="1512"/>
      <c r="AU105" s="17"/>
      <c r="AV105" s="17"/>
      <c r="AW105" s="17"/>
      <c r="AX105" s="17"/>
      <c r="AY105" s="17"/>
      <c r="BD105" s="3" t="s">
        <v>788</v>
      </c>
      <c r="BE105" s="1071" t="b">
        <f>V224="Yes"</f>
        <v>0</v>
      </c>
    </row>
    <row r="106" spans="1:57" ht="12.9" customHeight="1">
      <c r="A106" s="1512"/>
      <c r="B106" s="1512"/>
      <c r="C106" s="1512"/>
      <c r="D106" s="1512"/>
      <c r="E106" s="1512"/>
      <c r="F106" s="1512"/>
      <c r="G106" s="1512"/>
      <c r="H106" s="1512"/>
      <c r="I106" s="1512"/>
      <c r="J106" s="1512"/>
      <c r="K106" s="1512"/>
      <c r="L106" s="1512"/>
      <c r="M106" s="1512"/>
      <c r="N106" s="1512"/>
      <c r="O106" s="1512"/>
      <c r="P106" s="1512"/>
      <c r="Q106" s="1512"/>
      <c r="R106" s="1512"/>
      <c r="S106" s="1512"/>
      <c r="T106" s="1512"/>
      <c r="U106" s="1512"/>
      <c r="V106" s="1512"/>
      <c r="W106" s="1512"/>
      <c r="X106" s="1512"/>
      <c r="Y106" s="1512"/>
      <c r="Z106" s="1512"/>
      <c r="AA106" s="1512"/>
      <c r="AB106" s="1512"/>
      <c r="AC106" s="1512"/>
      <c r="AD106" s="1512"/>
      <c r="AE106" s="1512"/>
      <c r="AF106" s="1512"/>
      <c r="AG106" s="1512"/>
      <c r="AH106" s="1512"/>
      <c r="AI106" s="1512"/>
      <c r="AJ106" s="1512"/>
      <c r="AK106" s="1512"/>
      <c r="AL106" s="1512"/>
      <c r="AM106" s="1512"/>
      <c r="AN106" s="1512"/>
      <c r="AO106" s="1512"/>
      <c r="AP106" s="1512"/>
      <c r="AQ106" s="1512"/>
      <c r="AR106" s="1512"/>
      <c r="AS106" s="1512"/>
      <c r="AT106" s="1512"/>
      <c r="AU106" s="17"/>
      <c r="AV106" s="17"/>
      <c r="AW106" s="17"/>
      <c r="AX106" s="17"/>
      <c r="AY106" s="17"/>
      <c r="BD106" s="3" t="s">
        <v>789</v>
      </c>
      <c r="BE106" s="1071" t="b">
        <f t="shared" ref="BE106:BE110" si="0">V225="Yes"</f>
        <v>1</v>
      </c>
    </row>
    <row r="107" spans="1:57" ht="12.9"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1" t="b">
        <f t="shared" si="0"/>
        <v>0</v>
      </c>
    </row>
    <row r="108" spans="1:57" ht="12.9"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1" t="b">
        <f t="shared" si="0"/>
        <v>0</v>
      </c>
    </row>
    <row r="109" spans="1:57" ht="12.9"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1" t="b">
        <f t="shared" si="0"/>
        <v>0</v>
      </c>
    </row>
    <row r="110" spans="1:57" ht="12.9"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1" t="b">
        <f t="shared" si="0"/>
        <v>0</v>
      </c>
    </row>
    <row r="111" spans="1:57" ht="12.9"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 customHeight="1">
      <c r="A113" s="199"/>
      <c r="C113" s="3" t="s">
        <v>795</v>
      </c>
      <c r="G113" s="1505">
        <v>29</v>
      </c>
      <c r="H113" s="1505"/>
      <c r="I113" s="3" t="s">
        <v>796</v>
      </c>
      <c r="L113" s="1505" t="s">
        <v>2776</v>
      </c>
      <c r="M113" s="1505"/>
      <c r="N113" s="1505"/>
      <c r="O113" s="1505"/>
      <c r="P113" s="1520" t="s">
        <v>797</v>
      </c>
      <c r="Q113" s="1520"/>
      <c r="R113" s="1520"/>
      <c r="S113" s="152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 customHeight="1">
      <c r="A115" s="419"/>
      <c r="C115" s="1506" t="s">
        <v>896</v>
      </c>
      <c r="D115" s="1506"/>
      <c r="E115" s="1506"/>
      <c r="F115" s="1506"/>
      <c r="G115" s="1506"/>
      <c r="H115" s="1506"/>
      <c r="I115" s="1506"/>
      <c r="J115" s="1506"/>
      <c r="K115" s="1506"/>
      <c r="L115" s="134" t="s">
        <v>798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 customHeight="1">
      <c r="A117" s="419"/>
      <c r="B117" s="19"/>
      <c r="C117" s="19"/>
      <c r="X117" s="3" t="s">
        <v>799</v>
      </c>
      <c r="Y117" s="1505"/>
      <c r="Z117" s="1505"/>
      <c r="AA117" s="1505"/>
      <c r="AB117" s="1505"/>
      <c r="AC117" s="1505"/>
      <c r="AD117" s="1505"/>
      <c r="AE117" s="1505"/>
      <c r="AF117" s="1505"/>
      <c r="AG117" s="1505"/>
      <c r="AH117" s="1505"/>
      <c r="AI117" s="1505"/>
      <c r="AJ117" s="1505"/>
      <c r="AK117" s="1505"/>
    </row>
    <row r="118" spans="1:117" ht="12.9" customHeight="1">
      <c r="X118" s="3"/>
      <c r="Y118" s="3"/>
      <c r="Z118" s="3" t="s">
        <v>800</v>
      </c>
      <c r="AA118" s="3"/>
      <c r="AB118" s="3"/>
      <c r="AC118" s="3"/>
      <c r="AD118" s="3"/>
      <c r="AE118" s="3"/>
      <c r="AF118" s="3"/>
      <c r="AG118" s="3"/>
      <c r="AH118" s="3"/>
      <c r="AI118" s="3"/>
      <c r="AJ118" s="3"/>
      <c r="AK118" s="3"/>
    </row>
    <row r="119" spans="1:117" ht="12.9"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419"/>
      <c r="B120" s="3"/>
      <c r="P120" s="3"/>
      <c r="Q120" s="3"/>
      <c r="R120" s="3"/>
      <c r="S120" s="3"/>
      <c r="T120" s="3"/>
      <c r="U120" s="3"/>
      <c r="V120" s="3"/>
      <c r="W120" s="3"/>
      <c r="X120" s="3"/>
      <c r="Y120" s="1505" t="s">
        <v>1080</v>
      </c>
      <c r="Z120" s="1505"/>
      <c r="AA120" s="1505"/>
      <c r="AB120" s="1505"/>
      <c r="AC120" s="1505"/>
      <c r="AD120" s="1505"/>
      <c r="AE120" s="1505"/>
      <c r="AF120" s="1505"/>
      <c r="AG120" s="1505"/>
      <c r="AH120" s="1505"/>
      <c r="AI120" s="1505"/>
      <c r="AJ120" s="1505"/>
      <c r="AK120" s="1505"/>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801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3" t="s">
        <v>802</v>
      </c>
      <c r="CR122" s="13"/>
      <c r="CS122" s="13"/>
      <c r="CT122" s="13"/>
      <c r="CU122" s="1627" t="s">
        <v>803</v>
      </c>
      <c r="CV122" s="1628"/>
      <c r="CW122" s="13"/>
      <c r="CX122" s="13" t="s">
        <v>804</v>
      </c>
      <c r="CY122" s="13"/>
      <c r="CZ122" s="13"/>
      <c r="DA122" s="13"/>
      <c r="DB122" s="13"/>
      <c r="DC122" s="13"/>
      <c r="DD122" s="13"/>
      <c r="DE122" s="13"/>
      <c r="DF122" s="13"/>
      <c r="DG122" s="1624" t="str">
        <f>T189</f>
        <v>San Francisco</v>
      </c>
      <c r="DH122" s="1625"/>
      <c r="DI122" s="1625"/>
      <c r="DJ122" s="1625"/>
      <c r="DK122" s="1625"/>
      <c r="DL122" s="1625"/>
      <c r="DM122" s="1626"/>
    </row>
    <row r="123" spans="1:117" ht="12.9" customHeight="1">
      <c r="A123" s="3"/>
      <c r="B123" s="3"/>
      <c r="T123" s="3"/>
      <c r="U123" s="3"/>
      <c r="V123" s="3"/>
      <c r="W123" s="3"/>
      <c r="X123" s="3"/>
      <c r="Y123" s="1505" t="s">
        <v>2777</v>
      </c>
      <c r="Z123" s="1505"/>
      <c r="AA123" s="1505"/>
      <c r="AB123" s="1505"/>
      <c r="AC123" s="1505"/>
      <c r="AD123" s="1505"/>
      <c r="AE123" s="1505"/>
      <c r="AF123" s="1505"/>
      <c r="AG123" s="1505"/>
      <c r="AH123" s="1505"/>
      <c r="AI123" s="1505"/>
      <c r="AJ123" s="1505"/>
      <c r="AK123" s="1505"/>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805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803</v>
      </c>
      <c r="CV124" s="13"/>
      <c r="CW124" s="13"/>
      <c r="CX124" s="13"/>
      <c r="CY124" s="13"/>
      <c r="CZ124" s="13"/>
      <c r="DA124" s="13"/>
      <c r="DB124" s="13"/>
      <c r="DE124" s="27"/>
      <c r="DF124" s="27"/>
      <c r="DG124" s="27"/>
      <c r="DH124" s="27"/>
      <c r="DI124" s="27"/>
      <c r="DJ124" s="13"/>
      <c r="DK124" s="13"/>
      <c r="DL124" s="13"/>
      <c r="DM124" s="13"/>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806</v>
      </c>
      <c r="CV125" s="3"/>
      <c r="CW125" s="13"/>
      <c r="CX125" s="13"/>
      <c r="CY125" s="13"/>
      <c r="CZ125" s="13"/>
      <c r="DA125" s="13"/>
      <c r="DB125" s="13"/>
      <c r="DE125" s="3"/>
      <c r="DF125" s="3"/>
      <c r="DG125" s="3"/>
      <c r="DH125" s="3"/>
      <c r="DI125" s="3"/>
      <c r="DJ125" s="3"/>
      <c r="DK125" s="3"/>
      <c r="DL125" s="3"/>
      <c r="DM125" s="3"/>
    </row>
    <row r="126" spans="1:117" ht="12.9"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803</v>
      </c>
      <c r="DD127" s="3"/>
      <c r="DE127" s="3"/>
      <c r="DF127" s="3"/>
      <c r="DG127" s="3"/>
      <c r="DH127" s="3"/>
      <c r="DI127" s="3"/>
      <c r="DJ127" s="3"/>
      <c r="DK127" s="3"/>
      <c r="DL127" s="3"/>
      <c r="DM127" s="3"/>
    </row>
    <row r="128" spans="1:117" ht="12.9" customHeight="1">
      <c r="A128" s="257"/>
      <c r="AL128" s="257"/>
      <c r="AM128" s="257"/>
      <c r="AN128" s="257"/>
      <c r="AO128" s="257"/>
      <c r="AP128" s="257"/>
      <c r="AQ128" s="257"/>
      <c r="AR128" s="257"/>
      <c r="AS128" s="257"/>
      <c r="AT128" s="257"/>
      <c r="AU128" s="257"/>
      <c r="AV128" s="257"/>
      <c r="AW128" s="257"/>
      <c r="AX128" s="257"/>
      <c r="AY128" s="257"/>
    </row>
    <row r="129" spans="1:51" ht="12.9"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807</v>
      </c>
    </row>
    <row r="150" spans="1:108" ht="12.9" customHeight="1">
      <c r="A150" s="3"/>
      <c r="B150" s="3"/>
      <c r="D150" s="3"/>
      <c r="E150" s="3"/>
      <c r="F150" s="1370"/>
      <c r="G150" s="1370"/>
      <c r="H150" s="1370"/>
      <c r="I150" s="1370"/>
      <c r="J150" s="1370"/>
      <c r="K150" s="1370"/>
      <c r="L150" s="1370"/>
      <c r="M150" s="1370"/>
      <c r="N150" s="1370"/>
      <c r="O150" s="1370"/>
      <c r="P150" s="1370"/>
      <c r="Q150" s="1370"/>
      <c r="R150" s="1370"/>
      <c r="S150" s="1370"/>
      <c r="T150" s="137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808</v>
      </c>
    </row>
    <row r="152" spans="1:108" ht="12.9" customHeight="1">
      <c r="BM152">
        <v>4</v>
      </c>
      <c r="BN152" s="3" t="s">
        <v>809</v>
      </c>
    </row>
    <row r="153" spans="1:108" ht="12.9" customHeight="1">
      <c r="D153" t="s">
        <v>810</v>
      </c>
      <c r="O153" s="1484" t="s">
        <v>811</v>
      </c>
      <c r="P153" s="1484"/>
      <c r="Q153" s="1484"/>
      <c r="R153" s="1484"/>
      <c r="S153" s="1484"/>
      <c r="T153" s="1484"/>
      <c r="U153" s="1484"/>
      <c r="V153" s="1484"/>
      <c r="W153" s="1484"/>
      <c r="X153" s="1484"/>
      <c r="Y153" s="1484"/>
      <c r="Z153" s="1484"/>
      <c r="AA153" s="1484"/>
      <c r="AB153" s="1484"/>
      <c r="AC153" s="1484"/>
      <c r="AD153" s="1484"/>
      <c r="AE153" s="1484"/>
      <c r="AF153" s="1484"/>
      <c r="AG153" s="1484"/>
      <c r="AH153" s="1484"/>
      <c r="BM153">
        <v>5</v>
      </c>
      <c r="BN153" s="3" t="s">
        <v>812</v>
      </c>
      <c r="CR153" s="26" t="s">
        <v>813</v>
      </c>
      <c r="CS153" s="27"/>
      <c r="CT153" s="27"/>
      <c r="CU153" s="27"/>
      <c r="CV153" s="27"/>
      <c r="CW153" s="27"/>
      <c r="CX153" s="13"/>
      <c r="CY153" s="26" t="s">
        <v>814</v>
      </c>
      <c r="CZ153" s="13"/>
      <c r="DA153" s="13"/>
      <c r="DB153" s="13"/>
      <c r="DC153" s="13"/>
      <c r="DD153" s="13"/>
    </row>
    <row r="154" spans="1:108" ht="12.9" customHeight="1">
      <c r="D154" s="210" t="s">
        <v>815</v>
      </c>
      <c r="O154" s="1433" t="s">
        <v>816</v>
      </c>
      <c r="P154" s="1433"/>
      <c r="Q154" s="1433"/>
      <c r="R154" s="1433"/>
      <c r="S154" s="1433"/>
      <c r="T154" s="1433"/>
      <c r="U154" s="1433"/>
      <c r="V154" s="1433"/>
      <c r="W154" s="1433"/>
      <c r="X154" s="1433"/>
      <c r="Y154" s="1433"/>
      <c r="Z154" s="1433"/>
      <c r="AA154" s="1433"/>
      <c r="AB154" s="1433"/>
      <c r="AC154" s="1433"/>
      <c r="AD154" s="1433"/>
      <c r="AE154" s="1433"/>
      <c r="AF154" s="1433"/>
      <c r="AG154" s="1433"/>
      <c r="AH154" s="1433"/>
      <c r="BM154">
        <v>6</v>
      </c>
      <c r="BN154" s="3" t="s">
        <v>817</v>
      </c>
      <c r="CR154" s="26"/>
      <c r="CS154" s="27"/>
      <c r="CT154" s="27"/>
      <c r="CU154" s="27"/>
      <c r="CV154" s="27"/>
      <c r="CW154" s="27"/>
      <c r="CX154" s="13"/>
      <c r="CY154" s="26"/>
      <c r="CZ154" s="13"/>
      <c r="DA154" s="13"/>
      <c r="DB154" s="13"/>
      <c r="DC154" s="13"/>
      <c r="DD154" s="13"/>
    </row>
    <row r="155" spans="1:108" ht="12.9" customHeight="1">
      <c r="D155" s="7" t="s">
        <v>818</v>
      </c>
      <c r="F155" s="7"/>
      <c r="G155" s="7"/>
      <c r="H155" s="7"/>
      <c r="I155" s="7"/>
      <c r="J155" s="7"/>
      <c r="K155" s="7"/>
      <c r="L155" s="7"/>
      <c r="M155" s="7"/>
      <c r="N155" s="7"/>
      <c r="O155" s="1492" t="s">
        <v>819</v>
      </c>
      <c r="P155" s="1492"/>
      <c r="Q155" s="1492"/>
      <c r="R155" s="1492"/>
      <c r="S155" s="1492"/>
      <c r="T155" s="1492"/>
      <c r="U155" s="1492"/>
      <c r="V155" s="1492"/>
      <c r="W155" s="1492"/>
      <c r="X155" s="1492"/>
      <c r="Y155" s="1492"/>
      <c r="Z155" s="1492"/>
      <c r="AA155" s="1492"/>
      <c r="AB155" s="1492"/>
      <c r="AC155" s="1492"/>
      <c r="AD155" s="1492"/>
      <c r="AE155" s="1492"/>
      <c r="AF155" s="1492"/>
      <c r="AG155" s="1492"/>
      <c r="AH155" s="1492"/>
      <c r="BM155">
        <v>7</v>
      </c>
      <c r="BN155" s="3" t="s">
        <v>820</v>
      </c>
      <c r="CR155" s="26"/>
      <c r="CS155" s="27"/>
      <c r="CT155" s="27"/>
      <c r="CU155" s="27"/>
      <c r="CV155" s="27"/>
      <c r="CW155" s="27"/>
      <c r="CX155" s="13"/>
      <c r="CY155" s="26"/>
      <c r="CZ155" s="13"/>
      <c r="DA155" s="13"/>
      <c r="DB155" s="13"/>
      <c r="DC155" s="13"/>
      <c r="DD155" s="13"/>
    </row>
    <row r="156" spans="1:108" ht="12.9" customHeight="1">
      <c r="D156" t="s">
        <v>821</v>
      </c>
      <c r="O156" s="1372" t="s">
        <v>822</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311</v>
      </c>
      <c r="CB156" s="131" t="s">
        <v>823</v>
      </c>
      <c r="CC156" s="132"/>
      <c r="CD156" s="132"/>
      <c r="CE156" s="132"/>
      <c r="CF156" s="132"/>
      <c r="CG156" s="132"/>
      <c r="CH156" s="132"/>
      <c r="CI156" s="3"/>
      <c r="CJ156" s="131" t="s">
        <v>824</v>
      </c>
      <c r="CK156" s="3"/>
      <c r="CL156" s="3"/>
      <c r="CM156" s="3"/>
      <c r="CN156" s="3"/>
      <c r="CR156" s="26"/>
      <c r="CS156" s="27"/>
      <c r="CT156" s="27"/>
      <c r="CU156" s="27"/>
      <c r="CV156" s="27"/>
      <c r="CW156" s="27"/>
      <c r="CX156" s="13"/>
      <c r="CY156" s="26"/>
      <c r="CZ156" s="13"/>
      <c r="DA156" s="13"/>
      <c r="DB156" s="13"/>
      <c r="DC156" s="13"/>
      <c r="DD156" s="13"/>
    </row>
    <row r="157" spans="1:108" ht="12.9" customHeight="1">
      <c r="D157" t="s">
        <v>825</v>
      </c>
      <c r="O157" s="1484" t="s">
        <v>826</v>
      </c>
      <c r="P157" s="1484"/>
      <c r="Q157" s="1484"/>
      <c r="R157" s="1484"/>
      <c r="S157" s="1484"/>
      <c r="T157" s="1484"/>
      <c r="U157" s="1484"/>
      <c r="V157" s="1484"/>
      <c r="W157" s="1484"/>
      <c r="X157" s="1484"/>
      <c r="Y157" s="7"/>
      <c r="Z157" s="7"/>
      <c r="AA157" s="7"/>
      <c r="AB157" s="7"/>
      <c r="AC157" s="7"/>
      <c r="AD157" s="7"/>
      <c r="AE157" s="7"/>
      <c r="AF157" s="7"/>
      <c r="BN157" s="133" t="s">
        <v>827</v>
      </c>
      <c r="BS157">
        <v>2</v>
      </c>
      <c r="BT157" t="s">
        <v>828</v>
      </c>
      <c r="CB157" s="196" t="s">
        <v>829</v>
      </c>
      <c r="CC157" s="132"/>
      <c r="CD157" s="132"/>
      <c r="CE157" s="132"/>
      <c r="CF157" s="132"/>
      <c r="CG157" s="132"/>
      <c r="CH157" s="132"/>
      <c r="CI157" s="3"/>
      <c r="CJ157" s="196" t="s">
        <v>830</v>
      </c>
      <c r="CK157" s="3"/>
      <c r="CL157" s="3"/>
      <c r="CM157" s="3"/>
      <c r="CN157" s="3"/>
      <c r="CR157" s="13"/>
      <c r="CS157" s="27"/>
      <c r="CT157" s="27"/>
      <c r="CU157" s="27"/>
      <c r="CV157" s="27"/>
      <c r="CW157" s="27"/>
      <c r="CX157" s="13"/>
      <c r="CY157" s="13"/>
      <c r="CZ157" s="13"/>
      <c r="DA157" s="13"/>
      <c r="DB157" s="13"/>
      <c r="DC157" s="13"/>
      <c r="DD157" s="13"/>
    </row>
    <row r="158" spans="1:108" ht="12.9" customHeight="1">
      <c r="D158" t="s">
        <v>831</v>
      </c>
      <c r="O158" s="1516">
        <v>94103</v>
      </c>
      <c r="P158" s="1516"/>
      <c r="Q158" s="1516"/>
      <c r="R158" s="1516"/>
      <c r="S158" s="8"/>
      <c r="T158" s="8"/>
      <c r="U158" s="8"/>
      <c r="V158" s="8"/>
      <c r="W158" s="8"/>
      <c r="X158" s="8"/>
      <c r="Y158" s="8"/>
      <c r="Z158" s="8"/>
      <c r="AA158" s="8"/>
      <c r="AB158" s="8"/>
      <c r="AC158" s="8"/>
      <c r="AD158" s="8"/>
      <c r="AE158" s="8"/>
      <c r="AF158" s="8"/>
      <c r="BN158" s="133" t="s">
        <v>832</v>
      </c>
      <c r="BS158">
        <v>7</v>
      </c>
      <c r="BT158" t="s">
        <v>833</v>
      </c>
      <c r="CB158" s="1158"/>
      <c r="CC158" s="1159"/>
      <c r="CD158" s="1160"/>
      <c r="CE158" s="1160"/>
      <c r="CF158" s="1160"/>
      <c r="CG158" s="1160"/>
      <c r="CH158" s="1160"/>
      <c r="CI158" s="3"/>
      <c r="CJ158" s="3"/>
      <c r="CK158" s="3"/>
      <c r="CL158" s="3"/>
      <c r="CM158" s="3"/>
      <c r="CN158" s="3"/>
      <c r="CR158" s="13"/>
      <c r="CS158" s="27"/>
      <c r="CT158" s="27"/>
      <c r="CU158" s="27"/>
      <c r="CV158" s="27"/>
      <c r="CW158" s="27"/>
      <c r="CX158" s="13"/>
      <c r="CY158" s="13"/>
      <c r="CZ158" s="13"/>
      <c r="DA158" s="13"/>
      <c r="DB158" s="13"/>
      <c r="DC158" s="13"/>
      <c r="DD158" s="13"/>
    </row>
    <row r="159" spans="1:108" ht="12.9" customHeight="1" thickBot="1">
      <c r="D159" t="s">
        <v>834</v>
      </c>
      <c r="O159" s="1510" t="s">
        <v>835</v>
      </c>
      <c r="P159" s="1510"/>
      <c r="Q159" s="1510"/>
      <c r="R159" s="1510"/>
      <c r="S159" s="1510"/>
      <c r="T159" s="1510"/>
      <c r="V159" s="72" t="s">
        <v>836</v>
      </c>
      <c r="W159" s="1517"/>
      <c r="X159" s="1517"/>
      <c r="Y159" s="9"/>
      <c r="Z159" s="9"/>
      <c r="AA159" s="9"/>
      <c r="AB159" s="9"/>
      <c r="AC159" s="9"/>
      <c r="AD159" s="9"/>
      <c r="AE159" s="9"/>
      <c r="AF159" s="9"/>
      <c r="BN159" s="133" t="s">
        <v>837</v>
      </c>
      <c r="BS159">
        <v>7</v>
      </c>
      <c r="BT159" t="s">
        <v>838</v>
      </c>
      <c r="CB159" s="250" t="s">
        <v>839</v>
      </c>
      <c r="CC159" s="251" t="s">
        <v>840</v>
      </c>
      <c r="CD159" s="251" t="s">
        <v>841</v>
      </c>
      <c r="CE159" s="251" t="s">
        <v>842</v>
      </c>
      <c r="CF159" s="251" t="s">
        <v>843</v>
      </c>
      <c r="CG159" s="251" t="s">
        <v>844</v>
      </c>
      <c r="CH159" s="251" t="s">
        <v>845</v>
      </c>
      <c r="CI159" s="3"/>
      <c r="CJ159" s="251" t="s">
        <v>840</v>
      </c>
      <c r="CK159" s="251" t="s">
        <v>841</v>
      </c>
      <c r="CL159" s="251" t="s">
        <v>842</v>
      </c>
      <c r="CM159" s="251" t="s">
        <v>843</v>
      </c>
      <c r="CN159" s="251" t="s">
        <v>844</v>
      </c>
      <c r="CR159" s="13"/>
      <c r="CS159" s="1161" t="s">
        <v>846</v>
      </c>
      <c r="CT159" s="1162" t="s">
        <v>841</v>
      </c>
      <c r="CU159" s="1162" t="s">
        <v>842</v>
      </c>
      <c r="CV159" s="1162" t="s">
        <v>843</v>
      </c>
      <c r="CW159" s="1162" t="s">
        <v>847</v>
      </c>
      <c r="CX159" s="13"/>
      <c r="CY159" s="13"/>
      <c r="CZ159" s="1161" t="s">
        <v>846</v>
      </c>
      <c r="DA159" s="1162" t="s">
        <v>841</v>
      </c>
      <c r="DB159" s="1162" t="s">
        <v>842</v>
      </c>
      <c r="DC159" s="1162" t="s">
        <v>843</v>
      </c>
      <c r="DD159" s="1162" t="s">
        <v>847</v>
      </c>
    </row>
    <row r="160" spans="1:108" ht="12.9" customHeight="1">
      <c r="D160" t="s">
        <v>848</v>
      </c>
      <c r="O160" s="1510" t="s">
        <v>849</v>
      </c>
      <c r="P160" s="1510"/>
      <c r="Q160" s="1510"/>
      <c r="R160" s="1510"/>
      <c r="S160" s="1510"/>
      <c r="T160" s="1510"/>
      <c r="U160" s="9"/>
      <c r="V160" s="9"/>
      <c r="W160" s="9"/>
      <c r="X160" s="9"/>
      <c r="Y160" s="9"/>
      <c r="Z160" s="9"/>
      <c r="AA160" s="9"/>
      <c r="AB160" s="9"/>
      <c r="AC160" s="9"/>
      <c r="AD160" s="9"/>
      <c r="AE160" s="9"/>
      <c r="AF160" s="9"/>
      <c r="BN160" s="133" t="s">
        <v>850</v>
      </c>
      <c r="BS160">
        <v>6</v>
      </c>
      <c r="BT160" t="s">
        <v>851</v>
      </c>
      <c r="CB160" s="252" t="s">
        <v>828</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827</v>
      </c>
      <c r="CS160" s="228">
        <v>491221</v>
      </c>
      <c r="CT160" s="228">
        <v>566373</v>
      </c>
      <c r="CU160" s="228">
        <v>683200</v>
      </c>
      <c r="CV160" s="228">
        <v>874496</v>
      </c>
      <c r="CW160" s="228">
        <v>974243</v>
      </c>
      <c r="CX160" s="13"/>
      <c r="CY160" s="133" t="s">
        <v>827</v>
      </c>
      <c r="CZ160" s="228">
        <v>491221</v>
      </c>
      <c r="DA160" s="228">
        <v>566373</v>
      </c>
      <c r="DB160" s="228">
        <v>683200</v>
      </c>
      <c r="DC160" s="228">
        <v>874496</v>
      </c>
      <c r="DD160" s="228">
        <v>974243</v>
      </c>
    </row>
    <row r="161" spans="1:108" ht="12.9" customHeight="1">
      <c r="D161" t="s">
        <v>852</v>
      </c>
      <c r="O161" s="1499" t="s">
        <v>853</v>
      </c>
      <c r="P161" s="1499"/>
      <c r="Q161" s="1499"/>
      <c r="R161" s="1499"/>
      <c r="S161" s="1499"/>
      <c r="T161" s="1499"/>
      <c r="U161" s="1499"/>
      <c r="V161" s="1499"/>
      <c r="W161" s="1499"/>
      <c r="X161" s="1499"/>
      <c r="Y161" s="1499"/>
      <c r="Z161" s="1499"/>
      <c r="AA161" s="1499"/>
      <c r="AB161" s="1499"/>
      <c r="AC161" s="1499"/>
      <c r="AD161" s="1499"/>
      <c r="AE161" s="1499"/>
      <c r="AF161" s="1499"/>
      <c r="AG161" s="1499"/>
      <c r="AH161" s="1499"/>
      <c r="BJ161" t="s">
        <v>698</v>
      </c>
      <c r="BN161" s="133" t="s">
        <v>854</v>
      </c>
      <c r="BS161">
        <v>7</v>
      </c>
      <c r="BT161" t="s">
        <v>855</v>
      </c>
      <c r="CB161" s="253" t="s">
        <v>833</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832</v>
      </c>
      <c r="CS161" s="226">
        <v>402640</v>
      </c>
      <c r="CT161" s="226">
        <v>464240</v>
      </c>
      <c r="CU161" s="226">
        <v>560000</v>
      </c>
      <c r="CV161" s="226">
        <v>716800</v>
      </c>
      <c r="CW161" s="226">
        <v>798560</v>
      </c>
      <c r="CX161" s="13"/>
      <c r="CY161" s="133" t="s">
        <v>832</v>
      </c>
      <c r="CZ161" s="226">
        <v>402640</v>
      </c>
      <c r="DA161" s="226">
        <v>464240</v>
      </c>
      <c r="DB161" s="226">
        <v>560000</v>
      </c>
      <c r="DC161" s="226">
        <v>716800</v>
      </c>
      <c r="DD161" s="226">
        <v>798560</v>
      </c>
    </row>
    <row r="162" spans="1:108" ht="12.9"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856</v>
      </c>
      <c r="BN162" s="133" t="s">
        <v>857</v>
      </c>
      <c r="BS162">
        <v>7</v>
      </c>
      <c r="BT162" t="s">
        <v>858</v>
      </c>
      <c r="CB162" s="253" t="s">
        <v>838</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837</v>
      </c>
      <c r="CS162" s="228">
        <v>402640</v>
      </c>
      <c r="CT162" s="228">
        <v>464240</v>
      </c>
      <c r="CU162" s="228">
        <v>560000</v>
      </c>
      <c r="CV162" s="228">
        <v>716800</v>
      </c>
      <c r="CW162" s="228">
        <v>798560</v>
      </c>
      <c r="CX162" s="13"/>
      <c r="CY162" s="133" t="s">
        <v>837</v>
      </c>
      <c r="CZ162" s="228">
        <v>402640</v>
      </c>
      <c r="DA162" s="228">
        <v>464240</v>
      </c>
      <c r="DB162" s="228">
        <v>560000</v>
      </c>
      <c r="DC162" s="228">
        <v>716800</v>
      </c>
      <c r="DD162" s="228">
        <v>798560</v>
      </c>
    </row>
    <row r="163" spans="1:108" ht="12.9" customHeight="1">
      <c r="C163" s="23" t="s">
        <v>859</v>
      </c>
      <c r="D163" s="3" t="s">
        <v>860</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861</v>
      </c>
      <c r="BS163">
        <v>2</v>
      </c>
      <c r="BT163" t="s">
        <v>862</v>
      </c>
      <c r="CB163" s="253" t="s">
        <v>851</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850</v>
      </c>
      <c r="CS163" s="226">
        <v>369278</v>
      </c>
      <c r="CT163" s="226">
        <v>425774</v>
      </c>
      <c r="CU163" s="226">
        <v>513600</v>
      </c>
      <c r="CV163" s="226">
        <v>657408</v>
      </c>
      <c r="CW163" s="226">
        <v>732394</v>
      </c>
      <c r="CX163" s="13"/>
      <c r="CY163" s="133" t="s">
        <v>850</v>
      </c>
      <c r="CZ163" s="226">
        <v>369278</v>
      </c>
      <c r="DA163" s="226">
        <v>425774</v>
      </c>
      <c r="DB163" s="226">
        <v>513600</v>
      </c>
      <c r="DC163" s="226">
        <v>657408</v>
      </c>
      <c r="DD163" s="226">
        <v>732394</v>
      </c>
    </row>
    <row r="164" spans="1:108" ht="12.9" customHeight="1">
      <c r="C164" s="23"/>
      <c r="D164" s="1507" t="s">
        <v>863</v>
      </c>
      <c r="E164" s="1507"/>
      <c r="F164" s="1507"/>
      <c r="G164" s="1507"/>
      <c r="H164" s="1507"/>
      <c r="I164" s="1507"/>
      <c r="J164" s="1507"/>
      <c r="K164" s="1507"/>
      <c r="L164" s="1507"/>
      <c r="M164" s="1507"/>
      <c r="N164" s="1507"/>
      <c r="O164" s="1507"/>
      <c r="P164" s="1507"/>
      <c r="Q164" s="1507"/>
      <c r="R164" s="1507"/>
      <c r="S164" s="1507"/>
      <c r="T164" s="1507"/>
      <c r="U164" s="1507"/>
      <c r="V164" s="1507"/>
      <c r="W164" s="1507"/>
      <c r="X164" s="1507"/>
      <c r="Y164" s="1507"/>
      <c r="Z164" s="1507"/>
      <c r="AA164" s="1507"/>
      <c r="AB164" s="1507"/>
      <c r="AC164" s="1507"/>
      <c r="AD164" s="1507"/>
      <c r="AE164" s="1507"/>
      <c r="AF164" s="1507"/>
      <c r="AG164" s="1507"/>
      <c r="AH164" s="1507"/>
      <c r="BN164" s="133" t="s">
        <v>864</v>
      </c>
      <c r="BS164">
        <v>7</v>
      </c>
      <c r="BT164" t="s">
        <v>865</v>
      </c>
      <c r="CB164" s="253" t="s">
        <v>855</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854</v>
      </c>
      <c r="CS164" s="228">
        <v>402640</v>
      </c>
      <c r="CT164" s="228">
        <v>464240</v>
      </c>
      <c r="CU164" s="228">
        <v>560000</v>
      </c>
      <c r="CV164" s="228">
        <v>716800</v>
      </c>
      <c r="CW164" s="228">
        <v>798560</v>
      </c>
      <c r="CX164" s="13"/>
      <c r="CY164" s="133" t="s">
        <v>854</v>
      </c>
      <c r="CZ164" s="228">
        <v>402640</v>
      </c>
      <c r="DA164" s="228">
        <v>464240</v>
      </c>
      <c r="DB164" s="228">
        <v>560000</v>
      </c>
      <c r="DC164" s="228">
        <v>716800</v>
      </c>
      <c r="DD164" s="228">
        <v>798560</v>
      </c>
    </row>
    <row r="165" spans="1:108" ht="12.9" customHeight="1">
      <c r="C165" s="23"/>
      <c r="D165" s="73"/>
      <c r="E165" s="73"/>
      <c r="F165" s="73"/>
      <c r="G165" s="73"/>
      <c r="H165" s="73"/>
      <c r="I165" s="73"/>
      <c r="J165" s="73"/>
      <c r="K165" s="73"/>
      <c r="L165" s="73"/>
      <c r="M165" s="73"/>
      <c r="N165" s="73"/>
      <c r="O165" s="1163"/>
      <c r="P165" s="1163"/>
      <c r="Q165" s="1163"/>
      <c r="R165" s="1163"/>
      <c r="S165" s="1163"/>
      <c r="T165" s="1163"/>
      <c r="U165" s="1163"/>
      <c r="V165" s="1163"/>
      <c r="W165" s="1163"/>
      <c r="X165" s="1163"/>
      <c r="Y165" s="1163"/>
      <c r="Z165" s="1163"/>
      <c r="AA165" s="116"/>
      <c r="AB165" s="116"/>
      <c r="AC165" s="116"/>
      <c r="AD165" s="116"/>
      <c r="AE165" s="116"/>
      <c r="AF165" s="116"/>
      <c r="AG165" s="116"/>
      <c r="AH165" s="116"/>
      <c r="BN165" s="133" t="s">
        <v>866</v>
      </c>
      <c r="BS165">
        <v>6</v>
      </c>
      <c r="BT165" t="s">
        <v>867</v>
      </c>
      <c r="CB165" s="253" t="s">
        <v>858</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857</v>
      </c>
      <c r="CS165" s="226">
        <v>402640</v>
      </c>
      <c r="CT165" s="226">
        <v>464240</v>
      </c>
      <c r="CU165" s="226">
        <v>560000</v>
      </c>
      <c r="CV165" s="226">
        <v>716800</v>
      </c>
      <c r="CW165" s="226">
        <v>798560</v>
      </c>
      <c r="CX165" s="13"/>
      <c r="CY165" s="133" t="s">
        <v>857</v>
      </c>
      <c r="CZ165" s="226">
        <v>402640</v>
      </c>
      <c r="DA165" s="226">
        <v>464240</v>
      </c>
      <c r="DB165" s="226">
        <v>560000</v>
      </c>
      <c r="DC165" s="226">
        <v>716800</v>
      </c>
      <c r="DD165" s="226">
        <v>798560</v>
      </c>
    </row>
    <row r="166" spans="1:108" ht="12.9" customHeight="1">
      <c r="B166" s="2"/>
      <c r="C166" s="23"/>
      <c r="D166" s="73"/>
      <c r="E166" s="73"/>
      <c r="F166" s="73"/>
      <c r="G166" s="73"/>
      <c r="H166" s="73"/>
      <c r="I166" s="73"/>
      <c r="J166" s="73"/>
      <c r="K166" s="73"/>
      <c r="L166" s="73"/>
      <c r="M166" s="73"/>
      <c r="N166" s="73"/>
      <c r="O166" s="1163"/>
      <c r="P166" s="1163"/>
      <c r="Q166" s="1163"/>
      <c r="R166" s="1163"/>
      <c r="S166" s="1163"/>
      <c r="T166" s="1163"/>
      <c r="U166" s="1163"/>
      <c r="V166" s="1163"/>
      <c r="W166" s="1163"/>
      <c r="X166" s="1163"/>
      <c r="Y166" s="1163"/>
      <c r="Z166" s="1163"/>
      <c r="AA166" s="116"/>
      <c r="AB166" s="116"/>
      <c r="AC166" s="116"/>
      <c r="AD166" s="116"/>
      <c r="AE166" s="116"/>
      <c r="AF166" s="116"/>
      <c r="AG166" s="116"/>
      <c r="AH166" s="116"/>
      <c r="BN166" s="133" t="s">
        <v>868</v>
      </c>
      <c r="BS166">
        <v>5</v>
      </c>
      <c r="BT166" t="s">
        <v>869</v>
      </c>
      <c r="CB166" s="253" t="s">
        <v>862</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861</v>
      </c>
      <c r="CS166" s="228">
        <v>491221</v>
      </c>
      <c r="CT166" s="228">
        <v>566373</v>
      </c>
      <c r="CU166" s="228">
        <v>683200</v>
      </c>
      <c r="CV166" s="228">
        <v>874496</v>
      </c>
      <c r="CW166" s="228">
        <v>974243</v>
      </c>
      <c r="CX166" s="13"/>
      <c r="CY166" s="133" t="s">
        <v>861</v>
      </c>
      <c r="CZ166" s="228">
        <v>491221</v>
      </c>
      <c r="DA166" s="228">
        <v>566373</v>
      </c>
      <c r="DB166" s="228">
        <v>683200</v>
      </c>
      <c r="DC166" s="228">
        <v>874496</v>
      </c>
      <c r="DD166" s="228">
        <v>974243</v>
      </c>
    </row>
    <row r="167" spans="1:108" ht="12.9" customHeight="1">
      <c r="B167" s="2"/>
      <c r="C167" s="23"/>
      <c r="D167" s="73"/>
      <c r="E167" s="73"/>
      <c r="F167" s="73"/>
      <c r="G167" s="73"/>
      <c r="H167" s="73"/>
      <c r="I167" s="73"/>
      <c r="J167" s="73"/>
      <c r="K167" s="73"/>
      <c r="L167" s="73"/>
      <c r="M167" s="73"/>
      <c r="N167" s="73"/>
      <c r="O167" s="1163"/>
      <c r="P167" s="1163"/>
      <c r="Q167" s="1163"/>
      <c r="R167" s="1163"/>
      <c r="S167" s="1163"/>
      <c r="T167" s="1163"/>
      <c r="U167" s="1163"/>
      <c r="V167" s="1163"/>
      <c r="W167" s="1163"/>
      <c r="X167" s="1163"/>
      <c r="Y167" s="1163"/>
      <c r="Z167" s="1163"/>
      <c r="AA167" s="116"/>
      <c r="AB167" s="116"/>
      <c r="AC167" s="116"/>
      <c r="AD167" s="116"/>
      <c r="AE167" s="116"/>
      <c r="AF167" s="116"/>
      <c r="AG167" s="116"/>
      <c r="AH167" s="116"/>
      <c r="BN167" s="133" t="s">
        <v>870</v>
      </c>
      <c r="BS167">
        <v>7</v>
      </c>
      <c r="BT167" t="s">
        <v>871</v>
      </c>
      <c r="CB167" s="253" t="s">
        <v>865</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864</v>
      </c>
      <c r="CS167" s="226">
        <v>402640</v>
      </c>
      <c r="CT167" s="226">
        <v>464240</v>
      </c>
      <c r="CU167" s="226">
        <v>560000</v>
      </c>
      <c r="CV167" s="226">
        <v>716800</v>
      </c>
      <c r="CW167" s="226">
        <v>798560</v>
      </c>
      <c r="CX167" s="13"/>
      <c r="CY167" s="133" t="s">
        <v>864</v>
      </c>
      <c r="CZ167" s="226">
        <v>402640</v>
      </c>
      <c r="DA167" s="226">
        <v>464240</v>
      </c>
      <c r="DB167" s="226">
        <v>560000</v>
      </c>
      <c r="DC167" s="226">
        <v>716800</v>
      </c>
      <c r="DD167" s="226">
        <v>798560</v>
      </c>
    </row>
    <row r="168" spans="1:108" ht="12.9"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872</v>
      </c>
      <c r="BS168">
        <v>7</v>
      </c>
      <c r="BT168" t="s">
        <v>873</v>
      </c>
      <c r="CB168" s="253" t="s">
        <v>867</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866</v>
      </c>
      <c r="CS168" s="228">
        <v>360075</v>
      </c>
      <c r="CT168" s="228">
        <v>415163</v>
      </c>
      <c r="CU168" s="228">
        <v>500800</v>
      </c>
      <c r="CV168" s="228">
        <v>641024</v>
      </c>
      <c r="CW168" s="228">
        <v>714141</v>
      </c>
      <c r="CX168" s="13"/>
      <c r="CY168" s="133" t="s">
        <v>866</v>
      </c>
      <c r="CZ168" s="228">
        <v>360075</v>
      </c>
      <c r="DA168" s="228">
        <v>415163</v>
      </c>
      <c r="DB168" s="228">
        <v>500800</v>
      </c>
      <c r="DC168" s="228">
        <v>641024</v>
      </c>
      <c r="DD168" s="228">
        <v>714141</v>
      </c>
    </row>
    <row r="169" spans="1:108" ht="12.9" customHeight="1">
      <c r="A169" s="1494" t="s">
        <v>874</v>
      </c>
      <c r="B169" s="1494"/>
      <c r="C169" s="1494"/>
      <c r="D169" s="1494"/>
      <c r="E169" s="1494"/>
      <c r="F169" s="1494"/>
      <c r="G169" s="1494"/>
      <c r="H169" s="1494"/>
      <c r="I169" s="1494"/>
      <c r="J169" s="1494"/>
      <c r="K169" s="1494"/>
      <c r="L169" s="1494"/>
      <c r="M169" s="1494"/>
      <c r="N169" s="1494"/>
      <c r="O169" s="1494"/>
      <c r="P169" s="1494"/>
      <c r="Q169" s="1494"/>
      <c r="R169" s="1494"/>
      <c r="S169" s="1494"/>
      <c r="T169" s="1494"/>
      <c r="U169" s="1494"/>
      <c r="V169" s="1494"/>
      <c r="W169" s="1494"/>
      <c r="X169" s="1494"/>
      <c r="Y169" s="1494"/>
      <c r="Z169" s="1494"/>
      <c r="AA169" s="1494"/>
      <c r="AB169" s="1494"/>
      <c r="AC169" s="1494"/>
      <c r="AD169" s="1494"/>
      <c r="AE169" s="1494"/>
      <c r="AF169" s="1494"/>
      <c r="AG169" s="1494"/>
      <c r="AH169" s="1494"/>
      <c r="AI169" s="1494"/>
      <c r="AJ169" s="1494"/>
      <c r="AK169" s="1494"/>
      <c r="AL169" s="1494"/>
      <c r="AM169" s="1494"/>
      <c r="AN169" s="1494"/>
      <c r="AO169" s="1494"/>
      <c r="AP169" s="1494"/>
      <c r="AQ169" s="1494"/>
      <c r="AR169" s="1494"/>
      <c r="AS169" s="1494"/>
      <c r="AT169" s="1494"/>
      <c r="AU169" s="70"/>
      <c r="AV169" s="70"/>
      <c r="AW169" s="70"/>
      <c r="AX169" s="70"/>
      <c r="AY169" s="70"/>
      <c r="BN169" s="133" t="s">
        <v>875</v>
      </c>
      <c r="BS169">
        <v>5</v>
      </c>
      <c r="BT169" t="s">
        <v>876</v>
      </c>
      <c r="CB169" s="253" t="s">
        <v>869</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868</v>
      </c>
      <c r="CS169" s="226">
        <v>323262</v>
      </c>
      <c r="CT169" s="226">
        <v>372718</v>
      </c>
      <c r="CU169" s="226">
        <v>449600</v>
      </c>
      <c r="CV169" s="226">
        <v>575488</v>
      </c>
      <c r="CW169" s="226">
        <v>641130</v>
      </c>
      <c r="CX169" s="13"/>
      <c r="CY169" s="133" t="s">
        <v>868</v>
      </c>
      <c r="CZ169" s="226">
        <v>323262</v>
      </c>
      <c r="DA169" s="226">
        <v>372718</v>
      </c>
      <c r="DB169" s="226">
        <v>449600</v>
      </c>
      <c r="DC169" s="226">
        <v>575488</v>
      </c>
      <c r="DD169" s="226">
        <v>641130</v>
      </c>
    </row>
    <row r="170" spans="1:108" ht="12.9" customHeight="1">
      <c r="A170" s="1494"/>
      <c r="B170" s="1494"/>
      <c r="C170" s="1494"/>
      <c r="D170" s="1494"/>
      <c r="E170" s="1494"/>
      <c r="F170" s="1494"/>
      <c r="G170" s="1494"/>
      <c r="H170" s="1494"/>
      <c r="I170" s="1494"/>
      <c r="J170" s="1494"/>
      <c r="K170" s="1494"/>
      <c r="L170" s="1494"/>
      <c r="M170" s="1494"/>
      <c r="N170" s="1494"/>
      <c r="O170" s="1494"/>
      <c r="P170" s="1494"/>
      <c r="Q170" s="1494"/>
      <c r="R170" s="1494"/>
      <c r="S170" s="1494"/>
      <c r="T170" s="1494"/>
      <c r="U170" s="1494"/>
      <c r="V170" s="1494"/>
      <c r="W170" s="1494"/>
      <c r="X170" s="1494"/>
      <c r="Y170" s="1494"/>
      <c r="Z170" s="1494"/>
      <c r="AA170" s="1494"/>
      <c r="AB170" s="1494"/>
      <c r="AC170" s="1494"/>
      <c r="AD170" s="1494"/>
      <c r="AE170" s="1494"/>
      <c r="AF170" s="1494"/>
      <c r="AG170" s="1494"/>
      <c r="AH170" s="1494"/>
      <c r="AI170" s="1494"/>
      <c r="AJ170" s="1494"/>
      <c r="AK170" s="1494"/>
      <c r="AL170" s="1494"/>
      <c r="AM170" s="1494"/>
      <c r="AN170" s="1494"/>
      <c r="AO170" s="1494"/>
      <c r="AP170" s="1494"/>
      <c r="AQ170" s="1494"/>
      <c r="AR170" s="1494"/>
      <c r="AS170" s="1494"/>
      <c r="AT170" s="1494"/>
      <c r="AU170" s="70"/>
      <c r="AV170" s="70"/>
      <c r="AW170" s="70"/>
      <c r="AX170" s="70"/>
      <c r="AY170" s="70"/>
      <c r="BN170" s="133" t="s">
        <v>877</v>
      </c>
      <c r="BS170">
        <v>7</v>
      </c>
      <c r="BT170" t="s">
        <v>878</v>
      </c>
      <c r="CB170" s="253" t="s">
        <v>871</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870</v>
      </c>
      <c r="CS170" s="228">
        <v>402640</v>
      </c>
      <c r="CT170" s="228">
        <v>464240</v>
      </c>
      <c r="CU170" s="228">
        <v>560000</v>
      </c>
      <c r="CV170" s="228">
        <v>716800</v>
      </c>
      <c r="CW170" s="228">
        <v>798560</v>
      </c>
      <c r="CX170" s="13"/>
      <c r="CY170" s="133" t="s">
        <v>870</v>
      </c>
      <c r="CZ170" s="228">
        <v>402640</v>
      </c>
      <c r="DA170" s="228">
        <v>464240</v>
      </c>
      <c r="DB170" s="228">
        <v>560000</v>
      </c>
      <c r="DC170" s="228">
        <v>716800</v>
      </c>
      <c r="DD170" s="228">
        <v>798560</v>
      </c>
    </row>
    <row r="171" spans="1:108" ht="12.9" customHeight="1">
      <c r="BN171" s="133" t="s">
        <v>879</v>
      </c>
      <c r="BS171">
        <v>5</v>
      </c>
      <c r="BT171" t="s">
        <v>880</v>
      </c>
      <c r="CB171" s="253" t="s">
        <v>873</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872</v>
      </c>
      <c r="CS171" s="226">
        <v>402640</v>
      </c>
      <c r="CT171" s="226">
        <v>464240</v>
      </c>
      <c r="CU171" s="226">
        <v>560000</v>
      </c>
      <c r="CV171" s="226">
        <v>716800</v>
      </c>
      <c r="CW171" s="226">
        <v>798560</v>
      </c>
      <c r="CX171" s="13"/>
      <c r="CY171" s="133" t="s">
        <v>872</v>
      </c>
      <c r="CZ171" s="226">
        <v>402640</v>
      </c>
      <c r="DA171" s="226">
        <v>464240</v>
      </c>
      <c r="DB171" s="226">
        <v>560000</v>
      </c>
      <c r="DC171" s="226">
        <v>716800</v>
      </c>
      <c r="DD171" s="226">
        <v>798560</v>
      </c>
    </row>
    <row r="172" spans="1:108" ht="12.9" customHeight="1">
      <c r="A172" s="2" t="s">
        <v>881</v>
      </c>
      <c r="C172" s="2" t="s">
        <v>91</v>
      </c>
      <c r="BN172" s="133" t="s">
        <v>882</v>
      </c>
      <c r="BS172">
        <v>5</v>
      </c>
      <c r="BT172" t="s">
        <v>883</v>
      </c>
      <c r="CB172" s="253" t="s">
        <v>876</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875</v>
      </c>
      <c r="CS172" s="228">
        <v>381933</v>
      </c>
      <c r="CT172" s="228">
        <v>440365</v>
      </c>
      <c r="CU172" s="228">
        <v>531200</v>
      </c>
      <c r="CV172" s="228">
        <v>679936</v>
      </c>
      <c r="CW172" s="228">
        <v>757491</v>
      </c>
      <c r="CX172" s="13"/>
      <c r="CY172" s="133" t="s">
        <v>875</v>
      </c>
      <c r="CZ172" s="228">
        <v>381933</v>
      </c>
      <c r="DA172" s="228">
        <v>440365</v>
      </c>
      <c r="DB172" s="228">
        <v>531200</v>
      </c>
      <c r="DC172" s="228">
        <v>679936</v>
      </c>
      <c r="DD172" s="228">
        <v>757491</v>
      </c>
    </row>
    <row r="173" spans="1:108" ht="12.9" customHeight="1">
      <c r="C173" s="20"/>
      <c r="D173" t="s">
        <v>884</v>
      </c>
      <c r="J173" s="1491" t="s">
        <v>885</v>
      </c>
      <c r="K173" s="1491"/>
      <c r="L173" s="1491"/>
      <c r="M173" s="1491"/>
      <c r="N173" s="1491"/>
      <c r="O173" s="1491"/>
      <c r="P173" s="1491"/>
      <c r="Q173" s="1491"/>
      <c r="R173" s="1491"/>
      <c r="S173" s="1491"/>
      <c r="U173" s="21"/>
      <c r="X173" s="21"/>
      <c r="BB173" s="3" t="s">
        <v>311</v>
      </c>
      <c r="BN173" s="133" t="s">
        <v>886</v>
      </c>
      <c r="BS173">
        <v>7</v>
      </c>
      <c r="BT173" t="s">
        <v>887</v>
      </c>
      <c r="CB173" s="253" t="s">
        <v>878</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877</v>
      </c>
      <c r="CS173" s="226">
        <v>402640</v>
      </c>
      <c r="CT173" s="226">
        <v>464240</v>
      </c>
      <c r="CU173" s="226">
        <v>560000</v>
      </c>
      <c r="CV173" s="226">
        <v>716800</v>
      </c>
      <c r="CW173" s="226">
        <v>798560</v>
      </c>
      <c r="CX173" s="13"/>
      <c r="CY173" s="133" t="s">
        <v>877</v>
      </c>
      <c r="CZ173" s="226">
        <v>402640</v>
      </c>
      <c r="DA173" s="226">
        <v>464240</v>
      </c>
      <c r="DB173" s="226">
        <v>560000</v>
      </c>
      <c r="DC173" s="226">
        <v>716800</v>
      </c>
      <c r="DD173" s="226">
        <v>798560</v>
      </c>
    </row>
    <row r="174" spans="1:108" ht="12.9" customHeight="1">
      <c r="C174" s="20"/>
      <c r="D174" s="3" t="s">
        <v>888</v>
      </c>
      <c r="J174" s="1372" t="s">
        <v>889</v>
      </c>
      <c r="K174" s="1372"/>
      <c r="L174" s="1372"/>
      <c r="M174" s="1372"/>
      <c r="N174" s="1372"/>
      <c r="O174" s="1372"/>
      <c r="P174" s="1372"/>
      <c r="Q174" s="1372"/>
      <c r="R174" s="1372"/>
      <c r="S174" s="1372"/>
      <c r="T174" s="1372"/>
      <c r="U174" s="1372"/>
      <c r="V174" s="1372"/>
      <c r="W174" s="1372"/>
      <c r="X174" s="1372"/>
      <c r="Y174" s="1372"/>
      <c r="Z174" s="1372"/>
      <c r="AA174" s="1372"/>
      <c r="AB174" s="1372"/>
      <c r="BB174" t="s">
        <v>890</v>
      </c>
      <c r="BN174" s="133" t="s">
        <v>891</v>
      </c>
      <c r="BS174">
        <v>7</v>
      </c>
      <c r="BT174" t="s">
        <v>892</v>
      </c>
      <c r="CB174" s="253" t="s">
        <v>880</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879</v>
      </c>
      <c r="CS174" s="228">
        <v>323262</v>
      </c>
      <c r="CT174" s="228">
        <v>372718</v>
      </c>
      <c r="CU174" s="228">
        <v>449600</v>
      </c>
      <c r="CV174" s="228">
        <v>575488</v>
      </c>
      <c r="CW174" s="228">
        <v>641130</v>
      </c>
      <c r="CX174" s="13"/>
      <c r="CY174" s="133" t="s">
        <v>879</v>
      </c>
      <c r="CZ174" s="228">
        <v>323262</v>
      </c>
      <c r="DA174" s="228">
        <v>372718</v>
      </c>
      <c r="DB174" s="228">
        <v>449600</v>
      </c>
      <c r="DC174" s="228">
        <v>575488</v>
      </c>
      <c r="DD174" s="228">
        <v>641130</v>
      </c>
    </row>
    <row r="175" spans="1:108" ht="12.9" customHeight="1">
      <c r="C175" s="7"/>
      <c r="D175" s="3" t="s">
        <v>893</v>
      </c>
      <c r="O175" s="23"/>
      <c r="U175" s="1380" t="s">
        <v>698</v>
      </c>
      <c r="V175" s="1380"/>
      <c r="BB175" t="s">
        <v>894</v>
      </c>
      <c r="BN175" s="133" t="s">
        <v>895</v>
      </c>
      <c r="BS175">
        <v>1</v>
      </c>
      <c r="BT175" t="s">
        <v>896</v>
      </c>
      <c r="CB175" s="253" t="s">
        <v>883</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882</v>
      </c>
      <c r="CS175" s="226">
        <v>323262</v>
      </c>
      <c r="CT175" s="226">
        <v>372718</v>
      </c>
      <c r="CU175" s="226">
        <v>449600</v>
      </c>
      <c r="CV175" s="226">
        <v>575488</v>
      </c>
      <c r="CW175" s="226">
        <v>641130</v>
      </c>
      <c r="CX175" s="13"/>
      <c r="CY175" s="133" t="s">
        <v>882</v>
      </c>
      <c r="CZ175" s="226">
        <v>323262</v>
      </c>
      <c r="DA175" s="226">
        <v>372718</v>
      </c>
      <c r="DB175" s="226">
        <v>449600</v>
      </c>
      <c r="DC175" s="226">
        <v>575488</v>
      </c>
      <c r="DD175" s="226">
        <v>641130</v>
      </c>
    </row>
    <row r="176" spans="1:108" ht="12.9" customHeight="1">
      <c r="C176" s="7"/>
      <c r="D176" s="22"/>
      <c r="E176" t="s">
        <v>897</v>
      </c>
      <c r="O176" s="23"/>
      <c r="P176" t="s">
        <v>898</v>
      </c>
      <c r="T176" s="23" t="s">
        <v>899</v>
      </c>
      <c r="U176" s="1468"/>
      <c r="V176" s="1468"/>
      <c r="W176" s="1" t="s">
        <v>900</v>
      </c>
      <c r="X176" s="1524"/>
      <c r="Y176" s="1524"/>
      <c r="BB176" t="s">
        <v>901</v>
      </c>
      <c r="BN176" s="133" t="s">
        <v>902</v>
      </c>
      <c r="BS176">
        <v>5</v>
      </c>
      <c r="BT176" t="s">
        <v>903</v>
      </c>
      <c r="CB176" s="253" t="s">
        <v>887</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886</v>
      </c>
      <c r="CS176" s="228">
        <v>402640</v>
      </c>
      <c r="CT176" s="228">
        <v>464240</v>
      </c>
      <c r="CU176" s="228">
        <v>560000</v>
      </c>
      <c r="CV176" s="228">
        <v>716800</v>
      </c>
      <c r="CW176" s="228">
        <v>798560</v>
      </c>
      <c r="CX176" s="13"/>
      <c r="CY176" s="133" t="s">
        <v>886</v>
      </c>
      <c r="CZ176" s="228">
        <v>402640</v>
      </c>
      <c r="DA176" s="228">
        <v>464240</v>
      </c>
      <c r="DB176" s="228">
        <v>560000</v>
      </c>
      <c r="DC176" s="228">
        <v>716800</v>
      </c>
      <c r="DD176" s="228">
        <v>798560</v>
      </c>
    </row>
    <row r="177" spans="1:108" ht="12.9" customHeight="1">
      <c r="C177" s="20"/>
      <c r="D177" t="s">
        <v>904</v>
      </c>
      <c r="R177" s="1380" t="s">
        <v>698</v>
      </c>
      <c r="S177" s="1380"/>
      <c r="BB177" t="s">
        <v>905</v>
      </c>
      <c r="BN177" s="133" t="s">
        <v>906</v>
      </c>
      <c r="BS177">
        <v>2</v>
      </c>
      <c r="BT177" t="s">
        <v>907</v>
      </c>
      <c r="CB177" s="253" t="s">
        <v>892</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891</v>
      </c>
      <c r="CS177" s="226">
        <v>402640</v>
      </c>
      <c r="CT177" s="226">
        <v>464240</v>
      </c>
      <c r="CU177" s="226">
        <v>560000</v>
      </c>
      <c r="CV177" s="226">
        <v>716800</v>
      </c>
      <c r="CW177" s="226">
        <v>798560</v>
      </c>
      <c r="CX177" s="13"/>
      <c r="CY177" s="133" t="s">
        <v>891</v>
      </c>
      <c r="CZ177" s="226">
        <v>402640</v>
      </c>
      <c r="DA177" s="226">
        <v>464240</v>
      </c>
      <c r="DB177" s="226">
        <v>560000</v>
      </c>
      <c r="DC177" s="226">
        <v>716800</v>
      </c>
      <c r="DD177" s="226">
        <v>798560</v>
      </c>
    </row>
    <row r="178" spans="1:108" ht="12.9" customHeight="1">
      <c r="C178" s="20"/>
      <c r="D178" s="3" t="s">
        <v>908</v>
      </c>
      <c r="AA178" t="s">
        <v>898</v>
      </c>
      <c r="AE178" s="23" t="s">
        <v>899</v>
      </c>
      <c r="AF178" s="1523"/>
      <c r="AG178" s="1523"/>
      <c r="AH178" s="1" t="s">
        <v>900</v>
      </c>
      <c r="AI178" s="1411"/>
      <c r="AJ178" s="1411"/>
      <c r="AK178" s="1411"/>
      <c r="BB178" t="s">
        <v>909</v>
      </c>
      <c r="BN178" s="133" t="s">
        <v>910</v>
      </c>
      <c r="BS178">
        <v>7</v>
      </c>
      <c r="BT178" t="s">
        <v>911</v>
      </c>
      <c r="CB178" s="253" t="s">
        <v>896</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895</v>
      </c>
      <c r="CS178" s="228">
        <v>437727</v>
      </c>
      <c r="CT178" s="228">
        <v>504695</v>
      </c>
      <c r="CU178" s="228">
        <v>608800</v>
      </c>
      <c r="CV178" s="228">
        <v>779264</v>
      </c>
      <c r="CW178" s="228">
        <v>868149</v>
      </c>
      <c r="CX178" s="13"/>
      <c r="CY178" s="133" t="s">
        <v>895</v>
      </c>
      <c r="CZ178" s="228">
        <v>437727</v>
      </c>
      <c r="DA178" s="228">
        <v>504695</v>
      </c>
      <c r="DB178" s="228">
        <v>608800</v>
      </c>
      <c r="DC178" s="228">
        <v>779264</v>
      </c>
      <c r="DD178" s="228">
        <v>868149</v>
      </c>
    </row>
    <row r="179" spans="1:108" ht="12.9" customHeight="1">
      <c r="C179" s="20"/>
      <c r="BN179" s="133" t="s">
        <v>912</v>
      </c>
      <c r="BS179">
        <v>7</v>
      </c>
      <c r="BT179" t="s">
        <v>913</v>
      </c>
      <c r="CB179" s="253" t="s">
        <v>903</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902</v>
      </c>
      <c r="CS179" s="226">
        <v>323262</v>
      </c>
      <c r="CT179" s="226">
        <v>372718</v>
      </c>
      <c r="CU179" s="226">
        <v>449600</v>
      </c>
      <c r="CV179" s="226">
        <v>575488</v>
      </c>
      <c r="CW179" s="226">
        <v>641130</v>
      </c>
      <c r="CX179" s="13"/>
      <c r="CY179" s="133" t="s">
        <v>902</v>
      </c>
      <c r="CZ179" s="226">
        <v>323262</v>
      </c>
      <c r="DA179" s="226">
        <v>372718</v>
      </c>
      <c r="DB179" s="226">
        <v>449600</v>
      </c>
      <c r="DC179" s="226">
        <v>575488</v>
      </c>
      <c r="DD179" s="226">
        <v>641130</v>
      </c>
    </row>
    <row r="180" spans="1:108" ht="12.9" customHeight="1">
      <c r="C180" s="20"/>
      <c r="D180" s="3" t="s">
        <v>914</v>
      </c>
      <c r="X180" s="1380" t="s">
        <v>856</v>
      </c>
      <c r="Y180" s="1380"/>
      <c r="BN180" s="133" t="s">
        <v>915</v>
      </c>
      <c r="BS180">
        <v>5</v>
      </c>
      <c r="BT180" t="s">
        <v>916</v>
      </c>
      <c r="CB180" s="253" t="s">
        <v>907</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906</v>
      </c>
      <c r="CS180" s="228">
        <v>406666</v>
      </c>
      <c r="CT180" s="228">
        <v>468882</v>
      </c>
      <c r="CU180" s="228">
        <v>565600</v>
      </c>
      <c r="CV180" s="228">
        <v>723968</v>
      </c>
      <c r="CW180" s="228">
        <v>806546</v>
      </c>
      <c r="CX180" s="13"/>
      <c r="CY180" s="133" t="s">
        <v>906</v>
      </c>
      <c r="CZ180" s="228">
        <v>406666</v>
      </c>
      <c r="DA180" s="228">
        <v>468882</v>
      </c>
      <c r="DB180" s="228">
        <v>565600</v>
      </c>
      <c r="DC180" s="228">
        <v>723968</v>
      </c>
      <c r="DD180" s="228">
        <v>806546</v>
      </c>
    </row>
    <row r="181" spans="1:108" ht="12.9" customHeight="1">
      <c r="C181" s="7"/>
      <c r="E181" s="3" t="s">
        <v>917</v>
      </c>
      <c r="BN181" s="133" t="s">
        <v>918</v>
      </c>
      <c r="BS181">
        <v>7</v>
      </c>
      <c r="BT181" t="s">
        <v>919</v>
      </c>
      <c r="CB181" s="253" t="s">
        <v>911</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910</v>
      </c>
      <c r="CS181" s="226">
        <v>402640</v>
      </c>
      <c r="CT181" s="226">
        <v>464240</v>
      </c>
      <c r="CU181" s="226">
        <v>560000</v>
      </c>
      <c r="CV181" s="226">
        <v>716800</v>
      </c>
      <c r="CW181" s="226">
        <v>798560</v>
      </c>
      <c r="CX181" s="13"/>
      <c r="CY181" s="133" t="s">
        <v>910</v>
      </c>
      <c r="CZ181" s="226">
        <v>402640</v>
      </c>
      <c r="DA181" s="226">
        <v>464240</v>
      </c>
      <c r="DB181" s="226">
        <v>560000</v>
      </c>
      <c r="DC181" s="226">
        <v>716800</v>
      </c>
      <c r="DD181" s="226">
        <v>798560</v>
      </c>
    </row>
    <row r="182" spans="1:108" ht="12.9" customHeight="1">
      <c r="C182" s="430"/>
      <c r="BN182" s="133" t="s">
        <v>920</v>
      </c>
      <c r="BS182">
        <v>7</v>
      </c>
      <c r="BT182" t="s">
        <v>921</v>
      </c>
      <c r="CB182" s="253" t="s">
        <v>913</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912</v>
      </c>
      <c r="CS182" s="228">
        <v>402640</v>
      </c>
      <c r="CT182" s="228">
        <v>464240</v>
      </c>
      <c r="CU182" s="228">
        <v>560000</v>
      </c>
      <c r="CV182" s="228">
        <v>716800</v>
      </c>
      <c r="CW182" s="228">
        <v>798560</v>
      </c>
      <c r="CX182" s="13"/>
      <c r="CY182" s="133" t="s">
        <v>912</v>
      </c>
      <c r="CZ182" s="228">
        <v>402640</v>
      </c>
      <c r="DA182" s="228">
        <v>464240</v>
      </c>
      <c r="DB182" s="228">
        <v>560000</v>
      </c>
      <c r="DC182" s="228">
        <v>716800</v>
      </c>
      <c r="DD182" s="228">
        <v>798560</v>
      </c>
    </row>
    <row r="183" spans="1:108" ht="12.9" customHeight="1">
      <c r="A183" s="2" t="s">
        <v>922</v>
      </c>
      <c r="C183" s="2" t="s">
        <v>93</v>
      </c>
      <c r="BN183" s="133" t="s">
        <v>923</v>
      </c>
      <c r="BS183">
        <v>4</v>
      </c>
      <c r="BT183" t="s">
        <v>924</v>
      </c>
      <c r="CB183" s="253" t="s">
        <v>916</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915</v>
      </c>
      <c r="CS183" s="226">
        <v>323262</v>
      </c>
      <c r="CT183" s="226">
        <v>372718</v>
      </c>
      <c r="CU183" s="226">
        <v>449600</v>
      </c>
      <c r="CV183" s="226">
        <v>575488</v>
      </c>
      <c r="CW183" s="226">
        <v>641130</v>
      </c>
      <c r="CX183" s="13"/>
      <c r="CY183" s="133" t="s">
        <v>915</v>
      </c>
      <c r="CZ183" s="226">
        <v>323262</v>
      </c>
      <c r="DA183" s="226">
        <v>372718</v>
      </c>
      <c r="DB183" s="226">
        <v>449600</v>
      </c>
      <c r="DC183" s="226">
        <v>575488</v>
      </c>
      <c r="DD183" s="226">
        <v>641130</v>
      </c>
    </row>
    <row r="184" spans="1:108" ht="12.9" customHeight="1">
      <c r="C184" s="18"/>
      <c r="D184" t="s">
        <v>925</v>
      </c>
      <c r="I184" s="1445" t="str">
        <f>H18</f>
        <v>Ocean Beach Apartments II</v>
      </c>
      <c r="J184" s="1445"/>
      <c r="K184" s="1445"/>
      <c r="L184" s="1445"/>
      <c r="M184" s="1445"/>
      <c r="N184" s="1445"/>
      <c r="O184" s="1445"/>
      <c r="P184" s="1445"/>
      <c r="Q184" s="1445"/>
      <c r="R184" s="1445"/>
      <c r="S184" s="1445"/>
      <c r="T184" s="1445"/>
      <c r="U184" s="1445"/>
      <c r="V184" s="1445"/>
      <c r="W184" s="1445"/>
      <c r="X184" s="1445"/>
      <c r="Y184" s="1445"/>
      <c r="Z184" s="1445"/>
      <c r="AA184" s="1445"/>
      <c r="AB184" s="1445"/>
      <c r="AC184" s="1445"/>
      <c r="AD184" s="1445"/>
      <c r="AE184" s="1445"/>
      <c r="BC184" t="s">
        <v>926</v>
      </c>
      <c r="BN184" s="133" t="s">
        <v>927</v>
      </c>
      <c r="BS184">
        <v>4</v>
      </c>
      <c r="BT184" t="s">
        <v>928</v>
      </c>
      <c r="CB184" s="253" t="s">
        <v>919</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918</v>
      </c>
      <c r="CS184" s="228">
        <v>402640</v>
      </c>
      <c r="CT184" s="228">
        <v>464240</v>
      </c>
      <c r="CU184" s="228">
        <v>560000</v>
      </c>
      <c r="CV184" s="228">
        <v>716800</v>
      </c>
      <c r="CW184" s="228">
        <v>798560</v>
      </c>
      <c r="CX184" s="13"/>
      <c r="CY184" s="133" t="s">
        <v>918</v>
      </c>
      <c r="CZ184" s="228">
        <v>402640</v>
      </c>
      <c r="DA184" s="228">
        <v>464240</v>
      </c>
      <c r="DB184" s="228">
        <v>560000</v>
      </c>
      <c r="DC184" s="228">
        <v>716800</v>
      </c>
      <c r="DD184" s="228">
        <v>798560</v>
      </c>
    </row>
    <row r="185" spans="1:108" ht="12.9" customHeight="1">
      <c r="C185" s="18"/>
      <c r="D185" t="s">
        <v>929</v>
      </c>
      <c r="I185" s="1341" t="s">
        <v>930</v>
      </c>
      <c r="J185" s="1341"/>
      <c r="K185" s="1341"/>
      <c r="L185" s="1341"/>
      <c r="M185" s="1341"/>
      <c r="N185" s="1341"/>
      <c r="O185" s="1341"/>
      <c r="P185" s="1341"/>
      <c r="Q185" s="1341"/>
      <c r="R185" s="1341"/>
      <c r="S185" s="1341"/>
      <c r="T185" s="1341"/>
      <c r="U185" s="1341"/>
      <c r="V185" s="1341"/>
      <c r="W185" s="1341"/>
      <c r="X185" s="1341"/>
      <c r="Y185" s="1341"/>
      <c r="Z185" s="1341"/>
      <c r="AA185" s="1341"/>
      <c r="AB185" s="1341"/>
      <c r="AC185" s="1341"/>
      <c r="AD185" s="1341"/>
      <c r="AE185" s="1341"/>
      <c r="BC185" t="s">
        <v>931</v>
      </c>
      <c r="BN185" s="133" t="s">
        <v>932</v>
      </c>
      <c r="BS185">
        <v>7</v>
      </c>
      <c r="BT185" t="s">
        <v>933</v>
      </c>
      <c r="CB185" s="253" t="s">
        <v>921</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920</v>
      </c>
      <c r="CS185" s="226">
        <v>402640</v>
      </c>
      <c r="CT185" s="226">
        <v>464240</v>
      </c>
      <c r="CU185" s="226">
        <v>560000</v>
      </c>
      <c r="CV185" s="226">
        <v>716800</v>
      </c>
      <c r="CW185" s="226">
        <v>798560</v>
      </c>
      <c r="CX185" s="13"/>
      <c r="CY185" s="133" t="s">
        <v>920</v>
      </c>
      <c r="CZ185" s="226">
        <v>402640</v>
      </c>
      <c r="DA185" s="226">
        <v>464240</v>
      </c>
      <c r="DB185" s="226">
        <v>560000</v>
      </c>
      <c r="DC185" s="226">
        <v>716800</v>
      </c>
      <c r="DD185" s="226">
        <v>798560</v>
      </c>
    </row>
    <row r="186" spans="1:108" ht="12.9" customHeight="1">
      <c r="C186" s="18"/>
      <c r="E186" t="s">
        <v>934</v>
      </c>
      <c r="BN186" s="133" t="s">
        <v>935</v>
      </c>
      <c r="BS186">
        <v>4</v>
      </c>
      <c r="BT186" t="s">
        <v>936</v>
      </c>
      <c r="CB186" s="253" t="s">
        <v>924</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923</v>
      </c>
      <c r="CS186" s="228">
        <v>442904</v>
      </c>
      <c r="CT186" s="228">
        <v>510664</v>
      </c>
      <c r="CU186" s="228">
        <v>616000</v>
      </c>
      <c r="CV186" s="228">
        <v>788480</v>
      </c>
      <c r="CW186" s="228">
        <v>878416</v>
      </c>
      <c r="CX186" s="13"/>
      <c r="CY186" s="133" t="s">
        <v>923</v>
      </c>
      <c r="CZ186" s="228">
        <v>442904</v>
      </c>
      <c r="DA186" s="228">
        <v>510664</v>
      </c>
      <c r="DB186" s="228">
        <v>616000</v>
      </c>
      <c r="DC186" s="228">
        <v>788480</v>
      </c>
      <c r="DD186" s="228">
        <v>878416</v>
      </c>
    </row>
    <row r="187" spans="1:108" ht="12.9" customHeight="1">
      <c r="C187" s="18"/>
      <c r="E187" s="1489"/>
      <c r="F187" s="1489"/>
      <c r="G187" s="1489"/>
      <c r="H187" s="1489"/>
      <c r="I187" s="1489"/>
      <c r="J187" s="1489"/>
      <c r="K187" s="1489"/>
      <c r="L187" s="1489"/>
      <c r="M187" s="1489"/>
      <c r="N187" s="1489"/>
      <c r="O187" s="1489"/>
      <c r="P187" s="1489"/>
      <c r="Q187" s="1489"/>
      <c r="R187" s="1489"/>
      <c r="S187" s="1489"/>
      <c r="T187" s="1489"/>
      <c r="U187" s="1489"/>
      <c r="V187" s="1489"/>
      <c r="W187" s="1489"/>
      <c r="X187" s="1489"/>
      <c r="Y187" s="1489"/>
      <c r="Z187" s="1489"/>
      <c r="AA187" s="1489"/>
      <c r="AB187" s="1489"/>
      <c r="AC187" s="1489"/>
      <c r="AD187" s="1489"/>
      <c r="AE187" s="1489"/>
      <c r="BN187" s="133" t="s">
        <v>937</v>
      </c>
      <c r="BS187">
        <v>6</v>
      </c>
      <c r="BT187" t="s">
        <v>938</v>
      </c>
      <c r="CB187" s="253" t="s">
        <v>928</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927</v>
      </c>
      <c r="CS187" s="226">
        <v>406666</v>
      </c>
      <c r="CT187" s="226">
        <v>468882</v>
      </c>
      <c r="CU187" s="226">
        <v>565600</v>
      </c>
      <c r="CV187" s="226">
        <v>723968</v>
      </c>
      <c r="CW187" s="226">
        <v>806546</v>
      </c>
      <c r="CX187" s="13"/>
      <c r="CY187" s="133" t="s">
        <v>927</v>
      </c>
      <c r="CZ187" s="226">
        <v>406666</v>
      </c>
      <c r="DA187" s="226">
        <v>468882</v>
      </c>
      <c r="DB187" s="226">
        <v>565600</v>
      </c>
      <c r="DC187" s="226">
        <v>723968</v>
      </c>
      <c r="DD187" s="226">
        <v>806546</v>
      </c>
    </row>
    <row r="188" spans="1:108" ht="12.9" customHeight="1">
      <c r="C188" s="18"/>
      <c r="E188" s="1490"/>
      <c r="F188" s="1490"/>
      <c r="G188" s="1490"/>
      <c r="H188" s="1490"/>
      <c r="I188" s="1490"/>
      <c r="J188" s="1490"/>
      <c r="K188" s="1490"/>
      <c r="L188" s="1490"/>
      <c r="M188" s="1490"/>
      <c r="N188" s="1490"/>
      <c r="O188" s="1490"/>
      <c r="P188" s="1490"/>
      <c r="Q188" s="1490"/>
      <c r="R188" s="1490"/>
      <c r="S188" s="1490"/>
      <c r="T188" s="1490"/>
      <c r="U188" s="1490"/>
      <c r="V188" s="1490"/>
      <c r="W188" s="1490"/>
      <c r="X188" s="1490"/>
      <c r="Y188" s="1490"/>
      <c r="Z188" s="1490"/>
      <c r="AA188" s="1490"/>
      <c r="AB188" s="1490"/>
      <c r="AC188" s="1490"/>
      <c r="AD188" s="1490"/>
      <c r="AE188" s="1490"/>
      <c r="BN188" s="133" t="s">
        <v>939</v>
      </c>
      <c r="BS188">
        <v>7</v>
      </c>
      <c r="BT188" t="s">
        <v>940</v>
      </c>
      <c r="CB188" s="253" t="s">
        <v>933</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932</v>
      </c>
      <c r="CS188" s="228">
        <v>402640</v>
      </c>
      <c r="CT188" s="228">
        <v>464240</v>
      </c>
      <c r="CU188" s="228">
        <v>560000</v>
      </c>
      <c r="CV188" s="228">
        <v>716800</v>
      </c>
      <c r="CW188" s="228">
        <v>798560</v>
      </c>
      <c r="CX188" s="13"/>
      <c r="CY188" s="133" t="s">
        <v>932</v>
      </c>
      <c r="CZ188" s="228">
        <v>402640</v>
      </c>
      <c r="DA188" s="228">
        <v>464240</v>
      </c>
      <c r="DB188" s="228">
        <v>560000</v>
      </c>
      <c r="DC188" s="228">
        <v>716800</v>
      </c>
      <c r="DD188" s="228">
        <v>798560</v>
      </c>
    </row>
    <row r="189" spans="1:108" ht="12.9" customHeight="1">
      <c r="C189" s="18"/>
      <c r="D189" t="s">
        <v>941</v>
      </c>
      <c r="I189" s="1484" t="s">
        <v>826</v>
      </c>
      <c r="J189" s="1372"/>
      <c r="K189" s="1372"/>
      <c r="L189" s="1372"/>
      <c r="M189" s="1372"/>
      <c r="N189" s="1372"/>
      <c r="O189" s="1372"/>
      <c r="P189" s="1372"/>
      <c r="Q189" t="s">
        <v>942</v>
      </c>
      <c r="T189" s="1372" t="s">
        <v>826</v>
      </c>
      <c r="U189" s="1372"/>
      <c r="V189" s="1372"/>
      <c r="W189" s="1372"/>
      <c r="X189" s="1372"/>
      <c r="Y189" s="1372"/>
      <c r="Z189" s="1372"/>
      <c r="AA189" s="1372"/>
      <c r="AB189" s="1372"/>
      <c r="AC189" s="1372"/>
      <c r="AD189" s="1372"/>
      <c r="AE189" s="1372"/>
      <c r="BC189" t="s">
        <v>311</v>
      </c>
      <c r="BH189" s="3" t="s">
        <v>820</v>
      </c>
      <c r="BN189" s="133" t="s">
        <v>943</v>
      </c>
      <c r="BS189">
        <v>5</v>
      </c>
      <c r="BT189" t="s">
        <v>944</v>
      </c>
      <c r="CB189" s="253" t="s">
        <v>936</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935</v>
      </c>
      <c r="CS189" s="226">
        <v>402065</v>
      </c>
      <c r="CT189" s="226">
        <v>463577</v>
      </c>
      <c r="CU189" s="226">
        <v>559200</v>
      </c>
      <c r="CV189" s="226">
        <v>715776</v>
      </c>
      <c r="CW189" s="226">
        <v>797419</v>
      </c>
      <c r="CX189" s="13"/>
      <c r="CY189" s="133" t="s">
        <v>935</v>
      </c>
      <c r="CZ189" s="226">
        <v>402065</v>
      </c>
      <c r="DA189" s="226">
        <v>463577</v>
      </c>
      <c r="DB189" s="226">
        <v>559200</v>
      </c>
      <c r="DC189" s="226">
        <v>715776</v>
      </c>
      <c r="DD189" s="226">
        <v>797419</v>
      </c>
    </row>
    <row r="190" spans="1:108" ht="12.9" customHeight="1">
      <c r="C190" s="18"/>
      <c r="D190" t="s">
        <v>945</v>
      </c>
      <c r="I190" s="1341">
        <v>94121</v>
      </c>
      <c r="J190" s="1341"/>
      <c r="K190" s="1341"/>
      <c r="L190" s="1341"/>
      <c r="M190" s="1341"/>
      <c r="N190" s="1341"/>
      <c r="O190" t="s">
        <v>946</v>
      </c>
      <c r="T190" s="1513" t="s">
        <v>2766</v>
      </c>
      <c r="U190" s="1514"/>
      <c r="V190" s="1514"/>
      <c r="W190" s="1514"/>
      <c r="X190" s="1514"/>
      <c r="Y190" s="1514"/>
      <c r="Z190" s="1514"/>
      <c r="AA190" s="1514"/>
      <c r="AB190" s="1514"/>
      <c r="AC190" s="1514"/>
      <c r="AD190" s="1514"/>
      <c r="AE190" s="1514"/>
      <c r="BC190" t="s">
        <v>947</v>
      </c>
      <c r="BH190" t="s">
        <v>947</v>
      </c>
      <c r="BN190" s="133" t="s">
        <v>948</v>
      </c>
      <c r="BS190">
        <v>6</v>
      </c>
      <c r="BT190" t="s">
        <v>949</v>
      </c>
      <c r="CB190" s="253" t="s">
        <v>938</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937</v>
      </c>
      <c r="CS190" s="228">
        <v>360075</v>
      </c>
      <c r="CT190" s="228">
        <v>415163</v>
      </c>
      <c r="CU190" s="228">
        <v>500800</v>
      </c>
      <c r="CV190" s="228">
        <v>641024</v>
      </c>
      <c r="CW190" s="228">
        <v>714141</v>
      </c>
      <c r="CX190" s="13"/>
      <c r="CY190" s="133" t="s">
        <v>937</v>
      </c>
      <c r="CZ190" s="228">
        <v>360075</v>
      </c>
      <c r="DA190" s="228">
        <v>415163</v>
      </c>
      <c r="DB190" s="228">
        <v>500800</v>
      </c>
      <c r="DC190" s="228">
        <v>641024</v>
      </c>
      <c r="DD190" s="228">
        <v>714141</v>
      </c>
    </row>
    <row r="191" spans="1:108" ht="12.9" customHeight="1">
      <c r="C191" s="18"/>
      <c r="D191" t="s">
        <v>950</v>
      </c>
      <c r="N191" s="1487" t="s">
        <v>2765</v>
      </c>
      <c r="O191" s="1489"/>
      <c r="P191" s="1489"/>
      <c r="Q191" s="1489"/>
      <c r="R191" s="1489"/>
      <c r="S191" s="1489"/>
      <c r="T191" s="1489"/>
      <c r="U191" s="1489"/>
      <c r="V191" s="1489"/>
      <c r="W191" s="1489"/>
      <c r="X191" s="1489"/>
      <c r="Y191" s="1489"/>
      <c r="Z191" s="1489"/>
      <c r="AA191" s="1489"/>
      <c r="AB191" s="1489"/>
      <c r="AC191" s="1489"/>
      <c r="AD191" s="1489"/>
      <c r="AE191" s="1489"/>
      <c r="BC191" t="s">
        <v>951</v>
      </c>
      <c r="BH191" t="s">
        <v>951</v>
      </c>
      <c r="BN191" s="133" t="s">
        <v>952</v>
      </c>
      <c r="BS191">
        <v>4</v>
      </c>
      <c r="BT191" t="s">
        <v>953</v>
      </c>
      <c r="CB191" s="253" t="s">
        <v>940</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939</v>
      </c>
      <c r="CS191" s="226">
        <v>402640</v>
      </c>
      <c r="CT191" s="226">
        <v>464240</v>
      </c>
      <c r="CU191" s="226">
        <v>560000</v>
      </c>
      <c r="CV191" s="226">
        <v>716800</v>
      </c>
      <c r="CW191" s="226">
        <v>798560</v>
      </c>
      <c r="CX191" s="13"/>
      <c r="CY191" s="133" t="s">
        <v>939</v>
      </c>
      <c r="CZ191" s="226">
        <v>402640</v>
      </c>
      <c r="DA191" s="226">
        <v>464240</v>
      </c>
      <c r="DB191" s="226">
        <v>560000</v>
      </c>
      <c r="DC191" s="226">
        <v>716800</v>
      </c>
      <c r="DD191" s="226">
        <v>798560</v>
      </c>
    </row>
    <row r="192" spans="1:108" ht="12.9" customHeight="1">
      <c r="C192" s="18"/>
      <c r="M192" s="32"/>
      <c r="N192" s="1490"/>
      <c r="O192" s="1490"/>
      <c r="P192" s="1490"/>
      <c r="Q192" s="1490"/>
      <c r="R192" s="1490"/>
      <c r="S192" s="1490"/>
      <c r="T192" s="1490"/>
      <c r="U192" s="1490"/>
      <c r="V192" s="1490"/>
      <c r="W192" s="1490"/>
      <c r="X192" s="1490"/>
      <c r="Y192" s="1490"/>
      <c r="Z192" s="1490"/>
      <c r="AA192" s="1490"/>
      <c r="AB192" s="1490"/>
      <c r="AC192" s="1490"/>
      <c r="AD192" s="1490"/>
      <c r="AE192" s="1490"/>
      <c r="BC192" t="s">
        <v>954</v>
      </c>
      <c r="BH192" s="3" t="s">
        <v>955</v>
      </c>
      <c r="BN192" s="133" t="s">
        <v>956</v>
      </c>
      <c r="BS192">
        <v>5</v>
      </c>
      <c r="BT192" t="s">
        <v>957</v>
      </c>
      <c r="CB192" s="253" t="s">
        <v>944</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943</v>
      </c>
      <c r="CS192" s="228">
        <v>381933</v>
      </c>
      <c r="CT192" s="228">
        <v>440365</v>
      </c>
      <c r="CU192" s="228">
        <v>531200</v>
      </c>
      <c r="CV192" s="228">
        <v>679936</v>
      </c>
      <c r="CW192" s="228">
        <v>757491</v>
      </c>
      <c r="CX192" s="13"/>
      <c r="CY192" s="133" t="s">
        <v>943</v>
      </c>
      <c r="CZ192" s="228">
        <v>381933</v>
      </c>
      <c r="DA192" s="228">
        <v>440365</v>
      </c>
      <c r="DB192" s="228">
        <v>531200</v>
      </c>
      <c r="DC192" s="228">
        <v>679936</v>
      </c>
      <c r="DD192" s="228">
        <v>757491</v>
      </c>
    </row>
    <row r="193" spans="1:108" ht="12.9" customHeight="1">
      <c r="C193" s="18"/>
      <c r="D193" t="s">
        <v>958</v>
      </c>
      <c r="M193" s="32"/>
      <c r="N193" s="786"/>
      <c r="O193" s="786"/>
      <c r="P193" s="786"/>
      <c r="Q193" s="786"/>
      <c r="R193" s="786"/>
      <c r="S193" s="786"/>
      <c r="T193" s="1518" t="s">
        <v>894</v>
      </c>
      <c r="U193" s="1518"/>
      <c r="V193" s="1518"/>
      <c r="W193" s="1518"/>
      <c r="X193" s="1518"/>
      <c r="Y193" s="1518"/>
      <c r="Z193" s="1518"/>
      <c r="AA193" s="1518"/>
      <c r="AB193" s="1518"/>
      <c r="AC193" s="1518"/>
      <c r="AD193" s="1518"/>
      <c r="AE193" s="1518"/>
      <c r="AF193" s="1518"/>
      <c r="AG193" s="1518"/>
      <c r="AH193" s="1518"/>
      <c r="AI193" s="1518"/>
      <c r="BC193" t="s">
        <v>959</v>
      </c>
      <c r="BH193" s="3" t="s">
        <v>960</v>
      </c>
      <c r="BN193" s="133" t="s">
        <v>961</v>
      </c>
      <c r="BS193">
        <v>4</v>
      </c>
      <c r="BT193" t="s">
        <v>962</v>
      </c>
      <c r="CB193" s="253" t="s">
        <v>949</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948</v>
      </c>
      <c r="CS193" s="226">
        <v>360075</v>
      </c>
      <c r="CT193" s="226">
        <v>415163</v>
      </c>
      <c r="CU193" s="226">
        <v>500800</v>
      </c>
      <c r="CV193" s="226">
        <v>641024</v>
      </c>
      <c r="CW193" s="226">
        <v>714141</v>
      </c>
      <c r="CX193" s="13"/>
      <c r="CY193" s="133" t="s">
        <v>948</v>
      </c>
      <c r="CZ193" s="226">
        <v>360075</v>
      </c>
      <c r="DA193" s="226">
        <v>415163</v>
      </c>
      <c r="DB193" s="226">
        <v>500800</v>
      </c>
      <c r="DC193" s="226">
        <v>641024</v>
      </c>
      <c r="DD193" s="226">
        <v>714141</v>
      </c>
    </row>
    <row r="194" spans="1:108" ht="12.9" customHeight="1">
      <c r="C194" s="18"/>
      <c r="D194" s="3" t="s">
        <v>963</v>
      </c>
      <c r="M194" s="32"/>
      <c r="N194" s="786"/>
      <c r="O194" s="786"/>
      <c r="P194" s="786"/>
      <c r="Q194" s="786"/>
      <c r="R194" s="786"/>
      <c r="S194" s="786"/>
      <c r="AH194" s="1380" t="s">
        <v>698</v>
      </c>
      <c r="AI194" s="1380"/>
      <c r="BC194" t="s">
        <v>955</v>
      </c>
      <c r="BN194" s="133" t="s">
        <v>964</v>
      </c>
      <c r="BS194">
        <v>2</v>
      </c>
      <c r="BT194" t="s">
        <v>826</v>
      </c>
      <c r="CB194" s="253" t="s">
        <v>953</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952</v>
      </c>
      <c r="CS194" s="228">
        <v>402640</v>
      </c>
      <c r="CT194" s="228">
        <v>464240</v>
      </c>
      <c r="CU194" s="228">
        <v>560000</v>
      </c>
      <c r="CV194" s="228">
        <v>716800</v>
      </c>
      <c r="CW194" s="228">
        <v>798560</v>
      </c>
      <c r="CX194" s="13"/>
      <c r="CY194" s="133" t="s">
        <v>952</v>
      </c>
      <c r="CZ194" s="228">
        <v>402640</v>
      </c>
      <c r="DA194" s="228">
        <v>464240</v>
      </c>
      <c r="DB194" s="228">
        <v>560000</v>
      </c>
      <c r="DC194" s="228">
        <v>716800</v>
      </c>
      <c r="DD194" s="228">
        <v>798560</v>
      </c>
    </row>
    <row r="195" spans="1:108" ht="12.9" customHeight="1">
      <c r="C195" s="18"/>
      <c r="D195" t="s">
        <v>965</v>
      </c>
      <c r="T195" s="1380" t="s">
        <v>698</v>
      </c>
      <c r="U195" s="1380"/>
      <c r="W195" t="s">
        <v>966</v>
      </c>
      <c r="AH195" s="1380">
        <v>11</v>
      </c>
      <c r="AI195" s="1380"/>
      <c r="BC195" t="s">
        <v>967</v>
      </c>
      <c r="BN195" s="133" t="s">
        <v>968</v>
      </c>
      <c r="BS195">
        <v>6</v>
      </c>
      <c r="BT195" t="s">
        <v>969</v>
      </c>
      <c r="CB195" s="253" t="s">
        <v>957</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956</v>
      </c>
      <c r="CS195" s="226">
        <v>381933</v>
      </c>
      <c r="CT195" s="226">
        <v>440365</v>
      </c>
      <c r="CU195" s="226">
        <v>531200</v>
      </c>
      <c r="CV195" s="226">
        <v>679936</v>
      </c>
      <c r="CW195" s="226">
        <v>757491</v>
      </c>
      <c r="CX195" s="13"/>
      <c r="CY195" s="133" t="s">
        <v>956</v>
      </c>
      <c r="CZ195" s="226">
        <v>381933</v>
      </c>
      <c r="DA195" s="226">
        <v>440365</v>
      </c>
      <c r="DB195" s="226">
        <v>531200</v>
      </c>
      <c r="DC195" s="226">
        <v>679936</v>
      </c>
      <c r="DD195" s="226">
        <v>757491</v>
      </c>
    </row>
    <row r="196" spans="1:108" ht="12.9" customHeight="1">
      <c r="C196" s="18"/>
      <c r="D196" t="s">
        <v>970</v>
      </c>
      <c r="T196" s="1394" t="s">
        <v>856</v>
      </c>
      <c r="U196" s="1394"/>
      <c r="W196" t="s">
        <v>971</v>
      </c>
      <c r="AH196" s="1380">
        <v>19</v>
      </c>
      <c r="AI196" s="1380"/>
      <c r="BN196" s="133" t="s">
        <v>972</v>
      </c>
      <c r="BS196">
        <v>4</v>
      </c>
      <c r="BT196" t="s">
        <v>973</v>
      </c>
      <c r="CB196" s="253" t="s">
        <v>962</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961</v>
      </c>
      <c r="CS196" s="228">
        <v>392286</v>
      </c>
      <c r="CT196" s="228">
        <v>452302</v>
      </c>
      <c r="CU196" s="228">
        <v>545600</v>
      </c>
      <c r="CV196" s="228">
        <v>698368</v>
      </c>
      <c r="CW196" s="228">
        <v>778026</v>
      </c>
      <c r="CX196" s="13"/>
      <c r="CY196" s="133" t="s">
        <v>961</v>
      </c>
      <c r="CZ196" s="228">
        <v>392286</v>
      </c>
      <c r="DA196" s="228">
        <v>452302</v>
      </c>
      <c r="DB196" s="228">
        <v>545600</v>
      </c>
      <c r="DC196" s="228">
        <v>698368</v>
      </c>
      <c r="DD196" s="228">
        <v>778026</v>
      </c>
    </row>
    <row r="197" spans="1:108" ht="12.9" customHeight="1">
      <c r="C197" s="18"/>
      <c r="D197" s="3" t="s">
        <v>974</v>
      </c>
      <c r="T197" s="1394" t="s">
        <v>698</v>
      </c>
      <c r="U197" s="1394"/>
      <c r="W197" t="s">
        <v>975</v>
      </c>
      <c r="AH197" s="1380">
        <v>11</v>
      </c>
      <c r="AI197" s="1380"/>
      <c r="BC197" t="s">
        <v>311</v>
      </c>
      <c r="BN197" s="133" t="s">
        <v>976</v>
      </c>
      <c r="BS197">
        <v>2</v>
      </c>
      <c r="BT197" t="s">
        <v>977</v>
      </c>
      <c r="CB197" s="253" t="s">
        <v>826</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964</v>
      </c>
      <c r="CS197" s="226">
        <v>694266</v>
      </c>
      <c r="CT197" s="226">
        <v>800482</v>
      </c>
      <c r="CU197" s="226">
        <v>965600</v>
      </c>
      <c r="CV197" s="226">
        <v>1235968</v>
      </c>
      <c r="CW197" s="226">
        <v>1376946</v>
      </c>
      <c r="CX197" s="13"/>
      <c r="CY197" s="133" t="s">
        <v>964</v>
      </c>
      <c r="CZ197" s="226">
        <v>694266</v>
      </c>
      <c r="DA197" s="226">
        <v>800482</v>
      </c>
      <c r="DB197" s="226">
        <v>965600</v>
      </c>
      <c r="DC197" s="226">
        <v>1235968</v>
      </c>
      <c r="DD197" s="226">
        <v>1376946</v>
      </c>
    </row>
    <row r="198" spans="1:108" s="13" customFormat="1" ht="12.9" customHeight="1">
      <c r="A198"/>
      <c r="B198"/>
      <c r="C198" s="18"/>
      <c r="D198" s="3" t="s">
        <v>978</v>
      </c>
      <c r="E198"/>
      <c r="F198"/>
      <c r="G198"/>
      <c r="H198"/>
      <c r="I198"/>
      <c r="J198"/>
      <c r="K198"/>
      <c r="L198"/>
      <c r="M198"/>
      <c r="N198"/>
      <c r="O198"/>
      <c r="P198"/>
      <c r="Q198"/>
      <c r="R198"/>
      <c r="S198"/>
      <c r="T198" s="1394"/>
      <c r="U198" s="1394"/>
      <c r="V198"/>
      <c r="X198" s="1495" t="s">
        <v>979</v>
      </c>
      <c r="Y198" s="1495"/>
      <c r="Z198" s="1495"/>
      <c r="AA198" s="1495"/>
      <c r="AB198" s="1495"/>
      <c r="AC198" s="1495"/>
      <c r="AD198" s="1495"/>
      <c r="AE198" s="1495"/>
      <c r="AF198" s="1495"/>
      <c r="AG198" s="1495"/>
      <c r="AH198" s="1495"/>
      <c r="AI198" s="1495"/>
      <c r="AJ198" s="1495"/>
      <c r="AK198" s="1495"/>
      <c r="AL198" s="1495"/>
      <c r="AM198" s="1495"/>
      <c r="AN198" s="1495"/>
      <c r="AO198" s="1495"/>
      <c r="AP198" s="1495"/>
      <c r="AQ198" s="1495"/>
      <c r="AR198" s="1495"/>
      <c r="AS198" s="1495"/>
      <c r="AT198" s="1495"/>
      <c r="AU198"/>
      <c r="AV198"/>
      <c r="AW198"/>
      <c r="AX198"/>
      <c r="AY198"/>
      <c r="AZ198" s="25"/>
      <c r="BA198" s="25"/>
      <c r="BC198" s="13" t="s">
        <v>820</v>
      </c>
      <c r="BD198"/>
      <c r="BN198" s="133" t="s">
        <v>980</v>
      </c>
      <c r="BO198"/>
      <c r="BP198"/>
      <c r="BQ198"/>
      <c r="BR198"/>
      <c r="BS198">
        <v>4</v>
      </c>
      <c r="BT198" t="s">
        <v>981</v>
      </c>
      <c r="BU198"/>
      <c r="BV198" s="26"/>
      <c r="CB198" s="253" t="s">
        <v>969</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968</v>
      </c>
      <c r="CS198" s="228">
        <v>323262</v>
      </c>
      <c r="CT198" s="228">
        <v>372718</v>
      </c>
      <c r="CU198" s="228">
        <v>449600</v>
      </c>
      <c r="CV198" s="228">
        <v>575488</v>
      </c>
      <c r="CW198" s="228">
        <v>641130</v>
      </c>
      <c r="CY198" s="133" t="s">
        <v>968</v>
      </c>
      <c r="CZ198" s="228">
        <v>323262</v>
      </c>
      <c r="DA198" s="228">
        <v>372718</v>
      </c>
      <c r="DB198" s="228">
        <v>449600</v>
      </c>
      <c r="DC198" s="228">
        <v>575488</v>
      </c>
      <c r="DD198" s="228">
        <v>641130</v>
      </c>
    </row>
    <row r="199" spans="1:108" s="13" customFormat="1" ht="12.9" customHeight="1">
      <c r="A199"/>
      <c r="B199"/>
      <c r="C199" s="18"/>
      <c r="D199" s="84" t="s">
        <v>982</v>
      </c>
      <c r="E199"/>
      <c r="F199"/>
      <c r="G199"/>
      <c r="H199"/>
      <c r="I199"/>
      <c r="J199"/>
      <c r="K199"/>
      <c r="L199"/>
      <c r="M199"/>
      <c r="N199"/>
      <c r="O199"/>
      <c r="P199"/>
      <c r="Q199"/>
      <c r="R199"/>
      <c r="S199"/>
      <c r="T199" s="1380" t="s">
        <v>698</v>
      </c>
      <c r="U199" s="1380"/>
      <c r="V199"/>
      <c r="W199"/>
      <c r="X199" s="1495"/>
      <c r="Y199" s="1495"/>
      <c r="Z199" s="1495"/>
      <c r="AA199" s="1495"/>
      <c r="AB199" s="1495"/>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c r="AV199"/>
      <c r="AW199"/>
      <c r="AX199"/>
      <c r="AY199"/>
      <c r="AZ199" s="25"/>
      <c r="BA199" s="25"/>
      <c r="BC199" t="s">
        <v>807</v>
      </c>
      <c r="BD199"/>
      <c r="BN199" s="133" t="s">
        <v>983</v>
      </c>
      <c r="BO199"/>
      <c r="BP199"/>
      <c r="BQ199"/>
      <c r="BR199"/>
      <c r="BS199">
        <v>2</v>
      </c>
      <c r="BT199" s="27" t="s">
        <v>984</v>
      </c>
      <c r="BU199"/>
      <c r="BV199" s="26"/>
      <c r="CB199" s="253" t="s">
        <v>973</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972</v>
      </c>
      <c r="CS199" s="226">
        <v>442904</v>
      </c>
      <c r="CT199" s="226">
        <v>510664</v>
      </c>
      <c r="CU199" s="226">
        <v>616000</v>
      </c>
      <c r="CV199" s="226">
        <v>788480</v>
      </c>
      <c r="CW199" s="226">
        <v>878416</v>
      </c>
      <c r="CY199" s="133" t="s">
        <v>972</v>
      </c>
      <c r="CZ199" s="226">
        <v>442904</v>
      </c>
      <c r="DA199" s="226">
        <v>510664</v>
      </c>
      <c r="DB199" s="226">
        <v>616000</v>
      </c>
      <c r="DC199" s="226">
        <v>788480</v>
      </c>
      <c r="DD199" s="226">
        <v>878416</v>
      </c>
    </row>
    <row r="200" spans="1:108" s="13" customFormat="1" ht="12.9" customHeight="1">
      <c r="A200"/>
      <c r="B200"/>
      <c r="C200" s="18"/>
      <c r="D200" s="13" t="s">
        <v>985</v>
      </c>
      <c r="T200" s="1380" t="s">
        <v>698</v>
      </c>
      <c r="U200" s="1380"/>
      <c r="V200"/>
      <c r="W200"/>
      <c r="X200"/>
      <c r="Y200"/>
      <c r="AA200"/>
      <c r="AB200" s="1072" t="s">
        <v>986</v>
      </c>
      <c r="AC200"/>
      <c r="AF200"/>
      <c r="AG200"/>
      <c r="AH200" s="1"/>
      <c r="AJ200"/>
      <c r="AK200"/>
      <c r="AL200"/>
      <c r="AM200"/>
      <c r="AN200"/>
      <c r="AO200"/>
      <c r="AP200"/>
      <c r="AQ200"/>
      <c r="AR200"/>
      <c r="AS200"/>
      <c r="AU200"/>
      <c r="AV200"/>
      <c r="AW200"/>
      <c r="AX200"/>
      <c r="AY200"/>
      <c r="AZ200" s="25"/>
      <c r="BA200" s="25"/>
      <c r="BC200" s="3" t="s">
        <v>987</v>
      </c>
      <c r="BD200" s="339"/>
      <c r="BN200" s="133" t="s">
        <v>988</v>
      </c>
      <c r="BO200"/>
      <c r="BP200"/>
      <c r="BQ200"/>
      <c r="BR200"/>
      <c r="BS200">
        <v>2</v>
      </c>
      <c r="BT200" s="27" t="s">
        <v>989</v>
      </c>
      <c r="BU200"/>
      <c r="CB200" s="253" t="s">
        <v>977</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976</v>
      </c>
      <c r="CS200" s="227">
        <v>532060</v>
      </c>
      <c r="CT200" s="227">
        <v>613460</v>
      </c>
      <c r="CU200" s="228">
        <v>740000</v>
      </c>
      <c r="CV200" s="227">
        <v>947200</v>
      </c>
      <c r="CW200" s="227">
        <v>1055240</v>
      </c>
      <c r="CY200" s="133" t="s">
        <v>976</v>
      </c>
      <c r="CZ200" s="227">
        <v>532060</v>
      </c>
      <c r="DA200" s="227">
        <v>613460</v>
      </c>
      <c r="DB200" s="227">
        <v>740000</v>
      </c>
      <c r="DC200" s="227">
        <v>947200</v>
      </c>
      <c r="DD200" s="227">
        <v>1055240</v>
      </c>
    </row>
    <row r="201" spans="1:108" s="13" customFormat="1" ht="12.9" customHeight="1">
      <c r="A201"/>
      <c r="B201"/>
      <c r="C201" s="18"/>
      <c r="E201" s="3" t="s">
        <v>990</v>
      </c>
      <c r="V201"/>
      <c r="X201"/>
      <c r="Y201"/>
      <c r="Z201"/>
      <c r="AB201" s="1072" t="s">
        <v>991</v>
      </c>
      <c r="AC201"/>
      <c r="AH201" s="1"/>
      <c r="AJ201"/>
      <c r="AK201"/>
      <c r="AL201"/>
      <c r="AM201"/>
      <c r="AN201"/>
      <c r="AO201"/>
      <c r="AP201"/>
      <c r="AQ201"/>
      <c r="AR201"/>
      <c r="AS201"/>
      <c r="AU201"/>
      <c r="AV201"/>
      <c r="AW201"/>
      <c r="AX201"/>
      <c r="AY201"/>
      <c r="AZ201" s="25"/>
      <c r="BA201" s="25"/>
      <c r="BC201" s="3" t="s">
        <v>992</v>
      </c>
      <c r="BD201" s="339"/>
      <c r="BN201" s="133" t="s">
        <v>993</v>
      </c>
      <c r="BO201" s="26"/>
      <c r="BP201" s="27"/>
      <c r="BQ201" s="27"/>
      <c r="BR201" s="27"/>
      <c r="BS201">
        <v>6</v>
      </c>
      <c r="BT201" s="27" t="s">
        <v>994</v>
      </c>
      <c r="BU201"/>
      <c r="CB201" s="253" t="s">
        <v>981</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980</v>
      </c>
      <c r="CS201" s="226">
        <v>442904</v>
      </c>
      <c r="CT201" s="226">
        <v>510664</v>
      </c>
      <c r="CU201" s="226">
        <v>616000</v>
      </c>
      <c r="CV201" s="226">
        <v>788480</v>
      </c>
      <c r="CW201" s="226">
        <v>878416</v>
      </c>
      <c r="CY201" s="133" t="s">
        <v>980</v>
      </c>
      <c r="CZ201" s="226">
        <v>442904</v>
      </c>
      <c r="DA201" s="226">
        <v>510664</v>
      </c>
      <c r="DB201" s="226">
        <v>616000</v>
      </c>
      <c r="DC201" s="226">
        <v>788480</v>
      </c>
      <c r="DD201" s="226">
        <v>878416</v>
      </c>
    </row>
    <row r="202" spans="1:108" ht="12.9" customHeight="1">
      <c r="C202" s="18"/>
      <c r="AE202" s="7"/>
      <c r="BC202" t="s">
        <v>995</v>
      </c>
      <c r="BD202" s="339"/>
      <c r="BN202" s="133" t="s">
        <v>996</v>
      </c>
      <c r="BO202" s="13"/>
      <c r="BP202" s="27"/>
      <c r="BQ202" s="27"/>
      <c r="BR202" s="27"/>
      <c r="BS202">
        <v>7</v>
      </c>
      <c r="BT202" s="27" t="s">
        <v>997</v>
      </c>
      <c r="CB202" s="253" t="s">
        <v>984</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983</v>
      </c>
      <c r="CS202" s="227">
        <v>532060</v>
      </c>
      <c r="CT202" s="227">
        <v>613460</v>
      </c>
      <c r="CU202" s="227">
        <v>740000</v>
      </c>
      <c r="CV202" s="227">
        <v>947200</v>
      </c>
      <c r="CW202" s="227">
        <v>1055240</v>
      </c>
      <c r="CX202" s="13"/>
      <c r="CY202" s="133" t="s">
        <v>983</v>
      </c>
      <c r="CZ202" s="227">
        <v>532060</v>
      </c>
      <c r="DA202" s="227">
        <v>613460</v>
      </c>
      <c r="DB202" s="227">
        <v>740000</v>
      </c>
      <c r="DC202" s="227">
        <v>947200</v>
      </c>
      <c r="DD202" s="227">
        <v>1055240</v>
      </c>
    </row>
    <row r="203" spans="1:108" ht="12.9" customHeight="1">
      <c r="A203" s="2" t="s">
        <v>998</v>
      </c>
      <c r="C203" s="2" t="s">
        <v>999</v>
      </c>
      <c r="BC203" t="s">
        <v>1000</v>
      </c>
      <c r="BN203" s="133" t="s">
        <v>1001</v>
      </c>
      <c r="BO203" s="13"/>
      <c r="BP203" s="27"/>
      <c r="BQ203" s="27"/>
      <c r="BR203" s="27"/>
      <c r="BS203">
        <v>7</v>
      </c>
      <c r="BT203" s="27" t="s">
        <v>1002</v>
      </c>
      <c r="CB203" s="253" t="s">
        <v>989</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988</v>
      </c>
      <c r="CS203" s="226">
        <v>442904</v>
      </c>
      <c r="CT203" s="226">
        <v>510664</v>
      </c>
      <c r="CU203" s="226">
        <v>616000</v>
      </c>
      <c r="CV203" s="226">
        <v>788480</v>
      </c>
      <c r="CW203" s="226">
        <v>878416</v>
      </c>
      <c r="CX203" s="13"/>
      <c r="CY203" s="133" t="s">
        <v>988</v>
      </c>
      <c r="CZ203" s="226">
        <v>442904</v>
      </c>
      <c r="DA203" s="226">
        <v>510664</v>
      </c>
      <c r="DB203" s="226">
        <v>616000</v>
      </c>
      <c r="DC203" s="226">
        <v>788480</v>
      </c>
      <c r="DD203" s="226">
        <v>878416</v>
      </c>
    </row>
    <row r="204" spans="1:108" ht="12.9" customHeight="1">
      <c r="D204" s="1445" t="s">
        <v>1003</v>
      </c>
      <c r="E204" s="1445"/>
      <c r="F204" s="1445"/>
      <c r="G204" s="1445"/>
      <c r="H204" s="1445"/>
      <c r="I204" s="1445"/>
      <c r="J204" s="1445"/>
      <c r="K204" s="1445"/>
      <c r="L204" s="1445"/>
      <c r="M204" s="1445"/>
      <c r="P204" s="1508">
        <f>M26</f>
        <v>3513100</v>
      </c>
      <c r="Q204" s="1509"/>
      <c r="R204" s="1509"/>
      <c r="S204" s="1509"/>
      <c r="T204" s="1509"/>
      <c r="U204" s="1509"/>
      <c r="BC204" t="s">
        <v>1004</v>
      </c>
      <c r="BN204" s="133" t="s">
        <v>1005</v>
      </c>
      <c r="BS204">
        <v>6</v>
      </c>
      <c r="BT204" s="27" t="s">
        <v>1006</v>
      </c>
      <c r="BU204" s="13"/>
      <c r="CB204" s="253" t="s">
        <v>994</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993</v>
      </c>
      <c r="CS204" s="228">
        <v>369278</v>
      </c>
      <c r="CT204" s="228">
        <v>425774</v>
      </c>
      <c r="CU204" s="228">
        <v>513600</v>
      </c>
      <c r="CV204" s="228">
        <v>657408</v>
      </c>
      <c r="CW204" s="228">
        <v>732394</v>
      </c>
      <c r="CX204" s="13"/>
      <c r="CY204" s="133" t="s">
        <v>993</v>
      </c>
      <c r="CZ204" s="228">
        <v>369278</v>
      </c>
      <c r="DA204" s="228">
        <v>425774</v>
      </c>
      <c r="DB204" s="228">
        <v>513600</v>
      </c>
      <c r="DC204" s="228">
        <v>657408</v>
      </c>
      <c r="DD204" s="228">
        <v>732394</v>
      </c>
    </row>
    <row r="205" spans="1:108" ht="12.9" customHeight="1">
      <c r="C205" s="18"/>
      <c r="D205" s="1496" t="s">
        <v>1007</v>
      </c>
      <c r="E205" s="1445"/>
      <c r="F205" s="1445"/>
      <c r="G205" s="1445"/>
      <c r="H205" s="1445"/>
      <c r="I205" s="1445"/>
      <c r="J205" s="1445"/>
      <c r="K205" s="1445"/>
      <c r="L205" s="1445"/>
      <c r="M205" s="1445"/>
      <c r="P205" s="1509">
        <f>M27</f>
        <v>0</v>
      </c>
      <c r="Q205" s="1509"/>
      <c r="R205" s="1509"/>
      <c r="S205" s="1509"/>
      <c r="T205" s="1509"/>
      <c r="U205" s="1509"/>
      <c r="V205" s="19"/>
      <c r="W205" s="3" t="s">
        <v>1008</v>
      </c>
      <c r="Z205" s="1493" t="s">
        <v>1009</v>
      </c>
      <c r="AA205" s="1493"/>
      <c r="AB205" s="1493"/>
      <c r="AC205" s="1493"/>
      <c r="AD205" s="1493"/>
      <c r="AE205" s="1493"/>
      <c r="AF205" s="1493"/>
      <c r="AG205" s="1493"/>
      <c r="AH205" s="1493"/>
      <c r="AI205" s="1493"/>
      <c r="AJ205" s="1493"/>
      <c r="AK205" s="1493"/>
      <c r="AL205" s="1493"/>
      <c r="AM205" s="1493"/>
      <c r="AN205" s="1493"/>
      <c r="AP205" s="1370"/>
      <c r="AQ205" s="1370"/>
      <c r="BC205" t="s">
        <v>1010</v>
      </c>
      <c r="BN205" s="133" t="s">
        <v>1011</v>
      </c>
      <c r="BS205">
        <v>4</v>
      </c>
      <c r="BT205" s="27" t="s">
        <v>1012</v>
      </c>
      <c r="BU205" s="13"/>
      <c r="CB205" s="253" t="s">
        <v>997</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996</v>
      </c>
      <c r="CS205" s="226">
        <v>402640</v>
      </c>
      <c r="CT205" s="226">
        <v>464240</v>
      </c>
      <c r="CU205" s="226">
        <v>560000</v>
      </c>
      <c r="CV205" s="226">
        <v>716800</v>
      </c>
      <c r="CW205" s="226">
        <v>798560</v>
      </c>
      <c r="CX205" s="13"/>
      <c r="CY205" s="133" t="s">
        <v>996</v>
      </c>
      <c r="CZ205" s="226">
        <v>402640</v>
      </c>
      <c r="DA205" s="226">
        <v>464240</v>
      </c>
      <c r="DB205" s="226">
        <v>560000</v>
      </c>
      <c r="DC205" s="226">
        <v>716800</v>
      </c>
      <c r="DD205" s="226">
        <v>798560</v>
      </c>
    </row>
    <row r="206" spans="1:108" ht="12.9" customHeight="1">
      <c r="D206" s="24"/>
      <c r="E206" s="24"/>
      <c r="F206" s="24"/>
      <c r="G206" s="24"/>
      <c r="H206" s="24"/>
      <c r="I206" s="24"/>
      <c r="J206" s="24"/>
      <c r="K206" s="24"/>
      <c r="L206" s="24"/>
      <c r="M206" s="24"/>
      <c r="N206" s="24"/>
      <c r="O206" s="24"/>
      <c r="P206" s="24"/>
      <c r="BC206" t="s">
        <v>1013</v>
      </c>
      <c r="BN206" s="133" t="s">
        <v>1014</v>
      </c>
      <c r="BS206">
        <v>5</v>
      </c>
      <c r="BT206" s="27" t="s">
        <v>1015</v>
      </c>
      <c r="BU206" s="13"/>
      <c r="CB206" s="253" t="s">
        <v>1002</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1001</v>
      </c>
      <c r="CS206" s="228">
        <v>402640</v>
      </c>
      <c r="CT206" s="228">
        <v>464240</v>
      </c>
      <c r="CU206" s="228">
        <v>560000</v>
      </c>
      <c r="CV206" s="228">
        <v>716800</v>
      </c>
      <c r="CW206" s="228">
        <v>798560</v>
      </c>
      <c r="CX206" s="13"/>
      <c r="CY206" s="133" t="s">
        <v>1001</v>
      </c>
      <c r="CZ206" s="228">
        <v>402640</v>
      </c>
      <c r="DA206" s="228">
        <v>464240</v>
      </c>
      <c r="DB206" s="228">
        <v>560000</v>
      </c>
      <c r="DC206" s="228">
        <v>716800</v>
      </c>
      <c r="DD206" s="228">
        <v>798560</v>
      </c>
    </row>
    <row r="207" spans="1:108" ht="12.9" customHeight="1">
      <c r="A207" s="2" t="s">
        <v>1016</v>
      </c>
      <c r="C207" s="2" t="s">
        <v>1017</v>
      </c>
      <c r="BC207" s="340" t="s">
        <v>1018</v>
      </c>
      <c r="BN207" s="133" t="s">
        <v>1019</v>
      </c>
      <c r="BS207">
        <v>6</v>
      </c>
      <c r="BT207" s="27" t="s">
        <v>1020</v>
      </c>
      <c r="CB207" s="253" t="s">
        <v>1006</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1005</v>
      </c>
      <c r="CS207" s="226">
        <v>406666</v>
      </c>
      <c r="CT207" s="226">
        <v>468882</v>
      </c>
      <c r="CU207" s="226">
        <v>565600</v>
      </c>
      <c r="CV207" s="226">
        <v>723968</v>
      </c>
      <c r="CW207" s="226">
        <v>806546</v>
      </c>
      <c r="CX207" s="13"/>
      <c r="CY207" s="133" t="s">
        <v>1005</v>
      </c>
      <c r="CZ207" s="226">
        <v>406666</v>
      </c>
      <c r="DA207" s="226">
        <v>468882</v>
      </c>
      <c r="DB207" s="226">
        <v>565600</v>
      </c>
      <c r="DC207" s="226">
        <v>723968</v>
      </c>
      <c r="DD207" s="226">
        <v>806546</v>
      </c>
    </row>
    <row r="208" spans="1:108" ht="12.9" customHeight="1">
      <c r="C208" s="18"/>
      <c r="D208" s="1484" t="s">
        <v>1021</v>
      </c>
      <c r="E208" s="1484"/>
      <c r="F208" s="1484"/>
      <c r="G208" s="1484"/>
      <c r="H208" s="1484"/>
      <c r="I208" s="1484"/>
      <c r="J208" s="1484"/>
      <c r="K208" s="1484"/>
      <c r="L208" s="1484"/>
      <c r="M208" s="1484"/>
      <c r="BC208" s="3" t="s">
        <v>1022</v>
      </c>
      <c r="BN208" s="133" t="s">
        <v>1023</v>
      </c>
      <c r="BS208">
        <v>7</v>
      </c>
      <c r="BT208" s="27" t="s">
        <v>1024</v>
      </c>
      <c r="CB208" s="253" t="s">
        <v>1012</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1011</v>
      </c>
      <c r="CS208" s="228">
        <v>406666</v>
      </c>
      <c r="CT208" s="228">
        <v>468882</v>
      </c>
      <c r="CU208" s="228">
        <v>565600</v>
      </c>
      <c r="CV208" s="228">
        <v>723968</v>
      </c>
      <c r="CW208" s="228">
        <v>806546</v>
      </c>
      <c r="CX208" s="13"/>
      <c r="CY208" s="133" t="s">
        <v>1011</v>
      </c>
      <c r="CZ208" s="228">
        <v>406666</v>
      </c>
      <c r="DA208" s="228">
        <v>468882</v>
      </c>
      <c r="DB208" s="228">
        <v>565600</v>
      </c>
      <c r="DC208" s="228">
        <v>723968</v>
      </c>
      <c r="DD208" s="228">
        <v>806546</v>
      </c>
    </row>
    <row r="209" spans="1:108" ht="12.9" customHeight="1">
      <c r="BC209" t="s">
        <v>1025</v>
      </c>
      <c r="BN209" s="133" t="s">
        <v>1026</v>
      </c>
      <c r="BS209">
        <v>7</v>
      </c>
      <c r="BT209" s="27" t="s">
        <v>1027</v>
      </c>
      <c r="CB209" s="253" t="s">
        <v>1015</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1014</v>
      </c>
      <c r="CS209" s="226">
        <v>323262</v>
      </c>
      <c r="CT209" s="226">
        <v>372718</v>
      </c>
      <c r="CU209" s="226">
        <v>449600</v>
      </c>
      <c r="CV209" s="226">
        <v>575488</v>
      </c>
      <c r="CW209" s="226">
        <v>641130</v>
      </c>
      <c r="CX209" s="13"/>
      <c r="CY209" s="133" t="s">
        <v>1014</v>
      </c>
      <c r="CZ209" s="226">
        <v>323262</v>
      </c>
      <c r="DA209" s="226">
        <v>372718</v>
      </c>
      <c r="DB209" s="226">
        <v>449600</v>
      </c>
      <c r="DC209" s="226">
        <v>575488</v>
      </c>
      <c r="DD209" s="226">
        <v>641130</v>
      </c>
    </row>
    <row r="210" spans="1:108" ht="12.9" customHeight="1">
      <c r="A210" s="2" t="s">
        <v>1028</v>
      </c>
      <c r="C210" s="2" t="s">
        <v>1029</v>
      </c>
      <c r="BC210" t="s">
        <v>1030</v>
      </c>
      <c r="BN210" s="133" t="s">
        <v>1031</v>
      </c>
      <c r="BS210">
        <v>5</v>
      </c>
      <c r="BT210" s="27" t="s">
        <v>1032</v>
      </c>
      <c r="CB210" s="253" t="s">
        <v>1020</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1019</v>
      </c>
      <c r="CS210" s="228">
        <v>360075</v>
      </c>
      <c r="CT210" s="228">
        <v>415163</v>
      </c>
      <c r="CU210" s="228">
        <v>500800</v>
      </c>
      <c r="CV210" s="228">
        <v>641024</v>
      </c>
      <c r="CW210" s="228">
        <v>714141</v>
      </c>
      <c r="CX210" s="13"/>
      <c r="CY210" s="133" t="s">
        <v>1019</v>
      </c>
      <c r="CZ210" s="228">
        <v>360075</v>
      </c>
      <c r="DA210" s="228">
        <v>415163</v>
      </c>
      <c r="DB210" s="228">
        <v>500800</v>
      </c>
      <c r="DC210" s="228">
        <v>641024</v>
      </c>
      <c r="DD210" s="228">
        <v>714141</v>
      </c>
    </row>
    <row r="211" spans="1:108" ht="12.9" customHeight="1">
      <c r="C211" s="18"/>
      <c r="D211" s="1484" t="s">
        <v>967</v>
      </c>
      <c r="E211" s="1484"/>
      <c r="F211" s="1484"/>
      <c r="G211" s="1484"/>
      <c r="H211" s="1484"/>
      <c r="I211" s="1484"/>
      <c r="J211" s="1484"/>
      <c r="K211" s="1484"/>
      <c r="L211" s="1484"/>
      <c r="M211" s="1484"/>
      <c r="BN211" s="133" t="s">
        <v>1033</v>
      </c>
      <c r="BS211">
        <v>7</v>
      </c>
      <c r="BT211" s="27" t="s">
        <v>1034</v>
      </c>
      <c r="CB211" s="253" t="s">
        <v>1024</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1023</v>
      </c>
      <c r="CS211" s="226">
        <v>402640</v>
      </c>
      <c r="CT211" s="226">
        <v>464240</v>
      </c>
      <c r="CU211" s="226">
        <v>560000</v>
      </c>
      <c r="CV211" s="226">
        <v>716800</v>
      </c>
      <c r="CW211" s="226">
        <v>798560</v>
      </c>
      <c r="CX211" s="13"/>
      <c r="CY211" s="133" t="s">
        <v>1023</v>
      </c>
      <c r="CZ211" s="226">
        <v>402640</v>
      </c>
      <c r="DA211" s="226">
        <v>464240</v>
      </c>
      <c r="DB211" s="226">
        <v>560000</v>
      </c>
      <c r="DC211" s="226">
        <v>716800</v>
      </c>
      <c r="DD211" s="226">
        <v>798560</v>
      </c>
    </row>
    <row r="212" spans="1:108" ht="12.9" customHeight="1">
      <c r="C212" s="18"/>
      <c r="D212" s="3" t="s">
        <v>1035</v>
      </c>
      <c r="Q212" s="1380">
        <v>0</v>
      </c>
      <c r="R212" s="1380"/>
      <c r="T212" s="1521">
        <f>IFERROR(Q212/AG449,0)</f>
        <v>0</v>
      </c>
      <c r="U212" s="1522"/>
      <c r="BC212" t="s">
        <v>311</v>
      </c>
      <c r="BI212" t="s">
        <v>1009</v>
      </c>
      <c r="BN212" s="133" t="s">
        <v>1036</v>
      </c>
      <c r="BS212">
        <v>4</v>
      </c>
      <c r="BT212" s="27" t="s">
        <v>1037</v>
      </c>
      <c r="CB212" s="253" t="s">
        <v>1027</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1026</v>
      </c>
      <c r="CS212" s="228">
        <v>402640</v>
      </c>
      <c r="CT212" s="228">
        <v>464240</v>
      </c>
      <c r="CU212" s="228">
        <v>560000</v>
      </c>
      <c r="CV212" s="228">
        <v>716800</v>
      </c>
      <c r="CW212" s="228">
        <v>798560</v>
      </c>
      <c r="CX212" s="13"/>
      <c r="CY212" s="133" t="s">
        <v>1026</v>
      </c>
      <c r="CZ212" s="228">
        <v>402640</v>
      </c>
      <c r="DA212" s="228">
        <v>464240</v>
      </c>
      <c r="DB212" s="228">
        <v>560000</v>
      </c>
      <c r="DC212" s="228">
        <v>716800</v>
      </c>
      <c r="DD212" s="228">
        <v>798560</v>
      </c>
    </row>
    <row r="213" spans="1:108" ht="12.9" customHeight="1">
      <c r="D213" s="1027" t="s">
        <v>1038</v>
      </c>
      <c r="BC213" t="s">
        <v>1039</v>
      </c>
      <c r="BI213" s="3" t="s">
        <v>1040</v>
      </c>
      <c r="BN213" s="133" t="s">
        <v>1041</v>
      </c>
      <c r="BS213">
        <v>6</v>
      </c>
      <c r="BT213" s="27" t="s">
        <v>1042</v>
      </c>
      <c r="CB213" s="253" t="s">
        <v>1032</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1031</v>
      </c>
      <c r="CS213" s="226">
        <v>323262</v>
      </c>
      <c r="CT213" s="226">
        <v>372718</v>
      </c>
      <c r="CU213" s="226">
        <v>449600</v>
      </c>
      <c r="CV213" s="226">
        <v>575488</v>
      </c>
      <c r="CW213" s="226">
        <v>641130</v>
      </c>
      <c r="CX213" s="13"/>
      <c r="CY213" s="133" t="s">
        <v>1031</v>
      </c>
      <c r="CZ213" s="226">
        <v>323262</v>
      </c>
      <c r="DA213" s="226">
        <v>372718</v>
      </c>
      <c r="DB213" s="226">
        <v>449600</v>
      </c>
      <c r="DC213" s="226">
        <v>575488</v>
      </c>
      <c r="DD213" s="226">
        <v>641130</v>
      </c>
    </row>
    <row r="214" spans="1:108" ht="12.9" customHeight="1">
      <c r="D214" s="1504" t="s">
        <v>820</v>
      </c>
      <c r="E214" s="1504"/>
      <c r="F214" s="1504"/>
      <c r="G214" s="1504"/>
      <c r="H214" s="1504"/>
      <c r="I214" s="1504"/>
      <c r="J214" s="1504"/>
      <c r="K214" s="1504"/>
      <c r="L214" s="1504"/>
      <c r="M214" s="1504"/>
      <c r="N214" s="1504"/>
      <c r="O214" s="1504"/>
      <c r="P214" s="1504"/>
      <c r="Q214" s="1504"/>
      <c r="R214" s="1504"/>
      <c r="S214" s="1504"/>
      <c r="T214" s="1504"/>
      <c r="U214" s="1504"/>
      <c r="V214" s="1504"/>
      <c r="W214" s="1504"/>
      <c r="X214" s="1504"/>
      <c r="Y214" s="1504"/>
      <c r="Z214" s="1504"/>
      <c r="AU214" s="18"/>
      <c r="AV214" s="18"/>
      <c r="AW214" s="18"/>
      <c r="AX214" s="18"/>
      <c r="AY214" s="18"/>
      <c r="BC214" t="s">
        <v>1043</v>
      </c>
      <c r="BI214" s="3" t="s">
        <v>1044</v>
      </c>
      <c r="BN214" s="133" t="s">
        <v>1045</v>
      </c>
      <c r="BS214">
        <v>6</v>
      </c>
      <c r="BT214" s="27" t="s">
        <v>1046</v>
      </c>
      <c r="CB214" s="253" t="s">
        <v>1034</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1033</v>
      </c>
      <c r="CS214" s="228">
        <v>402640</v>
      </c>
      <c r="CT214" s="228">
        <v>464240</v>
      </c>
      <c r="CU214" s="228">
        <v>560000</v>
      </c>
      <c r="CV214" s="228">
        <v>716800</v>
      </c>
      <c r="CW214" s="228">
        <v>798560</v>
      </c>
      <c r="CX214" s="13"/>
      <c r="CY214" s="133" t="s">
        <v>1033</v>
      </c>
      <c r="CZ214" s="228">
        <v>402640</v>
      </c>
      <c r="DA214" s="228">
        <v>464240</v>
      </c>
      <c r="DB214" s="228">
        <v>560000</v>
      </c>
      <c r="DC214" s="228">
        <v>716800</v>
      </c>
      <c r="DD214" s="228">
        <v>798560</v>
      </c>
    </row>
    <row r="215" spans="1:108" ht="12.9" customHeight="1">
      <c r="D215" s="3" t="s">
        <v>1047</v>
      </c>
      <c r="Z215" s="32"/>
      <c r="AB215" s="1481"/>
      <c r="AC215" s="1481"/>
      <c r="AD215" s="1481"/>
      <c r="AE215" s="1481"/>
      <c r="AF215" s="1481"/>
      <c r="AG215" s="1481"/>
      <c r="AH215" s="1481"/>
      <c r="AI215" s="1481"/>
      <c r="AJ215" s="1481"/>
      <c r="AK215" s="1481"/>
      <c r="AL215" s="1481"/>
      <c r="AM215" s="18"/>
      <c r="AN215" s="18"/>
      <c r="AO215" s="18"/>
      <c r="AP215" s="18"/>
      <c r="AQ215" s="18"/>
      <c r="AR215" s="18"/>
      <c r="AS215" s="18"/>
      <c r="AT215" s="18"/>
      <c r="AU215" s="18"/>
      <c r="AV215" s="18"/>
      <c r="AW215" s="18"/>
      <c r="AX215" s="18"/>
      <c r="AY215" s="18"/>
      <c r="BC215" t="s">
        <v>1048</v>
      </c>
      <c r="BI215" s="3" t="s">
        <v>1049</v>
      </c>
      <c r="CB215" s="253" t="s">
        <v>1037</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1036</v>
      </c>
      <c r="CS215" s="226">
        <v>442904</v>
      </c>
      <c r="CT215" s="226">
        <v>510664</v>
      </c>
      <c r="CU215" s="226">
        <v>616000</v>
      </c>
      <c r="CV215" s="226">
        <v>788480</v>
      </c>
      <c r="CW215" s="226">
        <v>878416</v>
      </c>
      <c r="CX215" s="13"/>
      <c r="CY215" s="133" t="s">
        <v>1036</v>
      </c>
      <c r="CZ215" s="226">
        <v>442904</v>
      </c>
      <c r="DA215" s="226">
        <v>510664</v>
      </c>
      <c r="DB215" s="226">
        <v>616000</v>
      </c>
      <c r="DC215" s="226">
        <v>788480</v>
      </c>
      <c r="DD215" s="226">
        <v>878416</v>
      </c>
    </row>
    <row r="216" spans="1:108" ht="12.9" customHeight="1">
      <c r="D216" s="3" t="s">
        <v>1050</v>
      </c>
      <c r="Z216" s="32"/>
      <c r="AB216" s="1481"/>
      <c r="AC216" s="1481"/>
      <c r="AD216" s="1481"/>
      <c r="AE216" s="1481"/>
      <c r="AF216" s="1481"/>
      <c r="AG216" s="1481"/>
      <c r="AH216" s="1481"/>
      <c r="AI216" s="1481"/>
      <c r="AJ216" s="1481"/>
      <c r="AK216" s="1481"/>
      <c r="AL216" s="1481"/>
      <c r="AM216" s="18"/>
      <c r="AN216" s="18"/>
      <c r="AO216" s="18"/>
      <c r="AP216" s="18"/>
      <c r="AQ216" s="18"/>
      <c r="AR216" s="18"/>
      <c r="AS216" s="18"/>
      <c r="AT216" s="18"/>
      <c r="AU216" s="18"/>
      <c r="AV216" s="18"/>
      <c r="AW216" s="18"/>
      <c r="AX216" s="18"/>
      <c r="AY216" s="18"/>
      <c r="BC216" t="s">
        <v>1051</v>
      </c>
      <c r="BI216" t="s">
        <v>1052</v>
      </c>
      <c r="CB216" s="253" t="s">
        <v>1042</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1041</v>
      </c>
      <c r="CS216" s="228">
        <v>360075</v>
      </c>
      <c r="CT216" s="228">
        <v>415163</v>
      </c>
      <c r="CU216" s="228">
        <v>500800</v>
      </c>
      <c r="CV216" s="228">
        <v>641024</v>
      </c>
      <c r="CW216" s="228">
        <v>714141</v>
      </c>
      <c r="CX216" s="13"/>
      <c r="CY216" s="133" t="s">
        <v>1041</v>
      </c>
      <c r="CZ216" s="228">
        <v>360075</v>
      </c>
      <c r="DA216" s="228">
        <v>415163</v>
      </c>
      <c r="DB216" s="228">
        <v>500800</v>
      </c>
      <c r="DC216" s="228">
        <v>641024</v>
      </c>
      <c r="DD216" s="228">
        <v>714141</v>
      </c>
    </row>
    <row r="217" spans="1:108" ht="12.9"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1053</v>
      </c>
      <c r="BI217" t="s">
        <v>1054</v>
      </c>
      <c r="CB217" s="253" t="s">
        <v>1046</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1045</v>
      </c>
      <c r="CS217" s="226">
        <v>360075</v>
      </c>
      <c r="CT217" s="226">
        <v>415163</v>
      </c>
      <c r="CU217" s="226">
        <v>500800</v>
      </c>
      <c r="CV217" s="226">
        <v>641024</v>
      </c>
      <c r="CW217" s="226">
        <v>714141</v>
      </c>
      <c r="CX217" s="13"/>
      <c r="CY217" s="133" t="s">
        <v>1045</v>
      </c>
      <c r="CZ217" s="226">
        <v>360075</v>
      </c>
      <c r="DA217" s="226">
        <v>415163</v>
      </c>
      <c r="DB217" s="226">
        <v>500800</v>
      </c>
      <c r="DC217" s="226">
        <v>641024</v>
      </c>
      <c r="DD217" s="226">
        <v>714141</v>
      </c>
    </row>
    <row r="218" spans="1:108" ht="12.9" customHeight="1">
      <c r="A218" s="2" t="s">
        <v>1055</v>
      </c>
      <c r="C218" s="2" t="s">
        <v>1056</v>
      </c>
      <c r="D218" s="19"/>
      <c r="AC218" s="2" t="s">
        <v>1057</v>
      </c>
      <c r="BC218" t="s">
        <v>1058</v>
      </c>
    </row>
    <row r="219" spans="1:108" ht="12.9" customHeight="1">
      <c r="A219" s="2"/>
      <c r="C219" s="2"/>
      <c r="D219" s="3" t="s">
        <v>1059</v>
      </c>
      <c r="AZ219" s="3"/>
      <c r="BA219" s="3"/>
      <c r="BC219" t="s">
        <v>1060</v>
      </c>
    </row>
    <row r="220" spans="1:108" ht="12.9" customHeight="1">
      <c r="A220" s="2"/>
      <c r="C220" s="2"/>
      <c r="D220" s="1484" t="s">
        <v>1030</v>
      </c>
      <c r="E220" s="1484"/>
      <c r="F220" s="1484"/>
      <c r="G220" s="1484"/>
      <c r="H220" s="1484"/>
      <c r="I220" s="1484"/>
      <c r="J220" s="1484"/>
      <c r="K220" s="1484"/>
      <c r="L220" s="1484"/>
      <c r="M220" s="1484"/>
      <c r="N220" s="1484"/>
      <c r="O220" s="1484"/>
      <c r="P220" s="1484"/>
      <c r="Q220" s="1484"/>
      <c r="R220" s="1484"/>
      <c r="S220" s="1484"/>
      <c r="T220" s="1484"/>
      <c r="U220" s="1484"/>
      <c r="V220" s="1484"/>
      <c r="W220" s="1484"/>
      <c r="X220" s="1484"/>
      <c r="Y220" s="1484"/>
      <c r="Z220" s="1484"/>
      <c r="AC220" s="1398" t="s">
        <v>808</v>
      </c>
      <c r="AD220" s="1398"/>
      <c r="AE220" s="1398"/>
      <c r="AF220" s="1398"/>
      <c r="AG220" s="1398"/>
      <c r="AH220" s="1398"/>
      <c r="AI220" s="1398"/>
      <c r="AJ220" s="1398"/>
      <c r="AK220" s="1398"/>
      <c r="AL220" s="1398"/>
      <c r="AM220" s="1398"/>
      <c r="AN220" s="1398"/>
      <c r="AO220" s="1398"/>
      <c r="AP220" s="1398"/>
      <c r="AQ220" s="1398"/>
      <c r="BA220" s="3"/>
      <c r="BC220" t="s">
        <v>1061</v>
      </c>
    </row>
    <row r="221" spans="1:108" ht="12.9" customHeight="1">
      <c r="A221" s="2"/>
      <c r="B221" s="13"/>
      <c r="C221" s="2"/>
      <c r="BA221" s="3"/>
    </row>
    <row r="222" spans="1:108" ht="12.9" customHeight="1">
      <c r="A222" s="2" t="s">
        <v>1062</v>
      </c>
      <c r="B222" s="13"/>
      <c r="C222" s="2" t="s">
        <v>1063</v>
      </c>
      <c r="BA222" s="3"/>
    </row>
    <row r="223" spans="1:108" ht="12.9" customHeight="1">
      <c r="A223" s="2"/>
      <c r="B223" s="13"/>
      <c r="C223" s="2"/>
      <c r="D223" s="3" t="s">
        <v>1064</v>
      </c>
      <c r="BA223" s="3"/>
    </row>
    <row r="224" spans="1:108" ht="12.9" customHeight="1">
      <c r="A224" s="2"/>
      <c r="B224" s="13"/>
      <c r="C224" s="2"/>
      <c r="E224" s="3" t="s">
        <v>788</v>
      </c>
      <c r="V224" s="1380" t="s">
        <v>698</v>
      </c>
      <c r="W224" s="1380"/>
      <c r="Y224" s="1081"/>
      <c r="BA224" s="3"/>
    </row>
    <row r="225" spans="1:69" ht="12.9" customHeight="1">
      <c r="A225" s="2"/>
      <c r="B225" s="13"/>
      <c r="C225" s="2"/>
      <c r="E225" s="3" t="s">
        <v>789</v>
      </c>
      <c r="V225" s="1380" t="s">
        <v>856</v>
      </c>
      <c r="W225" s="1380"/>
      <c r="Y225" s="1082" t="str">
        <f>IF(AND(V225="Yes",OR(V226="Yes",V227="Yes",V228="Yes",V229="Yes")),"!","")</f>
        <v/>
      </c>
      <c r="Z225" s="1083" t="str">
        <f>IF(Y225="!","Requirements for pools/set-asides selected are mutually exclusive.","")</f>
        <v/>
      </c>
      <c r="AA225" s="1083"/>
      <c r="AB225" s="1083"/>
      <c r="AC225" s="1083"/>
      <c r="AD225" s="1083"/>
      <c r="AE225" s="1083"/>
      <c r="AF225" s="1083"/>
      <c r="AG225" s="1083"/>
      <c r="AH225" s="1083"/>
      <c r="AI225" s="1083"/>
      <c r="AJ225" s="1083"/>
      <c r="AK225" s="1083"/>
      <c r="AL225" s="1083"/>
      <c r="AM225" s="1083"/>
      <c r="AN225" s="1083"/>
      <c r="AO225" s="1083"/>
      <c r="AP225" s="1083"/>
      <c r="AQ225" s="1083"/>
      <c r="AR225" s="1083"/>
      <c r="AS225" s="1083"/>
      <c r="AT225" s="1083"/>
      <c r="BA225" s="3"/>
    </row>
    <row r="226" spans="1:69" ht="12.9" customHeight="1">
      <c r="A226" s="2"/>
      <c r="B226" s="13"/>
      <c r="C226" s="2"/>
      <c r="E226" s="3" t="s">
        <v>790</v>
      </c>
      <c r="V226" s="1394" t="s">
        <v>698</v>
      </c>
      <c r="W226" s="1394"/>
      <c r="Y226" s="1082" t="str">
        <f>IF(AND(V226="Yes",OR(V227="Yes",V228="Yes",V229="Yes",V225="Yes")),"!","")</f>
        <v/>
      </c>
      <c r="Z226" s="1083" t="str">
        <f>IF(Y226="!","Requirements for pools/set-asides selected are mutually exclusive.","")</f>
        <v/>
      </c>
      <c r="AA226" s="1083"/>
      <c r="AB226" s="1083"/>
      <c r="AC226" s="1083"/>
      <c r="AD226" s="1083"/>
      <c r="AE226" s="1083"/>
      <c r="AF226" s="1083"/>
      <c r="AG226" s="1083"/>
      <c r="AH226" s="1083"/>
      <c r="AI226" s="1083"/>
      <c r="AJ226" s="1083"/>
      <c r="AK226" s="1083"/>
      <c r="AL226" s="1083"/>
      <c r="AM226" s="1083"/>
      <c r="AN226" s="1083"/>
      <c r="AO226" s="1083"/>
      <c r="AP226" s="1083"/>
      <c r="AQ226" s="1083"/>
      <c r="AR226" s="1083"/>
      <c r="AS226" s="1083"/>
      <c r="AT226" s="1083"/>
      <c r="BA226" s="3"/>
    </row>
    <row r="227" spans="1:69" ht="12.9" customHeight="1">
      <c r="A227" s="2"/>
      <c r="B227" s="13"/>
      <c r="C227" s="2"/>
      <c r="E227" s="3" t="s">
        <v>792</v>
      </c>
      <c r="V227" s="1394" t="s">
        <v>698</v>
      </c>
      <c r="W227" s="1394"/>
      <c r="Y227" s="1082" t="str">
        <f>IF(AND(V227="Yes",OR(V229="Yes",V225="Yes",V226="Yes")),"!","")</f>
        <v/>
      </c>
      <c r="Z227" s="1083" t="str">
        <f>IF(Y227="!","Requirements for pools/set-asides selected are mutually exclusive.","")</f>
        <v/>
      </c>
      <c r="AA227" s="1083"/>
      <c r="AB227" s="1083"/>
      <c r="AC227" s="1083"/>
      <c r="AD227" s="1083"/>
      <c r="AE227" s="1083"/>
      <c r="AF227" s="1083"/>
      <c r="AG227" s="1083"/>
      <c r="AH227" s="1083"/>
      <c r="AI227" s="1083"/>
      <c r="AJ227" s="1083"/>
      <c r="AK227" s="1083"/>
      <c r="AL227" s="1083"/>
      <c r="AM227" s="1083"/>
      <c r="AN227" s="1083"/>
      <c r="AO227" s="1083"/>
      <c r="AP227" s="1083"/>
      <c r="AQ227" s="1083"/>
      <c r="AR227" s="1083"/>
      <c r="AS227" s="1083"/>
      <c r="AT227" s="1083"/>
      <c r="BA227" s="3"/>
    </row>
    <row r="228" spans="1:69" ht="12.9" customHeight="1">
      <c r="A228" s="2"/>
      <c r="B228" s="13"/>
      <c r="C228" s="2"/>
      <c r="E228" s="3" t="s">
        <v>793</v>
      </c>
      <c r="V228" s="1394" t="s">
        <v>698</v>
      </c>
      <c r="W228" s="1394"/>
      <c r="Y228" s="1082" t="str">
        <f>IF(AND(V228="Yes",OR(V229="Yes",V225="Yes",V226="Yes")),"!","")</f>
        <v/>
      </c>
      <c r="Z228" s="1083" t="str">
        <f t="shared" ref="Z228:Z229" si="1">IF(Y228="!","Requirements for pools/set-asides selected are mutually exclusive.","")</f>
        <v/>
      </c>
      <c r="AA228" s="1083"/>
      <c r="AB228" s="1083"/>
      <c r="AC228" s="1083"/>
      <c r="AD228" s="1083"/>
      <c r="AE228" s="1083"/>
      <c r="AF228" s="1083"/>
      <c r="AG228" s="1083"/>
      <c r="AH228" s="1083"/>
      <c r="AI228" s="1083"/>
      <c r="AJ228" s="1083"/>
      <c r="AK228" s="1083"/>
      <c r="AL228" s="1083"/>
      <c r="AM228" s="1083"/>
      <c r="AN228" s="1083"/>
      <c r="AO228" s="1083"/>
      <c r="AP228" s="1083"/>
      <c r="AQ228" s="1083"/>
      <c r="AR228" s="1083"/>
      <c r="AS228" s="1083"/>
      <c r="AT228" s="1083"/>
      <c r="BA228" s="3"/>
    </row>
    <row r="229" spans="1:69" ht="12.9" customHeight="1">
      <c r="A229" s="2"/>
      <c r="B229" s="13"/>
      <c r="C229" s="2"/>
      <c r="E229" s="3" t="s">
        <v>794</v>
      </c>
      <c r="V229" s="1394" t="s">
        <v>698</v>
      </c>
      <c r="W229" s="1394"/>
      <c r="Y229" s="1082" t="str">
        <f>IF(AND(V229="Yes",OR(V228="Yes",V227="Yes",V226="Yes",V225="Yes")),"!","")</f>
        <v/>
      </c>
      <c r="Z229" s="1083" t="str">
        <f t="shared" si="1"/>
        <v/>
      </c>
      <c r="AA229" s="1083"/>
      <c r="AB229" s="1083"/>
      <c r="AC229" s="1083"/>
      <c r="AD229" s="1083"/>
      <c r="AE229" s="1083"/>
      <c r="AF229" s="1083"/>
      <c r="AG229" s="1083"/>
      <c r="AH229" s="1083"/>
      <c r="AI229" s="1083"/>
      <c r="AJ229" s="1083"/>
      <c r="AK229" s="1083"/>
      <c r="AL229" s="1083"/>
      <c r="AM229" s="1083"/>
      <c r="AN229" s="1083"/>
      <c r="AO229" s="1083"/>
      <c r="AP229" s="1083"/>
      <c r="AQ229" s="1083"/>
      <c r="AR229" s="1083"/>
      <c r="AS229" s="1083"/>
      <c r="AT229" s="1083"/>
      <c r="BA229" s="3"/>
    </row>
    <row r="230" spans="1:69" ht="12.9" customHeight="1">
      <c r="A230" s="2"/>
      <c r="B230" s="13"/>
      <c r="C230" s="2"/>
      <c r="BA230" s="3"/>
    </row>
    <row r="231" spans="1:69" ht="12.9" customHeight="1">
      <c r="A231" s="1494" t="s">
        <v>1065</v>
      </c>
      <c r="B231" s="1494"/>
      <c r="C231" s="1494"/>
      <c r="D231" s="1494"/>
      <c r="E231" s="1494"/>
      <c r="F231" s="1494"/>
      <c r="G231" s="1494"/>
      <c r="H231" s="1494"/>
      <c r="I231" s="1494"/>
      <c r="J231" s="1494"/>
      <c r="K231" s="1494"/>
      <c r="L231" s="1494"/>
      <c r="M231" s="1494"/>
      <c r="N231" s="1494"/>
      <c r="O231" s="1494"/>
      <c r="P231" s="1494"/>
      <c r="Q231" s="1494"/>
      <c r="R231" s="1494"/>
      <c r="S231" s="1494"/>
      <c r="T231" s="1494"/>
      <c r="U231" s="1494"/>
      <c r="V231" s="1494"/>
      <c r="W231" s="1494"/>
      <c r="X231" s="1494"/>
      <c r="Y231" s="1494"/>
      <c r="Z231" s="1494"/>
      <c r="AA231" s="1494"/>
      <c r="AB231" s="1494"/>
      <c r="AC231" s="1494"/>
      <c r="AD231" s="1494"/>
      <c r="AE231" s="1494"/>
      <c r="AF231" s="1494"/>
      <c r="AG231" s="1494"/>
      <c r="AH231" s="1494"/>
      <c r="AI231" s="1494"/>
      <c r="AJ231" s="1494"/>
      <c r="AK231" s="1494"/>
      <c r="AL231" s="1494"/>
      <c r="AM231" s="1494"/>
      <c r="AN231" s="1494"/>
      <c r="AO231" s="1494"/>
      <c r="AP231" s="1494"/>
      <c r="AQ231" s="1494"/>
      <c r="AR231" s="1494"/>
      <c r="AS231" s="1494"/>
      <c r="AT231" s="1494"/>
      <c r="AU231" s="70"/>
      <c r="AV231" s="70"/>
      <c r="AW231" s="70"/>
      <c r="AX231" s="70"/>
      <c r="AY231" s="70"/>
      <c r="AZ231" s="3"/>
      <c r="BA231" s="3"/>
      <c r="BP231" s="3"/>
    </row>
    <row r="232" spans="1:69" ht="12.9" customHeight="1">
      <c r="A232" s="1494"/>
      <c r="B232" s="1494"/>
      <c r="C232" s="1494"/>
      <c r="D232" s="1494"/>
      <c r="E232" s="1494"/>
      <c r="F232" s="1494"/>
      <c r="G232" s="1494"/>
      <c r="H232" s="1494"/>
      <c r="I232" s="1494"/>
      <c r="J232" s="1494"/>
      <c r="K232" s="1494"/>
      <c r="L232" s="1494"/>
      <c r="M232" s="1494"/>
      <c r="N232" s="1494"/>
      <c r="O232" s="1494"/>
      <c r="P232" s="1494"/>
      <c r="Q232" s="1494"/>
      <c r="R232" s="1494"/>
      <c r="S232" s="1494"/>
      <c r="T232" s="1494"/>
      <c r="U232" s="1494"/>
      <c r="V232" s="1494"/>
      <c r="W232" s="1494"/>
      <c r="X232" s="1494"/>
      <c r="Y232" s="1494"/>
      <c r="Z232" s="1494"/>
      <c r="AA232" s="1494"/>
      <c r="AB232" s="1494"/>
      <c r="AC232" s="1494"/>
      <c r="AD232" s="1494"/>
      <c r="AE232" s="1494"/>
      <c r="AF232" s="1494"/>
      <c r="AG232" s="1494"/>
      <c r="AH232" s="1494"/>
      <c r="AI232" s="1494"/>
      <c r="AJ232" s="1494"/>
      <c r="AK232" s="1494"/>
      <c r="AL232" s="1494"/>
      <c r="AM232" s="1494"/>
      <c r="AN232" s="1494"/>
      <c r="AO232" s="1494"/>
      <c r="AP232" s="1494"/>
      <c r="AQ232" s="1494"/>
      <c r="AR232" s="1494"/>
      <c r="AS232" s="1494"/>
      <c r="AT232" s="1494"/>
      <c r="BA232" s="3"/>
      <c r="BB232" s="3"/>
      <c r="BQ232" s="3"/>
    </row>
    <row r="233" spans="1:69" ht="12.9" customHeight="1">
      <c r="AZ233" s="3"/>
      <c r="BA233" s="3"/>
      <c r="BB233" s="3"/>
      <c r="BQ233" s="3"/>
    </row>
    <row r="234" spans="1:69" ht="12.9" customHeight="1">
      <c r="A234" s="2" t="s">
        <v>881</v>
      </c>
      <c r="B234" s="2"/>
      <c r="C234" s="2" t="s">
        <v>1066</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 customHeight="1">
      <c r="B235" s="3"/>
      <c r="D235" s="3" t="s">
        <v>1067</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80" t="s">
        <v>820</v>
      </c>
      <c r="AJ235" s="1380"/>
      <c r="AL235" s="3"/>
      <c r="AM235" s="3"/>
      <c r="AN235" s="3"/>
      <c r="AO235" s="3"/>
      <c r="AP235" s="3"/>
      <c r="AQ235" s="3"/>
      <c r="AR235" s="3"/>
      <c r="AS235" s="3"/>
      <c r="AT235" s="3"/>
      <c r="AU235" s="3"/>
      <c r="AV235" s="3"/>
      <c r="AW235" s="3"/>
      <c r="AX235" s="3"/>
      <c r="AY235" s="3"/>
      <c r="AZ235" s="3"/>
      <c r="BB235" s="136" t="s">
        <v>1068</v>
      </c>
      <c r="BG235" s="166">
        <f>IF(AND(AND($M$258="for profit",$M$266="for profit",$M$274="nonprofit")),2,0)</f>
        <v>0</v>
      </c>
    </row>
    <row r="236" spans="1:69" ht="12.9" customHeight="1">
      <c r="B236" s="3"/>
      <c r="D236" s="3" t="s">
        <v>1069</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80" t="s">
        <v>856</v>
      </c>
      <c r="AJ236" s="1380"/>
      <c r="AL236" s="3"/>
      <c r="AM236" s="3"/>
      <c r="AN236" s="3"/>
      <c r="AO236" s="3"/>
      <c r="AP236" s="3"/>
      <c r="AQ236" s="3"/>
      <c r="AR236" s="3"/>
      <c r="AS236" s="3"/>
      <c r="AT236" s="3"/>
      <c r="AU236" s="3"/>
      <c r="AV236" s="3"/>
      <c r="AW236" s="3"/>
      <c r="AX236" s="3"/>
      <c r="AY236" s="3"/>
      <c r="BA236" s="3"/>
      <c r="BB236" s="136" t="s">
        <v>1068</v>
      </c>
      <c r="BG236" s="166">
        <f>IF(AND(AND($M$258="for profit",$M$266="nonprofit",$M$274="for profit")),2,0)</f>
        <v>0</v>
      </c>
    </row>
    <row r="237" spans="1:69" ht="12.9" customHeight="1">
      <c r="B237" s="3"/>
      <c r="D237" s="3" t="s">
        <v>1070</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80" t="s">
        <v>856</v>
      </c>
      <c r="AJ237" s="1380"/>
      <c r="AL237" s="3"/>
      <c r="AM237" s="3"/>
      <c r="AN237" s="3"/>
      <c r="AO237" s="3"/>
      <c r="AP237" s="3"/>
      <c r="AQ237" s="3"/>
      <c r="AR237" s="3"/>
      <c r="AS237" s="3"/>
      <c r="AT237" s="3"/>
      <c r="AU237" s="3"/>
      <c r="AV237" s="3"/>
      <c r="AW237" s="3"/>
      <c r="AX237" s="3"/>
      <c r="AY237" s="3"/>
      <c r="AZ237" s="3"/>
      <c r="BA237" s="3"/>
      <c r="BB237" s="136" t="s">
        <v>1068</v>
      </c>
      <c r="BG237" s="166">
        <f>IF(AND(AND($M$258="nonprofit",$M$266="for profit",$M$274="for profit")),2,0)</f>
        <v>0</v>
      </c>
    </row>
    <row r="238" spans="1:69" ht="12.9" customHeight="1">
      <c r="B238" s="3"/>
      <c r="D238" s="3" t="s">
        <v>1071</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80" t="s">
        <v>820</v>
      </c>
      <c r="AJ238" s="1380"/>
      <c r="AL238" s="3"/>
      <c r="AM238" s="3"/>
      <c r="AN238" s="3"/>
      <c r="AO238" s="3"/>
      <c r="AP238" s="3"/>
      <c r="AQ238" s="3"/>
      <c r="AR238" s="3"/>
      <c r="AS238" s="3"/>
      <c r="AT238" s="3"/>
      <c r="AU238" s="3"/>
      <c r="AV238" s="3"/>
      <c r="AW238" s="3"/>
      <c r="AX238" s="3"/>
      <c r="AY238" s="3"/>
      <c r="BA238" s="3"/>
      <c r="BB238" s="136" t="s">
        <v>1068</v>
      </c>
      <c r="BG238" s="166">
        <f>IF(AND(AND($M$258="for profit",$M$266="nonprofit",$M$274="(select one)")),2,0)</f>
        <v>2</v>
      </c>
    </row>
    <row r="239" spans="1:69" ht="12.9"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1068</v>
      </c>
      <c r="BG239" s="165">
        <f>IF(AND(AND($M$258="nonprofit",$M$266="for profit",$M$274="(select one)")),2,0)</f>
        <v>0</v>
      </c>
    </row>
    <row r="240" spans="1:69" ht="12.9" customHeight="1">
      <c r="A240" s="2" t="s">
        <v>922</v>
      </c>
      <c r="B240" s="3"/>
      <c r="C240" s="2" t="s">
        <v>1072</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 customHeight="1">
      <c r="D241" s="3" t="s">
        <v>1073</v>
      </c>
      <c r="E241" s="3"/>
      <c r="F241" s="3"/>
      <c r="G241" s="3"/>
      <c r="H241" s="3"/>
      <c r="I241" s="3"/>
      <c r="J241" s="3"/>
      <c r="K241" s="3"/>
      <c r="M241" s="1515" t="str">
        <f>H16</f>
        <v>Ocean Beach Apartments II, LP</v>
      </c>
      <c r="N241" s="1515"/>
      <c r="O241" s="1515"/>
      <c r="P241" s="1515"/>
      <c r="Q241" s="1515"/>
      <c r="R241" s="1515"/>
      <c r="S241" s="1515"/>
      <c r="T241" s="1515"/>
      <c r="U241" s="1515"/>
      <c r="V241" s="1515"/>
      <c r="W241" s="1515"/>
      <c r="X241" s="1515"/>
      <c r="Y241" s="1515"/>
      <c r="Z241" s="1515"/>
      <c r="AA241" s="1515"/>
      <c r="AB241" s="1515"/>
      <c r="AC241" s="1515"/>
      <c r="AD241" s="1515"/>
      <c r="AE241" s="1515"/>
      <c r="AF241" s="1515"/>
      <c r="AG241" s="1515"/>
      <c r="AH241" s="1515"/>
      <c r="AI241" s="1515"/>
      <c r="AJ241" s="1515"/>
      <c r="AK241" s="1515"/>
      <c r="AZ241" s="3"/>
      <c r="BA241" s="3"/>
      <c r="BB241" s="137" t="s">
        <v>1068</v>
      </c>
      <c r="BG241" s="166">
        <f>IF(AND(AND($M$258="nonprofit",$M$266="nonprofit",$M$274="for profit")),2,0)</f>
        <v>0</v>
      </c>
    </row>
    <row r="242" spans="1:67" ht="12.9" customHeight="1">
      <c r="D242" s="3" t="s">
        <v>1074</v>
      </c>
      <c r="E242" s="3"/>
      <c r="F242" s="3"/>
      <c r="G242" s="3"/>
      <c r="H242" s="3"/>
      <c r="I242" s="3"/>
      <c r="J242" s="3"/>
      <c r="K242" s="3"/>
      <c r="M242" s="1484" t="s">
        <v>1075</v>
      </c>
      <c r="N242" s="1484"/>
      <c r="O242" s="1484"/>
      <c r="P242" s="1484"/>
      <c r="Q242" s="1484"/>
      <c r="R242" s="1484"/>
      <c r="S242" s="1484"/>
      <c r="T242" s="1484"/>
      <c r="U242" s="1484"/>
      <c r="V242" s="1484"/>
      <c r="W242" s="1484"/>
      <c r="X242" s="1484"/>
      <c r="Y242" s="1484"/>
      <c r="Z242" s="1484"/>
      <c r="AA242" s="1484"/>
      <c r="AB242" s="1484"/>
      <c r="AC242" s="1484"/>
      <c r="AD242" s="1484"/>
      <c r="AE242" s="1484"/>
      <c r="BB242" s="137" t="s">
        <v>1068</v>
      </c>
      <c r="BG242" s="166">
        <f>IF(AND(AND($M$258="nonprofit",$M$266="for profit",$M$274="nonprofit")),2,0)</f>
        <v>0</v>
      </c>
    </row>
    <row r="243" spans="1:67" ht="12.9" customHeight="1">
      <c r="D243" s="3" t="s">
        <v>941</v>
      </c>
      <c r="E243" s="3"/>
      <c r="M243" s="1484" t="s">
        <v>1076</v>
      </c>
      <c r="N243" s="1484"/>
      <c r="O243" s="1484"/>
      <c r="P243" s="1484"/>
      <c r="Q243" s="1484"/>
      <c r="R243" s="1484"/>
      <c r="S243" s="1484"/>
      <c r="T243" s="1484"/>
      <c r="V243" s="918" t="s">
        <v>1077</v>
      </c>
      <c r="W243" s="1433" t="s">
        <v>1078</v>
      </c>
      <c r="X243" s="1433"/>
      <c r="Y243" s="3" t="s">
        <v>945</v>
      </c>
      <c r="AC243" s="1484">
        <v>91302</v>
      </c>
      <c r="AD243" s="1484"/>
      <c r="AE243" s="1484"/>
      <c r="AU243" s="3"/>
      <c r="AV243" s="3"/>
      <c r="AW243" s="3"/>
      <c r="AX243" s="3"/>
      <c r="AY243" s="3"/>
      <c r="AZ243" s="3"/>
      <c r="BB243" s="137" t="s">
        <v>1068</v>
      </c>
      <c r="BG243" s="165">
        <f>IF(AND(AND($M$258="for profit",$M$266="nonprofit",$M$274="nonprofit")),2,0)</f>
        <v>0</v>
      </c>
    </row>
    <row r="244" spans="1:67" ht="12.9" customHeight="1">
      <c r="D244" s="3" t="s">
        <v>1079</v>
      </c>
      <c r="E244" s="3"/>
      <c r="F244" s="3"/>
      <c r="G244" s="3"/>
      <c r="H244" s="3"/>
      <c r="I244" s="3"/>
      <c r="J244" s="3"/>
      <c r="K244" s="1164"/>
      <c r="M244" s="1484" t="s">
        <v>1080</v>
      </c>
      <c r="N244" s="1484"/>
      <c r="O244" s="1484"/>
      <c r="P244" s="1484"/>
      <c r="Q244" s="1484"/>
      <c r="R244" s="1484"/>
      <c r="S244" s="1484"/>
      <c r="T244" s="1484"/>
      <c r="U244" s="1484"/>
      <c r="V244" s="1484"/>
      <c r="W244" s="1484"/>
      <c r="X244" s="1484"/>
      <c r="Y244" s="1484"/>
      <c r="Z244" s="1484"/>
      <c r="AA244" s="1484"/>
      <c r="AB244" s="1484"/>
      <c r="AC244" s="1484"/>
      <c r="AD244" s="1484"/>
      <c r="AE244" s="1484"/>
      <c r="AI244" s="3"/>
      <c r="AJ244" s="3"/>
      <c r="AK244" s="3"/>
      <c r="AL244" s="3"/>
      <c r="AM244" s="3"/>
      <c r="AN244" s="3"/>
      <c r="AO244" s="3"/>
      <c r="AP244" s="3"/>
      <c r="AQ244" s="3"/>
      <c r="AR244" s="3"/>
      <c r="AS244" s="3"/>
      <c r="AT244" s="3"/>
      <c r="BB244" s="137"/>
      <c r="BG244" s="136"/>
    </row>
    <row r="245" spans="1:67" ht="12.9" customHeight="1">
      <c r="D245" s="3" t="s">
        <v>1081</v>
      </c>
      <c r="E245" s="3"/>
      <c r="F245" s="3"/>
      <c r="M245" s="1449" t="s">
        <v>1082</v>
      </c>
      <c r="N245" s="1449"/>
      <c r="O245" s="1449"/>
      <c r="P245" s="1449"/>
      <c r="Q245" s="1449"/>
      <c r="R245" s="1449"/>
      <c r="S245" s="3" t="s">
        <v>1083</v>
      </c>
      <c r="T245" s="3"/>
      <c r="U245" s="1433"/>
      <c r="V245" s="1433"/>
      <c r="W245" s="1433"/>
      <c r="X245" s="3" t="s">
        <v>1084</v>
      </c>
      <c r="Z245" s="1449"/>
      <c r="AA245" s="1449"/>
      <c r="AB245" s="1449"/>
      <c r="AC245" s="1449"/>
      <c r="AD245" s="1449"/>
      <c r="AE245" s="1449"/>
      <c r="AU245" s="3"/>
      <c r="AV245" s="3"/>
      <c r="AW245" s="3"/>
      <c r="AX245" s="3"/>
      <c r="AY245" s="3"/>
      <c r="AZ245" s="3"/>
      <c r="BB245" s="136" t="s">
        <v>1085</v>
      </c>
      <c r="BG245" s="166">
        <f>IF(AND(AND($M$258="nonprofit",$M$266="nonprofit",$M$274="(select one)")),1,0)</f>
        <v>0</v>
      </c>
    </row>
    <row r="246" spans="1:67" ht="12.9" customHeight="1">
      <c r="D246" s="3" t="s">
        <v>1086</v>
      </c>
      <c r="E246" s="3"/>
      <c r="F246" s="3"/>
      <c r="M246" s="1499" t="s">
        <v>1087</v>
      </c>
      <c r="N246" s="1499"/>
      <c r="O246" s="1499"/>
      <c r="P246" s="1499"/>
      <c r="Q246" s="1499"/>
      <c r="R246" s="1499"/>
      <c r="S246" s="1499"/>
      <c r="T246" s="1499"/>
      <c r="U246" s="1499"/>
      <c r="V246" s="1499"/>
      <c r="W246" s="1499"/>
      <c r="X246" s="1499"/>
      <c r="Y246" s="1499"/>
      <c r="Z246" s="1499"/>
      <c r="AA246" s="1499"/>
      <c r="AB246" s="1499"/>
      <c r="AC246" s="1499"/>
      <c r="AD246" s="1499"/>
      <c r="AE246" s="1499"/>
      <c r="AF246" s="3"/>
      <c r="AG246" s="3"/>
      <c r="AH246" s="3"/>
      <c r="AI246" s="3"/>
      <c r="AJ246" s="3"/>
      <c r="AK246" s="3"/>
      <c r="AL246" s="3"/>
      <c r="AM246" s="3"/>
      <c r="AN246" s="3"/>
      <c r="AO246" s="3"/>
      <c r="AP246" s="3"/>
      <c r="AQ246" s="3"/>
      <c r="AR246" s="3"/>
      <c r="AS246" s="3"/>
      <c r="AT246" s="3"/>
      <c r="AU246" s="3"/>
      <c r="AV246" s="3"/>
      <c r="AW246" s="3"/>
      <c r="AX246" s="3"/>
      <c r="AY246" s="3"/>
      <c r="BB246" s="136" t="s">
        <v>1085</v>
      </c>
      <c r="BG246" s="166">
        <f>IF(AND(AND($M$258="nonprofit",$M$266="nonprofit",$M$274="nonprofit")),1,0)</f>
        <v>0</v>
      </c>
    </row>
    <row r="247" spans="1:67" ht="12.9" customHeight="1">
      <c r="A247" s="2" t="s">
        <v>998</v>
      </c>
      <c r="C247" s="2" t="s">
        <v>1088</v>
      </c>
      <c r="M247" s="1341" t="s">
        <v>1053</v>
      </c>
      <c r="N247" s="1341"/>
      <c r="O247" s="1341"/>
      <c r="P247" s="1341"/>
      <c r="Q247" s="1341"/>
      <c r="R247" s="1341"/>
      <c r="S247" s="1341"/>
      <c r="T247" s="1341"/>
      <c r="U247" s="136" t="s">
        <v>1089</v>
      </c>
      <c r="V247" s="136"/>
      <c r="W247" s="136"/>
      <c r="X247" s="136"/>
      <c r="Y247" s="136"/>
      <c r="Z247" s="136"/>
      <c r="AA247" s="1519" t="s">
        <v>1090</v>
      </c>
      <c r="AB247" s="1519"/>
      <c r="AC247" s="1519"/>
      <c r="AD247" s="1519"/>
      <c r="AE247" s="1519"/>
      <c r="AF247" s="1519"/>
      <c r="AG247" s="1519"/>
      <c r="AH247" s="1519"/>
      <c r="AI247" s="1519"/>
      <c r="AJ247" s="1519"/>
      <c r="AK247" s="1519"/>
      <c r="AL247" s="3"/>
      <c r="AM247" s="3"/>
      <c r="AN247" s="3"/>
      <c r="AO247" s="3"/>
      <c r="AP247" s="3"/>
      <c r="AQ247" s="3"/>
      <c r="AR247" s="3"/>
      <c r="AS247" s="3"/>
      <c r="AT247" s="3"/>
      <c r="AU247" s="3"/>
      <c r="AV247" s="3"/>
      <c r="AW247" s="3"/>
      <c r="AX247" s="3"/>
      <c r="AY247" s="3"/>
      <c r="BB247" s="136" t="s">
        <v>1085</v>
      </c>
      <c r="BG247" s="166">
        <f>IF(AND(AND($M$258="nonprofit",$M$266="(select one)",$M$274="(select one)")),1,0)</f>
        <v>0</v>
      </c>
    </row>
    <row r="248" spans="1:67" ht="12.9" customHeight="1">
      <c r="D248" t="s">
        <v>1091</v>
      </c>
      <c r="M248" s="1372"/>
      <c r="N248" s="1372"/>
      <c r="O248" s="1372"/>
      <c r="P248" s="1372"/>
      <c r="Q248" s="1372"/>
      <c r="R248" s="1372"/>
      <c r="S248" s="1372"/>
      <c r="T248" s="1372"/>
      <c r="U248" s="1372"/>
      <c r="V248" s="1372"/>
      <c r="W248" s="1372"/>
      <c r="X248" s="1372"/>
      <c r="Y248" s="1372"/>
      <c r="Z248" s="1372"/>
      <c r="AA248" s="1372"/>
      <c r="AB248" s="1372"/>
      <c r="AC248" s="1372"/>
      <c r="AD248" s="1372"/>
      <c r="AE248" s="1372"/>
      <c r="AF248" s="3"/>
      <c r="AG248" s="3"/>
      <c r="AH248" s="3"/>
      <c r="AI248" s="3"/>
      <c r="AJ248" s="3"/>
      <c r="AK248" s="3"/>
      <c r="AL248" s="3"/>
      <c r="AM248" s="3"/>
      <c r="AN248" s="3"/>
      <c r="AO248" s="3"/>
      <c r="AP248" s="3"/>
      <c r="AQ248" s="3"/>
      <c r="AR248" s="3"/>
      <c r="AS248" s="3"/>
      <c r="AT248" s="3"/>
      <c r="BB248" s="136" t="s">
        <v>1092</v>
      </c>
      <c r="BG248" s="166">
        <f>IF(AND(AND($M$258="for profit",$M$266="for profit",$M$274="(select one)")),3,0)</f>
        <v>0</v>
      </c>
    </row>
    <row r="249" spans="1:67" ht="12.9" customHeight="1">
      <c r="D249" s="3"/>
      <c r="BB249" s="136" t="s">
        <v>1092</v>
      </c>
      <c r="BG249" s="166">
        <f>IF(AND(AND($M$258="for profit",$M$266="for profit",$M$274="for profit")),3,0)</f>
        <v>0</v>
      </c>
    </row>
    <row r="250" spans="1:67" ht="12.9" customHeight="1">
      <c r="A250" s="2" t="s">
        <v>1016</v>
      </c>
      <c r="C250" s="2" t="s">
        <v>1093</v>
      </c>
      <c r="D250" s="3"/>
      <c r="L250" s="7"/>
      <c r="M250" s="7"/>
      <c r="N250" s="7"/>
      <c r="AU250" s="3"/>
      <c r="AV250" s="3"/>
      <c r="AW250" s="3"/>
      <c r="AX250" s="3"/>
      <c r="AY250" s="3"/>
      <c r="BB250" s="136" t="s">
        <v>1092</v>
      </c>
      <c r="BG250" s="166">
        <f>IF(AND(AND($M$258="for profit",$M$266="(select one)",$M$274="(select one)")),3,0)</f>
        <v>0</v>
      </c>
    </row>
    <row r="251" spans="1:67" ht="12.9"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 customHeight="1">
      <c r="A252" s="1164"/>
      <c r="B252" s="3"/>
      <c r="C252" s="48" t="s">
        <v>1094</v>
      </c>
      <c r="D252" s="3" t="s">
        <v>1095</v>
      </c>
      <c r="E252" s="3"/>
      <c r="F252" s="3"/>
      <c r="G252" s="3"/>
      <c r="H252" s="3"/>
      <c r="I252" s="3"/>
      <c r="J252" s="3"/>
      <c r="K252" s="3"/>
      <c r="L252" s="3"/>
      <c r="M252" s="1501" t="s">
        <v>1096</v>
      </c>
      <c r="N252" s="1501"/>
      <c r="O252" s="1501"/>
      <c r="P252" s="1501"/>
      <c r="Q252" s="1501"/>
      <c r="R252" s="1501"/>
      <c r="S252" s="1501"/>
      <c r="T252" s="1501"/>
      <c r="U252" s="1501"/>
      <c r="V252" s="1501"/>
      <c r="W252" s="1501"/>
      <c r="X252" s="1501"/>
      <c r="Y252" s="1501"/>
      <c r="Z252" s="1501"/>
      <c r="AA252" s="1501"/>
      <c r="AB252" s="1501"/>
      <c r="AC252" s="1501"/>
      <c r="AD252" s="1501"/>
      <c r="AE252" s="1501"/>
      <c r="AF252" s="1501" t="s">
        <v>1097</v>
      </c>
      <c r="AG252" s="1501"/>
      <c r="AH252" s="1501"/>
      <c r="AI252" s="1501"/>
      <c r="AJ252" s="1501"/>
      <c r="AK252" s="1501"/>
      <c r="AU252" s="3"/>
      <c r="AV252" s="3"/>
      <c r="AW252" s="3"/>
      <c r="AX252" s="3"/>
      <c r="AY252" s="3"/>
      <c r="BG252">
        <f>SUM(BG235:BG250)</f>
        <v>2</v>
      </c>
    </row>
    <row r="253" spans="1:67" ht="12.9" customHeight="1">
      <c r="A253" s="1164"/>
      <c r="B253" s="3"/>
      <c r="C253" s="3"/>
      <c r="D253" s="3" t="s">
        <v>1074</v>
      </c>
      <c r="E253" s="3"/>
      <c r="F253" s="3"/>
      <c r="G253" s="3"/>
      <c r="H253" s="3"/>
      <c r="I253" s="3"/>
      <c r="J253" s="3"/>
      <c r="K253" s="3"/>
      <c r="L253" s="3"/>
      <c r="M253" s="1484" t="s">
        <v>1075</v>
      </c>
      <c r="N253" s="1484"/>
      <c r="O253" s="1484"/>
      <c r="P253" s="1484"/>
      <c r="Q253" s="1484"/>
      <c r="R253" s="1484"/>
      <c r="S253" s="1484"/>
      <c r="T253" s="1484"/>
      <c r="U253" s="1484"/>
      <c r="V253" s="1484"/>
      <c r="W253" s="1484"/>
      <c r="X253" s="1484"/>
      <c r="Y253" s="1484"/>
      <c r="Z253" s="1484"/>
      <c r="AA253" s="1484"/>
      <c r="AB253" s="1484"/>
      <c r="AC253" s="1484"/>
      <c r="AD253" s="1484"/>
      <c r="AE253" s="1484"/>
      <c r="AF253" s="3" t="s">
        <v>1098</v>
      </c>
      <c r="AL253" s="3"/>
      <c r="AM253" s="3"/>
      <c r="AN253" s="3"/>
      <c r="AO253" s="3"/>
      <c r="AP253" s="3"/>
      <c r="AQ253" s="3"/>
      <c r="AR253" s="3"/>
      <c r="AS253" s="3"/>
      <c r="AT253" s="3"/>
      <c r="BB253" t="s">
        <v>311</v>
      </c>
      <c r="BG253">
        <v>1</v>
      </c>
      <c r="BH253" t="s">
        <v>1099</v>
      </c>
    </row>
    <row r="254" spans="1:67" ht="12.9" customHeight="1">
      <c r="A254" s="1164"/>
      <c r="B254" s="3"/>
      <c r="C254" s="3"/>
      <c r="D254" s="3" t="s">
        <v>941</v>
      </c>
      <c r="E254" s="3"/>
      <c r="M254" s="1484" t="s">
        <v>1076</v>
      </c>
      <c r="N254" s="1484"/>
      <c r="O254" s="1484"/>
      <c r="P254" s="1484"/>
      <c r="Q254" s="1484"/>
      <c r="R254" s="1484"/>
      <c r="S254" s="1484"/>
      <c r="T254" s="1484"/>
      <c r="V254" s="918" t="s">
        <v>1077</v>
      </c>
      <c r="W254" s="1433" t="s">
        <v>1078</v>
      </c>
      <c r="X254" s="1433"/>
      <c r="Y254" s="3" t="s">
        <v>945</v>
      </c>
      <c r="AC254" s="1484">
        <v>91302</v>
      </c>
      <c r="AD254" s="1484"/>
      <c r="AE254" s="1484"/>
      <c r="AF254" s="3" t="s">
        <v>1100</v>
      </c>
      <c r="AU254" s="3"/>
      <c r="AV254" s="3"/>
      <c r="AW254" s="3"/>
      <c r="AX254" s="3"/>
      <c r="AY254" s="3"/>
      <c r="BB254" s="3" t="s">
        <v>1101</v>
      </c>
      <c r="BG254">
        <v>2</v>
      </c>
      <c r="BH254" t="s">
        <v>1051</v>
      </c>
      <c r="BO254" s="1165" t="str">
        <f>VLOOKUP(BG252,BG253:BH256,2,FALSE)</f>
        <v>Joint Venture</v>
      </c>
    </row>
    <row r="255" spans="1:67" ht="12.9" customHeight="1">
      <c r="A255" s="1164"/>
      <c r="B255" s="3"/>
      <c r="C255" s="3"/>
      <c r="D255" s="3" t="s">
        <v>1079</v>
      </c>
      <c r="E255" s="3"/>
      <c r="F255" s="3"/>
      <c r="G255" s="3"/>
      <c r="H255" s="3"/>
      <c r="I255" s="3"/>
      <c r="J255" s="3"/>
      <c r="K255" s="3"/>
      <c r="L255" s="1164"/>
      <c r="M255" s="1484" t="s">
        <v>1080</v>
      </c>
      <c r="N255" s="1484"/>
      <c r="O255" s="1484"/>
      <c r="P255" s="1484"/>
      <c r="Q255" s="1484"/>
      <c r="R255" s="1484"/>
      <c r="S255" s="1484"/>
      <c r="T255" s="1484"/>
      <c r="U255" s="1484"/>
      <c r="V255" s="1484"/>
      <c r="W255" s="1484"/>
      <c r="X255" s="1484"/>
      <c r="Y255" s="1484"/>
      <c r="Z255" s="1484"/>
      <c r="AA255" s="1484"/>
      <c r="AB255" s="1484"/>
      <c r="AC255" s="1484"/>
      <c r="AD255" s="1484"/>
      <c r="AE255" s="1484"/>
      <c r="AH255" s="1497">
        <v>1E-4</v>
      </c>
      <c r="AI255" s="1498"/>
      <c r="AJ255" s="1498"/>
      <c r="AK255" s="1498"/>
      <c r="AL255" s="3"/>
      <c r="AM255" s="3"/>
      <c r="AN255" s="3"/>
      <c r="AO255" s="3"/>
      <c r="AP255" s="3"/>
      <c r="AQ255" s="3"/>
      <c r="AR255" s="3"/>
      <c r="AS255" s="3"/>
      <c r="AT255" s="3"/>
      <c r="BB255" s="3" t="s">
        <v>1102</v>
      </c>
      <c r="BG255">
        <v>3</v>
      </c>
      <c r="BH255" t="s">
        <v>1103</v>
      </c>
      <c r="BN255" s="3"/>
    </row>
    <row r="256" spans="1:67" ht="12.9" customHeight="1">
      <c r="A256" s="1164"/>
      <c r="B256" s="3"/>
      <c r="C256" s="3"/>
      <c r="D256" s="3" t="s">
        <v>1081</v>
      </c>
      <c r="E256" s="3"/>
      <c r="F256" s="3"/>
      <c r="M256" s="1449" t="s">
        <v>1082</v>
      </c>
      <c r="N256" s="1449"/>
      <c r="O256" s="1449"/>
      <c r="P256" s="1449"/>
      <c r="Q256" s="1449"/>
      <c r="R256" s="1449"/>
      <c r="S256" s="3" t="s">
        <v>1083</v>
      </c>
      <c r="T256" s="3"/>
      <c r="U256" s="1433"/>
      <c r="V256" s="1433"/>
      <c r="W256" s="1433"/>
      <c r="X256" s="3" t="s">
        <v>1084</v>
      </c>
      <c r="Z256" s="1449"/>
      <c r="AA256" s="1449"/>
      <c r="AB256" s="1449"/>
      <c r="AC256" s="1449"/>
      <c r="AD256" s="1449"/>
      <c r="AE256" s="1449"/>
      <c r="AU256" s="3"/>
      <c r="AV256" s="3"/>
      <c r="AW256" s="3"/>
      <c r="AX256" s="3"/>
      <c r="AY256" s="3"/>
      <c r="BG256">
        <v>0</v>
      </c>
      <c r="BH256" s="3" t="str">
        <f>""</f>
        <v/>
      </c>
      <c r="BN256" s="3"/>
    </row>
    <row r="257" spans="1:66" ht="12.9" customHeight="1">
      <c r="A257" s="1164"/>
      <c r="B257" s="3"/>
      <c r="C257" s="3"/>
      <c r="D257" s="3" t="s">
        <v>1086</v>
      </c>
      <c r="E257" s="3"/>
      <c r="F257" s="3"/>
      <c r="M257" s="1499" t="s">
        <v>1087</v>
      </c>
      <c r="N257" s="1499"/>
      <c r="O257" s="1499"/>
      <c r="P257" s="1499"/>
      <c r="Q257" s="1499"/>
      <c r="R257" s="1499"/>
      <c r="S257" s="1499"/>
      <c r="T257" s="1499"/>
      <c r="U257" s="1499"/>
      <c r="V257" s="1499"/>
      <c r="W257" s="1499"/>
      <c r="X257" s="1499"/>
      <c r="Y257" s="1499"/>
      <c r="Z257" s="1499"/>
      <c r="AA257" s="1499"/>
      <c r="AB257" s="1499"/>
      <c r="AC257" s="1499"/>
      <c r="AD257" s="1499"/>
      <c r="AE257" s="1499"/>
      <c r="AG257" s="3"/>
      <c r="AH257" s="3"/>
      <c r="AI257" s="3"/>
      <c r="AJ257" s="3"/>
      <c r="AK257" s="3"/>
      <c r="AL257" s="3"/>
      <c r="AM257" s="3"/>
      <c r="AN257" s="3"/>
      <c r="AO257" s="3"/>
      <c r="AP257" s="3"/>
      <c r="AQ257" s="3"/>
      <c r="AR257" s="3"/>
      <c r="AS257" s="3"/>
      <c r="AT257" s="3"/>
      <c r="BN257" s="3"/>
    </row>
    <row r="258" spans="1:66" ht="12.9" customHeight="1">
      <c r="A258" s="12"/>
      <c r="B258" s="3"/>
      <c r="C258" s="48"/>
      <c r="D258" s="3" t="s">
        <v>1104</v>
      </c>
      <c r="E258" s="3"/>
      <c r="F258" s="3"/>
      <c r="G258" s="3"/>
      <c r="H258" s="3"/>
      <c r="I258" s="3"/>
      <c r="J258" s="3"/>
      <c r="K258" s="3"/>
      <c r="L258" s="3"/>
      <c r="M258" s="1341" t="s">
        <v>1103</v>
      </c>
      <c r="N258" s="1341"/>
      <c r="O258" s="1341"/>
      <c r="P258" s="1341"/>
      <c r="Q258" s="1341"/>
      <c r="R258" s="1341"/>
      <c r="S258" s="1341"/>
      <c r="T258" s="1341"/>
      <c r="U258" s="136" t="s">
        <v>1089</v>
      </c>
      <c r="V258" s="136"/>
      <c r="W258" s="136"/>
      <c r="X258" s="136"/>
      <c r="Y258" s="136"/>
      <c r="Z258" s="136"/>
      <c r="AA258" s="1519" t="s">
        <v>1090</v>
      </c>
      <c r="AB258" s="1519"/>
      <c r="AC258" s="1519"/>
      <c r="AD258" s="1519"/>
      <c r="AE258" s="1519"/>
      <c r="AF258" s="1519"/>
      <c r="AG258" s="1519"/>
      <c r="AH258" s="1519"/>
      <c r="AI258" s="1519"/>
      <c r="AJ258" s="1519"/>
      <c r="AK258" s="1519"/>
      <c r="BN258" s="3"/>
    </row>
    <row r="259" spans="1:66" ht="12.9" customHeight="1">
      <c r="A259" s="1164"/>
      <c r="B259" s="3"/>
      <c r="C259" s="3"/>
      <c r="D259" s="3"/>
      <c r="E259" s="3"/>
      <c r="F259" s="3"/>
      <c r="G259" s="3"/>
      <c r="H259" s="3"/>
      <c r="I259" s="3"/>
      <c r="J259" s="3"/>
      <c r="K259" s="3"/>
      <c r="L259" s="3"/>
      <c r="AG259" s="3"/>
      <c r="AH259" s="3"/>
      <c r="AI259" s="3"/>
      <c r="AJ259" s="3"/>
      <c r="BN259" s="3"/>
    </row>
    <row r="260" spans="1:66" ht="12.9" customHeight="1">
      <c r="A260" s="2"/>
      <c r="B260" s="3"/>
      <c r="C260" s="48" t="s">
        <v>1105</v>
      </c>
      <c r="D260" s="3" t="s">
        <v>1106</v>
      </c>
      <c r="E260" s="3"/>
      <c r="F260" s="3"/>
      <c r="G260" s="3"/>
      <c r="H260" s="3"/>
      <c r="I260" s="3"/>
      <c r="J260" s="3"/>
      <c r="K260" s="3"/>
      <c r="L260" s="3"/>
      <c r="M260" s="1501" t="s">
        <v>1107</v>
      </c>
      <c r="N260" s="1501"/>
      <c r="O260" s="1501"/>
      <c r="P260" s="1501"/>
      <c r="Q260" s="1501"/>
      <c r="R260" s="1501"/>
      <c r="S260" s="1501"/>
      <c r="T260" s="1501"/>
      <c r="U260" s="1501"/>
      <c r="V260" s="1501"/>
      <c r="W260" s="1501"/>
      <c r="X260" s="1501"/>
      <c r="Y260" s="1501"/>
      <c r="Z260" s="1501"/>
      <c r="AA260" s="1501"/>
      <c r="AB260" s="1501"/>
      <c r="AC260" s="1501"/>
      <c r="AD260" s="1501"/>
      <c r="AE260" s="1501"/>
      <c r="AF260" s="1501" t="s">
        <v>1108</v>
      </c>
      <c r="AG260" s="1501"/>
      <c r="AH260" s="1501"/>
      <c r="AI260" s="1501"/>
      <c r="AJ260" s="1501"/>
      <c r="AK260" s="1501"/>
      <c r="AU260" s="3"/>
      <c r="AV260" s="3"/>
      <c r="AW260" s="3"/>
      <c r="AX260" s="3"/>
      <c r="AY260" s="3"/>
      <c r="BN260" s="3"/>
    </row>
    <row r="261" spans="1:66" ht="12.9" customHeight="1">
      <c r="A261" s="1164"/>
      <c r="B261" s="3"/>
      <c r="C261" s="3"/>
      <c r="D261" s="3" t="s">
        <v>1074</v>
      </c>
      <c r="E261" s="3"/>
      <c r="F261" s="3"/>
      <c r="G261" s="3"/>
      <c r="H261" s="3"/>
      <c r="I261" s="3"/>
      <c r="J261" s="3"/>
      <c r="K261" s="3"/>
      <c r="L261" s="3"/>
      <c r="M261" s="1484" t="s">
        <v>1109</v>
      </c>
      <c r="N261" s="1484"/>
      <c r="O261" s="1484"/>
      <c r="P261" s="1484"/>
      <c r="Q261" s="1484"/>
      <c r="R261" s="1484"/>
      <c r="S261" s="1484"/>
      <c r="T261" s="1484"/>
      <c r="U261" s="1484"/>
      <c r="V261" s="1484"/>
      <c r="W261" s="1484"/>
      <c r="X261" s="1484"/>
      <c r="Y261" s="1484"/>
      <c r="Z261" s="1484"/>
      <c r="AA261" s="1484"/>
      <c r="AB261" s="1484"/>
      <c r="AC261" s="1484"/>
      <c r="AD261" s="1484"/>
      <c r="AE261" s="1484"/>
      <c r="AF261" s="3" t="s">
        <v>1098</v>
      </c>
      <c r="AL261" s="3"/>
      <c r="AM261" s="3"/>
      <c r="AN261" s="3"/>
      <c r="AO261" s="3"/>
      <c r="AP261" s="3"/>
      <c r="AQ261" s="3"/>
      <c r="AR261" s="3"/>
      <c r="AS261" s="3"/>
      <c r="AT261" s="3"/>
      <c r="BN261" s="3"/>
    </row>
    <row r="262" spans="1:66" ht="12.9" customHeight="1">
      <c r="A262" s="1164"/>
      <c r="B262" s="3"/>
      <c r="C262" s="3"/>
      <c r="D262" s="3" t="s">
        <v>941</v>
      </c>
      <c r="E262" s="3"/>
      <c r="M262" s="1484" t="s">
        <v>826</v>
      </c>
      <c r="N262" s="1484"/>
      <c r="O262" s="1484"/>
      <c r="P262" s="1484"/>
      <c r="Q262" s="1484"/>
      <c r="R262" s="1484"/>
      <c r="S262" s="1484"/>
      <c r="T262" s="1484"/>
      <c r="V262" s="918" t="s">
        <v>1077</v>
      </c>
      <c r="W262" s="1433" t="s">
        <v>1078</v>
      </c>
      <c r="X262" s="1433"/>
      <c r="Y262" s="3" t="s">
        <v>945</v>
      </c>
      <c r="AC262" s="1484">
        <v>94124</v>
      </c>
      <c r="AD262" s="1484"/>
      <c r="AE262" s="1484"/>
      <c r="AF262" s="3" t="s">
        <v>1100</v>
      </c>
      <c r="AU262" s="3"/>
      <c r="AV262" s="3"/>
      <c r="AW262" s="3"/>
      <c r="AX262" s="3"/>
      <c r="AY262" s="3"/>
      <c r="BN262" s="3"/>
    </row>
    <row r="263" spans="1:66" ht="12.9" customHeight="1">
      <c r="A263" s="1164"/>
      <c r="B263" s="3"/>
      <c r="C263" s="3"/>
      <c r="D263" s="3" t="s">
        <v>1079</v>
      </c>
      <c r="E263" s="3"/>
      <c r="F263" s="3"/>
      <c r="G263" s="3"/>
      <c r="H263" s="3"/>
      <c r="I263" s="3"/>
      <c r="J263" s="3"/>
      <c r="K263" s="3"/>
      <c r="L263" s="1164"/>
      <c r="M263" s="1484" t="s">
        <v>1110</v>
      </c>
      <c r="N263" s="1484"/>
      <c r="O263" s="1484"/>
      <c r="P263" s="1484"/>
      <c r="Q263" s="1484"/>
      <c r="R263" s="1484"/>
      <c r="S263" s="1484"/>
      <c r="T263" s="1484"/>
      <c r="U263" s="1484"/>
      <c r="V263" s="1484"/>
      <c r="W263" s="1484"/>
      <c r="X263" s="1484"/>
      <c r="Y263" s="1484"/>
      <c r="Z263" s="1484"/>
      <c r="AA263" s="1484"/>
      <c r="AB263" s="1484"/>
      <c r="AC263" s="1484"/>
      <c r="AD263" s="1484"/>
      <c r="AE263" s="1484"/>
      <c r="AH263" s="1497">
        <v>1E-4</v>
      </c>
      <c r="AI263" s="1498"/>
      <c r="AJ263" s="1498"/>
      <c r="AK263" s="1498"/>
      <c r="AL263" s="3"/>
      <c r="AM263" s="3"/>
      <c r="AN263" s="3"/>
      <c r="AO263" s="3"/>
      <c r="AP263" s="3"/>
      <c r="AQ263" s="3"/>
      <c r="AR263" s="3"/>
      <c r="AS263" s="3"/>
      <c r="AT263" s="3"/>
    </row>
    <row r="264" spans="1:66" ht="12.9" customHeight="1">
      <c r="A264" s="1164"/>
      <c r="B264" s="3"/>
      <c r="C264" s="3"/>
      <c r="D264" s="3" t="s">
        <v>1081</v>
      </c>
      <c r="E264" s="3"/>
      <c r="F264" s="3"/>
      <c r="M264" s="1449" t="s">
        <v>1111</v>
      </c>
      <c r="N264" s="1449"/>
      <c r="O264" s="1449"/>
      <c r="P264" s="1449"/>
      <c r="Q264" s="1449"/>
      <c r="R264" s="1449"/>
      <c r="S264" s="3" t="s">
        <v>1083</v>
      </c>
      <c r="T264" s="3"/>
      <c r="U264" s="1433">
        <v>121</v>
      </c>
      <c r="V264" s="1433"/>
      <c r="W264" s="1433"/>
      <c r="X264" s="3" t="s">
        <v>1084</v>
      </c>
      <c r="Z264" s="1449"/>
      <c r="AA264" s="1449"/>
      <c r="AB264" s="1449"/>
      <c r="AC264" s="1449"/>
      <c r="AD264" s="1449"/>
      <c r="AE264" s="1449"/>
      <c r="AU264" s="3"/>
      <c r="AV264" s="3"/>
      <c r="AW264" s="3"/>
      <c r="AX264" s="3"/>
      <c r="AY264" s="3"/>
      <c r="BN264" s="3"/>
    </row>
    <row r="265" spans="1:66" ht="12.9" customHeight="1">
      <c r="A265" s="1164"/>
      <c r="B265" s="3"/>
      <c r="C265" s="3"/>
      <c r="D265" s="3" t="s">
        <v>1086</v>
      </c>
      <c r="E265" s="3"/>
      <c r="F265" s="3"/>
      <c r="M265" s="1499" t="s">
        <v>1112</v>
      </c>
      <c r="N265" s="1499"/>
      <c r="O265" s="1499"/>
      <c r="P265" s="1499"/>
      <c r="Q265" s="1499"/>
      <c r="R265" s="1499"/>
      <c r="S265" s="1499"/>
      <c r="T265" s="1499"/>
      <c r="U265" s="1499"/>
      <c r="V265" s="1499"/>
      <c r="W265" s="1499"/>
      <c r="X265" s="1499"/>
      <c r="Y265" s="1499"/>
      <c r="Z265" s="1499"/>
      <c r="AA265" s="1499"/>
      <c r="AB265" s="1499"/>
      <c r="AC265" s="1499"/>
      <c r="AD265" s="1499"/>
      <c r="AE265" s="1499"/>
      <c r="AG265" s="3"/>
      <c r="AH265" s="3"/>
      <c r="AI265" s="3"/>
      <c r="AJ265" s="3"/>
      <c r="AK265" s="3"/>
      <c r="AL265" s="3"/>
      <c r="AM265" s="3"/>
      <c r="AN265" s="3"/>
      <c r="AO265" s="3"/>
      <c r="AP265" s="3"/>
      <c r="AQ265" s="3"/>
      <c r="AR265" s="3"/>
      <c r="AS265" s="3"/>
      <c r="AT265" s="3"/>
      <c r="AU265" s="3"/>
      <c r="AV265" s="3"/>
      <c r="AW265" s="3"/>
      <c r="AX265" s="3"/>
      <c r="AY265" s="3"/>
      <c r="BN265" s="3"/>
    </row>
    <row r="266" spans="1:66" ht="12.9" customHeight="1">
      <c r="A266" s="12"/>
      <c r="B266" s="3"/>
      <c r="C266" s="48"/>
      <c r="D266" s="3" t="s">
        <v>1104</v>
      </c>
      <c r="E266" s="3"/>
      <c r="F266" s="3"/>
      <c r="G266" s="3"/>
      <c r="H266" s="3"/>
      <c r="I266" s="3"/>
      <c r="J266" s="3"/>
      <c r="K266" s="3"/>
      <c r="L266" s="3"/>
      <c r="M266" s="1341" t="s">
        <v>1099</v>
      </c>
      <c r="N266" s="1341"/>
      <c r="O266" s="1341"/>
      <c r="P266" s="1341"/>
      <c r="Q266" s="1341"/>
      <c r="R266" s="1341"/>
      <c r="S266" s="1341"/>
      <c r="T266" s="1341"/>
      <c r="U266" s="136" t="s">
        <v>1089</v>
      </c>
      <c r="V266" s="136"/>
      <c r="W266" s="136"/>
      <c r="X266" s="136"/>
      <c r="Y266" s="136"/>
      <c r="Z266" s="136"/>
      <c r="AA266" s="1519"/>
      <c r="AB266" s="1519"/>
      <c r="AC266" s="1519"/>
      <c r="AD266" s="1519"/>
      <c r="AE266" s="1519"/>
      <c r="AF266" s="1519"/>
      <c r="AG266" s="1519"/>
      <c r="AH266" s="1519"/>
      <c r="AI266" s="1519"/>
      <c r="AJ266" s="1519"/>
      <c r="AK266" s="1519"/>
      <c r="AL266" s="3"/>
      <c r="AM266" s="3"/>
      <c r="AN266" s="3"/>
      <c r="AO266" s="3"/>
      <c r="AP266" s="3"/>
      <c r="AQ266" s="3"/>
      <c r="AR266" s="3"/>
      <c r="AS266" s="3"/>
      <c r="AT266" s="3"/>
      <c r="AU266" s="3"/>
      <c r="AV266" s="3"/>
      <c r="AW266" s="3"/>
      <c r="AX266" s="3"/>
      <c r="AY266" s="3"/>
    </row>
    <row r="267" spans="1:66" ht="12.9"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 customHeight="1">
      <c r="A268" s="12"/>
      <c r="B268" s="3"/>
      <c r="C268" s="48" t="s">
        <v>1113</v>
      </c>
      <c r="D268" s="3" t="s">
        <v>1095</v>
      </c>
      <c r="E268" s="3"/>
      <c r="F268" s="3"/>
      <c r="G268" s="3"/>
      <c r="H268" s="3"/>
      <c r="I268" s="3"/>
      <c r="J268" s="3"/>
      <c r="K268" s="3"/>
      <c r="L268" s="3"/>
      <c r="M268" s="1501"/>
      <c r="N268" s="1501"/>
      <c r="O268" s="1501"/>
      <c r="P268" s="1501"/>
      <c r="Q268" s="1501"/>
      <c r="R268" s="1501"/>
      <c r="S268" s="1501"/>
      <c r="T268" s="1501"/>
      <c r="U268" s="1501"/>
      <c r="V268" s="1501"/>
      <c r="W268" s="1501"/>
      <c r="X268" s="1501"/>
      <c r="Y268" s="1501"/>
      <c r="Z268" s="1501"/>
      <c r="AA268" s="1501"/>
      <c r="AB268" s="1501"/>
      <c r="AC268" s="1501"/>
      <c r="AD268" s="1501"/>
      <c r="AE268" s="1501"/>
      <c r="AF268" s="1501" t="s">
        <v>311</v>
      </c>
      <c r="AG268" s="1501"/>
      <c r="AH268" s="1501"/>
      <c r="AI268" s="1501"/>
      <c r="AJ268" s="1501"/>
      <c r="AK268" s="1501"/>
      <c r="AL268" s="3"/>
      <c r="AM268" s="3"/>
      <c r="AN268" s="3"/>
      <c r="AO268" s="3"/>
      <c r="AP268" s="3"/>
      <c r="AQ268" s="3"/>
      <c r="AR268" s="3"/>
      <c r="AS268" s="3"/>
      <c r="AT268" s="3"/>
      <c r="AU268" s="3"/>
      <c r="AV268" s="3"/>
      <c r="AW268" s="3"/>
      <c r="AX268" s="3"/>
      <c r="AY268" s="3"/>
    </row>
    <row r="269" spans="1:66" ht="12.9" customHeight="1">
      <c r="A269" s="12"/>
      <c r="B269" s="3"/>
      <c r="C269" s="3"/>
      <c r="D269" s="3" t="s">
        <v>1074</v>
      </c>
      <c r="E269" s="3"/>
      <c r="F269" s="3"/>
      <c r="G269" s="3"/>
      <c r="H269" s="3"/>
      <c r="I269" s="3"/>
      <c r="J269" s="3"/>
      <c r="K269" s="3"/>
      <c r="L269" s="3"/>
      <c r="M269" s="1484"/>
      <c r="N269" s="1484"/>
      <c r="O269" s="1484"/>
      <c r="P269" s="1484"/>
      <c r="Q269" s="1484"/>
      <c r="R269" s="1484"/>
      <c r="S269" s="1484"/>
      <c r="T269" s="1484"/>
      <c r="U269" s="1484"/>
      <c r="V269" s="1484"/>
      <c r="W269" s="1484"/>
      <c r="X269" s="1484"/>
      <c r="Y269" s="1484"/>
      <c r="Z269" s="1484"/>
      <c r="AA269" s="1484"/>
      <c r="AB269" s="1484"/>
      <c r="AC269" s="1484"/>
      <c r="AD269" s="1484"/>
      <c r="AE269" s="1484"/>
      <c r="AF269" s="3" t="s">
        <v>1098</v>
      </c>
      <c r="AL269" s="3"/>
      <c r="AM269" s="3"/>
      <c r="AN269" s="3"/>
      <c r="AO269" s="3"/>
      <c r="AP269" s="3"/>
      <c r="AQ269" s="3"/>
      <c r="AR269" s="3"/>
      <c r="AS269" s="3"/>
      <c r="AT269" s="3"/>
      <c r="AU269" s="3"/>
      <c r="AV269" s="3"/>
      <c r="AW269" s="3"/>
      <c r="AX269" s="3"/>
      <c r="AY269" s="3"/>
    </row>
    <row r="270" spans="1:66" ht="12.9" customHeight="1">
      <c r="A270" s="12"/>
      <c r="B270" s="3"/>
      <c r="C270" s="3"/>
      <c r="D270" s="3" t="s">
        <v>941</v>
      </c>
      <c r="E270" s="3"/>
      <c r="M270" s="1484"/>
      <c r="N270" s="1484"/>
      <c r="O270" s="1484"/>
      <c r="P270" s="1484"/>
      <c r="Q270" s="1484"/>
      <c r="R270" s="1484"/>
      <c r="S270" s="1484"/>
      <c r="T270" s="1484"/>
      <c r="V270" s="918" t="s">
        <v>1077</v>
      </c>
      <c r="W270" s="1433"/>
      <c r="X270" s="1433"/>
      <c r="Y270" s="3" t="s">
        <v>945</v>
      </c>
      <c r="AC270" s="1484"/>
      <c r="AD270" s="1484"/>
      <c r="AE270" s="1484"/>
      <c r="AF270" s="3" t="s">
        <v>1100</v>
      </c>
      <c r="AL270" s="3"/>
      <c r="AM270" s="3"/>
      <c r="AN270" s="3"/>
      <c r="AO270" s="3"/>
      <c r="AP270" s="3"/>
      <c r="AQ270" s="3"/>
      <c r="AR270" s="3"/>
      <c r="AS270" s="3"/>
      <c r="AT270" s="3"/>
      <c r="AU270" s="3"/>
      <c r="AV270" s="3"/>
      <c r="AW270" s="3"/>
      <c r="AX270" s="3"/>
      <c r="AY270" s="3"/>
    </row>
    <row r="271" spans="1:66" ht="12.9" customHeight="1">
      <c r="A271" s="12"/>
      <c r="B271" s="3"/>
      <c r="C271" s="3"/>
      <c r="D271" s="3" t="s">
        <v>1079</v>
      </c>
      <c r="E271" s="3"/>
      <c r="F271" s="3"/>
      <c r="G271" s="3"/>
      <c r="H271" s="3"/>
      <c r="I271" s="3"/>
      <c r="J271" s="3"/>
      <c r="K271" s="3"/>
      <c r="L271" s="1164"/>
      <c r="M271" s="1484"/>
      <c r="N271" s="1484"/>
      <c r="O271" s="1484"/>
      <c r="P271" s="1484"/>
      <c r="Q271" s="1484"/>
      <c r="R271" s="1484"/>
      <c r="S271" s="1484"/>
      <c r="T271" s="1484"/>
      <c r="U271" s="1484"/>
      <c r="V271" s="1484"/>
      <c r="W271" s="1484"/>
      <c r="X271" s="1484"/>
      <c r="Y271" s="1484"/>
      <c r="Z271" s="1484"/>
      <c r="AA271" s="1484"/>
      <c r="AB271" s="1484"/>
      <c r="AC271" s="1484"/>
      <c r="AD271" s="1484"/>
      <c r="AE271" s="1484"/>
      <c r="AH271" s="1498"/>
      <c r="AI271" s="1498"/>
      <c r="AJ271" s="1498"/>
      <c r="AK271" s="1498"/>
      <c r="AL271" s="3"/>
      <c r="AM271" s="3"/>
      <c r="AN271" s="3"/>
      <c r="AO271" s="3"/>
      <c r="AP271" s="3"/>
      <c r="AQ271" s="3"/>
      <c r="AR271" s="3"/>
      <c r="AS271" s="3"/>
      <c r="AT271" s="3"/>
      <c r="AU271" s="3"/>
      <c r="AV271" s="3"/>
      <c r="AW271" s="3"/>
      <c r="AX271" s="3"/>
      <c r="AY271" s="3"/>
    </row>
    <row r="272" spans="1:66" ht="12.9" customHeight="1">
      <c r="A272" s="12"/>
      <c r="B272" s="3"/>
      <c r="C272" s="3"/>
      <c r="D272" s="3" t="s">
        <v>1081</v>
      </c>
      <c r="E272" s="3"/>
      <c r="F272" s="3"/>
      <c r="M272" s="1449"/>
      <c r="N272" s="1449"/>
      <c r="O272" s="1449"/>
      <c r="P272" s="1449"/>
      <c r="Q272" s="1449"/>
      <c r="R272" s="1449"/>
      <c r="S272" s="3" t="s">
        <v>1083</v>
      </c>
      <c r="T272" s="3"/>
      <c r="U272" s="1433"/>
      <c r="V272" s="1433"/>
      <c r="W272" s="1433"/>
      <c r="X272" s="3" t="s">
        <v>1084</v>
      </c>
      <c r="Z272" s="1449"/>
      <c r="AA272" s="1449"/>
      <c r="AB272" s="1449"/>
      <c r="AC272" s="1449"/>
      <c r="AD272" s="1449"/>
      <c r="AE272" s="1449"/>
      <c r="AL272" s="3"/>
      <c r="AM272" s="3"/>
      <c r="AN272" s="3"/>
      <c r="AO272" s="3"/>
      <c r="AP272" s="3"/>
      <c r="AQ272" s="3"/>
      <c r="AR272" s="3"/>
      <c r="AS272" s="3"/>
      <c r="AT272" s="3"/>
      <c r="AU272" s="3"/>
      <c r="AV272" s="3"/>
      <c r="AW272" s="3"/>
      <c r="AX272" s="3"/>
      <c r="AY272" s="3"/>
    </row>
    <row r="273" spans="1:51" ht="12.9" customHeight="1">
      <c r="A273" s="12"/>
      <c r="B273" s="3"/>
      <c r="C273" s="3"/>
      <c r="D273" s="3" t="s">
        <v>1086</v>
      </c>
      <c r="E273" s="3"/>
      <c r="F273" s="3"/>
      <c r="M273" s="1499"/>
      <c r="N273" s="1499"/>
      <c r="O273" s="1499"/>
      <c r="P273" s="1499"/>
      <c r="Q273" s="1499"/>
      <c r="R273" s="1499"/>
      <c r="S273" s="1499"/>
      <c r="T273" s="1499"/>
      <c r="U273" s="1499"/>
      <c r="V273" s="1499"/>
      <c r="W273" s="1499"/>
      <c r="X273" s="1499"/>
      <c r="Y273" s="1499"/>
      <c r="Z273" s="1499"/>
      <c r="AA273" s="1500"/>
      <c r="AB273" s="1500"/>
      <c r="AC273" s="1500"/>
      <c r="AD273" s="1500"/>
      <c r="AE273" s="1500"/>
      <c r="AG273" s="3"/>
      <c r="AH273" s="3"/>
      <c r="AI273" s="3"/>
      <c r="AJ273" s="3"/>
      <c r="AK273" s="3"/>
      <c r="AL273" s="3"/>
      <c r="AM273" s="3"/>
      <c r="AN273" s="3"/>
      <c r="AO273" s="3"/>
      <c r="AP273" s="3"/>
      <c r="AQ273" s="3"/>
      <c r="AR273" s="3"/>
      <c r="AS273" s="3"/>
      <c r="AT273" s="3"/>
      <c r="AU273" s="3"/>
      <c r="AV273" s="3"/>
      <c r="AW273" s="3"/>
      <c r="AX273" s="3"/>
      <c r="AY273" s="3"/>
    </row>
    <row r="274" spans="1:51" ht="12.9" customHeight="1">
      <c r="A274" s="12"/>
      <c r="B274" s="3"/>
      <c r="C274" s="48"/>
      <c r="D274" s="3" t="s">
        <v>1104</v>
      </c>
      <c r="E274" s="3"/>
      <c r="F274" s="3"/>
      <c r="G274" s="3"/>
      <c r="H274" s="3"/>
      <c r="I274" s="3"/>
      <c r="J274" s="3"/>
      <c r="K274" s="3"/>
      <c r="L274" s="3"/>
      <c r="M274" s="1341" t="s">
        <v>311</v>
      </c>
      <c r="N274" s="1341"/>
      <c r="O274" s="1341"/>
      <c r="P274" s="1341"/>
      <c r="Q274" s="1341"/>
      <c r="R274" s="1341"/>
      <c r="S274" s="1341"/>
      <c r="T274" s="1341"/>
      <c r="U274" s="136" t="s">
        <v>1089</v>
      </c>
      <c r="V274" s="136"/>
      <c r="W274" s="136"/>
      <c r="X274" s="136"/>
      <c r="Y274" s="136"/>
      <c r="Z274" s="136"/>
      <c r="AA274" s="1525"/>
      <c r="AB274" s="1525"/>
      <c r="AC274" s="1525"/>
      <c r="AD274" s="1525"/>
      <c r="AE274" s="1525"/>
      <c r="AF274" s="1525"/>
      <c r="AG274" s="1525"/>
      <c r="AH274" s="1525"/>
      <c r="AI274" s="1525"/>
      <c r="AJ274" s="1525"/>
      <c r="AK274" s="1525"/>
      <c r="AL274" s="3"/>
      <c r="AM274" s="3"/>
      <c r="AN274" s="3"/>
      <c r="AO274" s="3"/>
      <c r="AP274" s="3"/>
      <c r="AQ274" s="3"/>
      <c r="AR274" s="3"/>
      <c r="AS274" s="3"/>
      <c r="AT274" s="3"/>
    </row>
    <row r="275" spans="1:51" ht="12.9" customHeight="1">
      <c r="A275" s="1164"/>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 customHeight="1">
      <c r="A276" s="49" t="s">
        <v>1028</v>
      </c>
      <c r="B276" s="3"/>
      <c r="C276" s="2" t="s">
        <v>1114</v>
      </c>
      <c r="D276" s="3"/>
      <c r="E276" s="3"/>
      <c r="F276" s="3"/>
      <c r="G276" s="3"/>
      <c r="H276" s="3"/>
      <c r="I276" s="3"/>
      <c r="J276" s="3"/>
      <c r="K276" s="3"/>
      <c r="L276" s="3"/>
      <c r="M276" s="84"/>
      <c r="N276" s="84"/>
      <c r="O276" s="84"/>
      <c r="P276" s="84"/>
      <c r="Q276" s="84"/>
      <c r="T276" s="1496" t="str">
        <f>IFERROR(BO254,"")</f>
        <v>Joint Venture</v>
      </c>
      <c r="U276" s="1496"/>
      <c r="V276" s="1496"/>
      <c r="W276" s="1496"/>
      <c r="X276" s="1496"/>
      <c r="Z276" s="214" t="s">
        <v>1115</v>
      </c>
      <c r="AA276" s="215"/>
      <c r="AB276" s="215"/>
      <c r="AC276" s="215"/>
      <c r="AD276" s="216"/>
      <c r="AE276" s="216"/>
      <c r="AF276" s="216"/>
      <c r="AG276" s="216"/>
      <c r="AH276" s="216"/>
      <c r="AI276" s="216"/>
      <c r="AJ276" s="216"/>
      <c r="AK276" s="216"/>
      <c r="AL276" s="50"/>
    </row>
    <row r="277" spans="1:51" ht="12.9" customHeight="1">
      <c r="A277" s="2"/>
      <c r="B277" s="3"/>
      <c r="C277" s="2"/>
      <c r="I277" s="3"/>
      <c r="J277" s="3"/>
      <c r="K277" s="3"/>
      <c r="L277" s="3"/>
      <c r="M277" s="84"/>
      <c r="N277" s="84"/>
      <c r="O277" s="84"/>
      <c r="P277" s="84"/>
      <c r="Q277" s="84"/>
      <c r="T277" s="3"/>
      <c r="U277" s="3"/>
      <c r="V277" s="3"/>
      <c r="W277" s="84"/>
      <c r="Z277" s="217" t="s">
        <v>1116</v>
      </c>
      <c r="AF277" s="3"/>
      <c r="AG277" s="3"/>
      <c r="AH277" s="3"/>
      <c r="AI277" s="3"/>
      <c r="AJ277" s="3"/>
      <c r="AL277" s="56"/>
    </row>
    <row r="278" spans="1:51" ht="12.9" customHeight="1">
      <c r="A278" s="2" t="s">
        <v>1055</v>
      </c>
      <c r="B278" s="3"/>
      <c r="C278" s="2" t="s">
        <v>124</v>
      </c>
      <c r="D278" s="3"/>
      <c r="E278" s="3"/>
      <c r="F278" s="3"/>
      <c r="G278" s="3"/>
      <c r="H278" s="3"/>
      <c r="I278" s="3"/>
      <c r="J278" s="3"/>
      <c r="K278" s="3"/>
      <c r="L278" s="3"/>
      <c r="M278" s="3"/>
      <c r="N278" s="3"/>
      <c r="O278" s="3"/>
      <c r="P278" s="3"/>
      <c r="Q278" s="3"/>
      <c r="R278" s="3"/>
      <c r="S278" s="3"/>
      <c r="T278" s="3"/>
      <c r="U278" s="3"/>
      <c r="V278" s="3"/>
      <c r="W278" s="3"/>
      <c r="Z278" s="218" t="s">
        <v>1117</v>
      </c>
      <c r="AA278" s="40"/>
      <c r="AB278" s="40"/>
      <c r="AC278" s="40"/>
      <c r="AD278" s="40"/>
      <c r="AE278" s="40"/>
      <c r="AF278" s="788"/>
      <c r="AG278" s="788"/>
      <c r="AH278" s="788"/>
      <c r="AI278" s="788"/>
      <c r="AJ278" s="788"/>
      <c r="AK278" s="40"/>
      <c r="AL278" s="41"/>
    </row>
    <row r="279" spans="1:51" ht="12.9" customHeight="1">
      <c r="A279" s="3"/>
      <c r="B279" s="28">
        <v>0</v>
      </c>
      <c r="D279" s="1484" t="s">
        <v>1101</v>
      </c>
      <c r="E279" s="1484"/>
      <c r="F279" s="1484"/>
      <c r="G279" s="1484"/>
      <c r="H279" s="1484"/>
      <c r="J279" t="s">
        <v>1118</v>
      </c>
      <c r="X279" s="1466"/>
      <c r="Y279" s="1466"/>
      <c r="Z279" s="1466"/>
      <c r="AA279" s="1466"/>
      <c r="AB279" s="1466"/>
      <c r="AC279" s="1466"/>
      <c r="AU279" s="3"/>
      <c r="AV279" s="3"/>
      <c r="AW279" s="3"/>
      <c r="AX279" s="3"/>
      <c r="AY279" s="3"/>
    </row>
    <row r="280" spans="1:51" ht="12.9" customHeight="1">
      <c r="A280" s="3"/>
      <c r="B280" s="1164"/>
      <c r="D280" s="29" t="s">
        <v>1119</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 customHeight="1">
      <c r="A282" s="2" t="s">
        <v>1120</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 customHeight="1">
      <c r="D283" s="3" t="s">
        <v>1121</v>
      </c>
      <c r="E283" s="3"/>
      <c r="F283" s="3"/>
      <c r="G283" s="3"/>
      <c r="H283" s="3"/>
      <c r="I283" s="3"/>
      <c r="J283" s="3"/>
      <c r="K283" s="3"/>
      <c r="L283" s="1501" t="s">
        <v>1096</v>
      </c>
      <c r="M283" s="1501"/>
      <c r="N283" s="1501"/>
      <c r="O283" s="1501"/>
      <c r="P283" s="1501"/>
      <c r="Q283" s="1501"/>
      <c r="R283" s="1501"/>
      <c r="S283" s="1501"/>
      <c r="T283" s="1501"/>
      <c r="U283" s="1501"/>
      <c r="V283" s="1501"/>
      <c r="W283" s="1501"/>
      <c r="X283" s="1501"/>
      <c r="Y283" s="1501"/>
      <c r="Z283" s="1501"/>
      <c r="AA283" s="1501"/>
      <c r="AB283" s="1501"/>
      <c r="AC283" s="1501"/>
      <c r="AD283" s="1501"/>
      <c r="AE283" s="1501"/>
      <c r="AF283" s="1501"/>
      <c r="AG283" s="1501"/>
      <c r="AH283" s="1501"/>
      <c r="AI283" s="1501"/>
      <c r="AJ283" s="1501"/>
      <c r="AK283" s="3"/>
      <c r="AL283" s="3"/>
      <c r="AM283" s="3"/>
      <c r="AN283" s="3"/>
      <c r="AO283" s="3"/>
      <c r="AP283" s="3"/>
      <c r="AQ283" s="3"/>
      <c r="AR283" s="3"/>
      <c r="AS283" s="3"/>
      <c r="AT283" s="3"/>
      <c r="AU283" s="3"/>
      <c r="AV283" s="3"/>
      <c r="AW283" s="3"/>
      <c r="AX283" s="3"/>
      <c r="AY283" s="3"/>
    </row>
    <row r="284" spans="1:51" ht="12.9" customHeight="1">
      <c r="D284" s="3" t="s">
        <v>1074</v>
      </c>
      <c r="E284" s="3"/>
      <c r="F284" s="3"/>
      <c r="G284" s="3"/>
      <c r="H284" s="3"/>
      <c r="I284" s="3"/>
      <c r="J284" s="3"/>
      <c r="K284" s="3"/>
      <c r="L284" s="1484" t="s">
        <v>1075</v>
      </c>
      <c r="M284" s="1484"/>
      <c r="N284" s="1484"/>
      <c r="O284" s="1484"/>
      <c r="P284" s="1484"/>
      <c r="Q284" s="1484"/>
      <c r="R284" s="1484"/>
      <c r="S284" s="1484"/>
      <c r="T284" s="1484"/>
      <c r="U284" s="1484"/>
      <c r="V284" s="1484"/>
      <c r="W284" s="1484"/>
      <c r="X284" s="1484"/>
      <c r="Y284" s="1484"/>
      <c r="Z284" s="1484"/>
      <c r="AA284" s="1484"/>
      <c r="AB284" s="1484"/>
      <c r="AC284" s="1484"/>
      <c r="AD284" s="1484"/>
      <c r="AK284" s="3"/>
      <c r="AL284" s="3"/>
      <c r="AM284" s="3"/>
      <c r="AN284" s="3"/>
      <c r="AO284" s="3"/>
      <c r="AP284" s="3"/>
      <c r="AQ284" s="3"/>
      <c r="AR284" s="3"/>
      <c r="AS284" s="3"/>
      <c r="AT284" s="3"/>
      <c r="AU284" s="3"/>
      <c r="AV284" s="3"/>
      <c r="AW284" s="3"/>
      <c r="AX284" s="3"/>
      <c r="AY284" s="3"/>
    </row>
    <row r="285" spans="1:51" ht="12.9" customHeight="1">
      <c r="D285" s="3" t="s">
        <v>941</v>
      </c>
      <c r="E285" s="3"/>
      <c r="L285" s="1484" t="s">
        <v>1076</v>
      </c>
      <c r="M285" s="1484"/>
      <c r="N285" s="1484"/>
      <c r="O285" s="1484"/>
      <c r="P285" s="1484"/>
      <c r="Q285" s="1484"/>
      <c r="R285" s="1484"/>
      <c r="S285" s="1484"/>
      <c r="U285" s="918" t="s">
        <v>1077</v>
      </c>
      <c r="V285" s="1433" t="s">
        <v>1078</v>
      </c>
      <c r="W285" s="1433"/>
      <c r="X285" s="3" t="s">
        <v>945</v>
      </c>
      <c r="AB285" s="1484">
        <v>91302</v>
      </c>
      <c r="AC285" s="1484"/>
      <c r="AD285" s="1484"/>
      <c r="AK285" s="3"/>
      <c r="AL285" s="3"/>
      <c r="AM285" s="3"/>
      <c r="AN285" s="3"/>
      <c r="AO285" s="3"/>
      <c r="AP285" s="3"/>
      <c r="AQ285" s="3"/>
      <c r="AR285" s="3"/>
      <c r="AS285" s="3"/>
      <c r="AT285" s="3"/>
      <c r="AU285" s="3"/>
      <c r="AV285" s="3"/>
      <c r="AW285" s="3"/>
      <c r="AX285" s="3"/>
      <c r="AY285" s="3"/>
    </row>
    <row r="286" spans="1:51" ht="12.9" customHeight="1">
      <c r="D286" s="3" t="s">
        <v>1079</v>
      </c>
      <c r="E286" s="3"/>
      <c r="F286" s="3"/>
      <c r="G286" s="3"/>
      <c r="H286" s="3"/>
      <c r="I286" s="3"/>
      <c r="J286" s="3"/>
      <c r="K286" s="1164"/>
      <c r="L286" s="1484" t="s">
        <v>1080</v>
      </c>
      <c r="M286" s="1484"/>
      <c r="N286" s="1484"/>
      <c r="O286" s="1484"/>
      <c r="P286" s="1484"/>
      <c r="Q286" s="1484"/>
      <c r="R286" s="1484"/>
      <c r="S286" s="1484"/>
      <c r="T286" s="1484"/>
      <c r="U286" s="1484"/>
      <c r="V286" s="1484"/>
      <c r="W286" s="1484"/>
      <c r="X286" s="1484"/>
      <c r="Y286" s="1484"/>
      <c r="Z286" s="1484"/>
      <c r="AA286" s="1484"/>
      <c r="AB286" s="1484"/>
      <c r="AC286" s="1484"/>
      <c r="AD286" s="1484"/>
      <c r="AI286" s="3"/>
      <c r="AJ286" s="3"/>
      <c r="AK286" s="3"/>
      <c r="AL286" s="3"/>
      <c r="AM286" s="3"/>
      <c r="AN286" s="3"/>
      <c r="AO286" s="3"/>
      <c r="AP286" s="3"/>
      <c r="AQ286" s="3"/>
      <c r="AR286" s="3"/>
      <c r="AS286" s="3"/>
      <c r="AT286" s="3"/>
    </row>
    <row r="287" spans="1:51" ht="12.9" customHeight="1">
      <c r="D287" s="3" t="s">
        <v>1081</v>
      </c>
      <c r="E287" s="3"/>
      <c r="F287" s="3"/>
      <c r="L287" s="1449" t="s">
        <v>1082</v>
      </c>
      <c r="M287" s="1449"/>
      <c r="N287" s="1449"/>
      <c r="O287" s="1449"/>
      <c r="P287" s="1449"/>
      <c r="Q287" s="1449"/>
      <c r="R287" s="3" t="s">
        <v>1083</v>
      </c>
      <c r="S287" s="3"/>
      <c r="T287" s="1433"/>
      <c r="U287" s="1433"/>
      <c r="V287" s="1433"/>
      <c r="W287" s="3" t="s">
        <v>1084</v>
      </c>
      <c r="Y287" s="1449"/>
      <c r="Z287" s="1449"/>
      <c r="AA287" s="1449"/>
      <c r="AB287" s="1449"/>
      <c r="AC287" s="1449"/>
      <c r="AD287" s="1449"/>
    </row>
    <row r="288" spans="1:51" ht="12.9" customHeight="1">
      <c r="D288" s="3" t="s">
        <v>1086</v>
      </c>
      <c r="E288" s="3"/>
      <c r="F288" s="3"/>
      <c r="L288" s="1499" t="s">
        <v>1087</v>
      </c>
      <c r="M288" s="1499"/>
      <c r="N288" s="1499"/>
      <c r="O288" s="1499"/>
      <c r="P288" s="1499"/>
      <c r="Q288" s="1499"/>
      <c r="R288" s="1499"/>
      <c r="S288" s="1499"/>
      <c r="T288" s="1499"/>
      <c r="U288" s="1499"/>
      <c r="V288" s="1499"/>
      <c r="W288" s="1499"/>
      <c r="X288" s="1499"/>
      <c r="Y288" s="1499"/>
      <c r="Z288" s="1499"/>
      <c r="AA288" s="1499"/>
      <c r="AB288" s="1499"/>
      <c r="AC288" s="1499"/>
      <c r="AD288" s="1499"/>
      <c r="AF288" s="3"/>
      <c r="AG288" s="3"/>
      <c r="AH288" s="3"/>
      <c r="AI288" s="3"/>
      <c r="AJ288" s="3"/>
      <c r="AU288" s="3"/>
      <c r="AV288" s="3"/>
      <c r="AW288" s="3"/>
      <c r="AX288" s="3"/>
      <c r="AY288" s="3"/>
    </row>
    <row r="289" spans="1:51" ht="12.9" customHeight="1">
      <c r="D289" s="3" t="s">
        <v>1122</v>
      </c>
      <c r="E289" s="3"/>
      <c r="F289" s="3"/>
      <c r="G289" s="3"/>
      <c r="H289" s="3"/>
      <c r="I289" s="3"/>
      <c r="L289" s="1433" t="s">
        <v>1123</v>
      </c>
      <c r="M289" s="1433"/>
      <c r="N289" s="1433"/>
      <c r="O289" s="1433"/>
      <c r="P289" s="1433"/>
      <c r="Q289" s="1433"/>
      <c r="R289" s="1433"/>
      <c r="S289" s="1433"/>
      <c r="T289" s="1433"/>
      <c r="U289" s="1433"/>
      <c r="V289" s="1433"/>
      <c r="W289" s="1433"/>
      <c r="X289" s="1433"/>
      <c r="Y289" s="1433"/>
      <c r="Z289" s="1433"/>
      <c r="AA289" s="1433"/>
      <c r="AB289" s="1433"/>
      <c r="AC289" s="1433"/>
      <c r="AD289" s="1433"/>
      <c r="AK289" s="3"/>
      <c r="AL289" s="3"/>
      <c r="AM289" s="3"/>
      <c r="AN289" s="3"/>
      <c r="AO289" s="3"/>
      <c r="AP289" s="3"/>
      <c r="AQ289" s="3"/>
      <c r="AR289" s="3"/>
      <c r="AS289" s="3"/>
      <c r="AT289" s="3"/>
    </row>
    <row r="290" spans="1:51" ht="12.9" customHeight="1">
      <c r="L290" s="19" t="s">
        <v>1124</v>
      </c>
      <c r="AU290" s="70"/>
      <c r="AV290" s="70"/>
      <c r="AW290" s="70"/>
      <c r="AX290" s="70"/>
      <c r="AY290" s="70"/>
    </row>
    <row r="291" spans="1:51" ht="12.9" customHeight="1">
      <c r="A291" s="1494" t="s">
        <v>1125</v>
      </c>
      <c r="B291" s="1494"/>
      <c r="C291" s="1494"/>
      <c r="D291" s="1494"/>
      <c r="E291" s="1494"/>
      <c r="F291" s="1494"/>
      <c r="G291" s="1494"/>
      <c r="H291" s="1494"/>
      <c r="I291" s="1494"/>
      <c r="J291" s="1494"/>
      <c r="K291" s="1494"/>
      <c r="L291" s="1494"/>
      <c r="M291" s="1494"/>
      <c r="N291" s="1494"/>
      <c r="O291" s="1494"/>
      <c r="P291" s="1494"/>
      <c r="Q291" s="1494"/>
      <c r="R291" s="1494"/>
      <c r="S291" s="1494"/>
      <c r="T291" s="1494"/>
      <c r="U291" s="1494"/>
      <c r="V291" s="1494"/>
      <c r="W291" s="1494"/>
      <c r="X291" s="1494"/>
      <c r="Y291" s="1494"/>
      <c r="Z291" s="1494"/>
      <c r="AA291" s="1494"/>
      <c r="AB291" s="1494"/>
      <c r="AC291" s="1494"/>
      <c r="AD291" s="1494"/>
      <c r="AE291" s="1494"/>
      <c r="AF291" s="1494"/>
      <c r="AG291" s="1494"/>
      <c r="AH291" s="1494"/>
      <c r="AI291" s="1494"/>
      <c r="AJ291" s="1494"/>
      <c r="AK291" s="1494"/>
      <c r="AL291" s="1494"/>
      <c r="AM291" s="1494"/>
      <c r="AN291" s="1494"/>
      <c r="AO291" s="1494"/>
      <c r="AP291" s="1494"/>
      <c r="AQ291" s="1494"/>
      <c r="AR291" s="1494"/>
      <c r="AS291" s="1494"/>
      <c r="AT291" s="1494"/>
      <c r="AU291" s="70"/>
      <c r="AV291" s="70"/>
      <c r="AW291" s="70"/>
      <c r="AX291" s="70"/>
      <c r="AY291" s="70"/>
    </row>
    <row r="292" spans="1:51" ht="12.9" customHeight="1">
      <c r="A292" s="1494"/>
      <c r="B292" s="1494"/>
      <c r="C292" s="1494"/>
      <c r="D292" s="1494"/>
      <c r="E292" s="1494"/>
      <c r="F292" s="1494"/>
      <c r="G292" s="1494"/>
      <c r="H292" s="1494"/>
      <c r="I292" s="1494"/>
      <c r="J292" s="1494"/>
      <c r="K292" s="1494"/>
      <c r="L292" s="1494"/>
      <c r="M292" s="1494"/>
      <c r="N292" s="1494"/>
      <c r="O292" s="1494"/>
      <c r="P292" s="1494"/>
      <c r="Q292" s="1494"/>
      <c r="R292" s="1494"/>
      <c r="S292" s="1494"/>
      <c r="T292" s="1494"/>
      <c r="U292" s="1494"/>
      <c r="V292" s="1494"/>
      <c r="W292" s="1494"/>
      <c r="X292" s="1494"/>
      <c r="Y292" s="1494"/>
      <c r="Z292" s="1494"/>
      <c r="AA292" s="1494"/>
      <c r="AB292" s="1494"/>
      <c r="AC292" s="1494"/>
      <c r="AD292" s="1494"/>
      <c r="AE292" s="1494"/>
      <c r="AF292" s="1494"/>
      <c r="AG292" s="1494"/>
      <c r="AH292" s="1494"/>
      <c r="AI292" s="1494"/>
      <c r="AJ292" s="1494"/>
      <c r="AK292" s="1494"/>
      <c r="AL292" s="1494"/>
      <c r="AM292" s="1494"/>
      <c r="AN292" s="1494"/>
      <c r="AO292" s="1494"/>
      <c r="AP292" s="1494"/>
      <c r="AQ292" s="1494"/>
      <c r="AR292" s="1494"/>
      <c r="AS292" s="1494"/>
      <c r="AT292" s="1494"/>
      <c r="AU292" s="21"/>
      <c r="AV292" s="21"/>
      <c r="AW292" s="21"/>
      <c r="AX292" s="21"/>
      <c r="AY292" s="21"/>
    </row>
    <row r="293" spans="1:51" ht="12.9"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 customHeight="1">
      <c r="A294" s="2" t="s">
        <v>881</v>
      </c>
      <c r="C294" s="2" t="s">
        <v>1126</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1127</v>
      </c>
      <c r="C296" s="3"/>
      <c r="D296" s="3"/>
      <c r="E296" s="3"/>
      <c r="F296" s="3"/>
      <c r="H296" s="1372" t="s">
        <v>1090</v>
      </c>
      <c r="I296" s="1372"/>
      <c r="J296" s="1372"/>
      <c r="K296" s="1372"/>
      <c r="L296" s="1372"/>
      <c r="M296" s="1372"/>
      <c r="N296" s="1372"/>
      <c r="O296" s="1372"/>
      <c r="P296" s="1372"/>
      <c r="Q296" s="1372"/>
      <c r="R296" s="1372"/>
      <c r="T296" s="3" t="s">
        <v>1128</v>
      </c>
      <c r="V296" s="3"/>
      <c r="W296" s="3"/>
      <c r="X296" s="3"/>
      <c r="Y296" s="3"/>
      <c r="AA296" s="1372" t="s">
        <v>1129</v>
      </c>
      <c r="AB296" s="1372"/>
      <c r="AC296" s="1372"/>
      <c r="AD296" s="1372"/>
      <c r="AE296" s="1372"/>
      <c r="AF296" s="1372"/>
      <c r="AG296" s="1372"/>
      <c r="AH296" s="1372"/>
      <c r="AI296" s="1372"/>
      <c r="AJ296" s="1372"/>
      <c r="AK296" s="1372"/>
    </row>
    <row r="297" spans="1:51" ht="12.9" customHeight="1">
      <c r="B297" s="3" t="s">
        <v>1130</v>
      </c>
      <c r="C297" s="3"/>
      <c r="D297" s="3"/>
      <c r="E297" s="3"/>
      <c r="F297" s="3"/>
      <c r="H297" s="1341" t="s">
        <v>1075</v>
      </c>
      <c r="I297" s="1341"/>
      <c r="J297" s="1341"/>
      <c r="K297" s="1341"/>
      <c r="L297" s="1341"/>
      <c r="M297" s="1341"/>
      <c r="N297" s="1341"/>
      <c r="O297" s="1341"/>
      <c r="P297" s="1341"/>
      <c r="Q297" s="1341"/>
      <c r="R297" s="1341"/>
      <c r="T297" s="3" t="s">
        <v>1130</v>
      </c>
      <c r="V297" s="3"/>
      <c r="W297" s="3"/>
      <c r="X297" s="3"/>
      <c r="Y297" s="3"/>
      <c r="AA297" s="1341" t="s">
        <v>1131</v>
      </c>
      <c r="AB297" s="1341"/>
      <c r="AC297" s="1341"/>
      <c r="AD297" s="1341"/>
      <c r="AE297" s="1341"/>
      <c r="AF297" s="1341"/>
      <c r="AG297" s="1341"/>
      <c r="AH297" s="1341"/>
      <c r="AI297" s="1341"/>
      <c r="AJ297" s="1341"/>
      <c r="AK297" s="1341"/>
    </row>
    <row r="298" spans="1:51" ht="12.9" customHeight="1">
      <c r="B298" s="3" t="s">
        <v>1132</v>
      </c>
      <c r="C298" s="3"/>
      <c r="D298" s="3"/>
      <c r="E298" s="3"/>
      <c r="F298" s="3"/>
      <c r="H298" s="1341" t="s">
        <v>1133</v>
      </c>
      <c r="I298" s="1341"/>
      <c r="J298" s="1341"/>
      <c r="K298" s="1341"/>
      <c r="L298" s="1341"/>
      <c r="M298" s="1341"/>
      <c r="N298" s="1341"/>
      <c r="O298" s="1341"/>
      <c r="P298" s="1341"/>
      <c r="Q298" s="1341"/>
      <c r="R298" s="1341"/>
      <c r="T298" s="3" t="s">
        <v>1134</v>
      </c>
      <c r="V298" s="3"/>
      <c r="W298" s="3"/>
      <c r="X298" s="3"/>
      <c r="Y298" s="3"/>
      <c r="AA298" s="1341" t="s">
        <v>1135</v>
      </c>
      <c r="AB298" s="1341"/>
      <c r="AC298" s="1341"/>
      <c r="AD298" s="1341"/>
      <c r="AE298" s="1341"/>
      <c r="AF298" s="1341"/>
      <c r="AG298" s="1341"/>
      <c r="AH298" s="1341"/>
      <c r="AI298" s="1341"/>
      <c r="AJ298" s="1341"/>
      <c r="AK298" s="1341"/>
    </row>
    <row r="299" spans="1:51" ht="12.9" customHeight="1">
      <c r="B299" s="3" t="s">
        <v>1079</v>
      </c>
      <c r="C299" s="3"/>
      <c r="D299" s="3"/>
      <c r="E299" s="3"/>
      <c r="F299" s="3"/>
      <c r="H299" s="1341" t="s">
        <v>1080</v>
      </c>
      <c r="I299" s="1341"/>
      <c r="J299" s="1341"/>
      <c r="K299" s="1341"/>
      <c r="L299" s="1341"/>
      <c r="M299" s="1341"/>
      <c r="N299" s="1341"/>
      <c r="O299" s="1341"/>
      <c r="P299" s="1341"/>
      <c r="Q299" s="1341"/>
      <c r="R299" s="1341"/>
      <c r="T299" s="3" t="s">
        <v>1079</v>
      </c>
      <c r="V299" s="3"/>
      <c r="W299" s="3"/>
      <c r="X299" s="3"/>
      <c r="Y299" s="3"/>
      <c r="AA299" s="1341" t="s">
        <v>1136</v>
      </c>
      <c r="AB299" s="1341"/>
      <c r="AC299" s="1341"/>
      <c r="AD299" s="1341"/>
      <c r="AE299" s="1341"/>
      <c r="AF299" s="1341"/>
      <c r="AG299" s="1341"/>
      <c r="AH299" s="1341"/>
      <c r="AI299" s="1341"/>
      <c r="AJ299" s="1341"/>
      <c r="AK299" s="1341"/>
    </row>
    <row r="300" spans="1:51" ht="12.9" customHeight="1">
      <c r="B300" s="3" t="s">
        <v>1081</v>
      </c>
      <c r="C300" s="3"/>
      <c r="D300" s="3"/>
      <c r="E300" s="3"/>
      <c r="F300" s="3"/>
      <c r="G300" s="3"/>
      <c r="H300" s="1502" t="s">
        <v>1082</v>
      </c>
      <c r="I300" s="1502"/>
      <c r="J300" s="1502"/>
      <c r="K300" s="1502"/>
      <c r="L300" s="1502"/>
      <c r="M300" s="1502"/>
      <c r="N300" s="3" t="s">
        <v>1083</v>
      </c>
      <c r="O300" s="3"/>
      <c r="P300" s="1484"/>
      <c r="Q300" s="1484"/>
      <c r="R300" s="1484"/>
      <c r="S300" s="3"/>
      <c r="T300" s="3" t="s">
        <v>1081</v>
      </c>
      <c r="V300" s="3"/>
      <c r="W300" s="3"/>
      <c r="X300" s="3"/>
      <c r="Y300" s="3"/>
      <c r="AA300" s="1502" t="s">
        <v>1137</v>
      </c>
      <c r="AB300" s="1502"/>
      <c r="AC300" s="1502"/>
      <c r="AD300" s="1502"/>
      <c r="AE300" s="1502"/>
      <c r="AF300" s="1502"/>
      <c r="AG300" s="3" t="s">
        <v>1083</v>
      </c>
      <c r="AH300" s="3"/>
      <c r="AI300" s="1484"/>
      <c r="AJ300" s="1484"/>
      <c r="AK300" s="1484"/>
    </row>
    <row r="301" spans="1:51" ht="12.9" customHeight="1">
      <c r="B301" s="3" t="s">
        <v>1084</v>
      </c>
      <c r="C301" s="3"/>
      <c r="D301" s="3"/>
      <c r="E301" s="3"/>
      <c r="F301" s="3"/>
      <c r="G301" s="3"/>
      <c r="H301" s="1449"/>
      <c r="I301" s="1449"/>
      <c r="J301" s="1449"/>
      <c r="K301" s="1449"/>
      <c r="L301" s="1449"/>
      <c r="M301" s="1449"/>
      <c r="N301" s="3"/>
      <c r="O301" s="3"/>
      <c r="P301" s="84"/>
      <c r="Q301" s="84"/>
      <c r="R301" s="84"/>
      <c r="S301" s="3"/>
      <c r="T301" s="3" t="s">
        <v>1084</v>
      </c>
      <c r="V301" s="3"/>
      <c r="W301" s="3"/>
      <c r="X301" s="3"/>
      <c r="Y301" s="3"/>
      <c r="AA301" s="1449"/>
      <c r="AB301" s="1449"/>
      <c r="AC301" s="1449"/>
      <c r="AD301" s="1449"/>
      <c r="AE301" s="1449"/>
      <c r="AF301" s="1449"/>
      <c r="AG301" s="3"/>
      <c r="AH301" s="3"/>
      <c r="AI301" s="84"/>
      <c r="AJ301" s="84"/>
      <c r="AK301" s="84"/>
    </row>
    <row r="302" spans="1:51" ht="12.9" customHeight="1">
      <c r="B302" s="3" t="s">
        <v>1138</v>
      </c>
      <c r="C302" s="3"/>
      <c r="D302" s="3"/>
      <c r="E302" s="3"/>
      <c r="F302" s="3"/>
      <c r="G302" s="3"/>
      <c r="H302" s="1341" t="s">
        <v>1087</v>
      </c>
      <c r="I302" s="1341"/>
      <c r="J302" s="1341"/>
      <c r="K302" s="1341"/>
      <c r="L302" s="1341"/>
      <c r="M302" s="1341"/>
      <c r="N302" s="1372"/>
      <c r="O302" s="1372"/>
      <c r="P302" s="1372"/>
      <c r="Q302" s="1372"/>
      <c r="R302" s="1372"/>
      <c r="S302" s="3"/>
      <c r="T302" s="3" t="s">
        <v>1138</v>
      </c>
      <c r="V302" s="3"/>
      <c r="W302" s="3"/>
      <c r="X302" s="3"/>
      <c r="Y302" s="3"/>
      <c r="AA302" s="1341" t="s">
        <v>1139</v>
      </c>
      <c r="AB302" s="1341"/>
      <c r="AC302" s="1341"/>
      <c r="AD302" s="1341"/>
      <c r="AE302" s="1341"/>
      <c r="AF302" s="1341"/>
      <c r="AG302" s="1372"/>
      <c r="AH302" s="1372"/>
      <c r="AI302" s="1372"/>
      <c r="AJ302" s="1372"/>
      <c r="AK302" s="1372"/>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1140</v>
      </c>
      <c r="C304" s="3"/>
      <c r="D304" s="3"/>
      <c r="E304" s="3"/>
      <c r="F304" s="3"/>
      <c r="H304" s="1372" t="s">
        <v>1141</v>
      </c>
      <c r="I304" s="1372"/>
      <c r="J304" s="1372"/>
      <c r="K304" s="1372"/>
      <c r="L304" s="1372"/>
      <c r="M304" s="1372"/>
      <c r="N304" s="1372"/>
      <c r="O304" s="1372"/>
      <c r="P304" s="1372"/>
      <c r="Q304" s="1372"/>
      <c r="R304" s="1372"/>
      <c r="T304" s="3" t="s">
        <v>1142</v>
      </c>
      <c r="V304" s="3"/>
      <c r="W304" s="3"/>
      <c r="X304" s="3"/>
      <c r="Y304" s="3"/>
      <c r="AA304" s="1372" t="s">
        <v>1143</v>
      </c>
      <c r="AB304" s="1372"/>
      <c r="AC304" s="1372"/>
      <c r="AD304" s="1372"/>
      <c r="AE304" s="1372"/>
      <c r="AF304" s="1372"/>
      <c r="AG304" s="1372"/>
      <c r="AH304" s="1372"/>
      <c r="AI304" s="1372"/>
      <c r="AJ304" s="1372"/>
      <c r="AK304" s="1372"/>
    </row>
    <row r="305" spans="2:72" ht="12.9" customHeight="1">
      <c r="B305" s="3" t="s">
        <v>1130</v>
      </c>
      <c r="C305" s="3"/>
      <c r="D305" s="3"/>
      <c r="E305" s="3"/>
      <c r="F305" s="3"/>
      <c r="H305" s="1341" t="s">
        <v>1144</v>
      </c>
      <c r="I305" s="1341"/>
      <c r="J305" s="1341"/>
      <c r="K305" s="1341"/>
      <c r="L305" s="1341"/>
      <c r="M305" s="1341"/>
      <c r="N305" s="1341"/>
      <c r="O305" s="1341"/>
      <c r="P305" s="1341"/>
      <c r="Q305" s="1341"/>
      <c r="R305" s="1341"/>
      <c r="T305" s="3" t="s">
        <v>1130</v>
      </c>
      <c r="V305" s="3"/>
      <c r="W305" s="3"/>
      <c r="X305" s="3"/>
      <c r="Y305" s="3"/>
      <c r="AA305" s="1341" t="s">
        <v>1145</v>
      </c>
      <c r="AB305" s="1341"/>
      <c r="AC305" s="1341"/>
      <c r="AD305" s="1341"/>
      <c r="AE305" s="1341"/>
      <c r="AF305" s="1341"/>
      <c r="AG305" s="1341"/>
      <c r="AH305" s="1341"/>
      <c r="AI305" s="1341"/>
      <c r="AJ305" s="1341"/>
      <c r="AK305" s="1341"/>
      <c r="AX305" s="1081"/>
      <c r="AY305" s="1081"/>
      <c r="AZ305" s="1081"/>
      <c r="BA305" s="1081"/>
      <c r="BB305" s="1081"/>
      <c r="BC305" s="1081"/>
      <c r="BD305" s="1081"/>
      <c r="BE305" s="1081"/>
      <c r="BF305" s="1081"/>
      <c r="BG305" s="1081"/>
      <c r="BH305" s="1081"/>
      <c r="BI305" s="1081"/>
      <c r="BJ305" s="1081"/>
      <c r="BK305" s="1081"/>
      <c r="BL305" s="1081"/>
      <c r="BM305" s="1081"/>
      <c r="BN305" s="1081"/>
      <c r="BO305" s="1081"/>
      <c r="BP305" s="1081"/>
      <c r="BQ305" s="1081"/>
      <c r="BR305" s="1081"/>
      <c r="BS305" s="1081"/>
      <c r="BT305" s="1081"/>
    </row>
    <row r="306" spans="2:72" ht="12.9" customHeight="1">
      <c r="B306" s="3" t="s">
        <v>1132</v>
      </c>
      <c r="C306" s="3"/>
      <c r="D306" s="3"/>
      <c r="E306" s="3"/>
      <c r="F306" s="3"/>
      <c r="H306" s="1341" t="s">
        <v>1146</v>
      </c>
      <c r="I306" s="1341"/>
      <c r="J306" s="1341"/>
      <c r="K306" s="1341"/>
      <c r="L306" s="1341"/>
      <c r="M306" s="1341"/>
      <c r="N306" s="1341"/>
      <c r="O306" s="1341"/>
      <c r="P306" s="1341"/>
      <c r="Q306" s="1341"/>
      <c r="R306" s="1341"/>
      <c r="T306" s="3" t="s">
        <v>1134</v>
      </c>
      <c r="V306" s="3"/>
      <c r="W306" s="3"/>
      <c r="X306" s="3"/>
      <c r="Y306" s="3"/>
      <c r="AA306" s="1341" t="s">
        <v>1147</v>
      </c>
      <c r="AB306" s="1341"/>
      <c r="AC306" s="1341"/>
      <c r="AD306" s="1341"/>
      <c r="AE306" s="1341"/>
      <c r="AF306" s="1341"/>
      <c r="AG306" s="1341"/>
      <c r="AH306" s="1341"/>
      <c r="AI306" s="1341"/>
      <c r="AJ306" s="1341"/>
      <c r="AK306" s="1341"/>
      <c r="AX306" s="1081"/>
      <c r="AY306" s="1081"/>
      <c r="AZ306" s="1081"/>
      <c r="BA306" s="1081"/>
      <c r="BB306" s="1081"/>
      <c r="BC306" s="1081"/>
      <c r="BD306" s="1081"/>
      <c r="BE306" s="1081"/>
      <c r="BF306" s="1081"/>
      <c r="BG306" s="1081"/>
      <c r="BH306" s="1081"/>
      <c r="BI306" s="1081"/>
      <c r="BJ306" s="1081"/>
      <c r="BK306" s="1081"/>
      <c r="BL306" s="1081"/>
      <c r="BM306" s="1081"/>
      <c r="BN306" s="1081"/>
      <c r="BO306" s="1081"/>
      <c r="BP306" s="1081"/>
      <c r="BQ306" s="1081"/>
      <c r="BR306" s="1081"/>
      <c r="BS306" s="1081"/>
      <c r="BT306" s="1081"/>
    </row>
    <row r="307" spans="2:72" ht="12.9" customHeight="1">
      <c r="B307" s="3" t="s">
        <v>1079</v>
      </c>
      <c r="C307" s="3"/>
      <c r="D307" s="3"/>
      <c r="E307" s="3"/>
      <c r="F307" s="3"/>
      <c r="H307" s="1341" t="s">
        <v>1148</v>
      </c>
      <c r="I307" s="1341"/>
      <c r="J307" s="1341"/>
      <c r="K307" s="1341"/>
      <c r="L307" s="1341"/>
      <c r="M307" s="1341"/>
      <c r="N307" s="1341"/>
      <c r="O307" s="1341"/>
      <c r="P307" s="1341"/>
      <c r="Q307" s="1341"/>
      <c r="R307" s="1341"/>
      <c r="T307" s="3" t="s">
        <v>1079</v>
      </c>
      <c r="V307" s="3"/>
      <c r="W307" s="3"/>
      <c r="X307" s="3"/>
      <c r="Y307" s="3"/>
      <c r="AA307" s="1341" t="s">
        <v>1149</v>
      </c>
      <c r="AB307" s="1341"/>
      <c r="AC307" s="1341"/>
      <c r="AD307" s="1341"/>
      <c r="AE307" s="1341"/>
      <c r="AF307" s="1341"/>
      <c r="AG307" s="1341"/>
      <c r="AH307" s="1341"/>
      <c r="AI307" s="1341"/>
      <c r="AJ307" s="1341"/>
      <c r="AK307" s="1341"/>
    </row>
    <row r="308" spans="2:72" ht="12.9" customHeight="1">
      <c r="B308" s="3" t="s">
        <v>1081</v>
      </c>
      <c r="C308" s="3"/>
      <c r="D308" s="3"/>
      <c r="E308" s="3"/>
      <c r="F308" s="3"/>
      <c r="G308" s="3"/>
      <c r="H308" s="1502" t="s">
        <v>1150</v>
      </c>
      <c r="I308" s="1502"/>
      <c r="J308" s="1502"/>
      <c r="K308" s="1502"/>
      <c r="L308" s="1502"/>
      <c r="M308" s="1502"/>
      <c r="N308" s="3" t="s">
        <v>1083</v>
      </c>
      <c r="O308" s="3"/>
      <c r="P308" s="1484"/>
      <c r="Q308" s="1484"/>
      <c r="R308" s="1484"/>
      <c r="S308" s="3"/>
      <c r="T308" s="3" t="s">
        <v>1081</v>
      </c>
      <c r="V308" s="3"/>
      <c r="W308" s="3"/>
      <c r="X308" s="3"/>
      <c r="Y308" s="3"/>
      <c r="AA308" s="1502" t="s">
        <v>1151</v>
      </c>
      <c r="AB308" s="1502"/>
      <c r="AC308" s="1502"/>
      <c r="AD308" s="1502"/>
      <c r="AE308" s="1502"/>
      <c r="AF308" s="1502"/>
      <c r="AG308" s="3" t="s">
        <v>1083</v>
      </c>
      <c r="AH308" s="3"/>
      <c r="AI308" s="1484"/>
      <c r="AJ308" s="1484"/>
      <c r="AK308" s="1484"/>
    </row>
    <row r="309" spans="2:72" ht="12.9" customHeight="1">
      <c r="B309" s="3" t="s">
        <v>1084</v>
      </c>
      <c r="C309" s="3"/>
      <c r="D309" s="3"/>
      <c r="E309" s="3"/>
      <c r="F309" s="3"/>
      <c r="G309" s="3"/>
      <c r="H309" s="1449"/>
      <c r="I309" s="1449"/>
      <c r="J309" s="1449"/>
      <c r="K309" s="1449"/>
      <c r="L309" s="1449"/>
      <c r="M309" s="1449"/>
      <c r="N309" s="3"/>
      <c r="O309" s="3"/>
      <c r="P309" s="84"/>
      <c r="Q309" s="84"/>
      <c r="R309" s="84"/>
      <c r="S309" s="3"/>
      <c r="T309" s="3" t="s">
        <v>1084</v>
      </c>
      <c r="V309" s="3"/>
      <c r="W309" s="3"/>
      <c r="X309" s="3"/>
      <c r="Y309" s="3"/>
      <c r="AA309" s="1449"/>
      <c r="AB309" s="1449"/>
      <c r="AC309" s="1449"/>
      <c r="AD309" s="1449"/>
      <c r="AE309" s="1449"/>
      <c r="AF309" s="1449"/>
      <c r="AG309" s="3"/>
      <c r="AH309" s="3"/>
      <c r="AI309" s="84"/>
      <c r="AJ309" s="84"/>
      <c r="AK309" s="84"/>
    </row>
    <row r="310" spans="2:72" ht="12.9" customHeight="1">
      <c r="B310" s="3" t="s">
        <v>1138</v>
      </c>
      <c r="C310" s="3"/>
      <c r="D310" s="3"/>
      <c r="E310" s="3"/>
      <c r="F310" s="3"/>
      <c r="G310" s="3"/>
      <c r="H310" s="1341" t="s">
        <v>1152</v>
      </c>
      <c r="I310" s="1341"/>
      <c r="J310" s="1341"/>
      <c r="K310" s="1341"/>
      <c r="L310" s="1341"/>
      <c r="M310" s="1341"/>
      <c r="N310" s="1372"/>
      <c r="O310" s="1372"/>
      <c r="P310" s="1372"/>
      <c r="Q310" s="1372"/>
      <c r="R310" s="1372"/>
      <c r="S310" s="3"/>
      <c r="T310" s="3" t="s">
        <v>1138</v>
      </c>
      <c r="V310" s="3"/>
      <c r="W310" s="3"/>
      <c r="X310" s="3"/>
      <c r="Y310" s="3"/>
      <c r="AA310" s="1341" t="s">
        <v>1153</v>
      </c>
      <c r="AB310" s="1341"/>
      <c r="AC310" s="1341"/>
      <c r="AD310" s="1341"/>
      <c r="AE310" s="1341"/>
      <c r="AF310" s="1341"/>
      <c r="AG310" s="1372"/>
      <c r="AH310" s="1372"/>
      <c r="AI310" s="1372"/>
      <c r="AJ310" s="1372"/>
      <c r="AK310" s="1372"/>
    </row>
    <row r="311" spans="2:72" ht="12.9" customHeight="1"/>
    <row r="312" spans="2:72" ht="12.9" customHeight="1">
      <c r="B312" s="3" t="s">
        <v>1154</v>
      </c>
      <c r="C312" s="3"/>
      <c r="D312" s="3"/>
      <c r="E312" s="3"/>
      <c r="F312" s="3"/>
      <c r="H312" s="1372" t="s">
        <v>1155</v>
      </c>
      <c r="I312" s="1372"/>
      <c r="J312" s="1372"/>
      <c r="K312" s="1372"/>
      <c r="L312" s="1372"/>
      <c r="M312" s="1372"/>
      <c r="N312" s="1372"/>
      <c r="O312" s="1372"/>
      <c r="P312" s="1372"/>
      <c r="Q312" s="1372"/>
      <c r="R312" s="1372"/>
      <c r="T312" s="3" t="s">
        <v>1156</v>
      </c>
      <c r="V312" s="3"/>
      <c r="W312" s="3"/>
      <c r="X312" s="3"/>
      <c r="Y312" s="3"/>
      <c r="AA312" s="1372"/>
      <c r="AB312" s="1372"/>
      <c r="AC312" s="1372"/>
      <c r="AD312" s="1372"/>
      <c r="AE312" s="1372"/>
      <c r="AF312" s="1372"/>
      <c r="AG312" s="1372"/>
      <c r="AH312" s="1372"/>
      <c r="AI312" s="1372"/>
      <c r="AJ312" s="1372"/>
      <c r="AK312" s="1372"/>
    </row>
    <row r="313" spans="2:72" ht="12.9" customHeight="1">
      <c r="B313" s="3" t="s">
        <v>1130</v>
      </c>
      <c r="C313" s="3"/>
      <c r="D313" s="3"/>
      <c r="E313" s="3"/>
      <c r="F313" s="3"/>
      <c r="H313" s="1341" t="s">
        <v>1157</v>
      </c>
      <c r="I313" s="1341"/>
      <c r="J313" s="1341"/>
      <c r="K313" s="1341"/>
      <c r="L313" s="1341"/>
      <c r="M313" s="1341"/>
      <c r="N313" s="1341"/>
      <c r="O313" s="1341"/>
      <c r="P313" s="1341"/>
      <c r="Q313" s="1341"/>
      <c r="R313" s="1341"/>
      <c r="T313" s="3" t="s">
        <v>1130</v>
      </c>
      <c r="V313" s="3"/>
      <c r="W313" s="3"/>
      <c r="X313" s="3"/>
      <c r="Y313" s="3"/>
      <c r="AA313" s="1341"/>
      <c r="AB313" s="1341"/>
      <c r="AC313" s="1341"/>
      <c r="AD313" s="1341"/>
      <c r="AE313" s="1341"/>
      <c r="AF313" s="1341"/>
      <c r="AG313" s="1341"/>
      <c r="AH313" s="1341"/>
      <c r="AI313" s="1341"/>
      <c r="AJ313" s="1341"/>
      <c r="AK313" s="1341"/>
    </row>
    <row r="314" spans="2:72" ht="12.9" customHeight="1">
      <c r="B314" s="3" t="s">
        <v>1132</v>
      </c>
      <c r="C314" s="3"/>
      <c r="D314" s="3"/>
      <c r="E314" s="3"/>
      <c r="F314" s="3"/>
      <c r="H314" s="1341" t="s">
        <v>1158</v>
      </c>
      <c r="I314" s="1341"/>
      <c r="J314" s="1341"/>
      <c r="K314" s="1341"/>
      <c r="L314" s="1341"/>
      <c r="M314" s="1341"/>
      <c r="N314" s="1341"/>
      <c r="O314" s="1341"/>
      <c r="P314" s="1341"/>
      <c r="Q314" s="1341"/>
      <c r="R314" s="1341"/>
      <c r="T314" s="3" t="s">
        <v>1134</v>
      </c>
      <c r="V314" s="3"/>
      <c r="W314" s="3"/>
      <c r="X314" s="3"/>
      <c r="Y314" s="3"/>
      <c r="AA314" s="1341"/>
      <c r="AB314" s="1341"/>
      <c r="AC314" s="1341"/>
      <c r="AD314" s="1341"/>
      <c r="AE314" s="1341"/>
      <c r="AF314" s="1341"/>
      <c r="AG314" s="1341"/>
      <c r="AH314" s="1341"/>
      <c r="AI314" s="1341"/>
      <c r="AJ314" s="1341"/>
      <c r="AK314" s="1341"/>
    </row>
    <row r="315" spans="2:72" ht="12.9" customHeight="1">
      <c r="B315" s="3" t="s">
        <v>1079</v>
      </c>
      <c r="C315" s="3"/>
      <c r="D315" s="3"/>
      <c r="E315" s="3"/>
      <c r="F315" s="3"/>
      <c r="H315" s="1341" t="s">
        <v>1159</v>
      </c>
      <c r="I315" s="1341"/>
      <c r="J315" s="1341"/>
      <c r="K315" s="1341"/>
      <c r="L315" s="1341"/>
      <c r="M315" s="1341"/>
      <c r="N315" s="1341"/>
      <c r="O315" s="1341"/>
      <c r="P315" s="1341"/>
      <c r="Q315" s="1341"/>
      <c r="R315" s="1341"/>
      <c r="T315" s="3" t="s">
        <v>1079</v>
      </c>
      <c r="V315" s="3"/>
      <c r="W315" s="3"/>
      <c r="X315" s="3"/>
      <c r="Y315" s="3"/>
      <c r="AA315" s="1341"/>
      <c r="AB315" s="1341"/>
      <c r="AC315" s="1341"/>
      <c r="AD315" s="1341"/>
      <c r="AE315" s="1341"/>
      <c r="AF315" s="1341"/>
      <c r="AG315" s="1341"/>
      <c r="AH315" s="1341"/>
      <c r="AI315" s="1341"/>
      <c r="AJ315" s="1341"/>
      <c r="AK315" s="1341"/>
    </row>
    <row r="316" spans="2:72" ht="12.9" customHeight="1">
      <c r="B316" s="3" t="s">
        <v>1081</v>
      </c>
      <c r="C316" s="3"/>
      <c r="D316" s="3"/>
      <c r="E316" s="3"/>
      <c r="F316" s="3"/>
      <c r="G316" s="3"/>
      <c r="H316" s="1502" t="s">
        <v>1160</v>
      </c>
      <c r="I316" s="1502"/>
      <c r="J316" s="1502"/>
      <c r="K316" s="1502"/>
      <c r="L316" s="1502"/>
      <c r="M316" s="1502"/>
      <c r="N316" s="3" t="s">
        <v>1083</v>
      </c>
      <c r="O316" s="3"/>
      <c r="P316" s="1484"/>
      <c r="Q316" s="1484"/>
      <c r="R316" s="1484"/>
      <c r="S316" s="3"/>
      <c r="T316" s="3" t="s">
        <v>1081</v>
      </c>
      <c r="V316" s="3"/>
      <c r="W316" s="3"/>
      <c r="X316" s="3"/>
      <c r="Y316" s="3"/>
      <c r="AA316" s="1502"/>
      <c r="AB316" s="1502"/>
      <c r="AC316" s="1502"/>
      <c r="AD316" s="1502"/>
      <c r="AE316" s="1502"/>
      <c r="AF316" s="1502"/>
      <c r="AG316" s="3" t="s">
        <v>1083</v>
      </c>
      <c r="AH316" s="3"/>
      <c r="AI316" s="1484"/>
      <c r="AJ316" s="1484"/>
      <c r="AK316" s="1484"/>
    </row>
    <row r="317" spans="2:72" ht="12.9" customHeight="1">
      <c r="B317" s="3" t="s">
        <v>1084</v>
      </c>
      <c r="C317" s="3"/>
      <c r="D317" s="3"/>
      <c r="E317" s="3"/>
      <c r="F317" s="3"/>
      <c r="G317" s="3"/>
      <c r="H317" s="1449"/>
      <c r="I317" s="1449"/>
      <c r="J317" s="1449"/>
      <c r="K317" s="1449"/>
      <c r="L317" s="1449"/>
      <c r="M317" s="1449"/>
      <c r="N317" s="3"/>
      <c r="O317" s="3"/>
      <c r="P317" s="84"/>
      <c r="Q317" s="84"/>
      <c r="R317" s="84"/>
      <c r="S317" s="3"/>
      <c r="T317" s="3" t="s">
        <v>1084</v>
      </c>
      <c r="V317" s="3"/>
      <c r="W317" s="3"/>
      <c r="X317" s="3"/>
      <c r="Y317" s="3"/>
      <c r="AA317" s="1449"/>
      <c r="AB317" s="1449"/>
      <c r="AC317" s="1449"/>
      <c r="AD317" s="1449"/>
      <c r="AE317" s="1449"/>
      <c r="AF317" s="1449"/>
      <c r="AG317" s="3"/>
      <c r="AH317" s="3"/>
      <c r="AI317" s="84"/>
      <c r="AJ317" s="84"/>
      <c r="AK317" s="84"/>
    </row>
    <row r="318" spans="2:72" ht="12.9" customHeight="1">
      <c r="B318" s="3" t="s">
        <v>1138</v>
      </c>
      <c r="C318" s="3"/>
      <c r="D318" s="3"/>
      <c r="E318" s="3"/>
      <c r="F318" s="3"/>
      <c r="G318" s="3"/>
      <c r="H318" s="1341" t="s">
        <v>1161</v>
      </c>
      <c r="I318" s="1341"/>
      <c r="J318" s="1341"/>
      <c r="K318" s="1341"/>
      <c r="L318" s="1341"/>
      <c r="M318" s="1341"/>
      <c r="N318" s="1372"/>
      <c r="O318" s="1372"/>
      <c r="P318" s="1372"/>
      <c r="Q318" s="1372"/>
      <c r="R318" s="1372"/>
      <c r="S318" s="3"/>
      <c r="T318" s="3" t="s">
        <v>1138</v>
      </c>
      <c r="V318" s="3"/>
      <c r="W318" s="3"/>
      <c r="X318" s="3"/>
      <c r="Y318" s="3"/>
      <c r="AA318" s="1341"/>
      <c r="AB318" s="1341"/>
      <c r="AC318" s="1341"/>
      <c r="AD318" s="1341"/>
      <c r="AE318" s="1341"/>
      <c r="AF318" s="1341"/>
      <c r="AG318" s="1372"/>
      <c r="AH318" s="1372"/>
      <c r="AI318" s="1372"/>
      <c r="AJ318" s="1372"/>
      <c r="AK318" s="1372"/>
    </row>
    <row r="319" spans="2:72" ht="12.9"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 customHeight="1">
      <c r="B320" s="3" t="s">
        <v>1162</v>
      </c>
      <c r="C320" s="3"/>
      <c r="D320" s="3"/>
      <c r="E320" s="3"/>
      <c r="F320" s="3"/>
      <c r="H320" s="1372" t="s">
        <v>1155</v>
      </c>
      <c r="I320" s="1372"/>
      <c r="J320" s="1372"/>
      <c r="K320" s="1372"/>
      <c r="L320" s="1372"/>
      <c r="M320" s="1372"/>
      <c r="N320" s="1372"/>
      <c r="O320" s="1372"/>
      <c r="P320" s="1372"/>
      <c r="Q320" s="1372"/>
      <c r="R320" s="1372"/>
      <c r="S320" s="3"/>
      <c r="T320" s="3" t="s">
        <v>1163</v>
      </c>
      <c r="V320" s="3"/>
      <c r="W320" s="3"/>
      <c r="X320" s="3"/>
      <c r="Y320" s="3"/>
      <c r="AA320" s="1372" t="s">
        <v>1164</v>
      </c>
      <c r="AB320" s="1372"/>
      <c r="AC320" s="1372"/>
      <c r="AD320" s="1372"/>
      <c r="AE320" s="1372"/>
      <c r="AF320" s="1372"/>
      <c r="AG320" s="1372"/>
      <c r="AH320" s="1372"/>
      <c r="AI320" s="1372"/>
      <c r="AJ320" s="1372"/>
      <c r="AK320" s="1372"/>
    </row>
    <row r="321" spans="2:37" ht="12.9" customHeight="1">
      <c r="B321" s="3" t="s">
        <v>1130</v>
      </c>
      <c r="C321" s="3"/>
      <c r="D321" s="3"/>
      <c r="E321" s="3"/>
      <c r="F321" s="3"/>
      <c r="H321" s="1341" t="s">
        <v>1157</v>
      </c>
      <c r="I321" s="1341"/>
      <c r="J321" s="1341"/>
      <c r="K321" s="1341"/>
      <c r="L321" s="1341"/>
      <c r="M321" s="1341"/>
      <c r="N321" s="1341"/>
      <c r="O321" s="1341"/>
      <c r="P321" s="1341"/>
      <c r="Q321" s="1341"/>
      <c r="R321" s="1341"/>
      <c r="S321" s="3"/>
      <c r="T321" s="3" t="s">
        <v>1130</v>
      </c>
      <c r="V321" s="3"/>
      <c r="W321" s="3"/>
      <c r="X321" s="3"/>
      <c r="Y321" s="3"/>
      <c r="AA321" s="1341" t="s">
        <v>1165</v>
      </c>
      <c r="AB321" s="1341"/>
      <c r="AC321" s="1341"/>
      <c r="AD321" s="1341"/>
      <c r="AE321" s="1341"/>
      <c r="AF321" s="1341"/>
      <c r="AG321" s="1341"/>
      <c r="AH321" s="1341"/>
      <c r="AI321" s="1341"/>
      <c r="AJ321" s="1341"/>
      <c r="AK321" s="1341"/>
    </row>
    <row r="322" spans="2:37" ht="12.9" customHeight="1">
      <c r="B322" s="3" t="s">
        <v>1132</v>
      </c>
      <c r="C322" s="3"/>
      <c r="D322" s="3"/>
      <c r="E322" s="3"/>
      <c r="F322" s="3"/>
      <c r="H322" s="1341" t="s">
        <v>1158</v>
      </c>
      <c r="I322" s="1341"/>
      <c r="J322" s="1341"/>
      <c r="K322" s="1341"/>
      <c r="L322" s="1341"/>
      <c r="M322" s="1341"/>
      <c r="N322" s="1341"/>
      <c r="O322" s="1341"/>
      <c r="P322" s="1341"/>
      <c r="Q322" s="1341"/>
      <c r="R322" s="1341"/>
      <c r="S322" s="3"/>
      <c r="T322" s="3" t="s">
        <v>1134</v>
      </c>
      <c r="V322" s="3"/>
      <c r="W322" s="3"/>
      <c r="X322" s="3"/>
      <c r="Y322" s="3"/>
      <c r="AA322" s="1341" t="s">
        <v>1166</v>
      </c>
      <c r="AB322" s="1341"/>
      <c r="AC322" s="1341"/>
      <c r="AD322" s="1341"/>
      <c r="AE322" s="1341"/>
      <c r="AF322" s="1341"/>
      <c r="AG322" s="1341"/>
      <c r="AH322" s="1341"/>
      <c r="AI322" s="1341"/>
      <c r="AJ322" s="1341"/>
      <c r="AK322" s="1341"/>
    </row>
    <row r="323" spans="2:37" ht="12.9" customHeight="1">
      <c r="B323" s="3" t="s">
        <v>1079</v>
      </c>
      <c r="C323" s="3"/>
      <c r="D323" s="3"/>
      <c r="E323" s="3"/>
      <c r="F323" s="3"/>
      <c r="H323" s="1341" t="s">
        <v>1159</v>
      </c>
      <c r="I323" s="1341"/>
      <c r="J323" s="1341"/>
      <c r="K323" s="1341"/>
      <c r="L323" s="1341"/>
      <c r="M323" s="1341"/>
      <c r="N323" s="1341"/>
      <c r="O323" s="1341"/>
      <c r="P323" s="1341"/>
      <c r="Q323" s="1341"/>
      <c r="R323" s="1341"/>
      <c r="S323" s="3"/>
      <c r="T323" s="3" t="s">
        <v>1079</v>
      </c>
      <c r="V323" s="3"/>
      <c r="W323" s="3"/>
      <c r="X323" s="3"/>
      <c r="Y323" s="3"/>
      <c r="AA323" s="1341" t="s">
        <v>1167</v>
      </c>
      <c r="AB323" s="1341"/>
      <c r="AC323" s="1341"/>
      <c r="AD323" s="1341"/>
      <c r="AE323" s="1341"/>
      <c r="AF323" s="1341"/>
      <c r="AG323" s="1341"/>
      <c r="AH323" s="1341"/>
      <c r="AI323" s="1341"/>
      <c r="AJ323" s="1341"/>
      <c r="AK323" s="1341"/>
    </row>
    <row r="324" spans="2:37" ht="12.9" customHeight="1">
      <c r="B324" s="3" t="s">
        <v>1081</v>
      </c>
      <c r="C324" s="3"/>
      <c r="D324" s="3"/>
      <c r="E324" s="3"/>
      <c r="F324" s="3"/>
      <c r="G324" s="3"/>
      <c r="H324" s="1502" t="s">
        <v>1160</v>
      </c>
      <c r="I324" s="1502"/>
      <c r="J324" s="1502"/>
      <c r="K324" s="1502"/>
      <c r="L324" s="1502"/>
      <c r="M324" s="1502"/>
      <c r="N324" s="3" t="s">
        <v>1083</v>
      </c>
      <c r="O324" s="3"/>
      <c r="P324" s="1484"/>
      <c r="Q324" s="1484"/>
      <c r="R324" s="1484"/>
      <c r="S324" s="3"/>
      <c r="T324" s="3" t="s">
        <v>1081</v>
      </c>
      <c r="V324" s="3"/>
      <c r="W324" s="3"/>
      <c r="X324" s="3"/>
      <c r="Y324" s="3"/>
      <c r="AA324" s="1502" t="s">
        <v>1168</v>
      </c>
      <c r="AB324" s="1502"/>
      <c r="AC324" s="1502"/>
      <c r="AD324" s="1502"/>
      <c r="AE324" s="1502"/>
      <c r="AF324" s="1502"/>
      <c r="AG324" s="3" t="s">
        <v>1083</v>
      </c>
      <c r="AH324" s="3"/>
      <c r="AI324" s="1484"/>
      <c r="AJ324" s="1484"/>
      <c r="AK324" s="1484"/>
    </row>
    <row r="325" spans="2:37" ht="12.9" customHeight="1">
      <c r="B325" s="3" t="s">
        <v>1084</v>
      </c>
      <c r="C325" s="3"/>
      <c r="D325" s="3"/>
      <c r="E325" s="3"/>
      <c r="F325" s="3"/>
      <c r="G325" s="3"/>
      <c r="H325" s="1449"/>
      <c r="I325" s="1449"/>
      <c r="J325" s="1449"/>
      <c r="K325" s="1449"/>
      <c r="L325" s="1449"/>
      <c r="M325" s="1449"/>
      <c r="N325" s="3"/>
      <c r="O325" s="3"/>
      <c r="P325" s="84"/>
      <c r="Q325" s="84"/>
      <c r="R325" s="84"/>
      <c r="S325" s="3"/>
      <c r="T325" s="3" t="s">
        <v>1084</v>
      </c>
      <c r="V325" s="3"/>
      <c r="W325" s="3"/>
      <c r="X325" s="3"/>
      <c r="Y325" s="3"/>
      <c r="AA325" s="1449"/>
      <c r="AB325" s="1449"/>
      <c r="AC325" s="1449"/>
      <c r="AD325" s="1449"/>
      <c r="AE325" s="1449"/>
      <c r="AF325" s="1449"/>
      <c r="AG325" s="3"/>
      <c r="AH325" s="3"/>
      <c r="AI325" s="84"/>
      <c r="AJ325" s="84"/>
      <c r="AK325" s="84"/>
    </row>
    <row r="326" spans="2:37" ht="12.9" customHeight="1">
      <c r="B326" s="3" t="s">
        <v>1138</v>
      </c>
      <c r="C326" s="3"/>
      <c r="D326" s="3"/>
      <c r="E326" s="3"/>
      <c r="F326" s="3"/>
      <c r="G326" s="3"/>
      <c r="H326" s="1341" t="s">
        <v>1161</v>
      </c>
      <c r="I326" s="1341"/>
      <c r="J326" s="1341"/>
      <c r="K326" s="1341"/>
      <c r="L326" s="1341"/>
      <c r="M326" s="1341"/>
      <c r="N326" s="1372"/>
      <c r="O326" s="1372"/>
      <c r="P326" s="1372"/>
      <c r="Q326" s="1372"/>
      <c r="R326" s="1372"/>
      <c r="S326" s="3"/>
      <c r="T326" s="3" t="s">
        <v>1138</v>
      </c>
      <c r="V326" s="3"/>
      <c r="W326" s="3"/>
      <c r="X326" s="3"/>
      <c r="Y326" s="3"/>
      <c r="AA326" s="1341" t="s">
        <v>1169</v>
      </c>
      <c r="AB326" s="1341"/>
      <c r="AC326" s="1341"/>
      <c r="AD326" s="1341"/>
      <c r="AE326" s="1341"/>
      <c r="AF326" s="1341"/>
      <c r="AG326" s="1372"/>
      <c r="AH326" s="1372"/>
      <c r="AI326" s="1372"/>
      <c r="AJ326" s="1372"/>
      <c r="AK326" s="1372"/>
    </row>
    <row r="327" spans="2:37" ht="12.9" customHeight="1"/>
    <row r="328" spans="2:37" ht="12.9" customHeight="1">
      <c r="B328" s="3" t="s">
        <v>1170</v>
      </c>
      <c r="C328" s="3"/>
      <c r="D328" s="3"/>
      <c r="E328" s="3"/>
      <c r="F328" s="3"/>
      <c r="H328" s="1372"/>
      <c r="I328" s="1372"/>
      <c r="J328" s="1372"/>
      <c r="K328" s="1372"/>
      <c r="L328" s="1372"/>
      <c r="M328" s="1372"/>
      <c r="N328" s="1372"/>
      <c r="O328" s="1372"/>
      <c r="P328" s="1372"/>
      <c r="Q328" s="1372"/>
      <c r="R328" s="1372"/>
      <c r="T328" s="3" t="s">
        <v>1171</v>
      </c>
      <c r="V328" s="3"/>
      <c r="W328" s="3"/>
      <c r="X328" s="3"/>
      <c r="Y328" s="3"/>
      <c r="AA328" s="1372" t="s">
        <v>1172</v>
      </c>
      <c r="AB328" s="1372"/>
      <c r="AC328" s="1372"/>
      <c r="AD328" s="1372"/>
      <c r="AE328" s="1372"/>
      <c r="AF328" s="1372"/>
      <c r="AG328" s="1372"/>
      <c r="AH328" s="1372"/>
      <c r="AI328" s="1372"/>
      <c r="AJ328" s="1372"/>
      <c r="AK328" s="1372"/>
    </row>
    <row r="329" spans="2:37" ht="12.9" customHeight="1">
      <c r="B329" s="3" t="s">
        <v>1130</v>
      </c>
      <c r="C329" s="3"/>
      <c r="D329" s="3"/>
      <c r="E329" s="3"/>
      <c r="F329" s="3"/>
      <c r="H329" s="1341"/>
      <c r="I329" s="1341"/>
      <c r="J329" s="1341"/>
      <c r="K329" s="1341"/>
      <c r="L329" s="1341"/>
      <c r="M329" s="1341"/>
      <c r="N329" s="1341"/>
      <c r="O329" s="1341"/>
      <c r="P329" s="1341"/>
      <c r="Q329" s="1341"/>
      <c r="R329" s="1341"/>
      <c r="T329" s="3" t="s">
        <v>1130</v>
      </c>
      <c r="V329" s="3"/>
      <c r="W329" s="3"/>
      <c r="X329" s="3"/>
      <c r="Y329" s="3"/>
      <c r="AA329" s="1341" t="s">
        <v>1173</v>
      </c>
      <c r="AB329" s="1341"/>
      <c r="AC329" s="1341"/>
      <c r="AD329" s="1341"/>
      <c r="AE329" s="1341"/>
      <c r="AF329" s="1341"/>
      <c r="AG329" s="1341"/>
      <c r="AH329" s="1341"/>
      <c r="AI329" s="1341"/>
      <c r="AJ329" s="1341"/>
      <c r="AK329" s="1341"/>
    </row>
    <row r="330" spans="2:37" ht="12.9" customHeight="1">
      <c r="B330" s="3" t="s">
        <v>1132</v>
      </c>
      <c r="C330" s="3"/>
      <c r="D330" s="3"/>
      <c r="E330" s="3"/>
      <c r="F330" s="3"/>
      <c r="H330" s="1341"/>
      <c r="I330" s="1341"/>
      <c r="J330" s="1341"/>
      <c r="K330" s="1341"/>
      <c r="L330" s="1341"/>
      <c r="M330" s="1341"/>
      <c r="N330" s="1341"/>
      <c r="O330" s="1341"/>
      <c r="P330" s="1341"/>
      <c r="Q330" s="1341"/>
      <c r="R330" s="1341"/>
      <c r="T330" s="3" t="s">
        <v>1134</v>
      </c>
      <c r="V330" s="3"/>
      <c r="W330" s="3"/>
      <c r="X330" s="3"/>
      <c r="Y330" s="3"/>
      <c r="AA330" s="1341" t="s">
        <v>1174</v>
      </c>
      <c r="AB330" s="1341"/>
      <c r="AC330" s="1341"/>
      <c r="AD330" s="1341"/>
      <c r="AE330" s="1341"/>
      <c r="AF330" s="1341"/>
      <c r="AG330" s="1341"/>
      <c r="AH330" s="1341"/>
      <c r="AI330" s="1341"/>
      <c r="AJ330" s="1341"/>
      <c r="AK330" s="1341"/>
    </row>
    <row r="331" spans="2:37" ht="12.9" customHeight="1">
      <c r="B331" s="3" t="s">
        <v>1079</v>
      </c>
      <c r="C331" s="3"/>
      <c r="D331" s="3"/>
      <c r="E331" s="3"/>
      <c r="F331" s="3"/>
      <c r="H331" s="1341"/>
      <c r="I331" s="1341"/>
      <c r="J331" s="1341"/>
      <c r="K331" s="1341"/>
      <c r="L331" s="1341"/>
      <c r="M331" s="1341"/>
      <c r="N331" s="1341"/>
      <c r="O331" s="1341"/>
      <c r="P331" s="1341"/>
      <c r="Q331" s="1341"/>
      <c r="R331" s="1341"/>
      <c r="T331" s="3" t="s">
        <v>1079</v>
      </c>
      <c r="V331" s="3"/>
      <c r="W331" s="3"/>
      <c r="X331" s="3"/>
      <c r="Y331" s="3"/>
      <c r="AA331" s="1341" t="s">
        <v>1175</v>
      </c>
      <c r="AB331" s="1341"/>
      <c r="AC331" s="1341"/>
      <c r="AD331" s="1341"/>
      <c r="AE331" s="1341"/>
      <c r="AF331" s="1341"/>
      <c r="AG331" s="1341"/>
      <c r="AH331" s="1341"/>
      <c r="AI331" s="1341"/>
      <c r="AJ331" s="1341"/>
      <c r="AK331" s="1341"/>
    </row>
    <row r="332" spans="2:37" ht="12.9" customHeight="1">
      <c r="B332" s="3" t="s">
        <v>1081</v>
      </c>
      <c r="C332" s="3"/>
      <c r="D332" s="3"/>
      <c r="E332" s="3"/>
      <c r="F332" s="3"/>
      <c r="G332" s="3"/>
      <c r="H332" s="1502"/>
      <c r="I332" s="1502"/>
      <c r="J332" s="1502"/>
      <c r="K332" s="1502"/>
      <c r="L332" s="1502"/>
      <c r="M332" s="1502"/>
      <c r="N332" s="3" t="s">
        <v>1083</v>
      </c>
      <c r="O332" s="3"/>
      <c r="P332" s="1484"/>
      <c r="Q332" s="1484"/>
      <c r="R332" s="1484"/>
      <c r="S332" s="3"/>
      <c r="T332" s="3" t="s">
        <v>1081</v>
      </c>
      <c r="V332" s="3"/>
      <c r="W332" s="3"/>
      <c r="X332" s="3"/>
      <c r="Y332" s="3"/>
      <c r="AA332" s="1502" t="s">
        <v>1176</v>
      </c>
      <c r="AB332" s="1502"/>
      <c r="AC332" s="1502"/>
      <c r="AD332" s="1502"/>
      <c r="AE332" s="1502"/>
      <c r="AF332" s="1502"/>
      <c r="AG332" s="3" t="s">
        <v>1083</v>
      </c>
      <c r="AH332" s="3"/>
      <c r="AI332" s="1484"/>
      <c r="AJ332" s="1484"/>
      <c r="AK332" s="1484"/>
    </row>
    <row r="333" spans="2:37" ht="12.9" customHeight="1">
      <c r="B333" s="3" t="s">
        <v>1084</v>
      </c>
      <c r="C333" s="3"/>
      <c r="D333" s="3"/>
      <c r="E333" s="3"/>
      <c r="F333" s="3"/>
      <c r="G333" s="3"/>
      <c r="H333" s="1449"/>
      <c r="I333" s="1449"/>
      <c r="J333" s="1449"/>
      <c r="K333" s="1449"/>
      <c r="L333" s="1449"/>
      <c r="M333" s="1449"/>
      <c r="N333" s="3"/>
      <c r="O333" s="3"/>
      <c r="P333" s="84"/>
      <c r="Q333" s="84"/>
      <c r="R333" s="84"/>
      <c r="S333" s="3"/>
      <c r="T333" s="3" t="s">
        <v>1084</v>
      </c>
      <c r="V333" s="3"/>
      <c r="W333" s="3"/>
      <c r="X333" s="3"/>
      <c r="Y333" s="3"/>
      <c r="AA333" s="1449"/>
      <c r="AB333" s="1449"/>
      <c r="AC333" s="1449"/>
      <c r="AD333" s="1449"/>
      <c r="AE333" s="1449"/>
      <c r="AF333" s="1449"/>
      <c r="AG333" s="3"/>
      <c r="AH333" s="3"/>
      <c r="AI333" s="84"/>
      <c r="AJ333" s="84"/>
      <c r="AK333" s="84"/>
    </row>
    <row r="334" spans="2:37" ht="12.9" customHeight="1">
      <c r="B334" s="3" t="s">
        <v>1138</v>
      </c>
      <c r="C334" s="3"/>
      <c r="D334" s="3"/>
      <c r="E334" s="3"/>
      <c r="F334" s="3"/>
      <c r="G334" s="3"/>
      <c r="H334" s="1341"/>
      <c r="I334" s="1341"/>
      <c r="J334" s="1341"/>
      <c r="K334" s="1341"/>
      <c r="L334" s="1341"/>
      <c r="M334" s="1341"/>
      <c r="N334" s="1372"/>
      <c r="O334" s="1372"/>
      <c r="P334" s="1372"/>
      <c r="Q334" s="1372"/>
      <c r="R334" s="1372"/>
      <c r="S334" s="3"/>
      <c r="T334" s="3" t="s">
        <v>1138</v>
      </c>
      <c r="V334" s="3"/>
      <c r="W334" s="3"/>
      <c r="X334" s="3"/>
      <c r="Y334" s="3"/>
      <c r="AA334" s="1341" t="s">
        <v>1177</v>
      </c>
      <c r="AB334" s="1341"/>
      <c r="AC334" s="1341"/>
      <c r="AD334" s="1341"/>
      <c r="AE334" s="1341"/>
      <c r="AF334" s="1341"/>
      <c r="AG334" s="1372"/>
      <c r="AH334" s="1372"/>
      <c r="AI334" s="1372"/>
      <c r="AJ334" s="1372"/>
      <c r="AK334" s="1372"/>
    </row>
    <row r="335" spans="2:37" ht="12.9" customHeight="1">
      <c r="B335" s="3"/>
      <c r="C335" s="3"/>
      <c r="D335" s="3"/>
      <c r="E335" s="3"/>
      <c r="F335" s="3"/>
      <c r="G335" s="3"/>
      <c r="P335" s="1166"/>
      <c r="Q335" s="1166"/>
      <c r="R335" s="1166"/>
      <c r="S335" s="1166"/>
      <c r="T335" s="1166"/>
      <c r="U335" s="1166"/>
      <c r="V335" s="3"/>
      <c r="W335" s="3"/>
      <c r="X335" s="84"/>
      <c r="Y335" s="84"/>
      <c r="Z335" s="84"/>
    </row>
    <row r="336" spans="2:37" ht="12.9" customHeight="1">
      <c r="B336" s="3" t="s">
        <v>1178</v>
      </c>
      <c r="C336" s="3"/>
      <c r="D336" s="3"/>
      <c r="E336" s="3"/>
      <c r="F336" s="3"/>
      <c r="H336" s="1372" t="s">
        <v>1179</v>
      </c>
      <c r="I336" s="1372"/>
      <c r="J336" s="1372"/>
      <c r="K336" s="1372"/>
      <c r="L336" s="1372"/>
      <c r="M336" s="1372"/>
      <c r="N336" s="1372"/>
      <c r="O336" s="1372"/>
      <c r="P336" s="1372"/>
      <c r="Q336" s="1372"/>
      <c r="R336" s="1372"/>
      <c r="T336" s="3" t="s">
        <v>1180</v>
      </c>
      <c r="V336" s="3"/>
      <c r="W336" s="3"/>
      <c r="X336" s="3"/>
      <c r="Y336" s="3"/>
      <c r="AA336" s="1372" t="s">
        <v>1181</v>
      </c>
      <c r="AB336" s="1372"/>
      <c r="AC336" s="1372"/>
      <c r="AD336" s="1372"/>
      <c r="AE336" s="1372"/>
      <c r="AF336" s="1372"/>
      <c r="AG336" s="1372"/>
      <c r="AH336" s="1372"/>
      <c r="AI336" s="1372"/>
      <c r="AJ336" s="1372"/>
      <c r="AK336" s="1372"/>
    </row>
    <row r="337" spans="2:66" ht="12.9" customHeight="1">
      <c r="B337" s="3" t="s">
        <v>1130</v>
      </c>
      <c r="C337" s="3"/>
      <c r="D337" s="3"/>
      <c r="E337" s="3"/>
      <c r="F337" s="3"/>
      <c r="H337" s="1341" t="s">
        <v>1182</v>
      </c>
      <c r="I337" s="1341"/>
      <c r="J337" s="1341"/>
      <c r="K337" s="1341"/>
      <c r="L337" s="1341"/>
      <c r="M337" s="1341"/>
      <c r="N337" s="1341"/>
      <c r="O337" s="1341"/>
      <c r="P337" s="1341"/>
      <c r="Q337" s="1341"/>
      <c r="R337" s="1341"/>
      <c r="T337" s="3" t="s">
        <v>1130</v>
      </c>
      <c r="V337" s="3"/>
      <c r="W337" s="3"/>
      <c r="X337" s="3"/>
      <c r="Y337" s="3"/>
      <c r="AA337" s="1341" t="s">
        <v>1183</v>
      </c>
      <c r="AB337" s="1341"/>
      <c r="AC337" s="1341"/>
      <c r="AD337" s="1341"/>
      <c r="AE337" s="1341"/>
      <c r="AF337" s="1341"/>
      <c r="AG337" s="1341"/>
      <c r="AH337" s="1341"/>
      <c r="AI337" s="1341"/>
      <c r="AJ337" s="1341"/>
      <c r="AK337" s="1341"/>
    </row>
    <row r="338" spans="2:66" ht="12.9" customHeight="1">
      <c r="B338" s="3" t="s">
        <v>1132</v>
      </c>
      <c r="C338" s="3"/>
      <c r="D338" s="3"/>
      <c r="E338" s="3"/>
      <c r="F338" s="3"/>
      <c r="H338" s="1341" t="s">
        <v>1184</v>
      </c>
      <c r="I338" s="1341"/>
      <c r="J338" s="1341"/>
      <c r="K338" s="1341"/>
      <c r="L338" s="1341"/>
      <c r="M338" s="1341"/>
      <c r="N338" s="1341"/>
      <c r="O338" s="1341"/>
      <c r="P338" s="1341"/>
      <c r="Q338" s="1341"/>
      <c r="R338" s="1341"/>
      <c r="T338" s="3" t="s">
        <v>1134</v>
      </c>
      <c r="V338" s="3"/>
      <c r="W338" s="3"/>
      <c r="X338" s="3"/>
      <c r="Y338" s="3"/>
      <c r="AA338" s="1341" t="s">
        <v>1185</v>
      </c>
      <c r="AB338" s="1341"/>
      <c r="AC338" s="1341"/>
      <c r="AD338" s="1341"/>
      <c r="AE338" s="1341"/>
      <c r="AF338" s="1341"/>
      <c r="AG338" s="1341"/>
      <c r="AH338" s="1341"/>
      <c r="AI338" s="1341"/>
      <c r="AJ338" s="1341"/>
      <c r="AK338" s="1341"/>
    </row>
    <row r="339" spans="2:66" ht="12.9" customHeight="1">
      <c r="B339" s="3" t="s">
        <v>1079</v>
      </c>
      <c r="C339" s="3"/>
      <c r="D339" s="3"/>
      <c r="E339" s="3"/>
      <c r="F339" s="3"/>
      <c r="H339" s="1341" t="s">
        <v>1186</v>
      </c>
      <c r="I339" s="1341"/>
      <c r="J339" s="1341"/>
      <c r="K339" s="1341"/>
      <c r="L339" s="1341"/>
      <c r="M339" s="1341"/>
      <c r="N339" s="1341"/>
      <c r="O339" s="1341"/>
      <c r="P339" s="1341"/>
      <c r="Q339" s="1341"/>
      <c r="R339" s="1341"/>
      <c r="T339" s="3" t="s">
        <v>1079</v>
      </c>
      <c r="V339" s="3"/>
      <c r="W339" s="3"/>
      <c r="X339" s="3"/>
      <c r="Y339" s="3"/>
      <c r="AA339" s="1341" t="s">
        <v>1187</v>
      </c>
      <c r="AB339" s="1341"/>
      <c r="AC339" s="1341"/>
      <c r="AD339" s="1341"/>
      <c r="AE339" s="1341"/>
      <c r="AF339" s="1341"/>
      <c r="AG339" s="1341"/>
      <c r="AH339" s="1341"/>
      <c r="AI339" s="1341"/>
      <c r="AJ339" s="1341"/>
      <c r="AK339" s="1341"/>
    </row>
    <row r="340" spans="2:66" ht="12.9" customHeight="1">
      <c r="B340" s="3" t="s">
        <v>1081</v>
      </c>
      <c r="C340" s="3"/>
      <c r="D340" s="3"/>
      <c r="E340" s="3"/>
      <c r="F340" s="3"/>
      <c r="G340" s="3"/>
      <c r="H340" s="1502" t="s">
        <v>1188</v>
      </c>
      <c r="I340" s="1502"/>
      <c r="J340" s="1502"/>
      <c r="K340" s="1502"/>
      <c r="L340" s="1502"/>
      <c r="M340" s="1502"/>
      <c r="N340" s="3" t="s">
        <v>1083</v>
      </c>
      <c r="O340" s="3"/>
      <c r="P340" s="1484"/>
      <c r="Q340" s="1484"/>
      <c r="R340" s="1484"/>
      <c r="S340" s="3"/>
      <c r="T340" s="3" t="s">
        <v>1081</v>
      </c>
      <c r="V340" s="3"/>
      <c r="W340" s="3"/>
      <c r="X340" s="3"/>
      <c r="Y340" s="3"/>
      <c r="AA340" s="1502" t="s">
        <v>1189</v>
      </c>
      <c r="AB340" s="1502"/>
      <c r="AC340" s="1502"/>
      <c r="AD340" s="1502"/>
      <c r="AE340" s="1502"/>
      <c r="AF340" s="1502"/>
      <c r="AG340" s="3" t="s">
        <v>1083</v>
      </c>
      <c r="AH340" s="3"/>
      <c r="AI340" s="1484"/>
      <c r="AJ340" s="1484"/>
      <c r="AK340" s="1484"/>
    </row>
    <row r="341" spans="2:66" ht="12.9" customHeight="1">
      <c r="B341" s="3" t="s">
        <v>1084</v>
      </c>
      <c r="C341" s="3"/>
      <c r="D341" s="3"/>
      <c r="E341" s="3"/>
      <c r="F341" s="3"/>
      <c r="G341" s="3"/>
      <c r="H341" s="1449"/>
      <c r="I341" s="1449"/>
      <c r="J341" s="1449"/>
      <c r="K341" s="1449"/>
      <c r="L341" s="1449"/>
      <c r="M341" s="1449"/>
      <c r="N341" s="3"/>
      <c r="O341" s="3"/>
      <c r="P341" s="84"/>
      <c r="Q341" s="84"/>
      <c r="R341" s="84"/>
      <c r="S341" s="3"/>
      <c r="T341" s="3" t="s">
        <v>1084</v>
      </c>
      <c r="V341" s="3"/>
      <c r="W341" s="3"/>
      <c r="X341" s="3"/>
      <c r="Y341" s="3"/>
      <c r="AA341" s="1449"/>
      <c r="AB341" s="1449"/>
      <c r="AC341" s="1449"/>
      <c r="AD341" s="1449"/>
      <c r="AE341" s="1449"/>
      <c r="AF341" s="1449"/>
      <c r="AG341" s="3"/>
      <c r="AH341" s="3"/>
      <c r="AI341" s="84"/>
      <c r="AJ341" s="84"/>
      <c r="AK341" s="84"/>
    </row>
    <row r="342" spans="2:66" ht="12.9" customHeight="1">
      <c r="B342" s="3" t="s">
        <v>1138</v>
      </c>
      <c r="C342" s="3"/>
      <c r="D342" s="3"/>
      <c r="E342" s="3"/>
      <c r="F342" s="3"/>
      <c r="G342" s="3"/>
      <c r="H342" s="1341" t="s">
        <v>1190</v>
      </c>
      <c r="I342" s="1341"/>
      <c r="J342" s="1341"/>
      <c r="K342" s="1341"/>
      <c r="L342" s="1341"/>
      <c r="M342" s="1341"/>
      <c r="N342" s="1372"/>
      <c r="O342" s="1372"/>
      <c r="P342" s="1372"/>
      <c r="Q342" s="1372"/>
      <c r="R342" s="1372"/>
      <c r="S342" s="3"/>
      <c r="T342" s="3" t="s">
        <v>1138</v>
      </c>
      <c r="V342" s="3"/>
      <c r="W342" s="3"/>
      <c r="X342" s="3"/>
      <c r="Y342" s="3"/>
      <c r="AA342" s="1341" t="s">
        <v>1191</v>
      </c>
      <c r="AB342" s="1341"/>
      <c r="AC342" s="1341"/>
      <c r="AD342" s="1341"/>
      <c r="AE342" s="1341"/>
      <c r="AF342" s="1341"/>
      <c r="AG342" s="1372"/>
      <c r="AH342" s="1372"/>
      <c r="AI342" s="1372"/>
      <c r="AJ342" s="1372"/>
      <c r="AK342" s="1372"/>
    </row>
    <row r="343" spans="2:66" ht="12.9" customHeight="1">
      <c r="B343" s="3"/>
      <c r="C343" s="3"/>
      <c r="D343" s="3"/>
      <c r="E343" s="3"/>
      <c r="F343" s="3"/>
      <c r="G343" s="3"/>
      <c r="P343" s="1166"/>
      <c r="Q343" s="1166"/>
      <c r="R343" s="1166"/>
      <c r="S343" s="1166"/>
      <c r="T343" s="1166"/>
      <c r="U343" s="1166"/>
      <c r="V343" s="3"/>
      <c r="W343" s="3"/>
      <c r="X343" s="84"/>
      <c r="Y343" s="84"/>
      <c r="Z343" s="84"/>
    </row>
    <row r="344" spans="2:66" ht="12.9" customHeight="1">
      <c r="B344" s="3" t="s">
        <v>1192</v>
      </c>
      <c r="C344" s="3"/>
      <c r="D344" s="3"/>
      <c r="E344" s="3"/>
      <c r="F344" s="3"/>
      <c r="H344" s="1372" t="s">
        <v>811</v>
      </c>
      <c r="I344" s="1372"/>
      <c r="J344" s="1372"/>
      <c r="K344" s="1372"/>
      <c r="L344" s="1372"/>
      <c r="M344" s="1372"/>
      <c r="N344" s="1372"/>
      <c r="O344" s="1372"/>
      <c r="P344" s="1372"/>
      <c r="Q344" s="1372"/>
      <c r="R344" s="1372"/>
      <c r="T344" s="136" t="s">
        <v>1193</v>
      </c>
      <c r="V344" s="3"/>
      <c r="W344" s="3"/>
      <c r="X344" s="3"/>
      <c r="Y344" s="3"/>
      <c r="AA344" s="1372" t="s">
        <v>2767</v>
      </c>
      <c r="AB344" s="1372"/>
      <c r="AC344" s="1372"/>
      <c r="AD344" s="1372"/>
      <c r="AE344" s="1372"/>
      <c r="AF344" s="1372"/>
      <c r="AG344" s="1372"/>
      <c r="AH344" s="1372"/>
      <c r="AI344" s="1372"/>
      <c r="AJ344" s="1372"/>
      <c r="AK344" s="1372"/>
    </row>
    <row r="345" spans="2:66" ht="12.9" customHeight="1">
      <c r="B345" s="3" t="s">
        <v>1130</v>
      </c>
      <c r="C345" s="3"/>
      <c r="D345" s="3"/>
      <c r="E345" s="3"/>
      <c r="F345" s="3"/>
      <c r="H345" s="1341" t="s">
        <v>1194</v>
      </c>
      <c r="I345" s="1341"/>
      <c r="J345" s="1341"/>
      <c r="K345" s="1341"/>
      <c r="L345" s="1341"/>
      <c r="M345" s="1341"/>
      <c r="N345" s="1341"/>
      <c r="O345" s="1341"/>
      <c r="P345" s="1341"/>
      <c r="Q345" s="1341"/>
      <c r="R345" s="1341"/>
      <c r="T345" s="3" t="s">
        <v>1130</v>
      </c>
      <c r="V345" s="3"/>
      <c r="W345" s="3"/>
      <c r="X345" s="3"/>
      <c r="Y345" s="3"/>
      <c r="AA345" s="1540" t="s">
        <v>2769</v>
      </c>
      <c r="AB345" s="1341"/>
      <c r="AC345" s="1341"/>
      <c r="AD345" s="1341"/>
      <c r="AE345" s="1341"/>
      <c r="AF345" s="1341"/>
      <c r="AG345" s="1341"/>
      <c r="AH345" s="1341"/>
      <c r="AI345" s="1341"/>
      <c r="AJ345" s="1341"/>
      <c r="AK345" s="1341"/>
    </row>
    <row r="346" spans="2:66" ht="12.9" customHeight="1">
      <c r="B346" s="3" t="s">
        <v>1134</v>
      </c>
      <c r="C346" s="3"/>
      <c r="D346" s="3"/>
      <c r="E346" s="3"/>
      <c r="F346" s="3"/>
      <c r="H346" s="1341" t="s">
        <v>1195</v>
      </c>
      <c r="I346" s="1341"/>
      <c r="J346" s="1341"/>
      <c r="K346" s="1341"/>
      <c r="L346" s="1341"/>
      <c r="M346" s="1341"/>
      <c r="N346" s="1341"/>
      <c r="O346" s="1341"/>
      <c r="P346" s="1341"/>
      <c r="Q346" s="1341"/>
      <c r="R346" s="1341"/>
      <c r="T346" s="3" t="s">
        <v>1134</v>
      </c>
      <c r="V346" s="3"/>
      <c r="W346" s="3"/>
      <c r="X346" s="3"/>
      <c r="Y346" s="3"/>
      <c r="AA346" s="1341" t="s">
        <v>2768</v>
      </c>
      <c r="AB346" s="1341"/>
      <c r="AC346" s="1341"/>
      <c r="AD346" s="1341"/>
      <c r="AE346" s="1341"/>
      <c r="AF346" s="1341"/>
      <c r="AG346" s="1341"/>
      <c r="AH346" s="1341"/>
      <c r="AI346" s="1341"/>
      <c r="AJ346" s="1341"/>
      <c r="AK346" s="1341"/>
    </row>
    <row r="347" spans="2:66" ht="12.9" customHeight="1">
      <c r="B347" s="3" t="s">
        <v>1079</v>
      </c>
      <c r="C347" s="3"/>
      <c r="D347" s="3"/>
      <c r="E347" s="3"/>
      <c r="F347" s="3"/>
      <c r="G347" s="3"/>
      <c r="H347" s="1341" t="s">
        <v>1196</v>
      </c>
      <c r="I347" s="1341"/>
      <c r="J347" s="1341"/>
      <c r="K347" s="1341"/>
      <c r="L347" s="1341"/>
      <c r="M347" s="1341"/>
      <c r="N347" s="1341"/>
      <c r="O347" s="1341"/>
      <c r="P347" s="1341"/>
      <c r="Q347" s="1341"/>
      <c r="R347" s="1341"/>
      <c r="T347" s="3" t="s">
        <v>1079</v>
      </c>
      <c r="V347" s="3"/>
      <c r="W347" s="3"/>
      <c r="X347" s="3"/>
      <c r="Y347" s="3"/>
      <c r="AA347" s="1341" t="s">
        <v>2770</v>
      </c>
      <c r="AB347" s="1341"/>
      <c r="AC347" s="1341"/>
      <c r="AD347" s="1341"/>
      <c r="AE347" s="1341"/>
      <c r="AF347" s="1341"/>
      <c r="AG347" s="1341"/>
      <c r="AH347" s="1341"/>
      <c r="AI347" s="1341"/>
      <c r="AJ347" s="1341"/>
      <c r="AK347" s="1341"/>
    </row>
    <row r="348" spans="2:66" ht="12.9" customHeight="1">
      <c r="B348" s="3" t="s">
        <v>1081</v>
      </c>
      <c r="C348" s="3"/>
      <c r="D348" s="3"/>
      <c r="E348" s="3"/>
      <c r="F348" s="3"/>
      <c r="G348" s="3"/>
      <c r="H348" s="1502" t="s">
        <v>835</v>
      </c>
      <c r="I348" s="1502"/>
      <c r="J348" s="1502"/>
      <c r="K348" s="1502"/>
      <c r="L348" s="1502"/>
      <c r="M348" s="1502"/>
      <c r="N348" s="3" t="s">
        <v>1083</v>
      </c>
      <c r="O348" s="3"/>
      <c r="P348" s="1484"/>
      <c r="Q348" s="1484"/>
      <c r="R348" s="1484"/>
      <c r="S348" s="3"/>
      <c r="T348" s="3" t="s">
        <v>1081</v>
      </c>
      <c r="V348" s="3"/>
      <c r="W348" s="3"/>
      <c r="X348" s="3"/>
      <c r="Y348" s="3"/>
      <c r="AA348" s="1502" t="s">
        <v>2771</v>
      </c>
      <c r="AB348" s="1502"/>
      <c r="AC348" s="1502"/>
      <c r="AD348" s="1502"/>
      <c r="AE348" s="1502"/>
      <c r="AF348" s="1502"/>
      <c r="AG348" s="3" t="s">
        <v>1083</v>
      </c>
      <c r="AH348" s="3"/>
      <c r="AI348" s="1484"/>
      <c r="AJ348" s="1484"/>
      <c r="AK348" s="1484"/>
    </row>
    <row r="349" spans="2:66" ht="12.9" customHeight="1">
      <c r="B349" s="3" t="s">
        <v>1084</v>
      </c>
      <c r="C349" s="3"/>
      <c r="D349" s="3"/>
      <c r="E349" s="3"/>
      <c r="F349" s="3"/>
      <c r="G349" s="3"/>
      <c r="H349" s="1449"/>
      <c r="I349" s="1449"/>
      <c r="J349" s="1449"/>
      <c r="K349" s="1449"/>
      <c r="L349" s="1449"/>
      <c r="M349" s="1449"/>
      <c r="N349" s="3"/>
      <c r="O349" s="3"/>
      <c r="P349" s="84"/>
      <c r="Q349" s="84"/>
      <c r="R349" s="84"/>
      <c r="S349" s="3"/>
      <c r="T349" s="3" t="s">
        <v>1084</v>
      </c>
      <c r="V349" s="3"/>
      <c r="W349" s="3"/>
      <c r="X349" s="3"/>
      <c r="Y349" s="3"/>
      <c r="AA349" s="1449"/>
      <c r="AB349" s="1449"/>
      <c r="AC349" s="1449"/>
      <c r="AD349" s="1449"/>
      <c r="AE349" s="1449"/>
      <c r="AF349" s="1449"/>
      <c r="AG349" s="3"/>
      <c r="AH349" s="3"/>
      <c r="AI349" s="84"/>
      <c r="AJ349" s="84"/>
      <c r="AK349" s="84"/>
    </row>
    <row r="350" spans="2:66" ht="12.9" customHeight="1">
      <c r="B350" s="3" t="s">
        <v>1138</v>
      </c>
      <c r="C350" s="3"/>
      <c r="D350" s="3"/>
      <c r="E350" s="3"/>
      <c r="F350" s="3"/>
      <c r="G350" s="3"/>
      <c r="H350" s="1341" t="s">
        <v>1197</v>
      </c>
      <c r="I350" s="1341"/>
      <c r="J350" s="1341"/>
      <c r="K350" s="1341"/>
      <c r="L350" s="1341"/>
      <c r="M350" s="1341"/>
      <c r="N350" s="1372"/>
      <c r="O350" s="1372"/>
      <c r="P350" s="1372"/>
      <c r="Q350" s="1372"/>
      <c r="R350" s="1372"/>
      <c r="S350" s="3"/>
      <c r="T350" s="3" t="s">
        <v>1138</v>
      </c>
      <c r="V350" s="3"/>
      <c r="W350" s="3"/>
      <c r="X350" s="3"/>
      <c r="Y350" s="3"/>
      <c r="AA350" s="1341" t="s">
        <v>2772</v>
      </c>
      <c r="AB350" s="1341"/>
      <c r="AC350" s="1341"/>
      <c r="AD350" s="1341"/>
      <c r="AE350" s="1341"/>
      <c r="AF350" s="1341"/>
      <c r="AG350" s="1372"/>
      <c r="AH350" s="1372"/>
      <c r="AI350" s="1372"/>
      <c r="AJ350" s="1372"/>
      <c r="AK350" s="1372"/>
    </row>
    <row r="351" spans="2:66" ht="12.9"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820</v>
      </c>
    </row>
    <row r="352" spans="2:66" ht="12.9" customHeight="1">
      <c r="B352" s="3"/>
      <c r="C352" s="3"/>
      <c r="D352" s="3"/>
      <c r="E352" s="3"/>
      <c r="F352" s="3"/>
      <c r="I352" s="136" t="s">
        <v>1198</v>
      </c>
      <c r="P352" s="1372"/>
      <c r="Q352" s="1372"/>
      <c r="R352" s="1372"/>
      <c r="S352" s="1372"/>
      <c r="T352" s="1372"/>
      <c r="U352" s="1372"/>
      <c r="V352" s="1372"/>
      <c r="W352" s="1372"/>
      <c r="X352" s="1372"/>
      <c r="Y352" s="1372"/>
      <c r="Z352" s="1372"/>
      <c r="AA352" s="1372"/>
      <c r="AB352" s="1372"/>
      <c r="AC352" s="1372"/>
      <c r="AD352" s="1372"/>
      <c r="AE352" s="1372"/>
      <c r="BN352" t="s">
        <v>698</v>
      </c>
    </row>
    <row r="353" spans="1:66" ht="12.9" customHeight="1">
      <c r="B353" s="3"/>
      <c r="C353" s="3"/>
      <c r="D353" s="3"/>
      <c r="E353" s="3"/>
      <c r="F353" s="3"/>
      <c r="I353" s="3" t="s">
        <v>1130</v>
      </c>
      <c r="P353" s="1341"/>
      <c r="Q353" s="1341"/>
      <c r="R353" s="1341"/>
      <c r="S353" s="1341"/>
      <c r="T353" s="1341"/>
      <c r="U353" s="1341"/>
      <c r="V353" s="1341"/>
      <c r="W353" s="1341"/>
      <c r="X353" s="1341"/>
      <c r="Y353" s="1341"/>
      <c r="Z353" s="1341"/>
      <c r="AA353" s="1341"/>
      <c r="AB353" s="1341"/>
      <c r="AC353" s="1341"/>
      <c r="AD353" s="1341"/>
      <c r="AE353" s="1341"/>
      <c r="BN353" t="s">
        <v>856</v>
      </c>
    </row>
    <row r="354" spans="1:66" ht="12.9" customHeight="1">
      <c r="B354" s="3"/>
      <c r="C354" s="3"/>
      <c r="D354" s="3"/>
      <c r="E354" s="3"/>
      <c r="F354" s="3"/>
      <c r="I354" s="3" t="s">
        <v>1134</v>
      </c>
      <c r="P354" s="1341"/>
      <c r="Q354" s="1341"/>
      <c r="R354" s="1341"/>
      <c r="S354" s="1341"/>
      <c r="T354" s="1341"/>
      <c r="U354" s="1341"/>
      <c r="V354" s="1341"/>
      <c r="W354" s="1341"/>
      <c r="X354" s="1341"/>
      <c r="Y354" s="1341"/>
      <c r="Z354" s="1341"/>
      <c r="AA354" s="1341"/>
      <c r="AB354" s="1341"/>
      <c r="AC354" s="1341"/>
      <c r="AD354" s="1341"/>
      <c r="AE354" s="1341"/>
    </row>
    <row r="355" spans="1:66" ht="12.9" customHeight="1">
      <c r="B355" s="3"/>
      <c r="C355" s="3"/>
      <c r="D355" s="3"/>
      <c r="E355" s="3"/>
      <c r="F355" s="3"/>
      <c r="G355" s="3"/>
      <c r="I355" s="3" t="s">
        <v>1079</v>
      </c>
      <c r="P355" s="1341"/>
      <c r="Q355" s="1341"/>
      <c r="R355" s="1341"/>
      <c r="S355" s="1341"/>
      <c r="T355" s="1341"/>
      <c r="U355" s="1341"/>
      <c r="V355" s="1341"/>
      <c r="W355" s="1341"/>
      <c r="X355" s="1341"/>
      <c r="Y355" s="1341"/>
      <c r="Z355" s="1341"/>
      <c r="AA355" s="1341"/>
      <c r="AB355" s="1341"/>
      <c r="AC355" s="1341"/>
      <c r="AD355" s="1341"/>
      <c r="AE355" s="1341"/>
    </row>
    <row r="356" spans="1:66" ht="12.9" customHeight="1">
      <c r="B356" s="3"/>
      <c r="C356" s="3"/>
      <c r="D356" s="3"/>
      <c r="E356" s="3"/>
      <c r="F356" s="3"/>
      <c r="G356" s="3"/>
      <c r="H356" s="1167"/>
      <c r="I356" s="3" t="s">
        <v>1081</v>
      </c>
      <c r="P356" s="1449"/>
      <c r="Q356" s="1449"/>
      <c r="R356" s="1449"/>
      <c r="S356" s="1449"/>
      <c r="T356" s="1449"/>
      <c r="U356" s="1449"/>
      <c r="V356" s="1449"/>
      <c r="W356" s="1449"/>
      <c r="X356" s="1449"/>
      <c r="Y356" s="1449"/>
      <c r="Z356" s="1449"/>
      <c r="AA356" s="3" t="s">
        <v>1083</v>
      </c>
      <c r="AB356" s="3"/>
      <c r="AC356" s="1433"/>
      <c r="AD356" s="1433"/>
      <c r="AE356" s="1433"/>
      <c r="AF356" s="1167"/>
      <c r="AG356" s="3"/>
      <c r="AH356" s="3"/>
      <c r="AI356" s="3"/>
      <c r="AJ356" s="3"/>
      <c r="AK356" s="3"/>
    </row>
    <row r="357" spans="1:66" ht="12.9" customHeight="1">
      <c r="B357" s="3"/>
      <c r="C357" s="3"/>
      <c r="D357" s="3"/>
      <c r="E357" s="3"/>
      <c r="F357" s="3"/>
      <c r="G357" s="3"/>
      <c r="H357" s="1167"/>
      <c r="I357" s="3" t="s">
        <v>1084</v>
      </c>
      <c r="P357" s="1449"/>
      <c r="Q357" s="1449"/>
      <c r="R357" s="1449"/>
      <c r="S357" s="1449"/>
      <c r="T357" s="1449"/>
      <c r="U357" s="1449"/>
      <c r="V357" s="1449"/>
      <c r="W357" s="1449"/>
      <c r="X357" s="1449"/>
      <c r="Y357" s="1449"/>
      <c r="Z357" s="1449"/>
      <c r="AF357" s="1167"/>
      <c r="AG357" s="3"/>
      <c r="AH357" s="3"/>
      <c r="AI357" s="84"/>
      <c r="AJ357" s="84"/>
      <c r="AK357" s="84"/>
    </row>
    <row r="358" spans="1:66" ht="12.9" customHeight="1">
      <c r="B358" s="3"/>
      <c r="C358" s="3"/>
      <c r="D358" s="3"/>
      <c r="E358" s="3"/>
      <c r="F358" s="3"/>
      <c r="G358" s="3"/>
      <c r="I358" s="3" t="s">
        <v>1138</v>
      </c>
      <c r="P358" s="1372"/>
      <c r="Q358" s="1372"/>
      <c r="R358" s="1372"/>
      <c r="S358" s="1372"/>
      <c r="T358" s="1372"/>
      <c r="U358" s="1372"/>
      <c r="V358" s="1372"/>
      <c r="W358" s="1372"/>
      <c r="X358" s="1372"/>
      <c r="Y358" s="1372"/>
      <c r="Z358" s="1372"/>
      <c r="AA358" s="1372"/>
      <c r="AB358" s="1372"/>
      <c r="AC358" s="1372"/>
      <c r="AD358" s="1372"/>
      <c r="AE358" s="1372"/>
    </row>
    <row r="359" spans="1:66" ht="12.9" customHeight="1">
      <c r="T359" s="7"/>
      <c r="U359" s="7"/>
      <c r="V359" s="7"/>
      <c r="W359" s="7"/>
      <c r="X359" s="7"/>
      <c r="Y359" s="7"/>
      <c r="Z359" s="7"/>
      <c r="AU359" s="70"/>
      <c r="AV359" s="70"/>
      <c r="AW359" s="70"/>
      <c r="AX359" s="70"/>
      <c r="AY359" s="70"/>
    </row>
    <row r="360" spans="1:66" ht="12.9" customHeight="1">
      <c r="A360" s="1494" t="s">
        <v>1199</v>
      </c>
      <c r="B360" s="1494"/>
      <c r="C360" s="1494"/>
      <c r="D360" s="1494"/>
      <c r="E360" s="1494"/>
      <c r="F360" s="1494"/>
      <c r="G360" s="1494"/>
      <c r="H360" s="1494"/>
      <c r="I360" s="1494"/>
      <c r="J360" s="1494"/>
      <c r="K360" s="1494"/>
      <c r="L360" s="1494"/>
      <c r="M360" s="1494"/>
      <c r="N360" s="1494"/>
      <c r="O360" s="1494"/>
      <c r="P360" s="1494"/>
      <c r="Q360" s="1494"/>
      <c r="R360" s="1494"/>
      <c r="S360" s="1494"/>
      <c r="T360" s="1494"/>
      <c r="U360" s="1494"/>
      <c r="V360" s="1494"/>
      <c r="W360" s="1494"/>
      <c r="X360" s="1494"/>
      <c r="Y360" s="1494"/>
      <c r="Z360" s="1494"/>
      <c r="AA360" s="1494"/>
      <c r="AB360" s="1494"/>
      <c r="AC360" s="1494"/>
      <c r="AD360" s="1494"/>
      <c r="AE360" s="1494"/>
      <c r="AF360" s="1494"/>
      <c r="AG360" s="1494"/>
      <c r="AH360" s="1494"/>
      <c r="AI360" s="1494"/>
      <c r="AJ360" s="1494"/>
      <c r="AK360" s="1494"/>
      <c r="AL360" s="1494"/>
      <c r="AM360" s="1494"/>
      <c r="AN360" s="1494"/>
      <c r="AO360" s="1494"/>
      <c r="AP360" s="1494"/>
      <c r="AQ360" s="1494"/>
      <c r="AR360" s="1494"/>
      <c r="AS360" s="1494"/>
      <c r="AT360" s="1494"/>
      <c r="AU360" s="70"/>
      <c r="AV360" s="70"/>
      <c r="AW360" s="70"/>
      <c r="AX360" s="70"/>
      <c r="AY360" s="70"/>
    </row>
    <row r="361" spans="1:66" ht="12.9" customHeight="1">
      <c r="A361" s="1494"/>
      <c r="B361" s="1494"/>
      <c r="C361" s="1494"/>
      <c r="D361" s="1494"/>
      <c r="E361" s="1494"/>
      <c r="F361" s="1494"/>
      <c r="G361" s="1494"/>
      <c r="H361" s="1494"/>
      <c r="I361" s="1494"/>
      <c r="J361" s="1494"/>
      <c r="K361" s="1494"/>
      <c r="L361" s="1494"/>
      <c r="M361" s="1494"/>
      <c r="N361" s="1494"/>
      <c r="O361" s="1494"/>
      <c r="P361" s="1494"/>
      <c r="Q361" s="1494"/>
      <c r="R361" s="1494"/>
      <c r="S361" s="1494"/>
      <c r="T361" s="1494"/>
      <c r="U361" s="1494"/>
      <c r="V361" s="1494"/>
      <c r="W361" s="1494"/>
      <c r="X361" s="1494"/>
      <c r="Y361" s="1494"/>
      <c r="Z361" s="1494"/>
      <c r="AA361" s="1494"/>
      <c r="AB361" s="1494"/>
      <c r="AC361" s="1494"/>
      <c r="AD361" s="1494"/>
      <c r="AE361" s="1494"/>
      <c r="AF361" s="1494"/>
      <c r="AG361" s="1494"/>
      <c r="AH361" s="1494"/>
      <c r="AI361" s="1494"/>
      <c r="AJ361" s="1494"/>
      <c r="AK361" s="1494"/>
      <c r="AL361" s="1494"/>
      <c r="AM361" s="1494"/>
      <c r="AN361" s="1494"/>
      <c r="AO361" s="1494"/>
      <c r="AP361" s="1494"/>
      <c r="AQ361" s="1494"/>
      <c r="AR361" s="1494"/>
      <c r="AS361" s="1494"/>
      <c r="AT361" s="1494"/>
      <c r="AU361" s="21"/>
      <c r="AV361" s="21"/>
      <c r="AW361" s="21"/>
      <c r="AX361" s="21"/>
      <c r="AY361" s="21"/>
    </row>
    <row r="362" spans="1:66" ht="12.9"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 customHeight="1">
      <c r="A363" s="2" t="s">
        <v>881</v>
      </c>
      <c r="B363" s="2"/>
      <c r="C363" s="2" t="s">
        <v>1200</v>
      </c>
    </row>
    <row r="364" spans="1:66" ht="12.9" customHeight="1">
      <c r="D364" s="3" t="s">
        <v>690</v>
      </c>
      <c r="M364" s="1380" t="s">
        <v>820</v>
      </c>
      <c r="N364" s="1380"/>
      <c r="P364" t="s">
        <v>1201</v>
      </c>
      <c r="AJ364" s="1380" t="s">
        <v>820</v>
      </c>
      <c r="AK364" s="1380"/>
    </row>
    <row r="365" spans="1:66" ht="12.9" customHeight="1">
      <c r="D365" s="3" t="s">
        <v>688</v>
      </c>
      <c r="M365" s="1380" t="s">
        <v>820</v>
      </c>
      <c r="N365" s="1380"/>
      <c r="P365" s="3" t="s">
        <v>1202</v>
      </c>
      <c r="AJ365" s="1351"/>
      <c r="AK365" s="1351"/>
    </row>
    <row r="366" spans="1:66" ht="12.9" customHeight="1">
      <c r="D366" s="3" t="s">
        <v>1203</v>
      </c>
      <c r="M366" s="1380" t="s">
        <v>820</v>
      </c>
      <c r="N366" s="1380"/>
      <c r="P366" t="s">
        <v>1204</v>
      </c>
      <c r="AJ366" s="1380" t="s">
        <v>856</v>
      </c>
      <c r="AK366" s="1380"/>
    </row>
    <row r="367" spans="1:66" ht="12.9" customHeight="1">
      <c r="D367" s="3" t="s">
        <v>1205</v>
      </c>
      <c r="M367" s="1380" t="s">
        <v>856</v>
      </c>
      <c r="N367" s="1380"/>
      <c r="Q367" s="3"/>
    </row>
    <row r="368" spans="1:66" ht="12.9" customHeight="1">
      <c r="Q368" s="3"/>
    </row>
    <row r="369" spans="1:34" ht="12.9" customHeight="1">
      <c r="Q369" s="3"/>
    </row>
    <row r="370" spans="1:34" ht="12.9" customHeight="1">
      <c r="A370" s="2" t="s">
        <v>922</v>
      </c>
      <c r="B370" s="2"/>
      <c r="C370" s="2" t="s">
        <v>1206</v>
      </c>
      <c r="D370" s="2"/>
    </row>
    <row r="371" spans="1:34" ht="12.9" customHeight="1">
      <c r="D371" s="31" t="s">
        <v>1207</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 customHeight="1">
      <c r="D372" s="31" t="s">
        <v>1208</v>
      </c>
      <c r="E372" s="32"/>
      <c r="F372" s="32"/>
      <c r="G372" s="32"/>
      <c r="H372" s="32"/>
      <c r="I372" s="32"/>
      <c r="J372" s="32"/>
      <c r="K372" s="32"/>
      <c r="L372" s="32"/>
      <c r="M372" s="32"/>
      <c r="N372" s="1380" t="s">
        <v>856</v>
      </c>
      <c r="O372" s="1380"/>
      <c r="P372" s="32"/>
      <c r="Q372" s="32"/>
      <c r="R372" s="32"/>
      <c r="S372" s="32"/>
      <c r="T372" s="32"/>
      <c r="U372" s="32"/>
      <c r="V372" s="32"/>
      <c r="W372" s="32"/>
      <c r="X372" s="32"/>
      <c r="Y372" s="32"/>
      <c r="Z372" s="32"/>
      <c r="AC372" s="32"/>
      <c r="AD372" s="32"/>
      <c r="AE372" s="32"/>
    </row>
    <row r="373" spans="1:34" ht="12.9" customHeight="1">
      <c r="E373" t="s">
        <v>1209</v>
      </c>
      <c r="Y373" s="1380" t="s">
        <v>820</v>
      </c>
      <c r="Z373" s="1380"/>
    </row>
    <row r="374" spans="1:34" ht="12.9" customHeight="1">
      <c r="D374" s="3" t="s">
        <v>1210</v>
      </c>
      <c r="Q374" s="1372" t="s">
        <v>1211</v>
      </c>
      <c r="R374" s="1372"/>
      <c r="S374" s="1372"/>
      <c r="T374" s="1372"/>
      <c r="U374" s="1372"/>
      <c r="V374" s="1372"/>
      <c r="W374" s="1372"/>
      <c r="X374" s="1372"/>
      <c r="Y374" s="1372"/>
      <c r="Z374" s="1372"/>
      <c r="AA374" s="1372"/>
      <c r="AB374" s="1372"/>
      <c r="AC374" s="1372"/>
      <c r="AD374" s="1372"/>
      <c r="AE374" s="1372"/>
      <c r="AF374" s="1372"/>
      <c r="AG374" s="1372"/>
    </row>
    <row r="375" spans="1:34" ht="12.9" customHeight="1">
      <c r="D375" t="s">
        <v>1212</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 customHeight="1">
      <c r="D376" t="s">
        <v>1213</v>
      </c>
      <c r="E376" s="32"/>
      <c r="F376" s="32"/>
      <c r="G376" s="32"/>
      <c r="H376" s="32"/>
      <c r="I376" s="32"/>
      <c r="J376" s="1380" t="s">
        <v>856</v>
      </c>
      <c r="K376" s="1380"/>
      <c r="L376" s="32"/>
      <c r="M376" s="32"/>
      <c r="N376" s="32"/>
      <c r="O376" s="32"/>
      <c r="P376" s="32"/>
      <c r="Q376" s="32"/>
      <c r="R376" s="32"/>
      <c r="S376" s="32"/>
      <c r="T376" s="32"/>
      <c r="U376" s="32"/>
      <c r="V376" s="32"/>
      <c r="W376" s="32"/>
      <c r="X376" s="32"/>
      <c r="Y376" s="32"/>
      <c r="Z376" s="32"/>
      <c r="AC376" s="32"/>
      <c r="AD376" s="32"/>
      <c r="AE376" s="32"/>
    </row>
    <row r="377" spans="1:34" ht="12.9" customHeight="1">
      <c r="E377" s="1228" t="s">
        <v>1214</v>
      </c>
      <c r="F377" s="1228"/>
      <c r="G377" s="1228"/>
      <c r="H377" s="1228"/>
      <c r="I377" s="1228"/>
      <c r="J377" s="1228"/>
      <c r="K377" s="1228"/>
      <c r="L377" s="1228"/>
      <c r="M377" s="1228"/>
      <c r="N377" s="1228"/>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row>
    <row r="378" spans="1:34" ht="12.9" customHeight="1">
      <c r="E378" s="1228"/>
      <c r="F378" s="1228"/>
      <c r="G378" s="1228"/>
      <c r="H378" s="1228"/>
      <c r="I378" s="1228"/>
      <c r="J378" s="1228"/>
      <c r="K378" s="1228"/>
      <c r="L378" s="1228"/>
      <c r="M378" s="1228"/>
      <c r="N378" s="1228"/>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row>
    <row r="379" spans="1:34" ht="12.9" customHeight="1">
      <c r="E379" s="3" t="s">
        <v>1215</v>
      </c>
      <c r="F379" s="3"/>
      <c r="G379" s="3"/>
      <c r="H379" s="3"/>
      <c r="I379" s="3"/>
      <c r="J379" s="3"/>
      <c r="K379" s="3"/>
      <c r="L379" s="3"/>
      <c r="N379" s="1330">
        <v>41</v>
      </c>
      <c r="O379" s="1330"/>
      <c r="P379" s="1330"/>
      <c r="Q379" s="1330"/>
      <c r="R379" s="3"/>
      <c r="U379" s="3" t="s">
        <v>1216</v>
      </c>
      <c r="V379" s="3"/>
      <c r="W379" s="3"/>
      <c r="X379" s="3"/>
      <c r="Y379" s="3"/>
      <c r="Z379" s="3"/>
      <c r="AA379" s="3"/>
      <c r="AB379" s="3"/>
      <c r="AC379" s="1330">
        <v>1</v>
      </c>
      <c r="AD379" s="1330"/>
      <c r="AE379" s="1330"/>
      <c r="AF379" s="1330"/>
    </row>
    <row r="380" spans="1:34" ht="12.9" customHeight="1">
      <c r="E380" s="3" t="s">
        <v>1217</v>
      </c>
      <c r="F380" s="3"/>
      <c r="G380" s="3"/>
      <c r="H380" s="3"/>
      <c r="I380" s="3"/>
      <c r="J380" s="3"/>
      <c r="K380" s="3"/>
      <c r="L380" s="3"/>
      <c r="N380" s="1330">
        <v>1</v>
      </c>
      <c r="O380" s="1330"/>
      <c r="P380" s="1330"/>
      <c r="Q380" s="1330"/>
      <c r="R380" s="3"/>
      <c r="U380" s="3" t="s">
        <v>1218</v>
      </c>
      <c r="V380" s="3"/>
      <c r="W380" s="3"/>
      <c r="X380" s="3"/>
      <c r="Y380" s="3"/>
      <c r="Z380" s="3"/>
      <c r="AA380" s="3"/>
      <c r="AB380" s="3"/>
      <c r="AC380" s="1330">
        <v>85</v>
      </c>
      <c r="AD380" s="1330"/>
      <c r="AE380" s="1330"/>
      <c r="AF380" s="1330"/>
    </row>
    <row r="381" spans="1:34" ht="12.9" customHeight="1">
      <c r="E381" s="3" t="s">
        <v>1219</v>
      </c>
      <c r="F381" s="3"/>
      <c r="G381" s="3"/>
      <c r="H381" s="3"/>
      <c r="I381" s="3"/>
      <c r="J381" s="3"/>
      <c r="K381" s="3"/>
      <c r="L381" s="3"/>
      <c r="N381" s="1330">
        <v>4</v>
      </c>
      <c r="O381" s="1330"/>
      <c r="P381" s="1330"/>
      <c r="Q381" s="1330"/>
      <c r="R381" s="3"/>
      <c r="V381" s="3"/>
      <c r="W381" s="3"/>
      <c r="X381" s="3"/>
      <c r="Y381" s="3"/>
      <c r="Z381" s="3"/>
      <c r="AA381" s="3"/>
      <c r="AB381" s="3"/>
    </row>
    <row r="382" spans="1:34" ht="12.9" customHeight="1">
      <c r="E382" s="3" t="s">
        <v>1220</v>
      </c>
      <c r="F382" s="3"/>
      <c r="G382" s="3"/>
      <c r="H382" s="3"/>
      <c r="I382" s="3"/>
      <c r="J382" s="3"/>
      <c r="K382" s="3"/>
      <c r="L382" s="3"/>
      <c r="N382" s="1487" t="s">
        <v>1221</v>
      </c>
      <c r="O382" s="1487"/>
      <c r="P382" s="1487"/>
      <c r="Q382" s="1487"/>
      <c r="R382" s="1487"/>
      <c r="S382" s="1487"/>
      <c r="T382" s="1487"/>
      <c r="U382" s="1487"/>
      <c r="V382" s="1487"/>
      <c r="W382" s="1487"/>
      <c r="X382" s="1487"/>
      <c r="Y382" s="1487"/>
      <c r="Z382" s="1487"/>
      <c r="AA382" s="1487"/>
      <c r="AB382" s="1487"/>
      <c r="AC382" s="1487"/>
      <c r="AD382" s="1487"/>
      <c r="AE382" s="1487"/>
      <c r="AF382" s="1487"/>
    </row>
    <row r="383" spans="1:34" ht="12.9" customHeight="1">
      <c r="E383" s="3"/>
      <c r="F383" s="3"/>
      <c r="G383" s="3"/>
      <c r="H383" s="3"/>
      <c r="I383" s="3"/>
      <c r="J383" s="3"/>
      <c r="K383" s="3"/>
      <c r="L383" s="3"/>
      <c r="N383" s="1488"/>
      <c r="O383" s="1488"/>
      <c r="P383" s="1488"/>
      <c r="Q383" s="1488"/>
      <c r="R383" s="1488"/>
      <c r="S383" s="1488"/>
      <c r="T383" s="1488"/>
      <c r="U383" s="1488"/>
      <c r="V383" s="1488"/>
      <c r="W383" s="1488"/>
      <c r="X383" s="1488"/>
      <c r="Y383" s="1488"/>
      <c r="Z383" s="1488"/>
      <c r="AA383" s="1488"/>
      <c r="AB383" s="1488"/>
      <c r="AC383" s="1488"/>
      <c r="AD383" s="1488"/>
      <c r="AE383" s="1488"/>
      <c r="AF383" s="1488"/>
    </row>
    <row r="384" spans="1:34" ht="12.9" customHeight="1">
      <c r="C384" s="412"/>
      <c r="E384" s="3"/>
      <c r="F384" s="3"/>
      <c r="G384" s="3"/>
      <c r="H384" s="3"/>
      <c r="I384" s="3"/>
      <c r="J384" s="3"/>
      <c r="K384" s="3"/>
      <c r="L384" s="3"/>
    </row>
    <row r="385" spans="1:36" ht="12.9" customHeight="1">
      <c r="D385" s="2" t="s">
        <v>1222</v>
      </c>
      <c r="E385" s="2"/>
      <c r="F385" s="3"/>
      <c r="G385" s="3"/>
      <c r="H385" s="3"/>
      <c r="I385" s="3"/>
      <c r="J385" s="3"/>
      <c r="K385" s="3"/>
      <c r="L385" s="3"/>
    </row>
    <row r="386" spans="1:36" ht="12.9" customHeight="1">
      <c r="E386" s="3" t="s">
        <v>1223</v>
      </c>
      <c r="F386" s="3"/>
      <c r="G386" s="3"/>
      <c r="H386" s="3"/>
      <c r="I386" s="3"/>
      <c r="J386" s="3"/>
      <c r="K386" s="3"/>
      <c r="L386" s="3"/>
      <c r="N386" t="s">
        <v>898</v>
      </c>
      <c r="R386" s="23" t="s">
        <v>899</v>
      </c>
      <c r="S386" s="1408">
        <v>2001</v>
      </c>
      <c r="T386" s="1408"/>
      <c r="U386" s="1" t="s">
        <v>900</v>
      </c>
      <c r="V386" s="1408">
        <v>856</v>
      </c>
      <c r="W386" s="1408"/>
      <c r="Y386" t="s">
        <v>898</v>
      </c>
      <c r="AC386" s="23" t="s">
        <v>899</v>
      </c>
      <c r="AD386" s="1408">
        <v>2001</v>
      </c>
      <c r="AE386" s="1408"/>
      <c r="AF386" s="1" t="s">
        <v>900</v>
      </c>
      <c r="AG386" s="1408">
        <v>856</v>
      </c>
      <c r="AH386" s="1408"/>
    </row>
    <row r="387" spans="1:36" ht="12.9" customHeight="1">
      <c r="E387" s="3" t="s">
        <v>1224</v>
      </c>
      <c r="F387" s="3"/>
      <c r="G387" s="3"/>
      <c r="H387" s="3"/>
      <c r="I387" s="3"/>
      <c r="J387" s="3"/>
      <c r="K387" s="3"/>
      <c r="L387" s="3"/>
      <c r="N387" s="1408">
        <v>2002</v>
      </c>
      <c r="O387" s="1408"/>
      <c r="P387" s="1408"/>
    </row>
    <row r="388" spans="1:36" ht="12.9" customHeight="1">
      <c r="E388" s="136" t="s">
        <v>1225</v>
      </c>
      <c r="F388" s="3"/>
      <c r="G388" s="3"/>
      <c r="H388" s="3"/>
      <c r="I388" s="3"/>
      <c r="J388" s="3"/>
      <c r="K388" s="3"/>
      <c r="L388" s="3"/>
      <c r="AG388" s="1411" t="s">
        <v>856</v>
      </c>
      <c r="AH388" s="1411"/>
    </row>
    <row r="389" spans="1:36" ht="12.9" customHeight="1">
      <c r="E389" s="3"/>
      <c r="F389" s="3"/>
      <c r="G389" s="3" t="s">
        <v>1226</v>
      </c>
      <c r="H389" s="3"/>
      <c r="I389" s="3"/>
      <c r="J389" s="3"/>
      <c r="K389" s="3"/>
      <c r="L389" s="3"/>
      <c r="AG389" s="1411" t="s">
        <v>698</v>
      </c>
      <c r="AH389" s="1411"/>
    </row>
    <row r="390" spans="1:36" ht="12.9" customHeight="1">
      <c r="E390" s="3"/>
      <c r="F390" s="3"/>
      <c r="G390" s="225" t="s">
        <v>1227</v>
      </c>
      <c r="H390" s="3"/>
      <c r="I390" s="3"/>
      <c r="J390" s="3"/>
      <c r="K390" s="3"/>
      <c r="L390" s="3"/>
      <c r="V390" s="1380" t="s">
        <v>820</v>
      </c>
      <c r="W390" s="1380"/>
      <c r="Y390" s="19" t="s">
        <v>1228</v>
      </c>
    </row>
    <row r="391" spans="1:36" ht="12.9" customHeight="1">
      <c r="E391" s="3" t="s">
        <v>1229</v>
      </c>
      <c r="F391" s="3"/>
      <c r="G391" s="3"/>
      <c r="H391" s="3"/>
      <c r="I391" s="3"/>
      <c r="J391" s="3"/>
      <c r="K391" s="3"/>
      <c r="L391" s="3"/>
      <c r="V391" s="1380" t="s">
        <v>698</v>
      </c>
      <c r="W391" s="1380"/>
      <c r="Y391" s="3" t="s">
        <v>1230</v>
      </c>
    </row>
    <row r="392" spans="1:36" ht="12.9" customHeight="1"/>
    <row r="393" spans="1:36" ht="12.9" customHeight="1">
      <c r="A393" s="2" t="s">
        <v>1231</v>
      </c>
      <c r="B393" s="2"/>
    </row>
    <row r="394" spans="1:36" ht="12.9" customHeight="1">
      <c r="D394" t="s">
        <v>1232</v>
      </c>
      <c r="J394" s="1372" t="s">
        <v>1233</v>
      </c>
      <c r="K394" s="1372"/>
      <c r="L394" s="1372"/>
      <c r="M394" s="1372"/>
      <c r="N394" s="1372"/>
      <c r="O394" s="1372"/>
      <c r="P394" s="1372"/>
      <c r="Q394" s="1372"/>
      <c r="R394" s="1372"/>
      <c r="S394" s="1372"/>
      <c r="T394" s="1372"/>
      <c r="U394" s="1372"/>
      <c r="V394" s="7" t="s">
        <v>1234</v>
      </c>
      <c r="W394" s="7"/>
      <c r="X394" s="7"/>
      <c r="Y394" s="7"/>
      <c r="Z394" s="7"/>
      <c r="AA394" s="7"/>
      <c r="AB394" s="7"/>
      <c r="AC394" s="1372" t="s">
        <v>1235</v>
      </c>
      <c r="AD394" s="1372"/>
      <c r="AE394" s="1372"/>
      <c r="AF394" s="1372"/>
      <c r="AG394" s="1372"/>
      <c r="AH394" s="1372"/>
      <c r="AI394" s="1372"/>
      <c r="AJ394" s="1372"/>
    </row>
    <row r="395" spans="1:36" ht="12.9" customHeight="1">
      <c r="D395" s="3" t="s">
        <v>1236</v>
      </c>
      <c r="J395" s="1341" t="s">
        <v>1237</v>
      </c>
      <c r="K395" s="1341"/>
      <c r="L395" s="1341"/>
      <c r="M395" s="1341"/>
      <c r="N395" s="1341"/>
      <c r="O395" s="1341"/>
      <c r="P395" s="1341"/>
      <c r="Q395" s="1341"/>
      <c r="R395" s="1341"/>
      <c r="S395" s="1341"/>
      <c r="T395" s="1341"/>
      <c r="U395" s="1341"/>
      <c r="V395" s="3" t="s">
        <v>1236</v>
      </c>
      <c r="W395" s="7"/>
      <c r="X395" s="7"/>
      <c r="Y395" s="7"/>
      <c r="Z395" s="7"/>
      <c r="AA395" s="7"/>
      <c r="AB395" s="7"/>
      <c r="AC395" s="1372"/>
      <c r="AD395" s="1372"/>
      <c r="AE395" s="1372"/>
      <c r="AF395" s="1372"/>
      <c r="AG395" s="1372"/>
      <c r="AH395" s="1372"/>
      <c r="AI395" s="1372"/>
      <c r="AJ395" s="1372"/>
    </row>
    <row r="396" spans="1:36" ht="12.9" customHeight="1">
      <c r="D396" s="3" t="s">
        <v>818</v>
      </c>
      <c r="J396" s="1341" t="s">
        <v>1238</v>
      </c>
      <c r="K396" s="1341"/>
      <c r="L396" s="1341"/>
      <c r="M396" s="1341"/>
      <c r="N396" s="1341"/>
      <c r="O396" s="1341"/>
      <c r="P396" s="1341"/>
      <c r="Q396" s="1341"/>
      <c r="R396" s="1341"/>
      <c r="S396" s="1341"/>
      <c r="T396" s="1341"/>
      <c r="U396" s="1341"/>
      <c r="V396" s="3" t="s">
        <v>818</v>
      </c>
      <c r="W396" s="7"/>
      <c r="X396" s="7"/>
      <c r="Y396" s="7"/>
      <c r="Z396" s="7"/>
      <c r="AA396" s="7"/>
      <c r="AB396" s="7"/>
      <c r="AC396" s="1372"/>
      <c r="AD396" s="1372"/>
      <c r="AE396" s="1372"/>
      <c r="AF396" s="1372"/>
      <c r="AG396" s="1372"/>
      <c r="AH396" s="1372"/>
      <c r="AI396" s="1372"/>
      <c r="AJ396" s="1372"/>
    </row>
    <row r="397" spans="1:36" ht="12.9" customHeight="1">
      <c r="D397" t="s">
        <v>1239</v>
      </c>
      <c r="J397" s="1394" t="s">
        <v>930</v>
      </c>
      <c r="K397" s="1394"/>
      <c r="L397" s="1394"/>
      <c r="M397" s="1394"/>
      <c r="N397" s="1394"/>
      <c r="O397" s="1394"/>
      <c r="P397" s="1394"/>
      <c r="Q397" s="1394"/>
      <c r="R397" s="1394"/>
      <c r="S397" s="1394"/>
      <c r="T397" s="1394"/>
      <c r="U397" s="1394"/>
      <c r="V397" s="1372"/>
      <c r="W397" s="1372"/>
      <c r="X397" s="1372"/>
      <c r="Y397" s="1372"/>
      <c r="Z397" s="1372"/>
      <c r="AA397" s="1372"/>
      <c r="AB397" s="1372"/>
      <c r="AC397" s="1372"/>
      <c r="AD397" s="1372"/>
      <c r="AE397" s="1372"/>
      <c r="AF397" s="1372"/>
      <c r="AG397" s="1372"/>
      <c r="AH397" s="1372"/>
      <c r="AI397" s="1372"/>
      <c r="AJ397" s="1372"/>
    </row>
    <row r="398" spans="1:36" ht="12.9" customHeight="1">
      <c r="D398" t="s">
        <v>1240</v>
      </c>
      <c r="Q398" s="1545"/>
      <c r="R398" s="1545"/>
      <c r="S398" s="1545"/>
      <c r="T398" s="1545"/>
      <c r="U398" s="1545"/>
      <c r="V398" t="s">
        <v>1241</v>
      </c>
      <c r="AI398" s="1380" t="s">
        <v>698</v>
      </c>
      <c r="AJ398" s="1380"/>
    </row>
    <row r="399" spans="1:36" ht="12.9" customHeight="1">
      <c r="D399" t="s">
        <v>1242</v>
      </c>
      <c r="Q399" s="1482"/>
      <c r="R399" s="1483"/>
      <c r="S399" s="1483"/>
      <c r="T399" s="1483"/>
      <c r="U399" s="1483"/>
      <c r="W399" s="18" t="s">
        <v>1243</v>
      </c>
      <c r="AG399" s="1413"/>
      <c r="AH399" s="1413"/>
      <c r="AI399" s="1413"/>
      <c r="AJ399" s="1413"/>
    </row>
    <row r="400" spans="1:36" ht="12.9" customHeight="1">
      <c r="D400" t="s">
        <v>1244</v>
      </c>
      <c r="Q400" s="1414">
        <v>51000000</v>
      </c>
      <c r="R400" s="1414"/>
      <c r="S400" s="1414"/>
      <c r="T400" s="1414"/>
      <c r="U400" s="1414"/>
      <c r="V400" s="3" t="s">
        <v>1245</v>
      </c>
      <c r="AG400" s="1480">
        <v>46266</v>
      </c>
      <c r="AH400" s="1480"/>
      <c r="AI400" s="1480"/>
      <c r="AJ400" s="1480"/>
    </row>
    <row r="401" spans="4:36" ht="12.9" customHeight="1">
      <c r="D401" t="s">
        <v>1081</v>
      </c>
      <c r="I401" s="1770" t="s">
        <v>1246</v>
      </c>
      <c r="J401" s="1502"/>
      <c r="K401" s="1502"/>
      <c r="L401" s="1502"/>
      <c r="M401" s="1502"/>
      <c r="N401" s="1502"/>
      <c r="Q401" s="3" t="s">
        <v>1083</v>
      </c>
      <c r="S401" s="1412"/>
      <c r="T401" s="1412"/>
      <c r="U401" s="1412"/>
      <c r="V401" t="s">
        <v>1247</v>
      </c>
      <c r="AI401" s="1380" t="s">
        <v>698</v>
      </c>
      <c r="AJ401" s="1380"/>
    </row>
    <row r="402" spans="4:36" ht="12.9" customHeight="1">
      <c r="D402" t="s">
        <v>1248</v>
      </c>
      <c r="Q402" s="1486"/>
      <c r="R402" s="1486"/>
      <c r="S402" s="1486"/>
      <c r="T402" s="1486"/>
      <c r="U402" s="1486"/>
      <c r="V402" t="s">
        <v>1249</v>
      </c>
      <c r="AG402" s="1413"/>
      <c r="AH402" s="1413"/>
      <c r="AI402" s="1413"/>
      <c r="AJ402" s="1413"/>
    </row>
    <row r="403" spans="4:36" ht="12.9" customHeight="1">
      <c r="D403" t="s">
        <v>1250</v>
      </c>
      <c r="Q403" s="1534">
        <v>1.18268325E-2</v>
      </c>
      <c r="R403" s="1534"/>
      <c r="S403" s="1534"/>
      <c r="T403" s="1534"/>
      <c r="U403" s="1534"/>
      <c r="V403" t="s">
        <v>1251</v>
      </c>
      <c r="AG403" s="1413"/>
      <c r="AH403" s="1413"/>
      <c r="AI403" s="1413"/>
      <c r="AJ403" s="1413"/>
    </row>
    <row r="404" spans="4:36" ht="12.9" customHeight="1">
      <c r="D404" t="s">
        <v>1252</v>
      </c>
      <c r="AG404" s="1413"/>
      <c r="AH404" s="1413"/>
      <c r="AI404" s="1413"/>
      <c r="AJ404" s="1413"/>
    </row>
    <row r="405" spans="4:36" ht="12.9" customHeight="1">
      <c r="AG405" s="1168"/>
      <c r="AH405" s="1168"/>
      <c r="AI405" s="1168"/>
      <c r="AJ405" s="1168"/>
    </row>
    <row r="406" spans="4:36" ht="12.9" customHeight="1">
      <c r="D406" s="3" t="s">
        <v>1253</v>
      </c>
      <c r="AG406" s="1168"/>
      <c r="AH406" s="1168"/>
      <c r="AI406" s="1380" t="s">
        <v>698</v>
      </c>
      <c r="AJ406" s="1380"/>
    </row>
    <row r="407" spans="4:36" ht="12.9" customHeight="1">
      <c r="D407" s="3" t="s">
        <v>1254</v>
      </c>
      <c r="T407" s="1399"/>
      <c r="U407" s="1399"/>
      <c r="V407" s="1399"/>
      <c r="W407" s="1399"/>
      <c r="X407" s="1399"/>
      <c r="Y407" s="1399"/>
      <c r="Z407" s="1399"/>
      <c r="AA407" s="1399"/>
      <c r="AB407" s="1399"/>
      <c r="AC407" s="1399"/>
      <c r="AD407" s="1399"/>
      <c r="AE407" s="1399"/>
      <c r="AF407" s="1399"/>
      <c r="AG407" s="1399"/>
      <c r="AH407" s="1399"/>
      <c r="AI407" s="1399"/>
      <c r="AJ407" s="1399"/>
    </row>
    <row r="408" spans="4:36" ht="12.9" customHeight="1">
      <c r="D408" s="3" t="s">
        <v>1255</v>
      </c>
      <c r="T408" s="1399"/>
      <c r="U408" s="1399"/>
      <c r="V408" s="1399"/>
      <c r="W408" s="1399"/>
      <c r="X408" s="1399"/>
      <c r="Y408" s="1399"/>
      <c r="Z408" s="1399"/>
      <c r="AA408" s="1399"/>
      <c r="AB408" s="1399"/>
      <c r="AC408" s="1399"/>
      <c r="AD408" s="1399"/>
      <c r="AE408" s="1399"/>
      <c r="AF408" s="1399"/>
      <c r="AG408" s="1399"/>
      <c r="AH408" s="1399"/>
      <c r="AI408" s="1399"/>
      <c r="AJ408" s="1399"/>
    </row>
    <row r="409" spans="4:36" ht="12.9" customHeight="1">
      <c r="AG409" s="1168"/>
      <c r="AH409" s="1168"/>
      <c r="AI409" s="1168"/>
      <c r="AJ409" s="1168"/>
    </row>
    <row r="410" spans="4:36" ht="12.9" customHeight="1">
      <c r="D410" s="3" t="s">
        <v>1256</v>
      </c>
      <c r="S410" s="1399" t="s">
        <v>856</v>
      </c>
      <c r="T410" s="1399"/>
      <c r="U410" s="1399"/>
      <c r="V410" t="s">
        <v>1257</v>
      </c>
      <c r="AG410" s="1485">
        <v>75</v>
      </c>
      <c r="AH410" s="1485"/>
      <c r="AI410" s="1485"/>
      <c r="AJ410" s="1485"/>
    </row>
    <row r="411" spans="4:36" ht="12.9" customHeight="1">
      <c r="D411" s="3" t="s">
        <v>1258</v>
      </c>
      <c r="S411" s="1399" t="s">
        <v>856</v>
      </c>
      <c r="T411" s="1399"/>
      <c r="U411" s="1399"/>
      <c r="V411" t="s">
        <v>1259</v>
      </c>
      <c r="AE411" s="1479"/>
      <c r="AF411" s="1479"/>
      <c r="AG411" s="1479"/>
      <c r="AH411" s="1479"/>
      <c r="AI411" s="1479"/>
      <c r="AJ411" s="1479"/>
    </row>
    <row r="412" spans="4:36" ht="12.9" customHeight="1">
      <c r="D412" s="3" t="s">
        <v>1260</v>
      </c>
      <c r="K412" s="1481"/>
      <c r="L412" s="1481"/>
      <c r="M412" s="1481"/>
      <c r="N412" s="1481"/>
      <c r="O412" s="1481"/>
      <c r="P412" s="1481"/>
      <c r="Q412" s="1481"/>
      <c r="R412" s="1481"/>
      <c r="S412" s="1481"/>
      <c r="T412" s="1481"/>
      <c r="U412" s="1481"/>
      <c r="V412" s="1481"/>
      <c r="W412" s="1481"/>
      <c r="X412" s="1481"/>
      <c r="Y412" s="1481"/>
      <c r="Z412" s="1481"/>
      <c r="AA412" s="1481"/>
      <c r="AB412" s="1481"/>
      <c r="AC412" s="1481"/>
      <c r="AD412" s="1481"/>
      <c r="AE412" s="1481"/>
      <c r="AF412" s="1481"/>
      <c r="AG412" s="1481"/>
      <c r="AH412" s="1481"/>
      <c r="AI412" s="1481"/>
      <c r="AJ412" s="1481"/>
    </row>
    <row r="413" spans="4:36" ht="12.9" customHeight="1">
      <c r="D413" s="3" t="s">
        <v>1261</v>
      </c>
      <c r="K413" s="1481" t="s">
        <v>811</v>
      </c>
      <c r="L413" s="1481"/>
      <c r="M413" s="1481"/>
      <c r="N413" s="1481"/>
      <c r="O413" s="1481"/>
      <c r="P413" s="1481"/>
      <c r="Q413" s="1481"/>
      <c r="R413" s="1481"/>
      <c r="S413" s="1481"/>
      <c r="T413" s="1481"/>
      <c r="U413" s="1481"/>
      <c r="V413" s="1481"/>
      <c r="W413" s="1481"/>
      <c r="X413" s="1481"/>
      <c r="Y413" s="1481"/>
      <c r="Z413" s="1481"/>
      <c r="AA413" s="1481"/>
      <c r="AB413" s="1481"/>
      <c r="AC413" s="1481"/>
      <c r="AD413" s="1481"/>
      <c r="AE413" s="1481"/>
      <c r="AF413" s="1481"/>
      <c r="AG413" s="1481"/>
      <c r="AH413" s="1481"/>
      <c r="AI413" s="1481"/>
      <c r="AJ413" s="1481"/>
    </row>
    <row r="414" spans="4:36" ht="12.9" customHeight="1">
      <c r="D414" s="3" t="s">
        <v>1262</v>
      </c>
      <c r="E414" s="378"/>
      <c r="F414" s="378"/>
      <c r="G414" s="378"/>
      <c r="H414" s="378"/>
      <c r="I414" s="378"/>
      <c r="J414" s="378"/>
      <c r="K414" s="378"/>
      <c r="L414" s="378"/>
      <c r="M414" s="378"/>
      <c r="N414" s="378"/>
      <c r="O414" s="378"/>
      <c r="P414" s="378"/>
      <c r="Q414" s="378"/>
      <c r="R414" s="378"/>
      <c r="S414" s="1410" t="s">
        <v>1263</v>
      </c>
      <c r="T414" s="1410"/>
      <c r="U414" s="1410"/>
      <c r="V414" s="1410"/>
      <c r="W414" s="1410"/>
      <c r="X414" s="1410"/>
      <c r="Y414" s="1410"/>
      <c r="Z414" s="1410"/>
      <c r="AA414" s="1410"/>
      <c r="AB414" s="1410"/>
      <c r="AC414" s="1410"/>
      <c r="AD414" s="1410"/>
      <c r="AE414" s="1410"/>
      <c r="AF414" s="1410"/>
      <c r="AG414" s="1410"/>
      <c r="AH414" s="1410"/>
      <c r="AI414" s="1410"/>
      <c r="AJ414" s="1410"/>
    </row>
    <row r="415" spans="4:36" ht="12.9" customHeight="1">
      <c r="D415" s="1234" t="s">
        <v>1264</v>
      </c>
      <c r="E415" s="1234"/>
      <c r="F415" s="1234"/>
      <c r="G415" s="1234"/>
      <c r="H415" s="1234"/>
      <c r="I415" s="1234"/>
      <c r="J415" s="1234"/>
      <c r="K415" s="1234"/>
      <c r="L415" s="1234"/>
      <c r="M415" s="1234"/>
      <c r="N415" s="1234"/>
      <c r="O415" s="1234"/>
      <c r="P415" s="1234"/>
      <c r="Q415" s="1234"/>
      <c r="R415" s="1234"/>
      <c r="S415" s="1234"/>
      <c r="T415" s="1234"/>
      <c r="U415" s="1234"/>
      <c r="V415" s="1234"/>
      <c r="W415" s="1234"/>
      <c r="X415" s="1234"/>
      <c r="Y415" s="1234"/>
      <c r="Z415" s="1234"/>
      <c r="AA415" s="1234"/>
      <c r="AB415" s="1234"/>
      <c r="AC415" s="1234"/>
      <c r="AD415" s="1234"/>
      <c r="AE415" s="1234"/>
      <c r="AF415" s="1234"/>
      <c r="AG415" s="1234"/>
      <c r="AH415" s="1234"/>
      <c r="AI415" s="1234"/>
      <c r="AJ415" s="1234"/>
    </row>
    <row r="416" spans="4:36" ht="12.9" customHeight="1">
      <c r="D416" s="1234"/>
      <c r="E416" s="1234"/>
      <c r="F416" s="1234"/>
      <c r="G416" s="1234"/>
      <c r="H416" s="1234"/>
      <c r="I416" s="1234"/>
      <c r="J416" s="1234"/>
      <c r="K416" s="1234"/>
      <c r="L416" s="1234"/>
      <c r="M416" s="1234"/>
      <c r="N416" s="1234"/>
      <c r="O416" s="1234"/>
      <c r="P416" s="1234"/>
      <c r="Q416" s="1234"/>
      <c r="R416" s="1234"/>
      <c r="S416" s="1234"/>
      <c r="T416" s="1234"/>
      <c r="U416" s="1234"/>
      <c r="V416" s="1234"/>
      <c r="W416" s="1234"/>
      <c r="X416" s="1234"/>
      <c r="Y416" s="1234"/>
      <c r="Z416" s="1234"/>
      <c r="AA416" s="1234"/>
      <c r="AB416" s="1234"/>
      <c r="AC416" s="1234"/>
      <c r="AD416" s="1234"/>
      <c r="AE416" s="1234"/>
      <c r="AF416" s="1234"/>
      <c r="AG416" s="1234"/>
      <c r="AH416" s="1234"/>
      <c r="AI416" s="1234"/>
      <c r="AJ416" s="1234"/>
    </row>
    <row r="417" spans="1:39" ht="12.9" customHeight="1">
      <c r="AG417" s="1168"/>
      <c r="AH417" s="1168"/>
      <c r="AI417" s="1168"/>
      <c r="AJ417" s="1168"/>
    </row>
    <row r="418" spans="1:39" ht="12.9" customHeight="1">
      <c r="A418" s="2" t="s">
        <v>1016</v>
      </c>
      <c r="B418" s="2"/>
      <c r="C418" s="2" t="s">
        <v>145</v>
      </c>
    </row>
    <row r="419" spans="1:39" ht="12.9" customHeight="1">
      <c r="B419" s="2"/>
      <c r="C419" s="2"/>
      <c r="D419" s="2" t="s">
        <v>1265</v>
      </c>
      <c r="I419" s="1484" t="s">
        <v>1266</v>
      </c>
      <c r="J419" s="1484"/>
      <c r="K419" s="1484"/>
      <c r="L419" s="1484"/>
      <c r="M419" s="1484"/>
      <c r="N419" s="1484"/>
      <c r="O419" s="1484"/>
      <c r="P419" s="1484"/>
      <c r="Q419" s="1484"/>
      <c r="R419" s="1484"/>
      <c r="S419" s="1484"/>
      <c r="T419" s="1484"/>
      <c r="U419" s="1484"/>
      <c r="V419" s="1484"/>
      <c r="W419" s="1484"/>
      <c r="X419" s="1484"/>
      <c r="Y419" s="1484"/>
      <c r="Z419" s="1484"/>
      <c r="AA419" s="1484"/>
      <c r="AB419" s="1484"/>
      <c r="AC419" s="1484"/>
      <c r="AD419" s="1484"/>
      <c r="AE419" s="1484"/>
    </row>
    <row r="420" spans="1:39" ht="12.9" customHeight="1">
      <c r="E420" t="s">
        <v>1267</v>
      </c>
      <c r="R420" s="1380" t="s">
        <v>856</v>
      </c>
      <c r="S420" s="1380"/>
      <c r="AC420" s="23" t="s">
        <v>1268</v>
      </c>
      <c r="AD420" s="1330">
        <v>4</v>
      </c>
      <c r="AE420" s="1330"/>
    </row>
    <row r="421" spans="1:39" ht="12.9" customHeight="1">
      <c r="E421" t="s">
        <v>1269</v>
      </c>
      <c r="R421" s="1380" t="s">
        <v>820</v>
      </c>
      <c r="S421" s="1380"/>
      <c r="AC421" s="23" t="s">
        <v>1268</v>
      </c>
      <c r="AD421" s="1330"/>
      <c r="AE421" s="1330"/>
    </row>
    <row r="422" spans="1:39" ht="12.9" customHeight="1">
      <c r="E422" t="s">
        <v>1270</v>
      </c>
      <c r="S422" s="1380" t="s">
        <v>856</v>
      </c>
      <c r="T422" s="1380"/>
    </row>
    <row r="423" spans="1:39" ht="12.9" customHeight="1">
      <c r="E423" t="s">
        <v>233</v>
      </c>
      <c r="H423" s="1535" t="s">
        <v>1271</v>
      </c>
      <c r="I423" s="1535"/>
      <c r="J423" s="1535"/>
      <c r="K423" s="1535"/>
      <c r="L423" s="1535"/>
      <c r="M423" s="1535"/>
      <c r="N423" s="1535"/>
      <c r="O423" s="1535"/>
      <c r="P423" s="1535"/>
      <c r="Q423" s="1535"/>
      <c r="R423" s="1535"/>
      <c r="S423" s="1535"/>
      <c r="T423" s="1535"/>
      <c r="U423" s="1535"/>
      <c r="V423" s="1535"/>
      <c r="W423" s="1535"/>
      <c r="X423" s="1535"/>
      <c r="Y423" s="1535"/>
      <c r="Z423" s="1535"/>
      <c r="AA423" s="1535"/>
      <c r="AB423" s="1535"/>
      <c r="AC423" s="1535"/>
      <c r="AD423" s="1535"/>
      <c r="AE423" s="1535"/>
    </row>
    <row r="424" spans="1:39" ht="12.9" customHeight="1">
      <c r="H424" s="1536"/>
      <c r="I424" s="1536"/>
      <c r="J424" s="1536"/>
      <c r="K424" s="1536"/>
      <c r="L424" s="1536"/>
      <c r="M424" s="1536"/>
      <c r="N424" s="1536"/>
      <c r="O424" s="1536"/>
      <c r="P424" s="1536"/>
      <c r="Q424" s="1536"/>
      <c r="R424" s="1536"/>
      <c r="S424" s="1536"/>
      <c r="T424" s="1536"/>
      <c r="U424" s="1536"/>
      <c r="V424" s="1536"/>
      <c r="W424" s="1536"/>
      <c r="X424" s="1536"/>
      <c r="Y424" s="1536"/>
      <c r="Z424" s="1536"/>
      <c r="AA424" s="1536"/>
      <c r="AB424" s="1536"/>
      <c r="AC424" s="1536"/>
      <c r="AD424" s="1536"/>
      <c r="AE424" s="1536"/>
    </row>
    <row r="425" spans="1:39" ht="12.9" customHeight="1"/>
    <row r="426" spans="1:39" ht="12.9" customHeight="1">
      <c r="A426" s="2" t="s">
        <v>1028</v>
      </c>
      <c r="B426" s="2"/>
      <c r="C426" s="2"/>
      <c r="D426" s="2" t="s">
        <v>150</v>
      </c>
      <c r="AF426" s="2" t="s">
        <v>1272</v>
      </c>
    </row>
    <row r="427" spans="1:39" ht="12.9" customHeight="1">
      <c r="E427" s="1408">
        <v>120</v>
      </c>
      <c r="F427" s="1408"/>
      <c r="G427" s="1408"/>
      <c r="H427" s="12" t="s">
        <v>1273</v>
      </c>
      <c r="I427" s="1408">
        <v>360</v>
      </c>
      <c r="J427" s="1408"/>
      <c r="K427" s="1408"/>
      <c r="L427" t="s">
        <v>1274</v>
      </c>
      <c r="N427" s="23" t="s">
        <v>36</v>
      </c>
      <c r="P427" s="1538">
        <v>0.99</v>
      </c>
      <c r="Q427" s="1538"/>
      <c r="R427" s="1538"/>
      <c r="S427" t="s">
        <v>1275</v>
      </c>
      <c r="W427" s="1409">
        <f>IF(E427&gt;0,(E427*I427),(P427*43560))</f>
        <v>43200</v>
      </c>
      <c r="X427" s="1409"/>
      <c r="Y427" s="1409"/>
      <c r="Z427" t="s">
        <v>1276</v>
      </c>
      <c r="AF427" s="1539">
        <f>IFERROR(IF(P427&gt;0,(AG446/P427),(AG446/(W427/43560))),0)</f>
        <v>91.919191919191917</v>
      </c>
      <c r="AG427" s="1539"/>
      <c r="AH427" s="1539"/>
      <c r="AM427" s="3"/>
    </row>
    <row r="428" spans="1:39" ht="12.9" customHeight="1">
      <c r="E428" t="s">
        <v>1277</v>
      </c>
    </row>
    <row r="429" spans="1:39" ht="12.9" customHeight="1">
      <c r="E429" s="1463"/>
      <c r="F429" s="1463"/>
      <c r="G429" s="1463"/>
      <c r="H429" s="1463"/>
      <c r="I429" s="1463"/>
      <c r="J429" s="1463"/>
      <c r="K429" s="1463"/>
      <c r="L429" s="1463"/>
      <c r="M429" s="1463"/>
      <c r="N429" s="1463"/>
      <c r="O429" s="1463"/>
      <c r="P429" s="1463"/>
      <c r="Q429" s="1463"/>
      <c r="R429" s="1463"/>
      <c r="S429" s="1463"/>
      <c r="T429" s="1463"/>
      <c r="U429" s="1463"/>
      <c r="V429" s="1463"/>
      <c r="W429" s="1463"/>
      <c r="X429" s="1463"/>
      <c r="Y429" s="1463"/>
      <c r="Z429" s="1463"/>
      <c r="AA429" s="1463"/>
      <c r="AB429" s="1463"/>
      <c r="AC429" s="1463"/>
      <c r="AD429" s="1463"/>
      <c r="AE429" s="1463"/>
      <c r="AF429" s="1463"/>
      <c r="AG429" s="1463"/>
      <c r="AH429" s="1463"/>
      <c r="AI429" s="1463"/>
      <c r="AJ429" s="1463"/>
    </row>
    <row r="430" spans="1:39" ht="12.9" customHeight="1">
      <c r="E430" s="84" t="s">
        <v>1278</v>
      </c>
      <c r="F430" s="18"/>
      <c r="G430" s="18"/>
      <c r="H430" s="18"/>
      <c r="I430" s="1537">
        <v>0.99</v>
      </c>
      <c r="J430" s="1537"/>
      <c r="K430" s="1537"/>
      <c r="L430" s="18"/>
      <c r="M430" s="84"/>
      <c r="N430" s="18"/>
      <c r="O430" s="18"/>
      <c r="P430" s="1769">
        <f>(DU763+DU786+DU808)/I430</f>
        <v>153.53535353535355</v>
      </c>
      <c r="Q430" s="1769"/>
      <c r="R430" s="1769"/>
      <c r="S430" s="84" t="s">
        <v>1279</v>
      </c>
      <c r="T430" s="18"/>
      <c r="U430" s="18"/>
      <c r="V430" s="18"/>
      <c r="W430" s="18"/>
      <c r="X430" s="18"/>
      <c r="Y430" s="18"/>
      <c r="Z430" s="18"/>
      <c r="AA430" s="18"/>
      <c r="AB430" s="18"/>
      <c r="AC430" s="18"/>
      <c r="AD430" s="18"/>
      <c r="AE430" s="18"/>
      <c r="AF430" s="18"/>
      <c r="AG430" s="18"/>
      <c r="AH430" s="18"/>
      <c r="AI430" s="18"/>
      <c r="AJ430" s="18"/>
    </row>
    <row r="431" spans="1:39" ht="12.9" customHeight="1"/>
    <row r="432" spans="1:39" ht="12.9" customHeight="1">
      <c r="A432" s="2" t="s">
        <v>1055</v>
      </c>
      <c r="B432" s="2"/>
      <c r="C432" s="2"/>
      <c r="D432" s="2" t="s">
        <v>152</v>
      </c>
    </row>
    <row r="433" spans="1:36" ht="12.9" customHeight="1">
      <c r="E433" t="s">
        <v>1280</v>
      </c>
      <c r="P433" s="1380">
        <v>1</v>
      </c>
      <c r="Q433" s="1380"/>
      <c r="S433" t="s">
        <v>1281</v>
      </c>
      <c r="AE433" s="1380">
        <v>1</v>
      </c>
      <c r="AF433" s="1380"/>
    </row>
    <row r="434" spans="1:36" ht="12.9" customHeight="1">
      <c r="E434" t="s">
        <v>1282</v>
      </c>
      <c r="P434" s="1380">
        <v>0</v>
      </c>
      <c r="Q434" s="1380"/>
      <c r="S434" t="s">
        <v>1283</v>
      </c>
      <c r="AE434" s="1380" t="s">
        <v>856</v>
      </c>
      <c r="AF434" s="1380"/>
    </row>
    <row r="435" spans="1:36" ht="12.9" customHeight="1">
      <c r="F435" s="19" t="s">
        <v>1284</v>
      </c>
    </row>
    <row r="436" spans="1:36" ht="12.9" customHeight="1">
      <c r="F436" s="1489" t="s">
        <v>1285</v>
      </c>
      <c r="G436" s="1489"/>
      <c r="H436" s="1489"/>
      <c r="I436" s="1489"/>
      <c r="J436" s="1489"/>
      <c r="K436" s="1489"/>
      <c r="L436" s="1489"/>
      <c r="M436" s="1489"/>
      <c r="N436" s="1489"/>
      <c r="O436" s="1489"/>
      <c r="P436" s="1489"/>
      <c r="Q436" s="1489"/>
      <c r="R436" s="1489"/>
      <c r="S436" s="1489"/>
      <c r="T436" s="1489"/>
      <c r="U436" s="1489"/>
      <c r="V436" s="1489"/>
      <c r="W436" s="1489"/>
      <c r="X436" s="1489"/>
      <c r="Y436" s="1489"/>
      <c r="Z436" s="1489"/>
      <c r="AA436" s="1489"/>
      <c r="AB436" s="1489"/>
      <c r="AC436" s="1489"/>
      <c r="AD436" s="1489"/>
      <c r="AE436" s="1489"/>
      <c r="AF436" s="1489"/>
      <c r="AG436" s="1489"/>
      <c r="AH436" s="1489"/>
    </row>
    <row r="437" spans="1:36" ht="12.9" customHeight="1">
      <c r="F437" s="1490"/>
      <c r="G437" s="1490"/>
      <c r="H437" s="1490"/>
      <c r="I437" s="1490"/>
      <c r="J437" s="1490"/>
      <c r="K437" s="1490"/>
      <c r="L437" s="1490"/>
      <c r="M437" s="1490"/>
      <c r="N437" s="1490"/>
      <c r="O437" s="1490"/>
      <c r="P437" s="1490"/>
      <c r="Q437" s="1490"/>
      <c r="R437" s="1490"/>
      <c r="S437" s="1490"/>
      <c r="T437" s="1490"/>
      <c r="U437" s="1490"/>
      <c r="V437" s="1490"/>
      <c r="W437" s="1490"/>
      <c r="X437" s="1490"/>
      <c r="Y437" s="1490"/>
      <c r="Z437" s="1490"/>
      <c r="AA437" s="1490"/>
      <c r="AB437" s="1490"/>
      <c r="AC437" s="1490"/>
      <c r="AD437" s="1490"/>
      <c r="AE437" s="1490"/>
      <c r="AF437" s="1490"/>
      <c r="AG437" s="1490"/>
      <c r="AH437" s="1490"/>
    </row>
    <row r="438" spans="1:36" ht="12.9" customHeight="1">
      <c r="E438" t="s">
        <v>1286</v>
      </c>
      <c r="P438" s="1"/>
      <c r="Q438" s="1380" t="s">
        <v>856</v>
      </c>
      <c r="R438" s="1380"/>
    </row>
    <row r="439" spans="1:36" ht="12.9" customHeight="1">
      <c r="F439" t="s">
        <v>1287</v>
      </c>
      <c r="P439" s="1"/>
      <c r="Q439" s="1"/>
      <c r="AF439" s="1380" t="s">
        <v>820</v>
      </c>
      <c r="AG439" s="1465"/>
    </row>
    <row r="440" spans="1:36" ht="12.9" customHeight="1"/>
    <row r="441" spans="1:36" ht="12.9" customHeight="1">
      <c r="A441" s="2"/>
      <c r="B441" s="2"/>
      <c r="C441" s="2"/>
      <c r="E441" s="3" t="s">
        <v>1288</v>
      </c>
      <c r="Z441" s="1380" t="s">
        <v>698</v>
      </c>
      <c r="AA441" s="1380"/>
    </row>
    <row r="442" spans="1:36" ht="12.9" customHeight="1">
      <c r="F442" s="31" t="s">
        <v>1289</v>
      </c>
      <c r="G442" s="32"/>
      <c r="H442" s="32"/>
      <c r="I442" s="32"/>
      <c r="J442" s="32"/>
      <c r="K442" s="32"/>
      <c r="L442" s="32"/>
      <c r="M442" s="32"/>
      <c r="N442" s="32"/>
      <c r="O442" s="32"/>
      <c r="P442" s="32"/>
      <c r="Q442" s="32"/>
      <c r="R442" s="32"/>
      <c r="S442" s="32"/>
      <c r="T442" s="32"/>
      <c r="U442" s="32"/>
      <c r="V442" s="32"/>
      <c r="W442" s="32"/>
      <c r="AB442" s="32"/>
    </row>
    <row r="443" spans="1:36" ht="12.9" customHeight="1">
      <c r="F443" t="s">
        <v>1290</v>
      </c>
      <c r="G443" s="32"/>
      <c r="I443" s="32"/>
      <c r="J443" s="32"/>
      <c r="K443" s="32"/>
      <c r="L443" s="32"/>
      <c r="M443" s="32"/>
      <c r="N443" s="32"/>
      <c r="O443" s="19"/>
      <c r="P443" s="32"/>
      <c r="Q443" s="32"/>
      <c r="R443" s="32"/>
      <c r="S443" s="32"/>
      <c r="T443" s="32"/>
      <c r="U443" s="32"/>
      <c r="V443" s="32"/>
      <c r="W443" s="32"/>
      <c r="Z443" s="1380" t="s">
        <v>820</v>
      </c>
      <c r="AA443" s="1380"/>
    </row>
    <row r="444" spans="1:36" ht="12.9" customHeight="1"/>
    <row r="445" spans="1:36" ht="12.9" customHeight="1">
      <c r="A445" s="2" t="s">
        <v>1120</v>
      </c>
      <c r="B445" s="2"/>
      <c r="C445" s="2"/>
      <c r="D445" s="2" t="s">
        <v>159</v>
      </c>
      <c r="AF445" s="40"/>
    </row>
    <row r="446" spans="1:36" ht="12.9" customHeight="1">
      <c r="D446" s="1464" t="s">
        <v>1291</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353">
        <v>91</v>
      </c>
      <c r="AH446" s="1353"/>
      <c r="AI446" s="1353"/>
      <c r="AJ446" s="1353"/>
    </row>
    <row r="447" spans="1:36" ht="12.9" customHeight="1">
      <c r="D447" s="1385" t="s">
        <v>1292</v>
      </c>
      <c r="E447" s="1386"/>
      <c r="F447" s="1386"/>
      <c r="G447" s="1386"/>
      <c r="H447" s="1386"/>
      <c r="I447" s="1386"/>
      <c r="J447" s="1386"/>
      <c r="K447" s="1386"/>
      <c r="L447" s="1386"/>
      <c r="M447" s="1386"/>
      <c r="N447" s="1386"/>
      <c r="O447" s="1386"/>
      <c r="P447" s="1386"/>
      <c r="Q447" s="1386"/>
      <c r="R447" s="1386"/>
      <c r="S447" s="1386"/>
      <c r="T447" s="1386"/>
      <c r="U447" s="1386"/>
      <c r="V447" s="1386"/>
      <c r="W447" s="1386"/>
      <c r="X447" s="1386"/>
      <c r="Y447" s="1386"/>
      <c r="Z447" s="1386"/>
      <c r="AA447" s="1386"/>
      <c r="AB447" s="1386"/>
      <c r="AC447" s="1386"/>
      <c r="AD447" s="1386"/>
      <c r="AE447" s="1386"/>
      <c r="AF447" s="1387"/>
      <c r="AG447" s="1428">
        <v>0</v>
      </c>
      <c r="AH447" s="1429"/>
      <c r="AI447" s="1429"/>
      <c r="AJ447" s="1429"/>
    </row>
    <row r="448" spans="1:36" ht="12.9" customHeight="1">
      <c r="D448" s="1385" t="s">
        <v>1293</v>
      </c>
      <c r="E448" s="1386"/>
      <c r="F448" s="1386"/>
      <c r="G448" s="1386"/>
      <c r="H448" s="1386"/>
      <c r="I448" s="1386"/>
      <c r="J448" s="1386"/>
      <c r="K448" s="1386"/>
      <c r="L448" s="1386"/>
      <c r="M448" s="1386"/>
      <c r="N448" s="1386"/>
      <c r="O448" s="1386"/>
      <c r="P448" s="1386"/>
      <c r="Q448" s="1386"/>
      <c r="R448" s="1386"/>
      <c r="S448" s="1386"/>
      <c r="T448" s="1386"/>
      <c r="U448" s="1386"/>
      <c r="V448" s="1386"/>
      <c r="W448" s="1386"/>
      <c r="X448" s="1386"/>
      <c r="Y448" s="1386"/>
      <c r="Z448" s="1386"/>
      <c r="AA448" s="1386"/>
      <c r="AB448" s="1386"/>
      <c r="AC448" s="1386"/>
      <c r="AD448" s="1386"/>
      <c r="AE448" s="1386"/>
      <c r="AF448" s="1387"/>
      <c r="AG448" s="1353">
        <v>90</v>
      </c>
      <c r="AH448" s="1353"/>
      <c r="AI448" s="1353"/>
      <c r="AJ448" s="1353"/>
    </row>
    <row r="449" spans="4:55" ht="12.9" customHeight="1">
      <c r="D449" s="1385" t="s">
        <v>1294</v>
      </c>
      <c r="E449" s="1386"/>
      <c r="F449" s="1386"/>
      <c r="G449" s="1386"/>
      <c r="H449" s="1386"/>
      <c r="I449" s="1386"/>
      <c r="J449" s="1386"/>
      <c r="K449" s="1386"/>
      <c r="L449" s="1386"/>
      <c r="M449" s="1386"/>
      <c r="N449" s="1386"/>
      <c r="O449" s="1386"/>
      <c r="P449" s="1386"/>
      <c r="Q449" s="1386"/>
      <c r="R449" s="1386"/>
      <c r="S449" s="1386"/>
      <c r="T449" s="1386"/>
      <c r="U449" s="1386"/>
      <c r="V449" s="1386"/>
      <c r="W449" s="1386"/>
      <c r="X449" s="1386"/>
      <c r="Y449" s="1386"/>
      <c r="Z449" s="1386"/>
      <c r="AA449" s="1386"/>
      <c r="AB449" s="1386"/>
      <c r="AC449" s="1386"/>
      <c r="AD449" s="1386"/>
      <c r="AE449" s="1386"/>
      <c r="AF449" s="1387"/>
      <c r="AG449" s="1353">
        <v>90</v>
      </c>
      <c r="AH449" s="1353"/>
      <c r="AI449" s="1353"/>
      <c r="AJ449" s="1353"/>
    </row>
    <row r="450" spans="4:55" ht="12.9" customHeight="1">
      <c r="D450" s="1385" t="s">
        <v>1295</v>
      </c>
      <c r="E450" s="1386"/>
      <c r="F450" s="1386"/>
      <c r="G450" s="1386"/>
      <c r="H450" s="1386"/>
      <c r="I450" s="1386"/>
      <c r="J450" s="1386"/>
      <c r="K450" s="1386"/>
      <c r="L450" s="1386"/>
      <c r="M450" s="1386"/>
      <c r="N450" s="1386"/>
      <c r="O450" s="1386"/>
      <c r="P450" s="1386"/>
      <c r="Q450" s="1386"/>
      <c r="R450" s="1386"/>
      <c r="S450" s="1386"/>
      <c r="T450" s="1386"/>
      <c r="U450" s="1386"/>
      <c r="V450" s="1386"/>
      <c r="W450" s="1386"/>
      <c r="X450" s="1386"/>
      <c r="Y450" s="1386"/>
      <c r="Z450" s="1386"/>
      <c r="AA450" s="1386"/>
      <c r="AB450" s="1386"/>
      <c r="AC450" s="1386"/>
      <c r="AD450" s="1386"/>
      <c r="AE450" s="1386"/>
      <c r="AF450" s="1387"/>
      <c r="AG450" s="1384">
        <f>IF(ISERROR(AG449/AG448),0,AG449/AG448)</f>
        <v>1</v>
      </c>
      <c r="AH450" s="1384"/>
      <c r="AI450" s="1384"/>
      <c r="AJ450" s="1384"/>
    </row>
    <row r="451" spans="4:55" ht="12.9" customHeight="1">
      <c r="D451" s="1385" t="s">
        <v>1296</v>
      </c>
      <c r="E451" s="1386"/>
      <c r="F451" s="1386"/>
      <c r="G451" s="1386"/>
      <c r="H451" s="1386"/>
      <c r="I451" s="1386"/>
      <c r="J451" s="1386"/>
      <c r="K451" s="1386"/>
      <c r="L451" s="1386"/>
      <c r="M451" s="1386"/>
      <c r="N451" s="1386"/>
      <c r="O451" s="1386"/>
      <c r="P451" s="1386"/>
      <c r="Q451" s="1386"/>
      <c r="R451" s="1386"/>
      <c r="S451" s="1386"/>
      <c r="T451" s="1386"/>
      <c r="U451" s="1386"/>
      <c r="V451" s="1386"/>
      <c r="W451" s="1386"/>
      <c r="X451" s="1386"/>
      <c r="Y451" s="1386"/>
      <c r="Z451" s="1386"/>
      <c r="AA451" s="1386"/>
      <c r="AB451" s="1386"/>
      <c r="AC451" s="1386"/>
      <c r="AD451" s="1386"/>
      <c r="AE451" s="1386"/>
      <c r="AF451" s="1387"/>
      <c r="AG451" s="1383">
        <v>59049</v>
      </c>
      <c r="AH451" s="1383"/>
      <c r="AI451" s="1383"/>
      <c r="AJ451" s="1383"/>
    </row>
    <row r="452" spans="4:55" ht="12.9" customHeight="1">
      <c r="D452" s="1385" t="s">
        <v>1297</v>
      </c>
      <c r="E452" s="1386"/>
      <c r="F452" s="1386"/>
      <c r="G452" s="1386"/>
      <c r="H452" s="1386"/>
      <c r="I452" s="1386"/>
      <c r="J452" s="1386"/>
      <c r="K452" s="1386"/>
      <c r="L452" s="1386"/>
      <c r="M452" s="1386"/>
      <c r="N452" s="1386"/>
      <c r="O452" s="1386"/>
      <c r="P452" s="1386"/>
      <c r="Q452" s="1386"/>
      <c r="R452" s="1386"/>
      <c r="S452" s="1386"/>
      <c r="T452" s="1386"/>
      <c r="U452" s="1386"/>
      <c r="V452" s="1386"/>
      <c r="W452" s="1386"/>
      <c r="X452" s="1386"/>
      <c r="Y452" s="1386"/>
      <c r="Z452" s="1386"/>
      <c r="AA452" s="1386"/>
      <c r="AB452" s="1386"/>
      <c r="AC452" s="1386"/>
      <c r="AD452" s="1386"/>
      <c r="AE452" s="1386"/>
      <c r="AF452" s="1387"/>
      <c r="AG452" s="1383">
        <v>59049</v>
      </c>
      <c r="AH452" s="1383"/>
      <c r="AI452" s="1383"/>
      <c r="AJ452" s="1383"/>
    </row>
    <row r="453" spans="4:55" ht="12.9" customHeight="1">
      <c r="D453" s="1385" t="s">
        <v>1298</v>
      </c>
      <c r="E453" s="1386"/>
      <c r="F453" s="1386"/>
      <c r="G453" s="1386"/>
      <c r="H453" s="1386"/>
      <c r="I453" s="1386"/>
      <c r="J453" s="1386"/>
      <c r="K453" s="1386"/>
      <c r="L453" s="1386"/>
      <c r="M453" s="1386"/>
      <c r="N453" s="1386"/>
      <c r="O453" s="1386"/>
      <c r="P453" s="1386"/>
      <c r="Q453" s="1386"/>
      <c r="R453" s="1386"/>
      <c r="S453" s="1386"/>
      <c r="T453" s="1386"/>
      <c r="U453" s="1386"/>
      <c r="V453" s="1386"/>
      <c r="W453" s="1386"/>
      <c r="X453" s="1386"/>
      <c r="Y453" s="1386"/>
      <c r="Z453" s="1386"/>
      <c r="AA453" s="1386"/>
      <c r="AB453" s="1386"/>
      <c r="AC453" s="1386"/>
      <c r="AD453" s="1386"/>
      <c r="AE453" s="1386"/>
      <c r="AF453" s="1387"/>
      <c r="AG453" s="1384">
        <f>IF(ISERROR(AG452/AG451),0,AG452/AG451)</f>
        <v>1</v>
      </c>
      <c r="AH453" s="1384"/>
      <c r="AI453" s="1384"/>
      <c r="AJ453" s="1384"/>
    </row>
    <row r="454" spans="4:55" ht="12.9" customHeight="1">
      <c r="D454" s="1385" t="s">
        <v>1299</v>
      </c>
      <c r="E454" s="1386"/>
      <c r="F454" s="1386"/>
      <c r="G454" s="1386"/>
      <c r="H454" s="1386"/>
      <c r="I454" s="1386"/>
      <c r="J454" s="1386"/>
      <c r="K454" s="1386"/>
      <c r="L454" s="1386"/>
      <c r="M454" s="1386"/>
      <c r="N454" s="1386"/>
      <c r="O454" s="1386"/>
      <c r="P454" s="1386"/>
      <c r="Q454" s="1386"/>
      <c r="R454" s="1386"/>
      <c r="S454" s="1386"/>
      <c r="T454" s="1386"/>
      <c r="U454" s="1386"/>
      <c r="V454" s="1386"/>
      <c r="W454" s="1386"/>
      <c r="X454" s="1386"/>
      <c r="Y454" s="1386"/>
      <c r="Z454" s="1386"/>
      <c r="AA454" s="1386"/>
      <c r="AB454" s="1386"/>
      <c r="AC454" s="1386"/>
      <c r="AD454" s="1386"/>
      <c r="AE454" s="1386"/>
      <c r="AF454" s="1387"/>
      <c r="AG454" s="1384">
        <f>MIN(IF(AG450&gt;AG453,AG453,AG450),1)</f>
        <v>1</v>
      </c>
      <c r="AH454" s="1384"/>
      <c r="AI454" s="1384"/>
      <c r="AJ454" s="1384"/>
    </row>
    <row r="455" spans="4:55" ht="12.9" customHeight="1">
      <c r="D455" s="1385" t="s">
        <v>1300</v>
      </c>
      <c r="E455" s="1406"/>
      <c r="F455" s="1406"/>
      <c r="G455" s="1406"/>
      <c r="H455" s="1406"/>
      <c r="I455" s="1406"/>
      <c r="J455" s="1406"/>
      <c r="K455" s="1406"/>
      <c r="L455" s="1406"/>
      <c r="M455" s="1406"/>
      <c r="N455" s="1406"/>
      <c r="O455" s="1406"/>
      <c r="P455" s="1406"/>
      <c r="Q455" s="1406"/>
      <c r="R455" s="1406"/>
      <c r="S455" s="1406"/>
      <c r="T455" s="1406"/>
      <c r="U455" s="1406"/>
      <c r="V455" s="1406"/>
      <c r="W455" s="1406"/>
      <c r="X455" s="1406"/>
      <c r="Y455" s="1406"/>
      <c r="Z455" s="1406"/>
      <c r="AA455" s="1406"/>
      <c r="AB455" s="1406"/>
      <c r="AC455" s="1406"/>
      <c r="AD455" s="1406"/>
      <c r="AE455" s="1406"/>
      <c r="AF455" s="1407"/>
      <c r="AG455" s="1383">
        <v>3193</v>
      </c>
      <c r="AH455" s="1383"/>
      <c r="AI455" s="1383"/>
      <c r="AJ455" s="1383"/>
      <c r="AZ455" s="3"/>
      <c r="BA455" s="3"/>
      <c r="BB455" s="3"/>
      <c r="BC455" s="3"/>
    </row>
    <row r="456" spans="4:55" ht="12.9" customHeight="1">
      <c r="D456" s="1464" t="s">
        <v>1301</v>
      </c>
      <c r="E456" s="1406"/>
      <c r="F456" s="1406"/>
      <c r="G456" s="1406"/>
      <c r="H456" s="1406"/>
      <c r="I456" s="1406"/>
      <c r="J456" s="1406"/>
      <c r="K456" s="1406"/>
      <c r="L456" s="1406"/>
      <c r="M456" s="1406"/>
      <c r="N456" s="1406"/>
      <c r="O456" s="1406"/>
      <c r="P456" s="1406"/>
      <c r="Q456" s="1406"/>
      <c r="R456" s="1406"/>
      <c r="S456" s="1406"/>
      <c r="T456" s="1406"/>
      <c r="U456" s="1406"/>
      <c r="V456" s="1406"/>
      <c r="W456" s="1406"/>
      <c r="X456" s="1406"/>
      <c r="Y456" s="1406"/>
      <c r="Z456" s="1406"/>
      <c r="AA456" s="1406"/>
      <c r="AB456" s="1406"/>
      <c r="AC456" s="1406"/>
      <c r="AD456" s="1406"/>
      <c r="AE456" s="1406"/>
      <c r="AF456" s="1407"/>
      <c r="AG456" s="1383">
        <v>27577</v>
      </c>
      <c r="AH456" s="1383"/>
      <c r="AI456" s="1383"/>
      <c r="AJ456" s="1383"/>
      <c r="AZ456" s="3"/>
      <c r="BA456" s="3"/>
      <c r="BB456" s="3"/>
      <c r="BC456" s="3"/>
    </row>
    <row r="457" spans="4:55" ht="12.9" customHeight="1">
      <c r="D457" s="1385" t="s">
        <v>1302</v>
      </c>
      <c r="E457" s="1406"/>
      <c r="F457" s="1406"/>
      <c r="G457" s="1406"/>
      <c r="H457" s="1406"/>
      <c r="I457" s="1406"/>
      <c r="J457" s="1406"/>
      <c r="K457" s="1406"/>
      <c r="L457" s="1406"/>
      <c r="M457" s="1406"/>
      <c r="N457" s="1406"/>
      <c r="O457" s="1406"/>
      <c r="P457" s="1406"/>
      <c r="Q457" s="1406"/>
      <c r="R457" s="1406"/>
      <c r="S457" s="1406"/>
      <c r="T457" s="1406"/>
      <c r="U457" s="1406"/>
      <c r="V457" s="1406"/>
      <c r="W457" s="1406"/>
      <c r="X457" s="1406"/>
      <c r="Y457" s="1406"/>
      <c r="Z457" s="1406"/>
      <c r="AA457" s="1406"/>
      <c r="AB457" s="1406"/>
      <c r="AC457" s="1406"/>
      <c r="AD457" s="1406"/>
      <c r="AE457" s="1406"/>
      <c r="AF457" s="1407"/>
      <c r="AG457" s="1383">
        <v>920</v>
      </c>
      <c r="AH457" s="1383"/>
      <c r="AI457" s="1383"/>
      <c r="AJ457" s="1383"/>
      <c r="AZ457" s="3"/>
      <c r="BA457" s="3"/>
      <c r="BB457" s="3"/>
      <c r="BC457" s="3"/>
    </row>
    <row r="458" spans="4:55" ht="12.9" customHeight="1">
      <c r="D458" s="1385" t="s">
        <v>1303</v>
      </c>
      <c r="E458" s="1406"/>
      <c r="F458" s="1406"/>
      <c r="G458" s="1406"/>
      <c r="H458" s="1406"/>
      <c r="I458" s="1406"/>
      <c r="J458" s="1406"/>
      <c r="K458" s="1406"/>
      <c r="L458" s="1406"/>
      <c r="M458" s="1406"/>
      <c r="N458" s="1406"/>
      <c r="O458" s="1406"/>
      <c r="P458" s="1406"/>
      <c r="Q458" s="1406"/>
      <c r="R458" s="1406"/>
      <c r="S458" s="1406"/>
      <c r="T458" s="1406"/>
      <c r="U458" s="1406"/>
      <c r="V458" s="1406"/>
      <c r="W458" s="1406"/>
      <c r="X458" s="1406"/>
      <c r="Y458" s="1406"/>
      <c r="Z458" s="1406"/>
      <c r="AA458" s="1406"/>
      <c r="AB458" s="1406"/>
      <c r="AC458" s="1406"/>
      <c r="AD458" s="1406"/>
      <c r="AE458" s="1406"/>
      <c r="AF458" s="1407"/>
      <c r="AG458" s="1383">
        <v>38861</v>
      </c>
      <c r="AH458" s="1383"/>
      <c r="AI458" s="1383"/>
      <c r="AJ458" s="1383"/>
      <c r="BB458" s="3"/>
      <c r="BC458" s="3"/>
    </row>
    <row r="459" spans="4:55" ht="12.9" customHeight="1">
      <c r="D459" s="1526" t="s">
        <v>1304</v>
      </c>
      <c r="E459" s="1527"/>
      <c r="F459" s="1527"/>
      <c r="G459" s="1527"/>
      <c r="H459" s="1527"/>
      <c r="I459" s="1527"/>
      <c r="J459" s="1527"/>
      <c r="K459" s="1527"/>
      <c r="L459" s="1527"/>
      <c r="M459" s="1527"/>
      <c r="N459" s="1527"/>
      <c r="O459" s="1527"/>
      <c r="P459" s="1527"/>
      <c r="Q459" s="1527"/>
      <c r="R459" s="1527"/>
      <c r="S459" s="1527"/>
      <c r="T459" s="1527"/>
      <c r="U459" s="1527"/>
      <c r="V459" s="1527"/>
      <c r="W459" s="1527"/>
      <c r="X459" s="1527"/>
      <c r="Y459" s="1527"/>
      <c r="Z459" s="1527"/>
      <c r="AA459" s="1527"/>
      <c r="AB459" s="1527"/>
      <c r="AC459" s="1527"/>
      <c r="AD459" s="1527"/>
      <c r="AE459" s="1527"/>
      <c r="AF459" s="1528"/>
      <c r="AG459" s="1396">
        <f>AG451+AG455+AG457+AG458</f>
        <v>102023</v>
      </c>
      <c r="AH459" s="1396"/>
      <c r="AI459" s="1396"/>
      <c r="AJ459" s="1396"/>
      <c r="AZ459" s="3"/>
      <c r="BA459" s="3"/>
      <c r="BB459" s="3"/>
      <c r="BC459" s="3"/>
    </row>
    <row r="460" spans="4:55" ht="12.9" customHeight="1">
      <c r="D460" s="1541" t="s">
        <v>1305</v>
      </c>
      <c r="E460" s="1541"/>
      <c r="F460" s="1541"/>
      <c r="G460" s="1541"/>
      <c r="H460" s="1541"/>
      <c r="I460" s="1541"/>
      <c r="J460" s="1541"/>
      <c r="K460" s="1541"/>
      <c r="L460" s="1541"/>
      <c r="M460" s="1541"/>
      <c r="N460" s="1541"/>
      <c r="O460" s="1541"/>
      <c r="P460" s="1541"/>
      <c r="Q460" s="1541"/>
      <c r="R460" s="1541"/>
      <c r="S460" s="1541"/>
      <c r="T460" s="1541"/>
      <c r="U460" s="1541"/>
      <c r="V460" s="1541"/>
      <c r="W460" s="1541"/>
      <c r="X460" s="1541"/>
      <c r="Y460" s="1541"/>
      <c r="Z460" s="1541"/>
      <c r="AA460" s="1541"/>
      <c r="AB460" s="1541"/>
      <c r="AC460" s="1541"/>
      <c r="AD460" s="1541"/>
      <c r="AE460" s="1541"/>
      <c r="AF460" s="1541"/>
      <c r="AG460" s="1541"/>
      <c r="AH460" s="1541"/>
      <c r="AI460" s="1541"/>
      <c r="AJ460" s="1541"/>
      <c r="AZ460" s="3"/>
      <c r="BA460" s="3"/>
      <c r="BB460" s="3"/>
      <c r="BC460" s="3"/>
    </row>
    <row r="461" spans="4:55" ht="12.9" customHeight="1">
      <c r="D461" s="1542"/>
      <c r="E461" s="1542"/>
      <c r="F461" s="1542"/>
      <c r="G461" s="1542"/>
      <c r="H461" s="1542"/>
      <c r="I461" s="1542"/>
      <c r="J461" s="1542"/>
      <c r="K461" s="1542"/>
      <c r="L461" s="1542"/>
      <c r="M461" s="1542"/>
      <c r="N461" s="1542"/>
      <c r="O461" s="1542"/>
      <c r="P461" s="1542"/>
      <c r="Q461" s="1542"/>
      <c r="R461" s="1542"/>
      <c r="S461" s="1542"/>
      <c r="T461" s="1542"/>
      <c r="U461" s="1542"/>
      <c r="V461" s="1542"/>
      <c r="W461" s="1542"/>
      <c r="X461" s="1542"/>
      <c r="Y461" s="1542"/>
      <c r="Z461" s="1542"/>
      <c r="AA461" s="1542"/>
      <c r="AB461" s="1542"/>
      <c r="AC461" s="1542"/>
      <c r="AD461" s="1542"/>
      <c r="AE461" s="1542"/>
      <c r="AF461" s="1542"/>
      <c r="AG461" s="1542"/>
      <c r="AH461" s="1542"/>
      <c r="AI461" s="1542"/>
      <c r="AJ461" s="1542"/>
      <c r="AZ461" s="3"/>
      <c r="BA461" s="3"/>
      <c r="BB461" s="3"/>
      <c r="BC461" s="3"/>
    </row>
    <row r="462" spans="4:55" ht="12.9"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 customHeight="1">
      <c r="D463" s="137" t="s">
        <v>1306</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43">
        <f>IF(AG446=0,"",'Sources and Uses Budget'!B105/Application!AG446)</f>
        <v>945586.96703296702</v>
      </c>
      <c r="AD463" s="1343"/>
      <c r="AE463" s="1343"/>
      <c r="AF463" s="1343"/>
      <c r="AG463" s="415"/>
      <c r="AH463" s="415"/>
      <c r="AI463" s="415"/>
      <c r="AJ463" s="860"/>
      <c r="AZ463" s="3"/>
      <c r="BA463" s="3" t="str">
        <f>AG583</f>
        <v>Yes</v>
      </c>
      <c r="BB463" s="3"/>
      <c r="BC463" s="3"/>
    </row>
    <row r="464" spans="4:55" ht="12.9" customHeight="1">
      <c r="D464" s="137" t="s">
        <v>1307</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43">
        <f>IF(AG446=0,"",'Sources and Uses Budget'!C105/Application!AG446)</f>
        <v>945586.96703296702</v>
      </c>
      <c r="AD464" s="1343"/>
      <c r="AE464" s="1343"/>
      <c r="AF464" s="1343"/>
      <c r="AG464" s="415"/>
      <c r="AH464" s="415"/>
      <c r="AI464" s="415"/>
      <c r="AJ464" s="860"/>
      <c r="AZ464" s="3"/>
      <c r="BA464" s="3"/>
      <c r="BB464" s="3"/>
      <c r="BC464" s="3"/>
    </row>
    <row r="465" spans="1:55" ht="12.9" customHeight="1">
      <c r="D465" s="137" t="s">
        <v>1308</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43">
        <f>IF(AG446=0,"",('Sources and Uses Budget'!$S$107+'Sources and Uses Budget'!$T$107)/Application!AG446)</f>
        <v>873083.71428571432</v>
      </c>
      <c r="AD465" s="1343"/>
      <c r="AE465" s="1343"/>
      <c r="AF465" s="1343"/>
      <c r="AG465" s="415"/>
      <c r="AH465" s="415"/>
      <c r="AI465" s="415"/>
      <c r="AJ465" s="860"/>
      <c r="AZ465" s="3"/>
      <c r="BA465" s="3"/>
      <c r="BB465" s="3"/>
      <c r="BC465" s="3"/>
    </row>
    <row r="466" spans="1:55" ht="12.9" customHeight="1">
      <c r="D466" s="415"/>
      <c r="E466" s="415"/>
      <c r="F466" s="1081"/>
      <c r="G466" s="1081"/>
      <c r="H466" s="1081"/>
      <c r="I466" s="1081"/>
      <c r="J466" s="1081"/>
      <c r="K466" s="1081"/>
      <c r="L466" s="1081"/>
      <c r="M466" s="1081"/>
      <c r="N466" s="1081"/>
      <c r="O466" s="1081"/>
      <c r="P466" s="1081"/>
      <c r="Q466" s="1081"/>
      <c r="R466" s="1081"/>
      <c r="S466" s="1081"/>
      <c r="T466" s="1081"/>
      <c r="U466" s="1081"/>
      <c r="V466" s="1081"/>
      <c r="W466" s="1081"/>
      <c r="X466" s="1081"/>
      <c r="Y466" s="1081"/>
      <c r="Z466" s="1081"/>
      <c r="AA466" s="1081"/>
      <c r="AB466" s="1081"/>
      <c r="AC466" s="415"/>
      <c r="AD466" s="415"/>
      <c r="AE466" s="415"/>
      <c r="AF466" s="415"/>
      <c r="AG466" s="415"/>
      <c r="AH466" s="415"/>
      <c r="AI466" s="415"/>
      <c r="AJ466" s="860"/>
      <c r="AZ466" s="3"/>
      <c r="BA466" s="3"/>
      <c r="BB466" s="3"/>
      <c r="BC466" s="3"/>
    </row>
    <row r="467" spans="1:55" ht="12.9" customHeight="1">
      <c r="A467" s="2" t="s">
        <v>1309</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 customHeight="1">
      <c r="D468" s="127" t="s">
        <v>1310</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 customHeight="1">
      <c r="D469" s="127" t="s">
        <v>1311</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 customHeight="1">
      <c r="D470" s="127" t="s">
        <v>1312</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No</v>
      </c>
      <c r="BB470" s="3"/>
      <c r="BC470" s="3"/>
    </row>
    <row r="471" spans="1:55" ht="12.9"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 customHeight="1">
      <c r="A472" s="3"/>
      <c r="B472" s="3"/>
      <c r="C472" s="3"/>
      <c r="D472" s="127" t="s">
        <v>1313</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 customHeight="1">
      <c r="A473" s="3"/>
      <c r="B473" s="3"/>
      <c r="C473" s="3"/>
      <c r="D473" s="1344" t="s">
        <v>1314</v>
      </c>
      <c r="E473" s="1345"/>
      <c r="F473" s="1345"/>
      <c r="G473" s="1345"/>
      <c r="H473" s="1345"/>
      <c r="I473" s="1345"/>
      <c r="J473" s="1345"/>
      <c r="K473" s="1345"/>
      <c r="L473" s="1345"/>
      <c r="M473" s="1345"/>
      <c r="N473" s="1345"/>
      <c r="O473" s="1345"/>
      <c r="P473" s="1345"/>
      <c r="Q473" s="1345"/>
      <c r="R473" s="1345"/>
      <c r="S473" s="1345"/>
      <c r="T473" s="1345"/>
      <c r="U473" s="1345"/>
      <c r="V473" s="1346"/>
      <c r="W473" s="1358">
        <v>0</v>
      </c>
      <c r="X473" s="1359"/>
      <c r="Y473" s="1360"/>
      <c r="Z473" s="127"/>
      <c r="AA473" s="127"/>
      <c r="AB473" s="127"/>
      <c r="AC473" s="127"/>
      <c r="AD473" s="415"/>
      <c r="AE473" s="415"/>
      <c r="AF473" s="415"/>
      <c r="AG473" s="415"/>
      <c r="AH473" s="415"/>
      <c r="AI473" s="415"/>
      <c r="AJ473" s="860"/>
      <c r="AZ473" s="3"/>
      <c r="BA473" s="3"/>
      <c r="BB473" s="3"/>
      <c r="BC473" s="3"/>
    </row>
    <row r="474" spans="1:55" ht="12.9" customHeight="1">
      <c r="A474" s="3"/>
      <c r="B474" s="3"/>
      <c r="C474" s="3"/>
      <c r="D474" s="1344" t="s">
        <v>1315</v>
      </c>
      <c r="E474" s="1345"/>
      <c r="F474" s="1345"/>
      <c r="G474" s="1345"/>
      <c r="H474" s="1345"/>
      <c r="I474" s="1345"/>
      <c r="J474" s="1345"/>
      <c r="K474" s="1345"/>
      <c r="L474" s="1345"/>
      <c r="M474" s="1345"/>
      <c r="N474" s="1345"/>
      <c r="O474" s="1345"/>
      <c r="P474" s="1345"/>
      <c r="Q474" s="1345"/>
      <c r="R474" s="1345"/>
      <c r="S474" s="1345"/>
      <c r="T474" s="1345"/>
      <c r="U474" s="1345"/>
      <c r="V474" s="1346"/>
      <c r="W474" s="1358">
        <v>0</v>
      </c>
      <c r="X474" s="1359"/>
      <c r="Y474" s="1360"/>
      <c r="Z474" s="127"/>
      <c r="AA474" s="127"/>
      <c r="AB474" s="127"/>
      <c r="AC474" s="127"/>
      <c r="AD474" s="415"/>
      <c r="AE474" s="415"/>
      <c r="AF474" s="415"/>
      <c r="AG474" s="415"/>
      <c r="AH474" s="415"/>
      <c r="AI474" s="415"/>
      <c r="AJ474" s="860"/>
      <c r="AZ474" s="3"/>
      <c r="BA474" s="3"/>
      <c r="BB474" s="3"/>
      <c r="BC474" s="3"/>
    </row>
    <row r="475" spans="1:55" ht="12.9" customHeight="1">
      <c r="A475" s="3"/>
      <c r="B475" s="3"/>
      <c r="C475" s="3"/>
      <c r="D475" s="1344" t="s">
        <v>1316</v>
      </c>
      <c r="E475" s="1345"/>
      <c r="F475" s="1345"/>
      <c r="G475" s="1345"/>
      <c r="H475" s="1345"/>
      <c r="I475" s="1345"/>
      <c r="J475" s="1345"/>
      <c r="K475" s="1345"/>
      <c r="L475" s="1345"/>
      <c r="M475" s="1345"/>
      <c r="N475" s="1345"/>
      <c r="O475" s="1345"/>
      <c r="P475" s="1345"/>
      <c r="Q475" s="1345"/>
      <c r="R475" s="1345"/>
      <c r="S475" s="1345"/>
      <c r="T475" s="1345"/>
      <c r="U475" s="1345"/>
      <c r="V475" s="1346"/>
      <c r="W475" s="1358">
        <v>0</v>
      </c>
      <c r="X475" s="1359"/>
      <c r="Y475" s="1360"/>
      <c r="Z475" s="127"/>
      <c r="AA475" s="127"/>
      <c r="AB475" s="127"/>
      <c r="AC475" s="127"/>
      <c r="AD475" s="415"/>
      <c r="AE475" s="415"/>
      <c r="AF475" s="415"/>
      <c r="AG475" s="415"/>
      <c r="AH475" s="415"/>
      <c r="AI475" s="415"/>
      <c r="AJ475" s="860"/>
      <c r="AZ475" s="3"/>
      <c r="BA475" s="3"/>
      <c r="BB475" s="3"/>
      <c r="BC475" s="3"/>
    </row>
    <row r="476" spans="1:55" ht="12.9" customHeight="1">
      <c r="A476" s="3"/>
      <c r="B476" s="3"/>
      <c r="C476" s="3"/>
      <c r="D476" s="1344" t="s">
        <v>1317</v>
      </c>
      <c r="E476" s="1345"/>
      <c r="F476" s="1345"/>
      <c r="G476" s="1345"/>
      <c r="H476" s="1345"/>
      <c r="I476" s="1345"/>
      <c r="J476" s="1345"/>
      <c r="K476" s="1345"/>
      <c r="L476" s="1345"/>
      <c r="M476" s="1345"/>
      <c r="N476" s="1345"/>
      <c r="O476" s="1345"/>
      <c r="P476" s="1345"/>
      <c r="Q476" s="1345"/>
      <c r="R476" s="1345"/>
      <c r="S476" s="1345"/>
      <c r="T476" s="1345"/>
      <c r="U476" s="1345"/>
      <c r="V476" s="1346"/>
      <c r="W476" s="1358">
        <v>0</v>
      </c>
      <c r="X476" s="1359"/>
      <c r="Y476" s="1360"/>
      <c r="Z476" s="127"/>
      <c r="AA476" s="127"/>
      <c r="AB476" s="127"/>
      <c r="AC476" s="127"/>
      <c r="AD476" s="415"/>
      <c r="AE476" s="415"/>
      <c r="AF476" s="415"/>
      <c r="AG476" s="415"/>
      <c r="AH476" s="415"/>
      <c r="AI476" s="415"/>
      <c r="AJ476" s="860"/>
      <c r="AZ476" s="3"/>
      <c r="BA476" s="3"/>
      <c r="BB476" s="3"/>
      <c r="BC476" s="3"/>
    </row>
    <row r="477" spans="1:55" ht="12.9" customHeight="1">
      <c r="A477" s="3"/>
      <c r="B477" s="3"/>
      <c r="C477" s="3"/>
      <c r="D477" s="1344" t="s">
        <v>1318</v>
      </c>
      <c r="E477" s="1345"/>
      <c r="F477" s="1345"/>
      <c r="G477" s="1345"/>
      <c r="H477" s="1345"/>
      <c r="I477" s="1345"/>
      <c r="J477" s="1345"/>
      <c r="K477" s="1345"/>
      <c r="L477" s="1345"/>
      <c r="M477" s="1345"/>
      <c r="N477" s="1345"/>
      <c r="O477" s="1345"/>
      <c r="P477" s="1345"/>
      <c r="Q477" s="1345"/>
      <c r="R477" s="1345"/>
      <c r="S477" s="1345"/>
      <c r="T477" s="1345"/>
      <c r="U477" s="1345"/>
      <c r="V477" s="1346"/>
      <c r="W477" s="1358">
        <v>0</v>
      </c>
      <c r="X477" s="1359"/>
      <c r="Y477" s="1360"/>
      <c r="Z477" s="127"/>
      <c r="AA477" s="127"/>
      <c r="AB477" s="127"/>
      <c r="AC477" s="127"/>
      <c r="AD477" s="415"/>
      <c r="AE477" s="415"/>
      <c r="AF477" s="415"/>
      <c r="AG477" s="415"/>
      <c r="AH477" s="415"/>
      <c r="AI477" s="415"/>
      <c r="AJ477" s="860"/>
      <c r="AZ477" s="3"/>
      <c r="BA477" s="3" t="str">
        <f>N599</f>
        <v>Yes</v>
      </c>
      <c r="BB477" s="3"/>
      <c r="BC477" s="3"/>
    </row>
    <row r="478" spans="1:55" ht="12.9" customHeight="1">
      <c r="A478" s="3"/>
      <c r="B478" s="3"/>
      <c r="C478" s="3"/>
      <c r="D478" s="1344" t="s">
        <v>1319</v>
      </c>
      <c r="E478" s="1345"/>
      <c r="F478" s="1345"/>
      <c r="G478" s="1345"/>
      <c r="H478" s="1345"/>
      <c r="I478" s="1345"/>
      <c r="J478" s="1345"/>
      <c r="K478" s="1345"/>
      <c r="L478" s="1345"/>
      <c r="M478" s="1345"/>
      <c r="N478" s="1345"/>
      <c r="O478" s="1345"/>
      <c r="P478" s="1345"/>
      <c r="Q478" s="1345"/>
      <c r="R478" s="1345"/>
      <c r="S478" s="1345"/>
      <c r="T478" s="1345"/>
      <c r="U478" s="1345"/>
      <c r="V478" s="1346"/>
      <c r="W478" s="1358">
        <v>0</v>
      </c>
      <c r="X478" s="1359"/>
      <c r="Y478" s="1360"/>
      <c r="Z478" s="127"/>
      <c r="AA478" s="127"/>
      <c r="AB478" s="127"/>
      <c r="AC478" s="127"/>
      <c r="AD478" s="415"/>
      <c r="AE478" s="415"/>
      <c r="AF478" s="415"/>
      <c r="AG478" s="415"/>
      <c r="AH478" s="415"/>
      <c r="AI478" s="415"/>
      <c r="AJ478" s="860"/>
      <c r="AZ478" s="3"/>
      <c r="BA478" s="3" t="str">
        <f>AG599</f>
        <v>No</v>
      </c>
      <c r="BB478" s="3"/>
      <c r="BC478" s="3"/>
    </row>
    <row r="479" spans="1:55" ht="12.9" customHeight="1">
      <c r="A479" s="3"/>
      <c r="B479" s="3"/>
      <c r="C479" s="3"/>
      <c r="D479" s="1344" t="s">
        <v>1320</v>
      </c>
      <c r="E479" s="1345"/>
      <c r="F479" s="1345"/>
      <c r="G479" s="1345"/>
      <c r="H479" s="1345"/>
      <c r="I479" s="1345"/>
      <c r="J479" s="1345"/>
      <c r="K479" s="1345"/>
      <c r="L479" s="1345"/>
      <c r="M479" s="1345"/>
      <c r="N479" s="1345"/>
      <c r="O479" s="1345"/>
      <c r="P479" s="1345"/>
      <c r="Q479" s="1345"/>
      <c r="R479" s="1345"/>
      <c r="S479" s="1345"/>
      <c r="T479" s="1345"/>
      <c r="U479" s="1345"/>
      <c r="V479" s="1346"/>
      <c r="W479" s="1358">
        <v>0</v>
      </c>
      <c r="X479" s="1359"/>
      <c r="Y479" s="1360"/>
      <c r="Z479" s="127"/>
      <c r="AA479" s="127"/>
      <c r="AB479" s="127"/>
      <c r="AC479" s="127"/>
      <c r="AD479" s="415"/>
      <c r="AE479" s="415"/>
      <c r="AF479" s="415"/>
      <c r="AG479" s="415"/>
      <c r="AH479" s="415"/>
      <c r="AI479" s="415"/>
      <c r="AJ479" s="860"/>
      <c r="AZ479" s="3"/>
      <c r="BA479" s="3"/>
      <c r="BB479" s="3"/>
      <c r="BC479" s="3"/>
    </row>
    <row r="480" spans="1:55" ht="12.9" customHeight="1">
      <c r="A480" s="3"/>
      <c r="B480" s="3"/>
      <c r="C480" s="3"/>
      <c r="D480" s="1344" t="s">
        <v>1321</v>
      </c>
      <c r="E480" s="1345"/>
      <c r="F480" s="1345"/>
      <c r="G480" s="1345"/>
      <c r="H480" s="1345"/>
      <c r="I480" s="1345"/>
      <c r="J480" s="1345"/>
      <c r="K480" s="1345"/>
      <c r="L480" s="1345"/>
      <c r="M480" s="1345"/>
      <c r="N480" s="1345"/>
      <c r="O480" s="1345"/>
      <c r="P480" s="1345"/>
      <c r="Q480" s="1345"/>
      <c r="R480" s="1345"/>
      <c r="S480" s="1345"/>
      <c r="T480" s="1345"/>
      <c r="U480" s="1345"/>
      <c r="V480" s="1346"/>
      <c r="W480" s="1358">
        <v>0</v>
      </c>
      <c r="X480" s="1359"/>
      <c r="Y480" s="1360"/>
      <c r="Z480" s="127"/>
      <c r="AA480" s="127"/>
      <c r="AB480" s="127"/>
      <c r="AC480" s="127"/>
      <c r="AD480" s="415"/>
      <c r="AE480" s="415"/>
      <c r="AF480" s="415"/>
      <c r="AG480" s="415"/>
      <c r="AH480" s="415"/>
      <c r="AI480" s="415"/>
      <c r="AJ480" s="860"/>
      <c r="AZ480" s="3"/>
      <c r="BA480" s="3"/>
      <c r="BB480" s="3"/>
      <c r="BC480" s="3"/>
    </row>
    <row r="481" spans="1:55" ht="12.9" customHeight="1">
      <c r="A481" s="3"/>
      <c r="B481" s="3"/>
      <c r="C481" s="3"/>
      <c r="D481" s="1344" t="s">
        <v>1322</v>
      </c>
      <c r="E481" s="1345"/>
      <c r="F481" s="1345"/>
      <c r="G481" s="1345"/>
      <c r="H481" s="1345"/>
      <c r="I481" s="1345"/>
      <c r="J481" s="1345"/>
      <c r="K481" s="1345"/>
      <c r="L481" s="1345"/>
      <c r="M481" s="1345"/>
      <c r="N481" s="1345"/>
      <c r="O481" s="1345"/>
      <c r="P481" s="1345"/>
      <c r="Q481" s="1345"/>
      <c r="R481" s="1345"/>
      <c r="S481" s="1345"/>
      <c r="T481" s="1345"/>
      <c r="U481" s="1345"/>
      <c r="V481" s="1346"/>
      <c r="W481" s="1358">
        <v>9</v>
      </c>
      <c r="X481" s="1359"/>
      <c r="Y481" s="1360"/>
      <c r="Z481" s="127"/>
      <c r="AA481" s="127"/>
      <c r="AB481" s="127"/>
      <c r="AC481" s="127"/>
      <c r="AD481" s="415"/>
      <c r="AE481" s="415"/>
      <c r="AF481" s="415"/>
      <c r="AG481" s="415"/>
      <c r="AH481" s="415"/>
      <c r="AI481" s="415"/>
      <c r="AJ481" s="860"/>
      <c r="AZ481" s="3"/>
      <c r="BA481" s="3"/>
      <c r="BB481" s="3"/>
      <c r="BC481" s="3"/>
    </row>
    <row r="482" spans="1:55" ht="12.9" customHeight="1">
      <c r="A482" s="3"/>
      <c r="B482" s="3"/>
      <c r="C482" s="3"/>
      <c r="D482" s="1169" t="s">
        <v>233</v>
      </c>
      <c r="E482" s="1170"/>
      <c r="F482" s="1171"/>
      <c r="G482" s="1772"/>
      <c r="H482" s="1773"/>
      <c r="I482" s="1773"/>
      <c r="J482" s="1773"/>
      <c r="K482" s="1773"/>
      <c r="L482" s="1773"/>
      <c r="M482" s="1773"/>
      <c r="N482" s="1773"/>
      <c r="O482" s="1773"/>
      <c r="P482" s="1773"/>
      <c r="Q482" s="1773"/>
      <c r="R482" s="1773"/>
      <c r="S482" s="1773"/>
      <c r="T482" s="1773"/>
      <c r="U482" s="1773"/>
      <c r="V482" s="1774"/>
      <c r="W482" s="1358">
        <v>0</v>
      </c>
      <c r="X482" s="1359"/>
      <c r="Y482" s="1360"/>
      <c r="Z482" s="127"/>
      <c r="AA482" s="127"/>
      <c r="AB482" s="127"/>
      <c r="AC482" s="127"/>
      <c r="AD482" s="415"/>
      <c r="AE482" s="415"/>
      <c r="AF482" s="415"/>
      <c r="AG482" s="415"/>
      <c r="AH482" s="415"/>
      <c r="AI482" s="415"/>
      <c r="AJ482" s="860"/>
      <c r="AZ482" s="3"/>
      <c r="BA482" s="3"/>
      <c r="BB482" s="3"/>
      <c r="BC482" s="3"/>
    </row>
    <row r="483" spans="1:55" ht="12.9" customHeight="1">
      <c r="A483" s="3"/>
      <c r="B483" s="3"/>
      <c r="C483" s="3"/>
      <c r="D483" s="1172" t="s">
        <v>1323</v>
      </c>
      <c r="E483" s="1173"/>
      <c r="F483" s="1173"/>
      <c r="G483" s="127"/>
      <c r="H483" s="127"/>
      <c r="I483" s="127"/>
      <c r="J483" s="127"/>
      <c r="K483" s="127"/>
      <c r="L483" s="127"/>
      <c r="M483" s="127"/>
      <c r="N483" s="127"/>
      <c r="O483" s="127"/>
      <c r="P483" s="127"/>
      <c r="Q483" s="127"/>
      <c r="R483" s="127"/>
      <c r="S483" s="127"/>
      <c r="T483" s="127"/>
      <c r="U483" s="127"/>
      <c r="V483" s="127"/>
      <c r="W483" s="1174"/>
      <c r="X483" s="1174"/>
      <c r="Y483" s="1175"/>
      <c r="Z483" s="127"/>
      <c r="AA483" s="127"/>
      <c r="AB483" s="127"/>
      <c r="AC483" s="127"/>
      <c r="AD483" s="415"/>
      <c r="AE483" s="415"/>
      <c r="AF483" s="415"/>
      <c r="AG483" s="415"/>
      <c r="AH483" s="415"/>
      <c r="AI483" s="415"/>
      <c r="AJ483" s="860"/>
      <c r="AZ483" s="3"/>
      <c r="BA483" s="3"/>
      <c r="BB483" s="3"/>
      <c r="BC483" s="3"/>
    </row>
    <row r="484" spans="1:55" ht="12.9"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6"/>
      <c r="X484" s="1176"/>
      <c r="Y484" s="1177"/>
      <c r="Z484" s="127"/>
      <c r="AA484" s="127"/>
      <c r="AB484" s="127"/>
      <c r="AC484" s="127"/>
      <c r="AD484" s="415"/>
      <c r="AE484" s="415"/>
      <c r="AF484" s="415"/>
      <c r="AG484" s="415"/>
      <c r="AH484" s="415"/>
      <c r="AI484" s="415"/>
      <c r="AJ484" s="860"/>
      <c r="AZ484" s="3"/>
      <c r="BA484" s="3"/>
      <c r="BB484" s="3"/>
      <c r="BC484" s="3"/>
    </row>
    <row r="485" spans="1:55" ht="12.9"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6"/>
      <c r="X485" s="1176"/>
      <c r="Y485" s="1177"/>
      <c r="Z485" s="127"/>
      <c r="AA485" s="127"/>
      <c r="AB485" s="127"/>
      <c r="AC485" s="127"/>
      <c r="AD485" s="415"/>
      <c r="AE485" s="415"/>
      <c r="AF485" s="415"/>
      <c r="AG485" s="415"/>
      <c r="AH485" s="415"/>
      <c r="AI485" s="415"/>
      <c r="AJ485" s="860"/>
      <c r="AZ485" s="3"/>
      <c r="BA485" s="3"/>
      <c r="BB485" s="3"/>
      <c r="BC485" s="3"/>
    </row>
    <row r="486" spans="1:55" ht="12.9"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6"/>
      <c r="X486" s="1176"/>
      <c r="Y486" s="1177"/>
      <c r="Z486" s="127"/>
      <c r="AA486" s="127"/>
      <c r="AB486" s="127"/>
      <c r="AC486" s="127"/>
      <c r="AD486" s="415"/>
      <c r="AE486" s="415"/>
      <c r="AF486" s="415"/>
      <c r="AG486" s="415"/>
      <c r="AH486" s="415"/>
      <c r="AI486" s="415"/>
      <c r="AJ486" s="860"/>
      <c r="AZ486" s="3"/>
      <c r="BA486" s="3" t="str">
        <f>N607</f>
        <v>No</v>
      </c>
      <c r="BB486" s="3"/>
      <c r="BC486" s="3"/>
    </row>
    <row r="487" spans="1:55" ht="12.9" customHeight="1">
      <c r="AU487" s="70"/>
      <c r="AV487" s="70"/>
      <c r="AW487" s="70"/>
      <c r="AX487" s="70"/>
      <c r="AY487" s="70"/>
      <c r="AZ487" s="3"/>
      <c r="BA487" s="3" t="str">
        <f>AG607</f>
        <v>No</v>
      </c>
      <c r="BB487" s="3"/>
      <c r="BC487" s="3"/>
    </row>
    <row r="488" spans="1:55" ht="12.9" customHeight="1">
      <c r="A488" s="1494" t="s">
        <v>1324</v>
      </c>
      <c r="B488" s="1494"/>
      <c r="C488" s="1494"/>
      <c r="D488" s="1494"/>
      <c r="E488" s="1494"/>
      <c r="F488" s="1494"/>
      <c r="G488" s="1494"/>
      <c r="H488" s="1494"/>
      <c r="I488" s="1494"/>
      <c r="J488" s="1494"/>
      <c r="K488" s="1494"/>
      <c r="L488" s="1494"/>
      <c r="M488" s="1494"/>
      <c r="N488" s="1494"/>
      <c r="O488" s="1494"/>
      <c r="P488" s="1494"/>
      <c r="Q488" s="1494"/>
      <c r="R488" s="1494"/>
      <c r="S488" s="1494"/>
      <c r="T488" s="1494"/>
      <c r="U488" s="1494"/>
      <c r="V488" s="1494"/>
      <c r="W488" s="1494"/>
      <c r="X488" s="1494"/>
      <c r="Y488" s="1494"/>
      <c r="Z488" s="1494"/>
      <c r="AA488" s="1494"/>
      <c r="AB488" s="1494"/>
      <c r="AC488" s="1494"/>
      <c r="AD488" s="1494"/>
      <c r="AE488" s="1494"/>
      <c r="AF488" s="1494"/>
      <c r="AG488" s="1494"/>
      <c r="AH488" s="1494"/>
      <c r="AI488" s="1494"/>
      <c r="AJ488" s="1494"/>
      <c r="AK488" s="1494"/>
      <c r="AL488" s="1494"/>
      <c r="AM488" s="1494"/>
      <c r="AN488" s="1494"/>
      <c r="AO488" s="1494"/>
      <c r="AP488" s="1494"/>
      <c r="AQ488" s="1494"/>
      <c r="AR488" s="1494"/>
      <c r="AS488" s="1494"/>
      <c r="AT488" s="1494"/>
      <c r="AU488" s="70"/>
      <c r="AV488" s="70"/>
      <c r="AW488" s="70"/>
      <c r="AX488" s="70"/>
      <c r="AY488" s="70"/>
      <c r="AZ488" s="3"/>
      <c r="BB488" s="3"/>
      <c r="BC488" s="3"/>
    </row>
    <row r="489" spans="1:55" ht="12.9" customHeight="1">
      <c r="A489" s="1494"/>
      <c r="B489" s="1494"/>
      <c r="C489" s="1494"/>
      <c r="D489" s="1494"/>
      <c r="E489" s="1494"/>
      <c r="F489" s="1494"/>
      <c r="G489" s="1494"/>
      <c r="H489" s="1494"/>
      <c r="I489" s="1494"/>
      <c r="J489" s="1494"/>
      <c r="K489" s="1494"/>
      <c r="L489" s="1494"/>
      <c r="M489" s="1494"/>
      <c r="N489" s="1494"/>
      <c r="O489" s="1494"/>
      <c r="P489" s="1494"/>
      <c r="Q489" s="1494"/>
      <c r="R489" s="1494"/>
      <c r="S489" s="1494"/>
      <c r="T489" s="1494"/>
      <c r="U489" s="1494"/>
      <c r="V489" s="1494"/>
      <c r="W489" s="1494"/>
      <c r="X489" s="1494"/>
      <c r="Y489" s="1494"/>
      <c r="Z489" s="1494"/>
      <c r="AA489" s="1494"/>
      <c r="AB489" s="1494"/>
      <c r="AC489" s="1494"/>
      <c r="AD489" s="1494"/>
      <c r="AE489" s="1494"/>
      <c r="AF489" s="1494"/>
      <c r="AG489" s="1494"/>
      <c r="AH489" s="1494"/>
      <c r="AI489" s="1494"/>
      <c r="AJ489" s="1494"/>
      <c r="AK489" s="1494"/>
      <c r="AL489" s="1494"/>
      <c r="AM489" s="1494"/>
      <c r="AN489" s="1494"/>
      <c r="AO489" s="1494"/>
      <c r="AP489" s="1494"/>
      <c r="AQ489" s="1494"/>
      <c r="AR489" s="1494"/>
      <c r="AS489" s="1494"/>
      <c r="AT489" s="1494"/>
      <c r="AZ489" s="3"/>
      <c r="BB489" s="3"/>
      <c r="BC489" s="3"/>
    </row>
    <row r="490" spans="1:55" ht="12.9" customHeight="1">
      <c r="AZ490" s="3"/>
      <c r="BB490" s="3"/>
      <c r="BC490" s="3"/>
    </row>
    <row r="491" spans="1:55" ht="12.9" customHeight="1">
      <c r="A491" s="2" t="s">
        <v>881</v>
      </c>
      <c r="C491" s="2" t="s">
        <v>165</v>
      </c>
      <c r="AZ491" s="3"/>
      <c r="BB491" s="3"/>
      <c r="BC491" s="3"/>
    </row>
    <row r="492" spans="1:55" ht="12.9" customHeight="1">
      <c r="AZ492" s="3"/>
      <c r="BB492" s="3"/>
      <c r="BC492" s="3"/>
    </row>
    <row r="493" spans="1:55" ht="12.9" customHeight="1">
      <c r="B493" s="37"/>
      <c r="C493" s="5"/>
      <c r="D493" s="5"/>
      <c r="E493" s="5"/>
      <c r="F493" s="5"/>
      <c r="G493" s="5"/>
      <c r="H493" s="5"/>
      <c r="I493" s="5"/>
      <c r="J493" s="5"/>
      <c r="K493" s="5"/>
      <c r="L493" s="5"/>
      <c r="M493" s="5"/>
      <c r="N493" s="5"/>
      <c r="O493" s="5"/>
      <c r="P493" s="38"/>
      <c r="Q493" s="1354" t="s">
        <v>1325</v>
      </c>
      <c r="R493" s="1355"/>
      <c r="S493" s="1355"/>
      <c r="T493" s="1355"/>
      <c r="U493" s="1355"/>
      <c r="V493" s="1355"/>
      <c r="W493" s="1355"/>
      <c r="X493" s="1355"/>
      <c r="Y493" s="1355"/>
      <c r="Z493" s="1355"/>
      <c r="AA493" s="1355"/>
      <c r="AB493" s="1355"/>
      <c r="AC493" s="1355"/>
      <c r="AD493" s="1355"/>
      <c r="AE493" s="1355"/>
      <c r="AF493" s="1355"/>
      <c r="AG493" s="1355"/>
      <c r="AH493" s="1355"/>
      <c r="AI493" s="1355"/>
      <c r="AJ493" s="1355"/>
      <c r="AK493" s="1356"/>
      <c r="AZ493" s="3"/>
      <c r="BB493" s="3"/>
      <c r="BC493" s="3"/>
    </row>
    <row r="494" spans="1:55" ht="12.9" customHeight="1">
      <c r="B494" s="37" t="s">
        <v>1326</v>
      </c>
      <c r="C494" s="5"/>
      <c r="D494" s="5"/>
      <c r="E494" s="5"/>
      <c r="F494" s="5"/>
      <c r="G494" s="5"/>
      <c r="H494" s="5"/>
      <c r="I494" s="5"/>
      <c r="J494" s="5"/>
      <c r="K494" s="5"/>
      <c r="L494" s="5"/>
      <c r="M494" s="5"/>
      <c r="N494" s="5"/>
      <c r="O494" s="5"/>
      <c r="P494" s="5"/>
      <c r="Q494" s="1340" t="s">
        <v>1327</v>
      </c>
      <c r="R494" s="1341"/>
      <c r="S494" s="1341"/>
      <c r="T494" s="1341"/>
      <c r="U494" s="1341"/>
      <c r="V494" s="1341"/>
      <c r="W494" s="1341"/>
      <c r="X494" s="1341"/>
      <c r="Y494" s="1341"/>
      <c r="Z494" s="1341"/>
      <c r="AA494" s="1341"/>
      <c r="AB494" s="1341"/>
      <c r="AC494" s="1341"/>
      <c r="AD494" s="1341"/>
      <c r="AE494" s="1341"/>
      <c r="AF494" s="1341"/>
      <c r="AG494" s="1341"/>
      <c r="AH494" s="1341"/>
      <c r="AI494" s="1341"/>
      <c r="AJ494" s="1341"/>
      <c r="AK494" s="1342"/>
      <c r="AZ494" s="3"/>
      <c r="BB494" s="3"/>
      <c r="BC494" s="3"/>
    </row>
    <row r="495" spans="1:55" ht="12.9" customHeight="1">
      <c r="B495" s="37" t="s">
        <v>1328</v>
      </c>
      <c r="C495" s="5"/>
      <c r="D495" s="5"/>
      <c r="E495" s="5"/>
      <c r="F495" s="5"/>
      <c r="G495" s="5"/>
      <c r="H495" s="5"/>
      <c r="I495" s="5"/>
      <c r="J495" s="5"/>
      <c r="K495" s="5"/>
      <c r="L495" s="5"/>
      <c r="M495" s="5"/>
      <c r="N495" s="5"/>
      <c r="O495" s="5"/>
      <c r="P495" s="5"/>
      <c r="Q495" s="1340" t="s">
        <v>1329</v>
      </c>
      <c r="R495" s="1341"/>
      <c r="S495" s="1341"/>
      <c r="T495" s="1341"/>
      <c r="U495" s="1341"/>
      <c r="V495" s="1341"/>
      <c r="W495" s="1341"/>
      <c r="X495" s="1341"/>
      <c r="Y495" s="1341"/>
      <c r="Z495" s="1341"/>
      <c r="AA495" s="1341"/>
      <c r="AB495" s="1341"/>
      <c r="AC495" s="1341"/>
      <c r="AD495" s="1341"/>
      <c r="AE495" s="1341"/>
      <c r="AF495" s="1341"/>
      <c r="AG495" s="1341"/>
      <c r="AH495" s="1341"/>
      <c r="AI495" s="1341"/>
      <c r="AJ495" s="1341"/>
      <c r="AK495" s="1342"/>
      <c r="AZ495" s="3"/>
      <c r="BB495" s="3"/>
      <c r="BC495" s="3"/>
    </row>
    <row r="496" spans="1:55" ht="12.9" customHeight="1">
      <c r="B496" s="37" t="s">
        <v>1330</v>
      </c>
      <c r="C496" s="5"/>
      <c r="D496" s="5"/>
      <c r="E496" s="5"/>
      <c r="F496" s="5"/>
      <c r="G496" s="5"/>
      <c r="H496" s="5"/>
      <c r="I496" s="5"/>
      <c r="J496" s="5"/>
      <c r="K496" s="5"/>
      <c r="L496" s="5"/>
      <c r="M496" s="5"/>
      <c r="N496" s="5"/>
      <c r="O496" s="5"/>
      <c r="P496" s="5"/>
      <c r="Q496" s="1340" t="s">
        <v>1331</v>
      </c>
      <c r="R496" s="1341"/>
      <c r="S496" s="1341"/>
      <c r="T496" s="1341"/>
      <c r="U496" s="1341"/>
      <c r="V496" s="1341"/>
      <c r="W496" s="1341"/>
      <c r="X496" s="1341"/>
      <c r="Y496" s="1341"/>
      <c r="Z496" s="1341"/>
      <c r="AA496" s="1341"/>
      <c r="AB496" s="1341"/>
      <c r="AC496" s="1341"/>
      <c r="AD496" s="1341"/>
      <c r="AE496" s="1341"/>
      <c r="AF496" s="1341"/>
      <c r="AG496" s="1341"/>
      <c r="AH496" s="1341"/>
      <c r="AI496" s="1341"/>
      <c r="AJ496" s="1341"/>
      <c r="AK496" s="1342"/>
      <c r="AZ496" s="3"/>
      <c r="BA496" s="3"/>
      <c r="BB496" s="3"/>
      <c r="BC496" s="3"/>
    </row>
    <row r="497" spans="1:66" ht="12.9" customHeight="1">
      <c r="B497" s="1418" t="s">
        <v>1332</v>
      </c>
      <c r="C497" s="1419"/>
      <c r="D497" s="1419"/>
      <c r="E497" s="1419"/>
      <c r="F497" s="1419"/>
      <c r="G497" s="1419"/>
      <c r="H497" s="1419"/>
      <c r="I497" s="1419"/>
      <c r="J497" s="1419"/>
      <c r="K497" s="1419"/>
      <c r="L497" s="1419"/>
      <c r="M497" s="1419"/>
      <c r="N497" s="1419"/>
      <c r="O497" s="1419"/>
      <c r="P497" s="1420"/>
      <c r="Q497" s="1424" t="s">
        <v>698</v>
      </c>
      <c r="R497" s="1425"/>
      <c r="S497" s="1529" t="s">
        <v>1333</v>
      </c>
      <c r="T497" s="1530"/>
      <c r="U497" s="1530"/>
      <c r="V497" s="1530"/>
      <c r="W497" s="1530"/>
      <c r="X497" s="1530"/>
      <c r="Y497" s="1530"/>
      <c r="Z497" s="1530"/>
      <c r="AA497" s="1530"/>
      <c r="AB497" s="1530"/>
      <c r="AC497" s="1530"/>
      <c r="AD497" s="1530"/>
      <c r="AE497" s="1530"/>
      <c r="AF497" s="1530"/>
      <c r="AG497" s="1530"/>
      <c r="AH497" s="1530"/>
      <c r="AI497" s="1530"/>
      <c r="AJ497" s="1530"/>
      <c r="AK497" s="1531"/>
      <c r="AZ497" s="3"/>
      <c r="BA497" s="3"/>
      <c r="BB497" s="3"/>
      <c r="BC497" s="3"/>
    </row>
    <row r="498" spans="1:66" ht="12.9" customHeight="1">
      <c r="B498" s="1421"/>
      <c r="C498" s="1422"/>
      <c r="D498" s="1422"/>
      <c r="E498" s="1422"/>
      <c r="F498" s="1422"/>
      <c r="G498" s="1422"/>
      <c r="H498" s="1422"/>
      <c r="I498" s="1422"/>
      <c r="J498" s="1422"/>
      <c r="K498" s="1422"/>
      <c r="L498" s="1422"/>
      <c r="M498" s="1422"/>
      <c r="N498" s="1422"/>
      <c r="O498" s="1422"/>
      <c r="P498" s="1423"/>
      <c r="Q498" s="1426"/>
      <c r="R498" s="1427"/>
      <c r="S498" s="1532"/>
      <c r="T498" s="1490"/>
      <c r="U498" s="1490"/>
      <c r="V498" s="1490"/>
      <c r="W498" s="1490"/>
      <c r="X498" s="1490"/>
      <c r="Y498" s="1490"/>
      <c r="Z498" s="1490"/>
      <c r="AA498" s="1490"/>
      <c r="AB498" s="1490"/>
      <c r="AC498" s="1490"/>
      <c r="AD498" s="1490"/>
      <c r="AE498" s="1490"/>
      <c r="AF498" s="1490"/>
      <c r="AG498" s="1490"/>
      <c r="AH498" s="1490"/>
      <c r="AI498" s="1490"/>
      <c r="AJ498" s="1490"/>
      <c r="AK498" s="1533"/>
      <c r="AZ498" s="3"/>
      <c r="BA498" s="3"/>
      <c r="BB498" s="3"/>
      <c r="BC498" s="3"/>
    </row>
    <row r="499" spans="1:66" ht="12.9" customHeight="1">
      <c r="B499" s="787" t="s">
        <v>1334</v>
      </c>
      <c r="C499" s="768"/>
      <c r="D499" s="768"/>
      <c r="E499" s="768"/>
      <c r="F499" s="768"/>
      <c r="G499" s="768"/>
      <c r="H499" s="768"/>
      <c r="I499" s="768"/>
      <c r="J499" s="768"/>
      <c r="K499" s="768"/>
      <c r="L499" s="768"/>
      <c r="M499" s="768"/>
      <c r="N499" s="768"/>
      <c r="O499" s="768"/>
      <c r="P499" s="768"/>
      <c r="Q499" s="1347" t="s">
        <v>698</v>
      </c>
      <c r="R499" s="1348"/>
      <c r="S499" s="1348"/>
      <c r="T499" s="1348"/>
      <c r="U499" s="1348"/>
      <c r="V499" s="1348"/>
      <c r="W499" s="1348"/>
      <c r="X499" s="1348"/>
      <c r="Y499" s="1348"/>
      <c r="Z499" s="1348"/>
      <c r="AA499" s="1348"/>
      <c r="AB499" s="1348"/>
      <c r="AC499" s="1348"/>
      <c r="AD499" s="1348"/>
      <c r="AE499" s="1348"/>
      <c r="AF499" s="1348"/>
      <c r="AG499" s="1348"/>
      <c r="AH499" s="1348"/>
      <c r="AI499" s="1348"/>
      <c r="AJ499" s="1348"/>
      <c r="AK499" s="1349"/>
      <c r="AZ499" s="3"/>
      <c r="BA499" s="3"/>
      <c r="BB499" s="3"/>
      <c r="BC499" s="3"/>
    </row>
    <row r="500" spans="1:66" ht="12.9" customHeight="1">
      <c r="B500" s="37" t="s">
        <v>1335</v>
      </c>
      <c r="C500" s="5"/>
      <c r="D500" s="5"/>
      <c r="E500" s="5"/>
      <c r="F500" s="5"/>
      <c r="G500" s="5"/>
      <c r="H500" s="5"/>
      <c r="I500" s="5"/>
      <c r="J500" s="5"/>
      <c r="K500" s="5"/>
      <c r="L500" s="5"/>
      <c r="M500" s="5"/>
      <c r="N500" s="5"/>
      <c r="O500" s="5"/>
      <c r="P500" s="5"/>
      <c r="Q500" s="1340" t="s">
        <v>1336</v>
      </c>
      <c r="R500" s="1341"/>
      <c r="S500" s="1341"/>
      <c r="T500" s="1341"/>
      <c r="U500" s="1341"/>
      <c r="V500" s="1341"/>
      <c r="W500" s="1341"/>
      <c r="X500" s="1341"/>
      <c r="Y500" s="1341"/>
      <c r="Z500" s="1341"/>
      <c r="AA500" s="1341"/>
      <c r="AB500" s="1341"/>
      <c r="AC500" s="1341"/>
      <c r="AD500" s="1341"/>
      <c r="AE500" s="1341"/>
      <c r="AF500" s="1341"/>
      <c r="AG500" s="1341"/>
      <c r="AH500" s="1341"/>
      <c r="AI500" s="1341"/>
      <c r="AJ500" s="1341"/>
      <c r="AK500" s="1342"/>
      <c r="AZ500" s="3"/>
      <c r="BA500" s="3"/>
      <c r="BB500" s="3"/>
      <c r="BC500" s="3"/>
    </row>
    <row r="501" spans="1:66" ht="12.9" customHeight="1">
      <c r="B501" s="37" t="s">
        <v>1337</v>
      </c>
      <c r="C501" s="5"/>
      <c r="D501" s="5"/>
      <c r="E501" s="5"/>
      <c r="F501" s="5"/>
      <c r="G501" s="5"/>
      <c r="H501" s="5"/>
      <c r="I501" s="5"/>
      <c r="J501" s="5"/>
      <c r="K501" s="5"/>
      <c r="L501" s="5"/>
      <c r="M501" s="5"/>
      <c r="N501" s="5"/>
      <c r="O501" s="5"/>
      <c r="P501" s="5"/>
      <c r="Q501" s="1340">
        <v>0</v>
      </c>
      <c r="R501" s="1341"/>
      <c r="S501" s="1341"/>
      <c r="T501" s="1341"/>
      <c r="U501" s="1341"/>
      <c r="V501" s="1341"/>
      <c r="W501" s="1341"/>
      <c r="X501" s="1341"/>
      <c r="Y501" s="1341"/>
      <c r="Z501" s="1341"/>
      <c r="AA501" s="1341"/>
      <c r="AB501" s="1341"/>
      <c r="AC501" s="1341"/>
      <c r="AD501" s="1341"/>
      <c r="AE501" s="1341"/>
      <c r="AF501" s="1341"/>
      <c r="AG501" s="1341"/>
      <c r="AH501" s="1341"/>
      <c r="AI501" s="1341"/>
      <c r="AJ501" s="1341"/>
      <c r="AK501" s="1342"/>
      <c r="AZ501" s="3"/>
      <c r="BA501" s="3"/>
      <c r="BB501" s="3"/>
      <c r="BC501" s="3"/>
    </row>
    <row r="502" spans="1:66" ht="12.9" customHeight="1">
      <c r="B502" s="87" t="s">
        <v>1338</v>
      </c>
      <c r="C502" s="5"/>
      <c r="D502" s="5"/>
      <c r="E502" s="5"/>
      <c r="F502" s="5"/>
      <c r="G502" s="5"/>
      <c r="H502" s="5"/>
      <c r="I502" s="5"/>
      <c r="J502" s="5"/>
      <c r="K502" s="5"/>
      <c r="L502" s="5"/>
      <c r="M502" s="5"/>
      <c r="N502" s="5"/>
      <c r="O502" s="5"/>
      <c r="P502" s="5"/>
      <c r="Q502" s="1340">
        <v>80</v>
      </c>
      <c r="R502" s="1341"/>
      <c r="S502" s="1341"/>
      <c r="T502" s="1341"/>
      <c r="U502" s="1341"/>
      <c r="V502" s="1341"/>
      <c r="W502" s="1341"/>
      <c r="X502" s="1341"/>
      <c r="Y502" s="1341"/>
      <c r="Z502" s="1341"/>
      <c r="AA502" s="1341"/>
      <c r="AB502" s="1341"/>
      <c r="AC502" s="1341"/>
      <c r="AD502" s="1341"/>
      <c r="AE502" s="1341"/>
      <c r="AF502" s="1341"/>
      <c r="AG502" s="1341"/>
      <c r="AH502" s="1341"/>
      <c r="AI502" s="1341"/>
      <c r="AJ502" s="1341"/>
      <c r="AK502" s="1342"/>
      <c r="AZ502" s="3"/>
      <c r="BA502" s="3"/>
      <c r="BB502" s="3"/>
      <c r="BC502" s="3"/>
    </row>
    <row r="503" spans="1:66" ht="12.9" customHeight="1">
      <c r="B503" s="87" t="s">
        <v>1339</v>
      </c>
      <c r="C503" s="5"/>
      <c r="D503" s="5"/>
      <c r="E503" s="5"/>
      <c r="F503" s="5"/>
      <c r="G503" s="5"/>
      <c r="H503" s="5"/>
      <c r="I503" s="5"/>
      <c r="J503" s="5"/>
      <c r="K503" s="5"/>
      <c r="L503" s="5"/>
      <c r="M503" s="1350">
        <v>80</v>
      </c>
      <c r="N503" s="1351"/>
      <c r="O503" s="1351"/>
      <c r="P503" s="1352"/>
      <c r="Q503" s="87" t="s">
        <v>1340</v>
      </c>
      <c r="R503" s="5"/>
      <c r="S503" s="5"/>
      <c r="T503" s="5"/>
      <c r="U503" s="5"/>
      <c r="V503" s="5"/>
      <c r="W503" s="5"/>
      <c r="X503" s="5"/>
      <c r="Y503" s="5"/>
      <c r="Z503" s="5"/>
      <c r="AA503" s="5"/>
      <c r="AB503" s="5"/>
      <c r="AC503" s="5"/>
      <c r="AD503" s="5"/>
      <c r="AE503" s="5"/>
      <c r="AF503" s="5"/>
      <c r="AG503" s="5"/>
      <c r="AH503" s="1350"/>
      <c r="AI503" s="1351"/>
      <c r="AJ503" s="1351"/>
      <c r="AK503" s="1352"/>
      <c r="AZ503" s="3"/>
      <c r="BA503" s="3"/>
      <c r="BB503" s="3"/>
      <c r="BC503" s="3"/>
    </row>
    <row r="504" spans="1:66" ht="12.9"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 customHeight="1">
      <c r="A505" s="2" t="s">
        <v>922</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54" t="s">
        <v>1341</v>
      </c>
      <c r="AD507" s="1355"/>
      <c r="AE507" s="1355"/>
      <c r="AF507" s="1355"/>
      <c r="AG507" s="1355"/>
      <c r="AH507" s="1355"/>
      <c r="AI507" s="1355"/>
      <c r="AJ507" s="1355"/>
      <c r="AK507" s="1356"/>
      <c r="AZ507" s="3"/>
      <c r="BA507" s="3"/>
      <c r="BB507" s="3"/>
      <c r="BC507" s="3"/>
      <c r="BD507" s="3"/>
      <c r="BE507" s="3"/>
      <c r="BF507" s="3"/>
      <c r="BG507" s="3"/>
      <c r="BH507" s="3"/>
      <c r="BI507" s="3"/>
      <c r="BJ507" s="3"/>
      <c r="BK507" s="3"/>
      <c r="BL507" s="3"/>
      <c r="BM507" s="3"/>
      <c r="BN507" s="3"/>
    </row>
    <row r="508" spans="1:66" ht="12.9"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54" t="s">
        <v>1342</v>
      </c>
      <c r="AD508" s="1355"/>
      <c r="AE508" s="1355"/>
      <c r="AF508" s="1355"/>
      <c r="AG508" s="42" t="s">
        <v>1343</v>
      </c>
      <c r="AH508" s="1355" t="s">
        <v>1344</v>
      </c>
      <c r="AI508" s="1355"/>
      <c r="AJ508" s="1355"/>
      <c r="AK508" s="1356"/>
      <c r="AZ508" s="3"/>
      <c r="BA508" s="3"/>
      <c r="BB508" s="3"/>
      <c r="BC508" s="3"/>
      <c r="BD508" s="3"/>
      <c r="BE508" s="3"/>
      <c r="BF508" s="3"/>
      <c r="BG508" s="3"/>
      <c r="BH508" s="3"/>
      <c r="BI508" s="3"/>
      <c r="BJ508" s="3"/>
      <c r="BK508" s="3"/>
      <c r="BL508" s="3"/>
      <c r="BM508" s="3"/>
      <c r="BN508" s="3"/>
    </row>
    <row r="509" spans="1:66" ht="12.9" customHeight="1">
      <c r="B509" s="1361" t="s">
        <v>1345</v>
      </c>
      <c r="C509" s="1362"/>
      <c r="D509" s="1362"/>
      <c r="E509" s="1362"/>
      <c r="F509" s="1362"/>
      <c r="G509" s="1362"/>
      <c r="H509" s="1363"/>
      <c r="I509" s="34" t="s">
        <v>1346</v>
      </c>
      <c r="J509" s="34"/>
      <c r="K509" s="34"/>
      <c r="L509" s="34"/>
      <c r="M509" s="34"/>
      <c r="N509" s="34"/>
      <c r="O509" s="34"/>
      <c r="P509" s="34"/>
      <c r="Q509" s="34"/>
      <c r="R509" s="34"/>
      <c r="S509" s="34"/>
      <c r="T509" s="34"/>
      <c r="U509" s="34"/>
      <c r="V509" s="34"/>
      <c r="W509" s="34"/>
      <c r="AC509" s="1357">
        <v>11</v>
      </c>
      <c r="AD509" s="1330"/>
      <c r="AE509" s="1330"/>
      <c r="AF509" s="1330"/>
      <c r="AG509" s="12" t="s">
        <v>1343</v>
      </c>
      <c r="AH509" s="1394">
        <v>2025</v>
      </c>
      <c r="AI509" s="1394"/>
      <c r="AJ509" s="1394"/>
      <c r="AK509" s="1395"/>
      <c r="AZ509" s="3"/>
      <c r="BA509" s="3"/>
      <c r="BB509" s="3"/>
      <c r="BC509" s="3"/>
      <c r="BD509" s="3"/>
      <c r="BE509" s="3"/>
      <c r="BF509" s="3"/>
      <c r="BG509" s="3"/>
      <c r="BH509" s="3"/>
      <c r="BI509" s="3"/>
      <c r="BJ509" s="3"/>
      <c r="BK509" s="3"/>
      <c r="BL509" s="3"/>
      <c r="BM509" s="3"/>
      <c r="BN509" s="3"/>
    </row>
    <row r="510" spans="1:66" ht="12.9" customHeight="1">
      <c r="B510" s="1364"/>
      <c r="C510" s="1365"/>
      <c r="D510" s="1365"/>
      <c r="E510" s="1365"/>
      <c r="F510" s="1365"/>
      <c r="G510" s="1365"/>
      <c r="H510" s="1366"/>
      <c r="I510" s="40" t="s">
        <v>1347</v>
      </c>
      <c r="J510" s="40"/>
      <c r="K510" s="40"/>
      <c r="L510" s="40"/>
      <c r="M510" s="40"/>
      <c r="N510" s="40"/>
      <c r="O510" s="40"/>
      <c r="P510" s="40"/>
      <c r="Q510" s="40"/>
      <c r="R510" s="40"/>
      <c r="S510" s="40"/>
      <c r="T510" s="40"/>
      <c r="U510" s="40"/>
      <c r="V510" s="40"/>
      <c r="W510" s="40"/>
      <c r="X510" s="40"/>
      <c r="Y510" s="40"/>
      <c r="Z510" s="40"/>
      <c r="AA510" s="40"/>
      <c r="AB510" s="40"/>
      <c r="AC510" s="1357">
        <v>9</v>
      </c>
      <c r="AD510" s="1330"/>
      <c r="AE510" s="1330"/>
      <c r="AF510" s="1330"/>
      <c r="AG510" s="30" t="s">
        <v>1343</v>
      </c>
      <c r="AH510" s="1394">
        <v>2026</v>
      </c>
      <c r="AI510" s="1394"/>
      <c r="AJ510" s="1394"/>
      <c r="AK510" s="1395"/>
      <c r="AZ510" s="3"/>
      <c r="BA510" s="3"/>
      <c r="BB510" s="3"/>
      <c r="BC510" s="3"/>
      <c r="BD510" s="3"/>
      <c r="BE510" s="3"/>
      <c r="BF510" s="3"/>
      <c r="BG510" s="3"/>
      <c r="BH510" s="3"/>
      <c r="BI510" s="3"/>
      <c r="BJ510" s="3"/>
      <c r="BK510" s="3"/>
      <c r="BL510" s="3"/>
      <c r="BM510" s="3"/>
      <c r="BN510" s="3"/>
    </row>
    <row r="511" spans="1:66" ht="12.9" customHeight="1">
      <c r="B511" s="1361" t="s">
        <v>1348</v>
      </c>
      <c r="C511" s="1362"/>
      <c r="D511" s="1362"/>
      <c r="E511" s="1362"/>
      <c r="F511" s="1362"/>
      <c r="G511" s="1362"/>
      <c r="H511" s="1363"/>
      <c r="I511" s="34" t="s">
        <v>1349</v>
      </c>
      <c r="J511" s="34"/>
      <c r="K511" s="34"/>
      <c r="L511" s="34"/>
      <c r="M511" s="34"/>
      <c r="N511" s="34"/>
      <c r="O511" s="34"/>
      <c r="P511" s="34"/>
      <c r="Q511" s="34"/>
      <c r="R511" s="34"/>
      <c r="S511" s="34"/>
      <c r="T511" s="34"/>
      <c r="U511" s="34"/>
      <c r="V511" s="34"/>
      <c r="W511" s="34"/>
      <c r="AC511" s="1357" t="s">
        <v>820</v>
      </c>
      <c r="AD511" s="1330"/>
      <c r="AE511" s="1330"/>
      <c r="AF511" s="1330"/>
      <c r="AG511" s="12" t="s">
        <v>1343</v>
      </c>
      <c r="AH511" s="1394"/>
      <c r="AI511" s="1394"/>
      <c r="AJ511" s="1394"/>
      <c r="AK511" s="1395"/>
      <c r="AZ511" s="3"/>
      <c r="BA511" s="3"/>
      <c r="BB511" s="3"/>
      <c r="BC511" s="3"/>
      <c r="BD511" s="3"/>
      <c r="BE511" s="3"/>
      <c r="BF511" s="3"/>
      <c r="BG511" s="3"/>
      <c r="BH511" s="3"/>
      <c r="BI511" s="3"/>
      <c r="BJ511" s="3"/>
      <c r="BK511" s="3"/>
      <c r="BL511" s="3"/>
      <c r="BM511" s="3"/>
      <c r="BN511" s="3"/>
    </row>
    <row r="512" spans="1:66" ht="12.9" customHeight="1">
      <c r="B512" s="1364"/>
      <c r="C512" s="1365"/>
      <c r="D512" s="1365"/>
      <c r="E512" s="1365"/>
      <c r="F512" s="1365"/>
      <c r="G512" s="1365"/>
      <c r="H512" s="1366"/>
      <c r="I512" t="s">
        <v>1350</v>
      </c>
      <c r="AC512" s="1357" t="s">
        <v>820</v>
      </c>
      <c r="AD512" s="1330"/>
      <c r="AE512" s="1330"/>
      <c r="AF512" s="1330"/>
      <c r="AG512" s="12" t="s">
        <v>1343</v>
      </c>
      <c r="AH512" s="1394"/>
      <c r="AI512" s="1394"/>
      <c r="AJ512" s="1394"/>
      <c r="AK512" s="1395"/>
      <c r="AZ512" s="3"/>
      <c r="BA512" s="3"/>
      <c r="BB512" s="3"/>
      <c r="BC512" s="3"/>
      <c r="BD512" s="3"/>
      <c r="BE512" s="3"/>
      <c r="BF512" s="3"/>
      <c r="BG512" s="3"/>
      <c r="BH512" s="3"/>
      <c r="BI512" s="3"/>
      <c r="BJ512" s="3"/>
      <c r="BK512" s="3"/>
      <c r="BL512" s="3"/>
      <c r="BM512" s="3"/>
      <c r="BN512" s="3"/>
    </row>
    <row r="513" spans="2:66" ht="12.9" customHeight="1">
      <c r="B513" s="1364"/>
      <c r="C513" s="1365"/>
      <c r="D513" s="1365"/>
      <c r="E513" s="1365"/>
      <c r="F513" s="1365"/>
      <c r="G513" s="1365"/>
      <c r="H513" s="1366"/>
      <c r="I513" t="s">
        <v>1351</v>
      </c>
      <c r="AC513" s="1357" t="s">
        <v>820</v>
      </c>
      <c r="AD513" s="1330"/>
      <c r="AE513" s="1330"/>
      <c r="AF513" s="1330"/>
      <c r="AG513" s="12" t="s">
        <v>1343</v>
      </c>
      <c r="AH513" s="1394"/>
      <c r="AI513" s="1394"/>
      <c r="AJ513" s="1394"/>
      <c r="AK513" s="1395"/>
      <c r="AZ513" s="3"/>
      <c r="BA513" s="3"/>
      <c r="BB513" s="3"/>
      <c r="BC513" s="3"/>
      <c r="BD513" s="3"/>
      <c r="BE513" s="3"/>
      <c r="BF513" s="3"/>
      <c r="BG513" s="3"/>
      <c r="BH513" s="3"/>
      <c r="BI513" s="3"/>
      <c r="BJ513" s="3"/>
      <c r="BK513" s="3"/>
      <c r="BL513" s="3"/>
      <c r="BM513" s="3"/>
      <c r="BN513" s="3"/>
    </row>
    <row r="514" spans="2:66" ht="12.9" customHeight="1">
      <c r="B514" s="1364"/>
      <c r="C514" s="1365"/>
      <c r="D514" s="1365"/>
      <c r="E514" s="1365"/>
      <c r="F514" s="1365"/>
      <c r="G514" s="1365"/>
      <c r="H514" s="1366"/>
      <c r="I514" t="s">
        <v>1352</v>
      </c>
      <c r="AC514" s="1357" t="s">
        <v>820</v>
      </c>
      <c r="AD514" s="1330"/>
      <c r="AE514" s="1330"/>
      <c r="AF514" s="1330"/>
      <c r="AG514" s="12" t="s">
        <v>1343</v>
      </c>
      <c r="AH514" s="1394"/>
      <c r="AI514" s="1394"/>
      <c r="AJ514" s="1394"/>
      <c r="AK514" s="1395"/>
      <c r="AZ514" s="3"/>
      <c r="BA514" s="3"/>
      <c r="BB514" s="3"/>
      <c r="BC514" s="3"/>
      <c r="BD514" s="3"/>
      <c r="BE514" s="3"/>
      <c r="BF514" s="3"/>
      <c r="BG514" s="3"/>
      <c r="BH514" s="3"/>
      <c r="BI514" s="3"/>
      <c r="BJ514" s="3"/>
      <c r="BK514" s="3"/>
      <c r="BL514" s="3"/>
      <c r="BM514" s="3"/>
      <c r="BN514" s="3"/>
    </row>
    <row r="515" spans="2:66" ht="12.9" customHeight="1">
      <c r="B515" s="1364"/>
      <c r="C515" s="1365"/>
      <c r="D515" s="1365"/>
      <c r="E515" s="1365"/>
      <c r="F515" s="1365"/>
      <c r="G515" s="1365"/>
      <c r="H515" s="1366"/>
      <c r="I515" s="3" t="s">
        <v>1353</v>
      </c>
      <c r="AC515" s="1318">
        <v>9</v>
      </c>
      <c r="AD515" s="1319"/>
      <c r="AE515" s="1319"/>
      <c r="AF515" s="1319"/>
      <c r="AG515" s="12" t="s">
        <v>1343</v>
      </c>
      <c r="AH515" s="1394">
        <v>2026</v>
      </c>
      <c r="AI515" s="1394"/>
      <c r="AJ515" s="1394"/>
      <c r="AK515" s="1395"/>
      <c r="AZ515" s="3"/>
      <c r="BA515" s="3"/>
      <c r="BB515" s="3"/>
      <c r="BC515" s="3"/>
      <c r="BD515" s="3"/>
      <c r="BE515" s="3"/>
      <c r="BF515" s="3"/>
      <c r="BG515" s="3"/>
      <c r="BH515" s="3"/>
      <c r="BI515" s="3"/>
      <c r="BJ515" s="3"/>
      <c r="BK515" s="3"/>
      <c r="BL515" s="3"/>
      <c r="BM515" s="3"/>
      <c r="BN515" s="3"/>
    </row>
    <row r="516" spans="2:66" ht="12.9" customHeight="1">
      <c r="B516" s="1364"/>
      <c r="C516" s="1365"/>
      <c r="D516" s="1365"/>
      <c r="E516" s="1365"/>
      <c r="F516" s="1365"/>
      <c r="G516" s="1365"/>
      <c r="H516" s="1366"/>
      <c r="I516" s="788" t="s">
        <v>233</v>
      </c>
      <c r="J516" s="40"/>
      <c r="K516" s="40"/>
      <c r="L516" s="1398" t="s">
        <v>1354</v>
      </c>
      <c r="M516" s="1399"/>
      <c r="N516" s="1399"/>
      <c r="O516" s="1399"/>
      <c r="P516" s="1399"/>
      <c r="Q516" s="1399"/>
      <c r="R516" s="1399"/>
      <c r="S516" s="1399"/>
      <c r="T516" s="1399"/>
      <c r="U516" s="1399"/>
      <c r="V516" s="1399"/>
      <c r="W516" s="1399"/>
      <c r="X516" s="1399"/>
      <c r="Y516" s="1399"/>
      <c r="Z516" s="1399"/>
      <c r="AA516" s="1399"/>
      <c r="AB516" s="1400"/>
      <c r="AC516" s="1357" t="s">
        <v>820</v>
      </c>
      <c r="AD516" s="1330"/>
      <c r="AE516" s="1330"/>
      <c r="AF516" s="1330"/>
      <c r="AG516" s="30" t="s">
        <v>1343</v>
      </c>
      <c r="AH516" s="1394"/>
      <c r="AI516" s="1394"/>
      <c r="AJ516" s="1394"/>
      <c r="AK516" s="1395"/>
      <c r="AZ516" s="3"/>
      <c r="BA516" s="3"/>
      <c r="BB516" s="3"/>
      <c r="BC516" s="3"/>
      <c r="BD516" s="3"/>
      <c r="BE516" s="3"/>
      <c r="BF516" s="3"/>
      <c r="BG516" s="3"/>
      <c r="BH516" s="3"/>
      <c r="BI516" s="3"/>
      <c r="BJ516" s="3"/>
      <c r="BK516" s="3"/>
      <c r="BL516" s="3"/>
      <c r="BM516" s="3"/>
      <c r="BN516" s="3"/>
    </row>
    <row r="517" spans="2:66" ht="12.9" customHeight="1">
      <c r="B517" s="766"/>
      <c r="C517" s="95"/>
      <c r="D517" s="95"/>
      <c r="E517" s="95"/>
      <c r="F517" s="95"/>
      <c r="G517" s="95"/>
      <c r="H517" s="767"/>
      <c r="I517" s="3" t="s">
        <v>1355</v>
      </c>
      <c r="AC517" s="1353" t="s">
        <v>698</v>
      </c>
      <c r="AD517" s="1353"/>
      <c r="AE517" s="1353"/>
      <c r="AF517" s="1353"/>
      <c r="AG517" s="12"/>
      <c r="AH517" s="1370"/>
      <c r="AI517" s="1370"/>
      <c r="AJ517" s="1370"/>
      <c r="AK517" s="1371"/>
      <c r="AZ517" s="3"/>
      <c r="BA517" s="3"/>
      <c r="BB517" s="3"/>
      <c r="BC517" s="3"/>
      <c r="BD517" s="3"/>
      <c r="BE517" s="3"/>
      <c r="BF517" s="3"/>
      <c r="BG517" s="3"/>
      <c r="BH517" s="3"/>
      <c r="BI517" s="3"/>
      <c r="BJ517" s="3"/>
      <c r="BK517" s="3"/>
      <c r="BL517" s="3"/>
      <c r="BM517" s="3"/>
      <c r="BN517" s="3"/>
    </row>
    <row r="518" spans="2:66" ht="12.9" customHeight="1">
      <c r="B518" s="766"/>
      <c r="C518" s="95"/>
      <c r="D518" s="95"/>
      <c r="E518" s="95"/>
      <c r="F518" s="95"/>
      <c r="G518" s="95"/>
      <c r="H518" s="767"/>
      <c r="I518" t="s">
        <v>1356</v>
      </c>
      <c r="AC518" s="1318"/>
      <c r="AD518" s="1319"/>
      <c r="AE518" s="1319"/>
      <c r="AF518" s="1320"/>
      <c r="AG518" s="12"/>
      <c r="AH518" s="1370"/>
      <c r="AI518" s="1370"/>
      <c r="AJ518" s="1370"/>
      <c r="AK518" s="1371"/>
      <c r="AZ518" s="3"/>
      <c r="BA518" s="3"/>
      <c r="BB518" s="3"/>
      <c r="BC518" s="3"/>
      <c r="BD518" s="3"/>
      <c r="BE518" s="3"/>
      <c r="BF518" s="3"/>
      <c r="BG518" s="3"/>
      <c r="BH518" s="3"/>
      <c r="BI518" s="3"/>
      <c r="BJ518" s="3"/>
      <c r="BK518" s="3"/>
      <c r="BL518" s="3"/>
      <c r="BM518" s="3"/>
      <c r="BN518" s="3"/>
    </row>
    <row r="519" spans="2:66" ht="12.9" customHeight="1">
      <c r="B519" s="766"/>
      <c r="C519" s="95"/>
      <c r="D519" s="95"/>
      <c r="E519" s="95"/>
      <c r="F519" s="95"/>
      <c r="G519" s="95"/>
      <c r="H519" s="767"/>
      <c r="I519" t="s">
        <v>1357</v>
      </c>
      <c r="AC519" s="1153"/>
      <c r="AD519" s="1154"/>
      <c r="AE519" s="1154"/>
      <c r="AF519" s="1155"/>
      <c r="AG519" s="12"/>
      <c r="AH519" s="1"/>
      <c r="AI519" s="1"/>
      <c r="AJ519" s="1"/>
      <c r="AK519" s="895"/>
      <c r="AZ519" s="3"/>
      <c r="BA519" s="3"/>
      <c r="BB519" s="3"/>
      <c r="BC519" s="3"/>
      <c r="BD519" s="3"/>
      <c r="BE519" s="3"/>
      <c r="BF519" s="3"/>
      <c r="BG519" s="3"/>
      <c r="BH519" s="3"/>
      <c r="BI519" s="3"/>
      <c r="BJ519" s="3"/>
      <c r="BK519" s="3"/>
      <c r="BL519" s="3"/>
      <c r="BM519" s="3"/>
      <c r="BN519" s="3"/>
    </row>
    <row r="520" spans="2:66" ht="12.9" customHeight="1">
      <c r="B520" s="766"/>
      <c r="C520" s="95"/>
      <c r="D520" s="95"/>
      <c r="E520" s="95"/>
      <c r="F520" s="95"/>
      <c r="G520" s="95"/>
      <c r="H520" s="767"/>
      <c r="I520" s="789" t="s">
        <v>1358</v>
      </c>
      <c r="J520" s="40"/>
      <c r="K520" s="40"/>
      <c r="L520" s="40"/>
      <c r="M520" s="40"/>
      <c r="N520" s="40"/>
      <c r="O520" s="40"/>
      <c r="P520" s="40"/>
      <c r="Q520" s="40"/>
      <c r="R520" s="40"/>
      <c r="S520" s="40"/>
      <c r="T520" s="40"/>
      <c r="U520" s="40"/>
      <c r="V520" s="40"/>
      <c r="W520" s="40"/>
      <c r="X520" s="40"/>
      <c r="Y520" s="40"/>
      <c r="Z520" s="40"/>
      <c r="AA520" s="40"/>
      <c r="AB520" s="40"/>
      <c r="AC520" s="1415">
        <v>0.3</v>
      </c>
      <c r="AD520" s="1416"/>
      <c r="AE520" s="1416"/>
      <c r="AF520" s="1417"/>
      <c r="AG520" s="30"/>
      <c r="AH520" s="1543"/>
      <c r="AI520" s="1543"/>
      <c r="AJ520" s="1543"/>
      <c r="AK520" s="1544"/>
      <c r="AZ520" s="3"/>
      <c r="BA520" s="3"/>
      <c r="BB520" s="3"/>
      <c r="BC520" s="3"/>
      <c r="BD520" s="3"/>
      <c r="BE520" s="3"/>
      <c r="BF520" s="3"/>
      <c r="BG520" s="3"/>
      <c r="BH520" s="3"/>
      <c r="BI520" s="3"/>
      <c r="BJ520" s="3"/>
      <c r="BK520" s="3"/>
      <c r="BL520" s="3"/>
      <c r="BM520" s="3"/>
      <c r="BN520" s="3" t="s">
        <v>1009</v>
      </c>
    </row>
    <row r="521" spans="2:66" ht="12.9"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71" t="s">
        <v>1342</v>
      </c>
      <c r="AD521" s="1381"/>
      <c r="AE521" s="1381"/>
      <c r="AF521" s="1381"/>
      <c r="AG521" s="30" t="s">
        <v>1343</v>
      </c>
      <c r="AH521" s="1381" t="s">
        <v>1344</v>
      </c>
      <c r="AI521" s="1381"/>
      <c r="AJ521" s="1381"/>
      <c r="AK521" s="1382"/>
      <c r="AZ521" s="3"/>
      <c r="BA521" s="3"/>
      <c r="BB521" s="3"/>
      <c r="BC521" s="3"/>
      <c r="BD521" s="3"/>
      <c r="BE521" s="3"/>
      <c r="BF521" s="3"/>
      <c r="BG521" s="3"/>
      <c r="BH521" s="3"/>
      <c r="BI521" s="3"/>
      <c r="BJ521" s="3"/>
      <c r="BK521" s="3"/>
      <c r="BL521" s="3"/>
      <c r="BM521" s="3"/>
      <c r="BN521" s="3" t="s">
        <v>1359</v>
      </c>
    </row>
    <row r="522" spans="2:66" ht="12.9" customHeight="1">
      <c r="B522" s="1361" t="s">
        <v>1360</v>
      </c>
      <c r="C522" s="1362"/>
      <c r="D522" s="1362"/>
      <c r="E522" s="1362"/>
      <c r="F522" s="1362"/>
      <c r="G522" s="1362"/>
      <c r="H522" s="1363"/>
      <c r="I522" s="34" t="s">
        <v>1361</v>
      </c>
      <c r="J522" s="34"/>
      <c r="K522" s="34"/>
      <c r="L522" s="34"/>
      <c r="M522" s="34"/>
      <c r="N522" s="34"/>
      <c r="O522" s="34"/>
      <c r="P522" s="34"/>
      <c r="Q522" s="34"/>
      <c r="R522" s="34"/>
      <c r="S522" s="34"/>
      <c r="T522" s="34"/>
      <c r="U522" s="34"/>
      <c r="V522" s="34"/>
      <c r="W522" s="34"/>
      <c r="AC522" s="1357">
        <v>1</v>
      </c>
      <c r="AD522" s="1330"/>
      <c r="AE522" s="1330"/>
      <c r="AF522" s="1330"/>
      <c r="AG522" s="12" t="s">
        <v>1343</v>
      </c>
      <c r="AH522" s="1394">
        <v>2026</v>
      </c>
      <c r="AI522" s="1394"/>
      <c r="AJ522" s="1394"/>
      <c r="AK522" s="1395"/>
      <c r="AZ522" s="3"/>
      <c r="BA522" s="3"/>
      <c r="BB522" s="3"/>
      <c r="BC522" s="3"/>
      <c r="BD522" s="3"/>
      <c r="BE522" s="3"/>
      <c r="BF522" s="3"/>
      <c r="BG522" s="3"/>
      <c r="BH522" s="3"/>
      <c r="BI522" s="3"/>
      <c r="BJ522" s="3"/>
      <c r="BK522" s="3"/>
      <c r="BL522" s="3"/>
      <c r="BM522" s="3"/>
      <c r="BN522" s="3" t="s">
        <v>1362</v>
      </c>
    </row>
    <row r="523" spans="2:66" ht="12.9" customHeight="1">
      <c r="B523" s="1364"/>
      <c r="C523" s="1365"/>
      <c r="D523" s="1365"/>
      <c r="E523" s="1365"/>
      <c r="F523" s="1365"/>
      <c r="G523" s="1365"/>
      <c r="H523" s="1366"/>
      <c r="I523" t="s">
        <v>1363</v>
      </c>
      <c r="AC523" s="1357">
        <v>1</v>
      </c>
      <c r="AD523" s="1330"/>
      <c r="AE523" s="1330"/>
      <c r="AF523" s="1330"/>
      <c r="AG523" s="12" t="s">
        <v>1343</v>
      </c>
      <c r="AH523" s="1394">
        <v>2026</v>
      </c>
      <c r="AI523" s="1394"/>
      <c r="AJ523" s="1394"/>
      <c r="AK523" s="1395"/>
      <c r="AZ523" s="3"/>
      <c r="BA523" s="3"/>
      <c r="BB523" s="3"/>
      <c r="BC523" s="3"/>
      <c r="BD523" s="3"/>
      <c r="BE523" s="3"/>
      <c r="BF523" s="3"/>
      <c r="BG523" s="3"/>
      <c r="BH523" s="3"/>
      <c r="BI523" s="3"/>
      <c r="BJ523" s="3"/>
      <c r="BK523" s="3"/>
      <c r="BL523" s="3"/>
      <c r="BM523" s="3"/>
      <c r="BN523" s="3" t="s">
        <v>1364</v>
      </c>
    </row>
    <row r="524" spans="2:66" ht="12.9" customHeight="1">
      <c r="B524" s="1364"/>
      <c r="C524" s="1365"/>
      <c r="D524" s="1365"/>
      <c r="E524" s="1365"/>
      <c r="F524" s="1365"/>
      <c r="G524" s="1365"/>
      <c r="H524" s="1366"/>
      <c r="I524" s="40" t="s">
        <v>1365</v>
      </c>
      <c r="J524" s="40"/>
      <c r="K524" s="40"/>
      <c r="L524" s="40"/>
      <c r="M524" s="40"/>
      <c r="N524" s="40"/>
      <c r="O524" s="40"/>
      <c r="P524" s="40"/>
      <c r="Q524" s="40"/>
      <c r="R524" s="40"/>
      <c r="S524" s="40"/>
      <c r="T524" s="40"/>
      <c r="U524" s="40"/>
      <c r="V524" s="40"/>
      <c r="W524" s="40"/>
      <c r="X524" s="40"/>
      <c r="Y524" s="40"/>
      <c r="Z524" s="40"/>
      <c r="AA524" s="40"/>
      <c r="AB524" s="40"/>
      <c r="AC524" s="1357">
        <v>9</v>
      </c>
      <c r="AD524" s="1330"/>
      <c r="AE524" s="1330"/>
      <c r="AF524" s="1330"/>
      <c r="AG524" s="30" t="s">
        <v>1343</v>
      </c>
      <c r="AH524" s="1394">
        <v>2026</v>
      </c>
      <c r="AI524" s="1394"/>
      <c r="AJ524" s="1394"/>
      <c r="AK524" s="1395"/>
      <c r="AZ524" s="3"/>
      <c r="BA524" s="3"/>
      <c r="BB524" s="3"/>
      <c r="BC524" s="3"/>
      <c r="BD524" s="3"/>
      <c r="BE524" s="3"/>
      <c r="BF524" s="3"/>
      <c r="BG524" s="3"/>
      <c r="BH524" s="3"/>
      <c r="BI524" s="3"/>
      <c r="BJ524" s="3"/>
      <c r="BK524" s="3"/>
      <c r="BL524" s="3"/>
      <c r="BM524" s="3"/>
      <c r="BN524" s="3" t="s">
        <v>1366</v>
      </c>
    </row>
    <row r="525" spans="2:66" ht="12.9" customHeight="1">
      <c r="B525" s="1361" t="s">
        <v>1367</v>
      </c>
      <c r="C525" s="1362"/>
      <c r="D525" s="1362"/>
      <c r="E525" s="1362"/>
      <c r="F525" s="1362"/>
      <c r="G525" s="1362"/>
      <c r="H525" s="1363"/>
      <c r="I525" s="34" t="s">
        <v>1361</v>
      </c>
      <c r="J525" s="34"/>
      <c r="K525" s="34"/>
      <c r="L525" s="34"/>
      <c r="M525" s="34"/>
      <c r="N525" s="34"/>
      <c r="O525" s="34"/>
      <c r="P525" s="34"/>
      <c r="Q525" s="34"/>
      <c r="R525" s="34"/>
      <c r="S525" s="34"/>
      <c r="T525" s="34"/>
      <c r="U525" s="34"/>
      <c r="V525" s="34"/>
      <c r="W525" s="34"/>
      <c r="X525" s="34"/>
      <c r="Y525" s="34"/>
      <c r="Z525" s="34"/>
      <c r="AA525" s="34"/>
      <c r="AB525" s="34"/>
      <c r="AC525" s="1318">
        <v>1</v>
      </c>
      <c r="AD525" s="1319"/>
      <c r="AE525" s="1319"/>
      <c r="AF525" s="1319"/>
      <c r="AG525" s="94" t="s">
        <v>1343</v>
      </c>
      <c r="AH525" s="1394">
        <v>2026</v>
      </c>
      <c r="AI525" s="1394"/>
      <c r="AJ525" s="1394"/>
      <c r="AK525" s="1395"/>
      <c r="AZ525" s="3"/>
      <c r="BB525" s="3"/>
      <c r="BC525" s="3"/>
      <c r="BD525" s="3"/>
      <c r="BE525" s="3"/>
      <c r="BF525" s="3"/>
      <c r="BG525" s="3"/>
      <c r="BH525" s="3"/>
      <c r="BI525" s="3"/>
      <c r="BJ525" s="3"/>
      <c r="BK525" s="3"/>
      <c r="BL525" s="3"/>
      <c r="BM525" s="3"/>
      <c r="BN525" s="3" t="s">
        <v>1368</v>
      </c>
    </row>
    <row r="526" spans="2:66" ht="12.9" customHeight="1">
      <c r="B526" s="1364"/>
      <c r="C526" s="1365"/>
      <c r="D526" s="1365"/>
      <c r="E526" s="1365"/>
      <c r="F526" s="1365"/>
      <c r="G526" s="1365"/>
      <c r="H526" s="1366"/>
      <c r="I526" t="s">
        <v>1363</v>
      </c>
      <c r="AC526" s="1357">
        <v>1</v>
      </c>
      <c r="AD526" s="1330"/>
      <c r="AE526" s="1330"/>
      <c r="AF526" s="1330"/>
      <c r="AG526" s="12" t="s">
        <v>1343</v>
      </c>
      <c r="AH526" s="1394">
        <v>2026</v>
      </c>
      <c r="AI526" s="1394"/>
      <c r="AJ526" s="1394"/>
      <c r="AK526" s="1395"/>
      <c r="BB526" s="3"/>
      <c r="BC526" s="3"/>
      <c r="BD526" s="3"/>
      <c r="BE526" s="3"/>
      <c r="BF526" s="3"/>
      <c r="BG526" s="3"/>
      <c r="BH526" s="3"/>
      <c r="BI526" s="3"/>
      <c r="BJ526" s="3"/>
      <c r="BK526" s="3"/>
      <c r="BL526" s="3"/>
      <c r="BM526" s="3"/>
      <c r="BN526" s="3" t="s">
        <v>1369</v>
      </c>
    </row>
    <row r="527" spans="2:66" ht="12.9" customHeight="1">
      <c r="B527" s="1367"/>
      <c r="C527" s="1368"/>
      <c r="D527" s="1368"/>
      <c r="E527" s="1368"/>
      <c r="F527" s="1368"/>
      <c r="G527" s="1368"/>
      <c r="H527" s="1369"/>
      <c r="I527" s="40" t="s">
        <v>1365</v>
      </c>
      <c r="J527" s="40"/>
      <c r="K527" s="40"/>
      <c r="L527" s="40"/>
      <c r="M527" s="40"/>
      <c r="N527" s="40"/>
      <c r="O527" s="40"/>
      <c r="P527" s="40"/>
      <c r="Q527" s="40"/>
      <c r="R527" s="40"/>
      <c r="S527" s="40"/>
      <c r="T527" s="40"/>
      <c r="U527" s="40"/>
      <c r="V527" s="40"/>
      <c r="W527" s="40"/>
      <c r="X527" s="40"/>
      <c r="Y527" s="40"/>
      <c r="Z527" s="40"/>
      <c r="AA527" s="40"/>
      <c r="AB527" s="40"/>
      <c r="AC527" s="1357">
        <v>4</v>
      </c>
      <c r="AD527" s="1330"/>
      <c r="AE527" s="1330"/>
      <c r="AF527" s="1330"/>
      <c r="AG527" s="30" t="s">
        <v>1343</v>
      </c>
      <c r="AH527" s="1394">
        <v>2028</v>
      </c>
      <c r="AI527" s="1394"/>
      <c r="AJ527" s="1394"/>
      <c r="AK527" s="1395"/>
      <c r="BB527" s="3"/>
      <c r="BC527" s="3"/>
      <c r="BD527" s="3"/>
      <c r="BE527" s="3"/>
      <c r="BF527" s="3"/>
      <c r="BG527" s="3"/>
      <c r="BH527" s="3"/>
      <c r="BI527" s="3"/>
      <c r="BJ527" s="3"/>
      <c r="BK527" s="3"/>
      <c r="BL527" s="3"/>
      <c r="BM527" s="3"/>
      <c r="BN527" s="3" t="s">
        <v>1370</v>
      </c>
    </row>
    <row r="528" spans="2:66" ht="12.9" customHeight="1">
      <c r="B528" s="1361" t="s">
        <v>1371</v>
      </c>
      <c r="C528" s="1362"/>
      <c r="D528" s="1362"/>
      <c r="E528" s="1362"/>
      <c r="F528" s="1362"/>
      <c r="G528" s="1362"/>
      <c r="H528" s="1363"/>
      <c r="I528" s="33" t="s">
        <v>1372</v>
      </c>
      <c r="J528" s="34"/>
      <c r="K528" s="34"/>
      <c r="L528" s="34"/>
      <c r="M528" s="34"/>
      <c r="N528" s="34"/>
      <c r="O528" s="1398" t="s">
        <v>1354</v>
      </c>
      <c r="P528" s="1399"/>
      <c r="Q528" s="1399"/>
      <c r="R528" s="1399"/>
      <c r="S528" s="1399"/>
      <c r="T528" s="1399"/>
      <c r="U528" s="1399"/>
      <c r="V528" s="1399"/>
      <c r="W528" s="1399"/>
      <c r="X528" s="1399"/>
      <c r="Y528" s="1399"/>
      <c r="Z528" s="1399"/>
      <c r="AA528" s="1399"/>
      <c r="AB528" s="50"/>
      <c r="AC528" s="1318" t="s">
        <v>820</v>
      </c>
      <c r="AD528" s="1319"/>
      <c r="AE528" s="1319"/>
      <c r="AF528" s="1319"/>
      <c r="AG528" s="94" t="s">
        <v>1343</v>
      </c>
      <c r="AH528" s="1394"/>
      <c r="AI528" s="1394"/>
      <c r="AJ528" s="1394"/>
      <c r="AK528" s="1395"/>
      <c r="AZ528" s="3"/>
      <c r="BB528" s="3"/>
      <c r="BC528" s="3"/>
      <c r="BD528" s="3"/>
      <c r="BE528" s="3"/>
      <c r="BF528" s="3"/>
      <c r="BG528" s="3"/>
      <c r="BH528" s="3"/>
      <c r="BI528" s="3"/>
      <c r="BJ528" s="3"/>
      <c r="BK528" s="3"/>
      <c r="BL528" s="3"/>
      <c r="BM528" s="3"/>
      <c r="BN528" s="3" t="s">
        <v>1373</v>
      </c>
    </row>
    <row r="529" spans="2:66" ht="12.9" customHeight="1">
      <c r="B529" s="1364"/>
      <c r="C529" s="1365"/>
      <c r="D529" s="1365"/>
      <c r="E529" s="1365"/>
      <c r="F529" s="1365"/>
      <c r="G529" s="1365"/>
      <c r="H529" s="1366"/>
      <c r="I529" s="82" t="s">
        <v>44</v>
      </c>
      <c r="AB529" s="56"/>
      <c r="AC529" s="1357" t="s">
        <v>820</v>
      </c>
      <c r="AD529" s="1330"/>
      <c r="AE529" s="1330"/>
      <c r="AF529" s="1330"/>
      <c r="AG529" s="12" t="s">
        <v>1343</v>
      </c>
      <c r="AH529" s="1394"/>
      <c r="AI529" s="1394"/>
      <c r="AJ529" s="1394"/>
      <c r="AK529" s="1395"/>
      <c r="AZ529" s="3"/>
      <c r="BB529" s="3"/>
      <c r="BC529" s="3"/>
      <c r="BD529" s="3"/>
      <c r="BE529" s="3"/>
      <c r="BF529" s="3"/>
      <c r="BG529" s="3"/>
      <c r="BH529" s="3"/>
      <c r="BI529" s="3"/>
      <c r="BJ529" s="3"/>
      <c r="BK529" s="3"/>
      <c r="BL529" s="3"/>
      <c r="BM529" s="3"/>
      <c r="BN529" s="3" t="s">
        <v>1374</v>
      </c>
    </row>
    <row r="530" spans="2:66" ht="12.9" customHeight="1">
      <c r="B530" s="1364"/>
      <c r="C530" s="1365"/>
      <c r="D530" s="1365"/>
      <c r="E530" s="1365"/>
      <c r="F530" s="1365"/>
      <c r="G530" s="1365"/>
      <c r="H530" s="1366"/>
      <c r="I530" s="39" t="s">
        <v>1375</v>
      </c>
      <c r="J530" s="40"/>
      <c r="K530" s="40"/>
      <c r="L530" s="40"/>
      <c r="M530" s="40"/>
      <c r="N530" s="40"/>
      <c r="O530" s="40"/>
      <c r="P530" s="40"/>
      <c r="Q530" s="40"/>
      <c r="R530" s="40"/>
      <c r="S530" s="40"/>
      <c r="T530" s="40"/>
      <c r="U530" s="40"/>
      <c r="V530" s="40"/>
      <c r="W530" s="40"/>
      <c r="X530" s="40"/>
      <c r="Y530" s="40"/>
      <c r="Z530" s="40"/>
      <c r="AA530" s="40"/>
      <c r="AB530" s="41"/>
      <c r="AC530" s="1357" t="s">
        <v>820</v>
      </c>
      <c r="AD530" s="1330"/>
      <c r="AE530" s="1330"/>
      <c r="AF530" s="1330"/>
      <c r="AG530" s="30" t="s">
        <v>1343</v>
      </c>
      <c r="AH530" s="1394"/>
      <c r="AI530" s="1394"/>
      <c r="AJ530" s="1394"/>
      <c r="AK530" s="1395"/>
      <c r="AZ530" s="3"/>
      <c r="BA530" s="3"/>
      <c r="BB530" s="3"/>
      <c r="BC530" s="3"/>
      <c r="BD530" s="3"/>
      <c r="BE530" s="3"/>
      <c r="BF530" s="3"/>
      <c r="BG530" s="3"/>
      <c r="BH530" s="3"/>
      <c r="BI530" s="3"/>
      <c r="BJ530" s="3"/>
      <c r="BK530" s="3"/>
      <c r="BL530" s="3"/>
      <c r="BM530" s="3"/>
      <c r="BN530" s="3" t="s">
        <v>1376</v>
      </c>
    </row>
    <row r="531" spans="2:66" ht="12.9" customHeight="1">
      <c r="B531" s="1364"/>
      <c r="C531" s="1365"/>
      <c r="D531" s="1365"/>
      <c r="E531" s="1365"/>
      <c r="F531" s="1365"/>
      <c r="G531" s="1365"/>
      <c r="H531" s="1366"/>
      <c r="I531" s="34" t="s">
        <v>1377</v>
      </c>
      <c r="J531" s="34"/>
      <c r="K531" s="34"/>
      <c r="L531" s="34"/>
      <c r="M531" s="34"/>
      <c r="N531" s="34"/>
      <c r="O531" s="1398" t="s">
        <v>1354</v>
      </c>
      <c r="P531" s="1399"/>
      <c r="Q531" s="1399"/>
      <c r="R531" s="1399"/>
      <c r="S531" s="1399"/>
      <c r="T531" s="1399"/>
      <c r="U531" s="1399"/>
      <c r="V531" s="1399"/>
      <c r="W531" s="1399"/>
      <c r="X531" s="1399"/>
      <c r="Y531" s="1399"/>
      <c r="Z531" s="1399"/>
      <c r="AA531" s="1399"/>
      <c r="AC531" s="1357" t="s">
        <v>820</v>
      </c>
      <c r="AD531" s="1330"/>
      <c r="AE531" s="1330"/>
      <c r="AF531" s="1330"/>
      <c r="AG531" s="12" t="s">
        <v>1343</v>
      </c>
      <c r="AH531" s="1394"/>
      <c r="AI531" s="1394"/>
      <c r="AJ531" s="1394"/>
      <c r="AK531" s="1395"/>
      <c r="AZ531" s="3"/>
      <c r="BA531" s="3"/>
      <c r="BB531" s="3"/>
      <c r="BC531" s="3"/>
      <c r="BD531" s="3"/>
      <c r="BE531" s="3"/>
      <c r="BF531" s="3"/>
      <c r="BG531" s="3"/>
      <c r="BH531" s="3"/>
      <c r="BI531" s="3"/>
      <c r="BJ531" s="3"/>
      <c r="BK531" s="3"/>
      <c r="BL531" s="3"/>
      <c r="BM531" s="3"/>
      <c r="BN531" s="3" t="s">
        <v>1378</v>
      </c>
    </row>
    <row r="532" spans="2:66" ht="12.9" customHeight="1">
      <c r="B532" s="1364"/>
      <c r="C532" s="1365"/>
      <c r="D532" s="1365"/>
      <c r="E532" s="1365"/>
      <c r="F532" s="1365"/>
      <c r="G532" s="1365"/>
      <c r="H532" s="1366"/>
      <c r="I532" t="s">
        <v>44</v>
      </c>
      <c r="AC532" s="1357" t="s">
        <v>820</v>
      </c>
      <c r="AD532" s="1330"/>
      <c r="AE532" s="1330"/>
      <c r="AF532" s="1330"/>
      <c r="AG532" s="12" t="s">
        <v>1343</v>
      </c>
      <c r="AH532" s="1394"/>
      <c r="AI532" s="1394"/>
      <c r="AJ532" s="1394"/>
      <c r="AK532" s="1395"/>
      <c r="AZ532" s="3"/>
      <c r="BA532" s="3"/>
      <c r="BB532" s="3"/>
      <c r="BC532" s="3"/>
      <c r="BD532" s="3"/>
      <c r="BE532" s="3"/>
      <c r="BF532" s="3"/>
      <c r="BG532" s="3"/>
      <c r="BH532" s="3"/>
      <c r="BI532" s="3"/>
      <c r="BJ532" s="3"/>
      <c r="BK532" s="3"/>
      <c r="BL532" s="3"/>
      <c r="BM532" s="3"/>
      <c r="BN532" s="3" t="s">
        <v>1379</v>
      </c>
    </row>
    <row r="533" spans="2:66" ht="12.9" customHeight="1">
      <c r="B533" s="1364"/>
      <c r="C533" s="1365"/>
      <c r="D533" s="1365"/>
      <c r="E533" s="1365"/>
      <c r="F533" s="1365"/>
      <c r="G533" s="1365"/>
      <c r="H533" s="1366"/>
      <c r="I533" s="40" t="s">
        <v>1375</v>
      </c>
      <c r="J533" s="40"/>
      <c r="K533" s="40"/>
      <c r="L533" s="40"/>
      <c r="M533" s="40"/>
      <c r="N533" s="40"/>
      <c r="O533" s="40"/>
      <c r="P533" s="40"/>
      <c r="Q533" s="40"/>
      <c r="R533" s="40"/>
      <c r="S533" s="40"/>
      <c r="T533" s="40"/>
      <c r="U533" s="40"/>
      <c r="V533" s="40"/>
      <c r="W533" s="40"/>
      <c r="X533" s="40"/>
      <c r="Y533" s="40"/>
      <c r="Z533" s="40"/>
      <c r="AA533" s="40"/>
      <c r="AB533" s="40"/>
      <c r="AC533" s="1357" t="s">
        <v>820</v>
      </c>
      <c r="AD533" s="1330"/>
      <c r="AE533" s="1330"/>
      <c r="AF533" s="1330"/>
      <c r="AG533" s="30" t="s">
        <v>1343</v>
      </c>
      <c r="AH533" s="1394"/>
      <c r="AI533" s="1394"/>
      <c r="AJ533" s="1394"/>
      <c r="AK533" s="1395"/>
      <c r="AZ533" s="3"/>
      <c r="BA533" s="3"/>
      <c r="BB533" s="3"/>
      <c r="BC533" s="3"/>
      <c r="BD533" s="3"/>
      <c r="BE533" s="3"/>
      <c r="BF533" s="3"/>
      <c r="BG533" s="3"/>
      <c r="BH533" s="3"/>
      <c r="BI533" s="3"/>
      <c r="BJ533" s="3"/>
      <c r="BK533" s="3"/>
      <c r="BL533" s="3"/>
      <c r="BM533" s="3"/>
      <c r="BN533" s="3" t="s">
        <v>1380</v>
      </c>
    </row>
    <row r="534" spans="2:66" ht="12.9" customHeight="1">
      <c r="B534" s="1364"/>
      <c r="C534" s="1365"/>
      <c r="D534" s="1365"/>
      <c r="E534" s="1365"/>
      <c r="F534" s="1365"/>
      <c r="G534" s="1365"/>
      <c r="H534" s="1366"/>
      <c r="I534" s="34" t="s">
        <v>1377</v>
      </c>
      <c r="J534" s="34"/>
      <c r="K534" s="34"/>
      <c r="L534" s="34"/>
      <c r="M534" s="34"/>
      <c r="N534" s="34"/>
      <c r="O534" s="1398" t="s">
        <v>1354</v>
      </c>
      <c r="P534" s="1399"/>
      <c r="Q534" s="1399"/>
      <c r="R534" s="1399"/>
      <c r="S534" s="1399"/>
      <c r="T534" s="1399"/>
      <c r="U534" s="1399"/>
      <c r="V534" s="1399"/>
      <c r="W534" s="1399"/>
      <c r="X534" s="1399"/>
      <c r="Y534" s="1399"/>
      <c r="Z534" s="1399"/>
      <c r="AA534" s="1399"/>
      <c r="AC534" s="1357" t="s">
        <v>820</v>
      </c>
      <c r="AD534" s="1330"/>
      <c r="AE534" s="1330"/>
      <c r="AF534" s="1330"/>
      <c r="AG534" s="12" t="s">
        <v>1343</v>
      </c>
      <c r="AH534" s="1394"/>
      <c r="AI534" s="1394"/>
      <c r="AJ534" s="1394"/>
      <c r="AK534" s="1395"/>
      <c r="AZ534" s="3"/>
      <c r="BA534" s="3"/>
      <c r="BB534" s="3"/>
      <c r="BC534" s="3"/>
      <c r="BD534" s="3"/>
      <c r="BE534" s="3"/>
      <c r="BF534" s="3"/>
      <c r="BG534" s="3"/>
      <c r="BH534" s="3"/>
      <c r="BI534" s="3"/>
      <c r="BJ534" s="3"/>
      <c r="BK534" s="3"/>
      <c r="BL534" s="3"/>
      <c r="BM534" s="3"/>
      <c r="BN534" s="3" t="s">
        <v>1381</v>
      </c>
    </row>
    <row r="535" spans="2:66" ht="12.9" customHeight="1">
      <c r="B535" s="1364"/>
      <c r="C535" s="1365"/>
      <c r="D535" s="1365"/>
      <c r="E535" s="1365"/>
      <c r="F535" s="1365"/>
      <c r="G535" s="1365"/>
      <c r="H535" s="1366"/>
      <c r="I535" t="s">
        <v>44</v>
      </c>
      <c r="AC535" s="1357" t="s">
        <v>820</v>
      </c>
      <c r="AD535" s="1330"/>
      <c r="AE535" s="1330"/>
      <c r="AF535" s="1330"/>
      <c r="AG535" s="12" t="s">
        <v>1343</v>
      </c>
      <c r="AH535" s="1394"/>
      <c r="AI535" s="1394"/>
      <c r="AJ535" s="1394"/>
      <c r="AK535" s="1395"/>
      <c r="AZ535" s="3"/>
      <c r="BA535" s="3"/>
      <c r="BB535" s="3"/>
      <c r="BC535" s="3"/>
      <c r="BD535" s="3"/>
      <c r="BE535" s="3"/>
      <c r="BF535" s="3"/>
      <c r="BG535" s="3"/>
      <c r="BH535" s="3"/>
      <c r="BI535" s="3"/>
      <c r="BJ535" s="3"/>
      <c r="BK535" s="3"/>
      <c r="BL535" s="3"/>
      <c r="BM535" s="3"/>
      <c r="BN535" s="3" t="s">
        <v>1382</v>
      </c>
    </row>
    <row r="536" spans="2:66" ht="12.9" customHeight="1">
      <c r="B536" s="1364"/>
      <c r="C536" s="1365"/>
      <c r="D536" s="1365"/>
      <c r="E536" s="1365"/>
      <c r="F536" s="1365"/>
      <c r="G536" s="1365"/>
      <c r="H536" s="1366"/>
      <c r="I536" s="40" t="s">
        <v>1375</v>
      </c>
      <c r="J536" s="40"/>
      <c r="K536" s="40"/>
      <c r="L536" s="40"/>
      <c r="M536" s="40"/>
      <c r="N536" s="40"/>
      <c r="O536" s="40"/>
      <c r="P536" s="40"/>
      <c r="Q536" s="40"/>
      <c r="R536" s="40"/>
      <c r="S536" s="40"/>
      <c r="T536" s="40"/>
      <c r="U536" s="40"/>
      <c r="V536" s="40"/>
      <c r="W536" s="40"/>
      <c r="X536" s="40"/>
      <c r="Y536" s="40"/>
      <c r="Z536" s="40"/>
      <c r="AA536" s="40"/>
      <c r="AB536" s="40"/>
      <c r="AC536" s="1357" t="s">
        <v>820</v>
      </c>
      <c r="AD536" s="1330"/>
      <c r="AE536" s="1330"/>
      <c r="AF536" s="1330"/>
      <c r="AG536" s="30" t="s">
        <v>1343</v>
      </c>
      <c r="AH536" s="1394"/>
      <c r="AI536" s="1394"/>
      <c r="AJ536" s="1394"/>
      <c r="AK536" s="1395"/>
      <c r="AZ536" s="3"/>
      <c r="BA536" s="3"/>
      <c r="BB536" s="3"/>
      <c r="BC536" s="3"/>
      <c r="BD536" s="3"/>
      <c r="BE536" s="3"/>
      <c r="BF536" s="3"/>
      <c r="BG536" s="3"/>
      <c r="BH536" s="3"/>
      <c r="BI536" s="3"/>
      <c r="BJ536" s="3"/>
      <c r="BK536" s="3"/>
      <c r="BL536" s="3"/>
      <c r="BM536" s="3"/>
      <c r="BN536" s="3" t="s">
        <v>1383</v>
      </c>
    </row>
    <row r="537" spans="2:66" ht="12.9" customHeight="1">
      <c r="B537" s="1364"/>
      <c r="C537" s="1365"/>
      <c r="D537" s="1365"/>
      <c r="E537" s="1365"/>
      <c r="F537" s="1365"/>
      <c r="G537" s="1365"/>
      <c r="H537" s="1366"/>
      <c r="I537" s="34" t="s">
        <v>1377</v>
      </c>
      <c r="J537" s="34"/>
      <c r="K537" s="34"/>
      <c r="L537" s="34"/>
      <c r="M537" s="34"/>
      <c r="N537" s="34"/>
      <c r="O537" s="1398" t="s">
        <v>1354</v>
      </c>
      <c r="P537" s="1399"/>
      <c r="Q537" s="1399"/>
      <c r="R537" s="1399"/>
      <c r="S537" s="1399"/>
      <c r="T537" s="1399"/>
      <c r="U537" s="1399"/>
      <c r="V537" s="1399"/>
      <c r="W537" s="1399"/>
      <c r="X537" s="1399"/>
      <c r="Y537" s="1399"/>
      <c r="Z537" s="1399"/>
      <c r="AA537" s="1399"/>
      <c r="AC537" s="1357" t="s">
        <v>820</v>
      </c>
      <c r="AD537" s="1330"/>
      <c r="AE537" s="1330"/>
      <c r="AF537" s="1330"/>
      <c r="AG537" s="12" t="s">
        <v>1343</v>
      </c>
      <c r="AH537" s="1394"/>
      <c r="AI537" s="1394"/>
      <c r="AJ537" s="1394"/>
      <c r="AK537" s="1395"/>
      <c r="AZ537" s="3"/>
      <c r="BA537" s="3"/>
      <c r="BB537" s="3"/>
      <c r="BC537" s="3"/>
      <c r="BD537" s="3"/>
      <c r="BE537" s="3"/>
      <c r="BF537" s="3"/>
      <c r="BG537" s="3"/>
      <c r="BH537" s="3"/>
      <c r="BI537" s="3"/>
      <c r="BJ537" s="3"/>
      <c r="BK537" s="3"/>
      <c r="BL537" s="3"/>
      <c r="BM537" s="3"/>
      <c r="BN537" s="3" t="s">
        <v>1384</v>
      </c>
    </row>
    <row r="538" spans="2:66" ht="12.9" customHeight="1">
      <c r="B538" s="1364"/>
      <c r="C538" s="1365"/>
      <c r="D538" s="1365"/>
      <c r="E538" s="1365"/>
      <c r="F538" s="1365"/>
      <c r="G538" s="1365"/>
      <c r="H538" s="1366"/>
      <c r="I538" t="s">
        <v>44</v>
      </c>
      <c r="AC538" s="1357" t="s">
        <v>820</v>
      </c>
      <c r="AD538" s="1330"/>
      <c r="AE538" s="1330"/>
      <c r="AF538" s="1330"/>
      <c r="AG538" s="12" t="s">
        <v>1343</v>
      </c>
      <c r="AH538" s="1394"/>
      <c r="AI538" s="1394"/>
      <c r="AJ538" s="1394"/>
      <c r="AK538" s="1395"/>
      <c r="AZ538" s="3"/>
      <c r="BA538" s="3"/>
      <c r="BB538" s="3"/>
      <c r="BC538" s="3"/>
      <c r="BD538" s="3"/>
      <c r="BE538" s="3"/>
      <c r="BF538" s="3"/>
      <c r="BG538" s="3"/>
      <c r="BH538" s="3"/>
      <c r="BI538" s="3"/>
      <c r="BJ538" s="3"/>
      <c r="BK538" s="3"/>
      <c r="BL538" s="3"/>
      <c r="BM538" s="3"/>
      <c r="BN538" s="3" t="s">
        <v>1385</v>
      </c>
    </row>
    <row r="539" spans="2:66" ht="12.9" customHeight="1">
      <c r="B539" s="1364"/>
      <c r="C539" s="1365"/>
      <c r="D539" s="1365"/>
      <c r="E539" s="1365"/>
      <c r="F539" s="1365"/>
      <c r="G539" s="1365"/>
      <c r="H539" s="1366"/>
      <c r="I539" s="40" t="s">
        <v>1375</v>
      </c>
      <c r="J539" s="40"/>
      <c r="K539" s="40"/>
      <c r="L539" s="40"/>
      <c r="M539" s="40"/>
      <c r="N539" s="40"/>
      <c r="O539" s="40"/>
      <c r="P539" s="40"/>
      <c r="Q539" s="40"/>
      <c r="R539" s="40"/>
      <c r="S539" s="40"/>
      <c r="T539" s="40"/>
      <c r="U539" s="40"/>
      <c r="V539" s="40"/>
      <c r="W539" s="40"/>
      <c r="X539" s="40"/>
      <c r="Y539" s="40"/>
      <c r="Z539" s="40"/>
      <c r="AA539" s="40"/>
      <c r="AB539" s="40"/>
      <c r="AC539" s="1357" t="s">
        <v>820</v>
      </c>
      <c r="AD539" s="1330"/>
      <c r="AE539" s="1330"/>
      <c r="AF539" s="1330"/>
      <c r="AG539" s="30" t="s">
        <v>1343</v>
      </c>
      <c r="AH539" s="1394"/>
      <c r="AI539" s="1394"/>
      <c r="AJ539" s="1394"/>
      <c r="AK539" s="1395"/>
      <c r="AZ539" s="3"/>
      <c r="BA539" s="3"/>
      <c r="BB539" s="3"/>
      <c r="BC539" s="3"/>
      <c r="BD539" s="3"/>
      <c r="BE539" s="3"/>
      <c r="BF539" s="3"/>
      <c r="BG539" s="3"/>
      <c r="BH539" s="3"/>
      <c r="BI539" s="3"/>
      <c r="BJ539" s="3"/>
      <c r="BK539" s="3"/>
      <c r="BL539" s="3"/>
      <c r="BM539" s="3"/>
      <c r="BN539" s="3" t="s">
        <v>1386</v>
      </c>
    </row>
    <row r="540" spans="2:66" ht="12.9" customHeight="1">
      <c r="B540" s="1364"/>
      <c r="C540" s="1365"/>
      <c r="D540" s="1365"/>
      <c r="E540" s="1365"/>
      <c r="F540" s="1365"/>
      <c r="G540" s="1365"/>
      <c r="H540" s="1366"/>
      <c r="I540" s="34" t="s">
        <v>1377</v>
      </c>
      <c r="J540" s="34"/>
      <c r="K540" s="34"/>
      <c r="L540" s="34"/>
      <c r="M540" s="34"/>
      <c r="N540" s="34"/>
      <c r="O540" s="1398" t="s">
        <v>1354</v>
      </c>
      <c r="P540" s="1399"/>
      <c r="Q540" s="1399"/>
      <c r="R540" s="1399"/>
      <c r="S540" s="1399"/>
      <c r="T540" s="1399"/>
      <c r="U540" s="1399"/>
      <c r="V540" s="1399"/>
      <c r="W540" s="1399"/>
      <c r="X540" s="1399"/>
      <c r="Y540" s="1399"/>
      <c r="Z540" s="1399"/>
      <c r="AA540" s="1399"/>
      <c r="AC540" s="1357" t="s">
        <v>820</v>
      </c>
      <c r="AD540" s="1330"/>
      <c r="AE540" s="1330"/>
      <c r="AF540" s="1330"/>
      <c r="AG540" s="12" t="s">
        <v>1343</v>
      </c>
      <c r="AH540" s="1394"/>
      <c r="AI540" s="1394"/>
      <c r="AJ540" s="1394"/>
      <c r="AK540" s="1395"/>
      <c r="AZ540" s="3"/>
      <c r="BA540" s="3"/>
      <c r="BB540" s="3"/>
      <c r="BC540" s="3"/>
      <c r="BD540" s="3"/>
      <c r="BE540" s="3"/>
      <c r="BF540" s="3"/>
      <c r="BG540" s="3"/>
      <c r="BH540" s="3"/>
      <c r="BI540" s="3"/>
      <c r="BJ540" s="3"/>
      <c r="BK540" s="3"/>
      <c r="BL540" s="3"/>
      <c r="BM540" s="3"/>
      <c r="BN540" s="3" t="s">
        <v>1387</v>
      </c>
    </row>
    <row r="541" spans="2:66" ht="12.9" customHeight="1">
      <c r="B541" s="1364"/>
      <c r="C541" s="1365"/>
      <c r="D541" s="1365"/>
      <c r="E541" s="1365"/>
      <c r="F541" s="1365"/>
      <c r="G541" s="1365"/>
      <c r="H541" s="1366"/>
      <c r="I541" t="s">
        <v>44</v>
      </c>
      <c r="AC541" s="1357" t="s">
        <v>820</v>
      </c>
      <c r="AD541" s="1330"/>
      <c r="AE541" s="1330"/>
      <c r="AF541" s="1330"/>
      <c r="AG541" s="30" t="s">
        <v>1343</v>
      </c>
      <c r="AH541" s="1394"/>
      <c r="AI541" s="1394"/>
      <c r="AJ541" s="1394"/>
      <c r="AK541" s="1395"/>
      <c r="AZ541" s="3"/>
      <c r="BA541" s="3"/>
      <c r="BB541" s="3"/>
      <c r="BC541" s="3"/>
      <c r="BD541" s="3"/>
      <c r="BE541" s="3"/>
      <c r="BF541" s="3"/>
      <c r="BG541" s="3"/>
      <c r="BH541" s="3"/>
      <c r="BI541" s="3"/>
      <c r="BJ541" s="3"/>
      <c r="BK541" s="3"/>
      <c r="BL541" s="3"/>
      <c r="BM541" s="3"/>
      <c r="BN541" s="3" t="s">
        <v>1388</v>
      </c>
    </row>
    <row r="542" spans="2:66" ht="12.9" customHeight="1">
      <c r="B542" s="1364"/>
      <c r="C542" s="1365"/>
      <c r="D542" s="1365"/>
      <c r="E542" s="1365"/>
      <c r="F542" s="1365"/>
      <c r="G542" s="1365"/>
      <c r="H542" s="1366"/>
      <c r="I542" s="40" t="s">
        <v>1375</v>
      </c>
      <c r="J542" s="40"/>
      <c r="K542" s="40"/>
      <c r="L542" s="40"/>
      <c r="M542" s="40"/>
      <c r="N542" s="40"/>
      <c r="O542" s="40"/>
      <c r="P542" s="40"/>
      <c r="Q542" s="40"/>
      <c r="R542" s="40"/>
      <c r="S542" s="40"/>
      <c r="T542" s="40"/>
      <c r="U542" s="40"/>
      <c r="V542" s="40"/>
      <c r="W542" s="40"/>
      <c r="X542" s="40"/>
      <c r="Y542" s="40"/>
      <c r="Z542" s="40"/>
      <c r="AA542" s="40"/>
      <c r="AB542" s="40"/>
      <c r="AC542" s="1357" t="s">
        <v>820</v>
      </c>
      <c r="AD542" s="1330"/>
      <c r="AE542" s="1330"/>
      <c r="AF542" s="1330"/>
      <c r="AG542" s="12" t="s">
        <v>1343</v>
      </c>
      <c r="AH542" s="1394"/>
      <c r="AI542" s="1394"/>
      <c r="AJ542" s="1394"/>
      <c r="AK542" s="1395"/>
      <c r="AZ542" s="3"/>
      <c r="BA542" s="3"/>
      <c r="BB542" s="3"/>
      <c r="BC542" s="3"/>
      <c r="BD542" s="3"/>
      <c r="BE542" s="3"/>
      <c r="BF542" s="3"/>
      <c r="BG542" s="3"/>
      <c r="BH542" s="3"/>
      <c r="BI542" s="3"/>
      <c r="BJ542" s="3"/>
      <c r="BK542" s="3"/>
      <c r="BL542" s="3"/>
      <c r="BM542" s="3"/>
      <c r="BN542" s="3" t="s">
        <v>1389</v>
      </c>
    </row>
    <row r="543" spans="2:66" ht="12.9" customHeight="1">
      <c r="B543" s="1364"/>
      <c r="C543" s="1365"/>
      <c r="D543" s="1365"/>
      <c r="E543" s="1365"/>
      <c r="F543" s="1365"/>
      <c r="G543" s="1365"/>
      <c r="H543" s="1366"/>
      <c r="I543" s="34" t="s">
        <v>1377</v>
      </c>
      <c r="J543" s="34"/>
      <c r="K543" s="34"/>
      <c r="L543" s="34"/>
      <c r="M543" s="34"/>
      <c r="N543" s="34"/>
      <c r="O543" s="1398" t="s">
        <v>1354</v>
      </c>
      <c r="P543" s="1399"/>
      <c r="Q543" s="1399"/>
      <c r="R543" s="1399"/>
      <c r="S543" s="1399"/>
      <c r="T543" s="1399"/>
      <c r="U543" s="1399"/>
      <c r="V543" s="1399"/>
      <c r="W543" s="1399"/>
      <c r="X543" s="1399"/>
      <c r="Y543" s="1399"/>
      <c r="Z543" s="1399"/>
      <c r="AA543" s="1399"/>
      <c r="AC543" s="1357" t="s">
        <v>820</v>
      </c>
      <c r="AD543" s="1330"/>
      <c r="AE543" s="1330"/>
      <c r="AF543" s="1330"/>
      <c r="AG543" s="30" t="s">
        <v>1343</v>
      </c>
      <c r="AH543" s="1394"/>
      <c r="AI543" s="1394"/>
      <c r="AJ543" s="1394"/>
      <c r="AK543" s="1395"/>
      <c r="AZ543" s="3"/>
      <c r="BA543" s="3"/>
      <c r="BB543" s="3"/>
      <c r="BC543" s="3"/>
      <c r="BD543" s="3"/>
      <c r="BE543" s="3"/>
      <c r="BF543" s="3"/>
      <c r="BG543" s="3"/>
      <c r="BH543" s="3"/>
      <c r="BI543" s="3"/>
      <c r="BJ543" s="3"/>
      <c r="BK543" s="3"/>
      <c r="BL543" s="3"/>
      <c r="BM543" s="3"/>
      <c r="BN543" s="3" t="s">
        <v>1390</v>
      </c>
    </row>
    <row r="544" spans="2:66" ht="12.9" customHeight="1">
      <c r="B544" s="1364"/>
      <c r="C544" s="1365"/>
      <c r="D544" s="1365"/>
      <c r="E544" s="1365"/>
      <c r="F544" s="1365"/>
      <c r="G544" s="1365"/>
      <c r="H544" s="1366"/>
      <c r="I544" t="s">
        <v>44</v>
      </c>
      <c r="AC544" s="1357" t="s">
        <v>820</v>
      </c>
      <c r="AD544" s="1330"/>
      <c r="AE544" s="1330"/>
      <c r="AF544" s="1330"/>
      <c r="AG544" s="12" t="s">
        <v>1343</v>
      </c>
      <c r="AH544" s="1394"/>
      <c r="AI544" s="1394"/>
      <c r="AJ544" s="1394"/>
      <c r="AK544" s="1395"/>
      <c r="AZ544" s="3"/>
      <c r="BA544" s="3"/>
      <c r="BB544" s="3"/>
      <c r="BC544" s="3"/>
      <c r="BD544" s="3"/>
      <c r="BE544" s="3"/>
      <c r="BF544" s="3"/>
      <c r="BG544" s="3"/>
      <c r="BH544" s="3"/>
      <c r="BI544" s="3"/>
      <c r="BJ544" s="3"/>
      <c r="BK544" s="3"/>
      <c r="BL544" s="3"/>
      <c r="BM544" s="3"/>
      <c r="BN544" s="3" t="s">
        <v>1391</v>
      </c>
    </row>
    <row r="545" spans="1:66" ht="12.9" customHeight="1">
      <c r="B545" s="1364"/>
      <c r="C545" s="1365"/>
      <c r="D545" s="1365"/>
      <c r="E545" s="1365"/>
      <c r="F545" s="1365"/>
      <c r="G545" s="1365"/>
      <c r="H545" s="1366"/>
      <c r="I545" s="40" t="s">
        <v>1375</v>
      </c>
      <c r="J545" s="40"/>
      <c r="K545" s="40"/>
      <c r="L545" s="40"/>
      <c r="M545" s="40"/>
      <c r="N545" s="40"/>
      <c r="O545" s="40"/>
      <c r="P545" s="40"/>
      <c r="Q545" s="40"/>
      <c r="R545" s="40"/>
      <c r="S545" s="40"/>
      <c r="T545" s="40"/>
      <c r="U545" s="40"/>
      <c r="V545" s="40"/>
      <c r="W545" s="40"/>
      <c r="X545" s="40"/>
      <c r="Y545" s="40"/>
      <c r="Z545" s="40"/>
      <c r="AA545" s="40"/>
      <c r="AB545" s="40"/>
      <c r="AC545" s="1357" t="s">
        <v>820</v>
      </c>
      <c r="AD545" s="1330"/>
      <c r="AE545" s="1330"/>
      <c r="AF545" s="1330"/>
      <c r="AG545" s="30" t="s">
        <v>1343</v>
      </c>
      <c r="AH545" s="1394"/>
      <c r="AI545" s="1394"/>
      <c r="AJ545" s="1394"/>
      <c r="AK545" s="1395"/>
      <c r="AZ545" s="3"/>
      <c r="BA545" s="3"/>
      <c r="BB545" s="3"/>
      <c r="BC545" s="3"/>
      <c r="BD545" s="3"/>
      <c r="BE545" s="3"/>
      <c r="BF545" s="3"/>
      <c r="BG545" s="3"/>
      <c r="BH545" s="3"/>
      <c r="BI545" s="3"/>
      <c r="BJ545" s="3"/>
      <c r="BK545" s="3"/>
      <c r="BL545" s="3"/>
      <c r="BM545" s="3"/>
      <c r="BN545" s="3" t="s">
        <v>1392</v>
      </c>
    </row>
    <row r="546" spans="1:66" ht="12.9" customHeight="1">
      <c r="B546" s="1364"/>
      <c r="C546" s="1365"/>
      <c r="D546" s="1365"/>
      <c r="E546" s="1365"/>
      <c r="F546" s="1365"/>
      <c r="G546" s="1365"/>
      <c r="H546" s="1366"/>
      <c r="I546" s="34" t="s">
        <v>1393</v>
      </c>
      <c r="J546" s="34"/>
      <c r="K546" s="34"/>
      <c r="L546" s="34"/>
      <c r="M546" s="34"/>
      <c r="N546" s="34"/>
      <c r="O546" s="34"/>
      <c r="P546" s="34"/>
      <c r="Q546" s="34"/>
      <c r="R546" s="34"/>
      <c r="S546" s="34"/>
      <c r="T546" s="34"/>
      <c r="U546" s="34"/>
      <c r="V546" s="34"/>
      <c r="W546" s="34"/>
      <c r="AC546" s="1357">
        <v>9</v>
      </c>
      <c r="AD546" s="1330"/>
      <c r="AE546" s="1330"/>
      <c r="AF546" s="1330"/>
      <c r="AG546" s="30" t="s">
        <v>1343</v>
      </c>
      <c r="AH546" s="1394">
        <v>2026</v>
      </c>
      <c r="AI546" s="1394"/>
      <c r="AJ546" s="1394"/>
      <c r="AK546" s="1395"/>
      <c r="AZ546" s="3"/>
      <c r="BA546" s="3"/>
      <c r="BB546" s="3"/>
      <c r="BC546" s="3"/>
      <c r="BD546" s="3"/>
      <c r="BE546" s="3"/>
      <c r="BF546" s="3"/>
      <c r="BG546" s="3"/>
      <c r="BH546" s="3"/>
      <c r="BI546" s="3"/>
      <c r="BJ546" s="3"/>
      <c r="BK546" s="3"/>
      <c r="BL546" s="3"/>
      <c r="BM546" s="3"/>
      <c r="BN546" s="3"/>
    </row>
    <row r="547" spans="1:66" ht="12.9" customHeight="1">
      <c r="B547" s="1364"/>
      <c r="C547" s="1365"/>
      <c r="D547" s="1365"/>
      <c r="E547" s="1365"/>
      <c r="F547" s="1365"/>
      <c r="G547" s="1365"/>
      <c r="H547" s="1366"/>
      <c r="I547" t="s">
        <v>1394</v>
      </c>
      <c r="AC547" s="1357">
        <v>9</v>
      </c>
      <c r="AD547" s="1330"/>
      <c r="AE547" s="1330"/>
      <c r="AF547" s="1330"/>
      <c r="AG547" s="12" t="s">
        <v>1343</v>
      </c>
      <c r="AH547" s="1394">
        <v>2026</v>
      </c>
      <c r="AI547" s="1394"/>
      <c r="AJ547" s="1394"/>
      <c r="AK547" s="1395"/>
      <c r="AZ547" s="3"/>
      <c r="BA547" s="3"/>
      <c r="BB547" s="3"/>
      <c r="BC547" s="3"/>
      <c r="BD547" s="3"/>
      <c r="BE547" s="3"/>
      <c r="BF547" s="3"/>
      <c r="BG547" s="3"/>
      <c r="BH547" s="3"/>
      <c r="BI547" s="3"/>
      <c r="BJ547" s="3"/>
      <c r="BK547" s="3"/>
      <c r="BL547" s="3"/>
      <c r="BM547" s="3"/>
      <c r="BN547" s="3"/>
    </row>
    <row r="548" spans="1:66" ht="12.9" customHeight="1">
      <c r="B548" s="1364"/>
      <c r="C548" s="1365"/>
      <c r="D548" s="1365"/>
      <c r="E548" s="1365"/>
      <c r="F548" s="1365"/>
      <c r="G548" s="1365"/>
      <c r="H548" s="1366"/>
      <c r="I548" t="s">
        <v>1395</v>
      </c>
      <c r="AC548" s="1357">
        <v>12</v>
      </c>
      <c r="AD548" s="1330"/>
      <c r="AE548" s="1330"/>
      <c r="AF548" s="1330"/>
      <c r="AG548" s="30" t="s">
        <v>1343</v>
      </c>
      <c r="AH548" s="1394">
        <v>2027</v>
      </c>
      <c r="AI548" s="1394"/>
      <c r="AJ548" s="1394"/>
      <c r="AK548" s="1395"/>
      <c r="AZ548" s="3"/>
      <c r="BA548" s="3"/>
      <c r="BB548" s="3"/>
      <c r="BC548" s="3"/>
      <c r="BD548" s="3"/>
      <c r="BE548" s="3"/>
      <c r="BF548" s="3"/>
      <c r="BG548" s="3"/>
      <c r="BH548" s="3"/>
      <c r="BI548" s="3"/>
      <c r="BJ548" s="3"/>
      <c r="BK548" s="3"/>
      <c r="BL548" s="3"/>
      <c r="BM548" s="3"/>
      <c r="BN548" s="3"/>
    </row>
    <row r="549" spans="1:66" ht="12.9" customHeight="1">
      <c r="B549" s="1364"/>
      <c r="C549" s="1365"/>
      <c r="D549" s="1365"/>
      <c r="E549" s="1365"/>
      <c r="F549" s="1365"/>
      <c r="G549" s="1365"/>
      <c r="H549" s="1366"/>
      <c r="I549" t="s">
        <v>1396</v>
      </c>
      <c r="AC549" s="1357">
        <v>10</v>
      </c>
      <c r="AD549" s="1330"/>
      <c r="AE549" s="1330"/>
      <c r="AF549" s="1330"/>
      <c r="AG549" s="30" t="s">
        <v>1343</v>
      </c>
      <c r="AH549" s="1394">
        <v>2026</v>
      </c>
      <c r="AI549" s="1394"/>
      <c r="AJ549" s="1394"/>
      <c r="AK549" s="1395"/>
      <c r="AZ549" s="3"/>
      <c r="BA549" s="3"/>
      <c r="BB549" s="3"/>
      <c r="BC549" s="3"/>
      <c r="BD549" s="3"/>
      <c r="BE549" s="3"/>
      <c r="BF549" s="3"/>
      <c r="BG549" s="3"/>
      <c r="BH549" s="3"/>
      <c r="BI549" s="3"/>
      <c r="BJ549" s="3"/>
      <c r="BK549" s="3"/>
      <c r="BL549" s="3"/>
      <c r="BM549" s="3"/>
      <c r="BN549" s="3"/>
    </row>
    <row r="550" spans="1:66" ht="12.9" customHeight="1">
      <c r="B550" s="1367"/>
      <c r="C550" s="1368"/>
      <c r="D550" s="1368"/>
      <c r="E550" s="1368"/>
      <c r="F550" s="1368"/>
      <c r="G550" s="1368"/>
      <c r="H550" s="1369"/>
      <c r="I550" s="40" t="s">
        <v>1397</v>
      </c>
      <c r="J550" s="40"/>
      <c r="K550" s="40"/>
      <c r="L550" s="40"/>
      <c r="M550" s="40"/>
      <c r="N550" s="40"/>
      <c r="O550" s="40"/>
      <c r="P550" s="40"/>
      <c r="Q550" s="40"/>
      <c r="R550" s="40"/>
      <c r="S550" s="40"/>
      <c r="T550" s="40"/>
      <c r="U550" s="40"/>
      <c r="V550" s="40"/>
      <c r="W550" s="40"/>
      <c r="X550" s="40"/>
      <c r="Y550" s="40"/>
      <c r="Z550" s="40"/>
      <c r="AA550" s="40"/>
      <c r="AB550" s="40"/>
      <c r="AC550" s="1357">
        <v>10</v>
      </c>
      <c r="AD550" s="1330"/>
      <c r="AE550" s="1330"/>
      <c r="AF550" s="1330"/>
      <c r="AG550" s="30" t="s">
        <v>1343</v>
      </c>
      <c r="AH550" s="1394">
        <v>2026</v>
      </c>
      <c r="AI550" s="1394"/>
      <c r="AJ550" s="1394"/>
      <c r="AK550" s="1395"/>
      <c r="BB550" s="3"/>
      <c r="BC550" s="3"/>
      <c r="BD550" s="3"/>
      <c r="BE550" s="3"/>
      <c r="BF550" s="3"/>
      <c r="BG550" s="3"/>
      <c r="BH550" s="3" t="s">
        <v>18</v>
      </c>
      <c r="BI550" s="3" t="str">
        <f>N657</f>
        <v>Yes</v>
      </c>
      <c r="BJ550" s="3"/>
      <c r="BK550" s="3"/>
      <c r="BL550" s="3"/>
      <c r="BM550" s="3"/>
      <c r="BN550" s="3"/>
    </row>
    <row r="551" spans="1:66" ht="12.9"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 customHeight="1">
      <c r="A552" s="1238" t="s">
        <v>1398</v>
      </c>
      <c r="B552" s="1238"/>
      <c r="C552" s="1238"/>
      <c r="D552" s="1238"/>
      <c r="E552" s="1238"/>
      <c r="F552" s="1238"/>
      <c r="G552" s="1238"/>
      <c r="H552" s="1238"/>
      <c r="I552" s="1238"/>
      <c r="J552" s="1238"/>
      <c r="K552" s="1238"/>
      <c r="L552" s="1238"/>
      <c r="M552" s="1238"/>
      <c r="N552" s="1238"/>
      <c r="O552" s="1238"/>
      <c r="P552" s="1238"/>
      <c r="Q552" s="1238"/>
      <c r="R552" s="1238"/>
      <c r="S552" s="1238"/>
      <c r="T552" s="1238"/>
      <c r="U552" s="1238"/>
      <c r="V552" s="1238"/>
      <c r="W552" s="1238"/>
      <c r="X552" s="1238"/>
      <c r="Y552" s="1238"/>
      <c r="Z552" s="1238"/>
      <c r="AA552" s="1238"/>
      <c r="AB552" s="1238"/>
      <c r="AC552" s="1238"/>
      <c r="AD552" s="1238"/>
      <c r="AE552" s="1238"/>
      <c r="AF552" s="1238"/>
      <c r="AG552" s="1238"/>
      <c r="AH552" s="1238"/>
      <c r="AI552" s="1238"/>
      <c r="AJ552" s="1238"/>
      <c r="AK552" s="1238"/>
      <c r="AL552" s="1238"/>
      <c r="AM552" s="1238"/>
      <c r="AN552" s="1238"/>
      <c r="AO552" s="1238"/>
      <c r="AP552" s="1238"/>
      <c r="AQ552" s="1238"/>
      <c r="AR552" s="1238"/>
      <c r="AS552" s="1238"/>
      <c r="AT552" s="1238"/>
      <c r="AU552" s="791"/>
      <c r="AV552" s="791"/>
      <c r="AW552" s="791"/>
      <c r="AX552" s="791"/>
      <c r="AY552" s="791"/>
      <c r="BB552" s="3"/>
      <c r="BC552" s="3"/>
      <c r="BD552" s="3"/>
      <c r="BE552" s="3"/>
      <c r="BF552" s="3"/>
      <c r="BG552" s="3"/>
      <c r="BH552" s="3"/>
      <c r="BI552" s="3"/>
      <c r="BJ552" s="3"/>
      <c r="BK552" s="3"/>
      <c r="BL552" s="3"/>
      <c r="BM552" s="3"/>
      <c r="BN552" s="3"/>
    </row>
    <row r="553" spans="1:66" ht="12.9" customHeight="1">
      <c r="A553" s="1238"/>
      <c r="B553" s="1238"/>
      <c r="C553" s="1238"/>
      <c r="D553" s="1238"/>
      <c r="E553" s="1238"/>
      <c r="F553" s="1238"/>
      <c r="G553" s="1238"/>
      <c r="H553" s="1238"/>
      <c r="I553" s="1238"/>
      <c r="J553" s="1238"/>
      <c r="K553" s="1238"/>
      <c r="L553" s="1238"/>
      <c r="M553" s="1238"/>
      <c r="N553" s="1238"/>
      <c r="O553" s="1238"/>
      <c r="P553" s="1238"/>
      <c r="Q553" s="1238"/>
      <c r="R553" s="1238"/>
      <c r="S553" s="1238"/>
      <c r="T553" s="1238"/>
      <c r="U553" s="1238"/>
      <c r="V553" s="1238"/>
      <c r="W553" s="1238"/>
      <c r="X553" s="1238"/>
      <c r="Y553" s="1238"/>
      <c r="Z553" s="1238"/>
      <c r="AA553" s="1238"/>
      <c r="AB553" s="1238"/>
      <c r="AC553" s="1238"/>
      <c r="AD553" s="1238"/>
      <c r="AE553" s="1238"/>
      <c r="AF553" s="1238"/>
      <c r="AG553" s="1238"/>
      <c r="AH553" s="1238"/>
      <c r="AI553" s="1238"/>
      <c r="AJ553" s="1238"/>
      <c r="AK553" s="1238"/>
      <c r="AL553" s="1238"/>
      <c r="AM553" s="1238"/>
      <c r="AN553" s="1238"/>
      <c r="AO553" s="1238"/>
      <c r="AP553" s="1238"/>
      <c r="AQ553" s="1238"/>
      <c r="AR553" s="1238"/>
      <c r="AS553" s="1238"/>
      <c r="AT553" s="1238"/>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881</v>
      </c>
      <c r="B555" s="2"/>
      <c r="C555" s="2" t="s">
        <v>172</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1399</v>
      </c>
      <c r="AC557" s="73"/>
      <c r="BB557" s="3"/>
      <c r="BC557" s="3"/>
      <c r="BD557" s="3"/>
      <c r="BE557" s="3"/>
      <c r="BF557" s="3"/>
      <c r="BG557" s="3"/>
      <c r="BH557" s="3"/>
      <c r="BI557" s="3"/>
    </row>
    <row r="558" spans="1:66" ht="12.9" customHeight="1">
      <c r="B558" s="412"/>
      <c r="BB558" s="3"/>
      <c r="BC558" s="3"/>
      <c r="BD558" s="3"/>
      <c r="BE558" s="3"/>
      <c r="BF558" s="3"/>
      <c r="BG558" s="3"/>
      <c r="BH558" s="3" t="s">
        <v>39</v>
      </c>
      <c r="BI558" s="3" t="str">
        <f>N665</f>
        <v>No</v>
      </c>
    </row>
    <row r="559" spans="1:66" ht="12.9" customHeight="1">
      <c r="B559" s="1361" t="s">
        <v>1400</v>
      </c>
      <c r="C559" s="1362"/>
      <c r="D559" s="1362"/>
      <c r="E559" s="1362"/>
      <c r="F559" s="1362"/>
      <c r="G559" s="1362"/>
      <c r="H559" s="1362"/>
      <c r="I559" s="1362"/>
      <c r="J559" s="1362"/>
      <c r="K559" s="1362"/>
      <c r="L559" s="1363"/>
      <c r="M559" s="1361" t="s">
        <v>1401</v>
      </c>
      <c r="N559" s="1362"/>
      <c r="O559" s="1362"/>
      <c r="P559" s="1363"/>
      <c r="Q559" s="1361" t="s">
        <v>1402</v>
      </c>
      <c r="R559" s="1362"/>
      <c r="S559" s="1363"/>
      <c r="T559" s="1361" t="s">
        <v>1403</v>
      </c>
      <c r="U559" s="1362"/>
      <c r="V559" s="1363"/>
      <c r="W559" s="1361" t="s">
        <v>1404</v>
      </c>
      <c r="X559" s="1362"/>
      <c r="Y559" s="1363"/>
      <c r="Z559" s="1361" t="s">
        <v>1405</v>
      </c>
      <c r="AA559" s="1362"/>
      <c r="AB559" s="1362"/>
      <c r="AC559" s="1362"/>
      <c r="AD559" s="1363"/>
      <c r="AE559" s="1361" t="s">
        <v>1406</v>
      </c>
      <c r="AF559" s="1362"/>
      <c r="AG559" s="1362"/>
      <c r="AH559" s="1363"/>
      <c r="AI559" s="1361" t="s">
        <v>1407</v>
      </c>
      <c r="AJ559" s="1362"/>
      <c r="AK559" s="1362"/>
      <c r="AL559" s="1363"/>
      <c r="AM559" s="1361" t="s">
        <v>1408</v>
      </c>
      <c r="AN559" s="1362"/>
      <c r="AO559" s="1362"/>
      <c r="AP559" s="1362"/>
      <c r="AQ559" s="1362"/>
      <c r="AR559" s="1362"/>
      <c r="AS559" s="1363"/>
      <c r="BB559" s="3"/>
      <c r="BC559" s="3"/>
      <c r="BD559" s="3"/>
      <c r="BE559" s="3"/>
      <c r="BF559" s="3"/>
      <c r="BG559" s="3"/>
      <c r="BH559" s="3" t="s">
        <v>82</v>
      </c>
      <c r="BI559" s="3" t="str">
        <f>AG665</f>
        <v>No</v>
      </c>
    </row>
    <row r="560" spans="1:66" ht="12.9" customHeight="1">
      <c r="B560" s="1364"/>
      <c r="C560" s="1365"/>
      <c r="D560" s="1365"/>
      <c r="E560" s="1365"/>
      <c r="F560" s="1365"/>
      <c r="G560" s="1365"/>
      <c r="H560" s="1365"/>
      <c r="I560" s="1365"/>
      <c r="J560" s="1365"/>
      <c r="K560" s="1365"/>
      <c r="L560" s="1366"/>
      <c r="M560" s="1364"/>
      <c r="N560" s="1365"/>
      <c r="O560" s="1365"/>
      <c r="P560" s="1366"/>
      <c r="Q560" s="1364"/>
      <c r="R560" s="1365"/>
      <c r="S560" s="1366"/>
      <c r="T560" s="1364"/>
      <c r="U560" s="1365"/>
      <c r="V560" s="1366"/>
      <c r="W560" s="1364"/>
      <c r="X560" s="1365"/>
      <c r="Y560" s="1366"/>
      <c r="Z560" s="1364"/>
      <c r="AA560" s="1365"/>
      <c r="AB560" s="1365"/>
      <c r="AC560" s="1365"/>
      <c r="AD560" s="1366"/>
      <c r="AE560" s="1364"/>
      <c r="AF560" s="1365"/>
      <c r="AG560" s="1365"/>
      <c r="AH560" s="1366"/>
      <c r="AI560" s="1364"/>
      <c r="AJ560" s="1365"/>
      <c r="AK560" s="1365"/>
      <c r="AL560" s="1366"/>
      <c r="AM560" s="1364"/>
      <c r="AN560" s="1365"/>
      <c r="AO560" s="1365"/>
      <c r="AP560" s="1365"/>
      <c r="AQ560" s="1365"/>
      <c r="AR560" s="1365"/>
      <c r="AS560" s="1366"/>
      <c r="AU560" s="1029"/>
      <c r="BB560" s="3"/>
      <c r="BC560" s="3"/>
      <c r="BD560" s="3"/>
      <c r="BE560" s="3"/>
      <c r="BF560" s="3"/>
      <c r="BG560" s="3"/>
      <c r="BH560" s="3"/>
      <c r="BI560" s="3"/>
    </row>
    <row r="561" spans="1:61" ht="12.9" customHeight="1">
      <c r="B561" s="1367"/>
      <c r="C561" s="1368"/>
      <c r="D561" s="1368"/>
      <c r="E561" s="1368"/>
      <c r="F561" s="1368"/>
      <c r="G561" s="1368"/>
      <c r="H561" s="1368"/>
      <c r="I561" s="1368"/>
      <c r="J561" s="1368"/>
      <c r="K561" s="1368"/>
      <c r="L561" s="1369"/>
      <c r="M561" s="1367"/>
      <c r="N561" s="1368"/>
      <c r="O561" s="1368"/>
      <c r="P561" s="1369"/>
      <c r="Q561" s="1367"/>
      <c r="R561" s="1368"/>
      <c r="S561" s="1369"/>
      <c r="T561" s="1367"/>
      <c r="U561" s="1368"/>
      <c r="V561" s="1369"/>
      <c r="W561" s="1367"/>
      <c r="X561" s="1368"/>
      <c r="Y561" s="1369"/>
      <c r="Z561" s="1367"/>
      <c r="AA561" s="1368"/>
      <c r="AB561" s="1368"/>
      <c r="AC561" s="1368"/>
      <c r="AD561" s="1369"/>
      <c r="AE561" s="1367"/>
      <c r="AF561" s="1368"/>
      <c r="AG561" s="1368"/>
      <c r="AH561" s="1369"/>
      <c r="AI561" s="1367"/>
      <c r="AJ561" s="1368"/>
      <c r="AK561" s="1368"/>
      <c r="AL561" s="1369"/>
      <c r="AM561" s="1367"/>
      <c r="AN561" s="1368"/>
      <c r="AO561" s="1368"/>
      <c r="AP561" s="1368"/>
      <c r="AQ561" s="1368"/>
      <c r="AR561" s="1368"/>
      <c r="AS561" s="1369"/>
      <c r="AU561" s="1029"/>
      <c r="BB561" s="3"/>
      <c r="BC561" s="3"/>
      <c r="BD561" s="3"/>
      <c r="BE561" s="3"/>
      <c r="BF561" s="3"/>
      <c r="BG561" s="3"/>
      <c r="BH561" s="3"/>
      <c r="BI561" s="3"/>
    </row>
    <row r="562" spans="1:61" ht="12.9" customHeight="1">
      <c r="B562" s="43" t="s">
        <v>18</v>
      </c>
      <c r="C562" s="1404" t="s">
        <v>1409</v>
      </c>
      <c r="D562" s="1404"/>
      <c r="E562" s="1404"/>
      <c r="F562" s="1404"/>
      <c r="G562" s="1404"/>
      <c r="H562" s="1404"/>
      <c r="I562" s="1404"/>
      <c r="J562" s="1404"/>
      <c r="K562" s="1404"/>
      <c r="L562" s="1404"/>
      <c r="M562" s="1404" t="s">
        <v>1383</v>
      </c>
      <c r="N562" s="1404"/>
      <c r="O562" s="1404"/>
      <c r="P562" s="1404"/>
      <c r="Q562" s="1392"/>
      <c r="R562" s="1392"/>
      <c r="S562" s="1393"/>
      <c r="T562" s="1391"/>
      <c r="U562" s="1392"/>
      <c r="V562" s="1393"/>
      <c r="W562" s="1388">
        <v>5.9900000000000002E-2</v>
      </c>
      <c r="X562" s="1389"/>
      <c r="Y562" s="1390"/>
      <c r="Z562" s="1397" t="s">
        <v>1410</v>
      </c>
      <c r="AA562" s="1397"/>
      <c r="AB562" s="1397"/>
      <c r="AC562" s="1397"/>
      <c r="AD562" s="1397"/>
      <c r="AE562" s="1377">
        <v>1</v>
      </c>
      <c r="AF562" s="1378"/>
      <c r="AG562" s="1378"/>
      <c r="AH562" s="1379"/>
      <c r="AI562" s="1401"/>
      <c r="AJ562" s="1402"/>
      <c r="AK562" s="1402"/>
      <c r="AL562" s="1403"/>
      <c r="AM562" s="1430">
        <v>22306185</v>
      </c>
      <c r="AN562" s="1431"/>
      <c r="AO562" s="1431"/>
      <c r="AP562" s="1431"/>
      <c r="AQ562" s="1431"/>
      <c r="AR562" s="1431"/>
      <c r="AS562" s="1432"/>
      <c r="AT562" s="1030"/>
      <c r="AU562" s="1029"/>
      <c r="BB562" s="3"/>
      <c r="BC562" s="3"/>
      <c r="BD562" s="3"/>
      <c r="BE562" s="3"/>
      <c r="BF562" s="3"/>
      <c r="BG562" s="3"/>
      <c r="BH562" s="3"/>
      <c r="BI562" s="3"/>
    </row>
    <row r="563" spans="1:61" ht="12.9" customHeight="1">
      <c r="B563" s="44" t="s">
        <v>31</v>
      </c>
      <c r="C563" s="1405" t="s">
        <v>2773</v>
      </c>
      <c r="D563" s="1405"/>
      <c r="E563" s="1405"/>
      <c r="F563" s="1405"/>
      <c r="G563" s="1405"/>
      <c r="H563" s="1405"/>
      <c r="I563" s="1405"/>
      <c r="J563" s="1405"/>
      <c r="K563" s="1405"/>
      <c r="L563" s="1405"/>
      <c r="M563" s="1404" t="s">
        <v>1382</v>
      </c>
      <c r="N563" s="1404"/>
      <c r="O563" s="1404"/>
      <c r="P563" s="1404"/>
      <c r="Q563" s="1391"/>
      <c r="R563" s="1392"/>
      <c r="S563" s="1393"/>
      <c r="T563" s="1391"/>
      <c r="U563" s="1392"/>
      <c r="V563" s="1393"/>
      <c r="W563" s="1388">
        <v>5.9900000000000002E-2</v>
      </c>
      <c r="X563" s="1389"/>
      <c r="Y563" s="1390"/>
      <c r="Z563" s="1397" t="s">
        <v>1410</v>
      </c>
      <c r="AA563" s="1397"/>
      <c r="AB563" s="1397"/>
      <c r="AC563" s="1397"/>
      <c r="AD563" s="1397"/>
      <c r="AE563" s="1377">
        <v>2</v>
      </c>
      <c r="AF563" s="1378"/>
      <c r="AG563" s="1378"/>
      <c r="AH563" s="1379"/>
      <c r="AI563" s="1401"/>
      <c r="AJ563" s="1402"/>
      <c r="AK563" s="1402"/>
      <c r="AL563" s="1403"/>
      <c r="AM563" s="1430">
        <v>28500000</v>
      </c>
      <c r="AN563" s="1431"/>
      <c r="AO563" s="1431"/>
      <c r="AP563" s="1431"/>
      <c r="AQ563" s="1431"/>
      <c r="AR563" s="1431"/>
      <c r="AS563" s="1432"/>
      <c r="AT563" s="1030" t="str">
        <f>IF(AND(NOT(C562=""),C563="",NOT(C564="")),"!","")</f>
        <v/>
      </c>
      <c r="AU563" s="1029"/>
      <c r="BB563" s="3"/>
      <c r="BC563" s="3"/>
      <c r="BD563" s="3"/>
      <c r="BE563" s="3"/>
      <c r="BF563" s="3"/>
      <c r="BG563" s="3"/>
      <c r="BH563" s="3"/>
      <c r="BI563" s="3"/>
    </row>
    <row r="564" spans="1:61" ht="12.9" customHeight="1">
      <c r="B564" s="44" t="s">
        <v>39</v>
      </c>
      <c r="C564" s="1405" t="s">
        <v>1411</v>
      </c>
      <c r="D564" s="1405"/>
      <c r="E564" s="1405"/>
      <c r="F564" s="1405"/>
      <c r="G564" s="1405"/>
      <c r="H564" s="1405"/>
      <c r="I564" s="1405"/>
      <c r="J564" s="1405"/>
      <c r="K564" s="1405"/>
      <c r="L564" s="1405"/>
      <c r="M564" s="1404" t="s">
        <v>1378</v>
      </c>
      <c r="N564" s="1404"/>
      <c r="O564" s="1404"/>
      <c r="P564" s="1404"/>
      <c r="Q564" s="1391"/>
      <c r="R564" s="1392"/>
      <c r="S564" s="1393"/>
      <c r="T564" s="1391"/>
      <c r="U564" s="1392"/>
      <c r="V564" s="1393"/>
      <c r="W564" s="1388">
        <v>6.3899999999999998E-2</v>
      </c>
      <c r="X564" s="1389"/>
      <c r="Y564" s="1390"/>
      <c r="Z564" s="1397" t="s">
        <v>1009</v>
      </c>
      <c r="AA564" s="1397"/>
      <c r="AB564" s="1397"/>
      <c r="AC564" s="1397"/>
      <c r="AD564" s="1397"/>
      <c r="AE564" s="1377">
        <v>3</v>
      </c>
      <c r="AF564" s="1378"/>
      <c r="AG564" s="1378"/>
      <c r="AH564" s="1379"/>
      <c r="AI564" s="1401"/>
      <c r="AJ564" s="1402"/>
      <c r="AK564" s="1402"/>
      <c r="AL564" s="1403"/>
      <c r="AM564" s="1430">
        <v>20000000</v>
      </c>
      <c r="AN564" s="1431"/>
      <c r="AO564" s="1431"/>
      <c r="AP564" s="1431"/>
      <c r="AQ564" s="1431"/>
      <c r="AR564" s="1431"/>
      <c r="AS564" s="1432"/>
      <c r="AT564" s="1030" t="str">
        <f>IF(AND(NOT(C563=""),C564="",NOT(C565="")),"!","")</f>
        <v/>
      </c>
      <c r="AU564" s="1029"/>
      <c r="BB564" s="3"/>
      <c r="BC564" s="3"/>
      <c r="BD564" s="3"/>
      <c r="BE564" s="3"/>
      <c r="BF564" s="3"/>
      <c r="BG564" s="3"/>
      <c r="BH564" s="3"/>
      <c r="BI564" s="3"/>
    </row>
    <row r="565" spans="1:61" ht="12.9" customHeight="1">
      <c r="B565" s="44" t="s">
        <v>82</v>
      </c>
      <c r="C565" s="1405" t="s">
        <v>1412</v>
      </c>
      <c r="D565" s="1405"/>
      <c r="E565" s="1405"/>
      <c r="F565" s="1405"/>
      <c r="G565" s="1405"/>
      <c r="H565" s="1405"/>
      <c r="I565" s="1405"/>
      <c r="J565" s="1405"/>
      <c r="K565" s="1405"/>
      <c r="L565" s="1405"/>
      <c r="M565" s="1404" t="s">
        <v>1385</v>
      </c>
      <c r="N565" s="1404"/>
      <c r="O565" s="1404"/>
      <c r="P565" s="1404"/>
      <c r="Q565" s="1391"/>
      <c r="R565" s="1392"/>
      <c r="S565" s="1393"/>
      <c r="T565" s="1391"/>
      <c r="U565" s="1392"/>
      <c r="V565" s="1393"/>
      <c r="W565" s="1388"/>
      <c r="X565" s="1389"/>
      <c r="Y565" s="1390"/>
      <c r="Z565" s="1397" t="s">
        <v>1009</v>
      </c>
      <c r="AA565" s="1397"/>
      <c r="AB565" s="1397"/>
      <c r="AC565" s="1397"/>
      <c r="AD565" s="1397"/>
      <c r="AE565" s="1377"/>
      <c r="AF565" s="1378"/>
      <c r="AG565" s="1378"/>
      <c r="AH565" s="1379"/>
      <c r="AI565" s="1401"/>
      <c r="AJ565" s="1402"/>
      <c r="AK565" s="1402"/>
      <c r="AL565" s="1403"/>
      <c r="AM565" s="1430">
        <v>2000000</v>
      </c>
      <c r="AN565" s="1431"/>
      <c r="AO565" s="1431"/>
      <c r="AP565" s="1431"/>
      <c r="AQ565" s="1431"/>
      <c r="AR565" s="1431"/>
      <c r="AS565" s="1432"/>
      <c r="AT565" s="1030" t="str">
        <f>IF(AND(NOT(C564=""),C565="",NOT(C566="")),"!","")</f>
        <v/>
      </c>
      <c r="AU565" s="1029"/>
      <c r="BB565" s="3"/>
      <c r="BC565" s="3"/>
      <c r="BD565" s="3"/>
      <c r="BE565" s="3"/>
      <c r="BF565" s="3"/>
      <c r="BG565" s="3"/>
      <c r="BH565" s="3"/>
      <c r="BI565" s="3"/>
    </row>
    <row r="566" spans="1:61" ht="12.9" customHeight="1">
      <c r="B566" s="44" t="s">
        <v>86</v>
      </c>
      <c r="C566" s="1405" t="s">
        <v>1438</v>
      </c>
      <c r="D566" s="1405"/>
      <c r="E566" s="1405"/>
      <c r="F566" s="1405"/>
      <c r="G566" s="1405"/>
      <c r="H566" s="1405"/>
      <c r="I566" s="1405"/>
      <c r="J566" s="1405"/>
      <c r="K566" s="1405"/>
      <c r="L566" s="1405"/>
      <c r="M566" s="1404" t="s">
        <v>1370</v>
      </c>
      <c r="N566" s="1404"/>
      <c r="O566" s="1404"/>
      <c r="P566" s="1404"/>
      <c r="Q566" s="1391"/>
      <c r="R566" s="1392"/>
      <c r="S566" s="1393"/>
      <c r="T566" s="1391"/>
      <c r="U566" s="1392"/>
      <c r="V566" s="1393"/>
      <c r="W566" s="1388"/>
      <c r="X566" s="1389"/>
      <c r="Y566" s="1390"/>
      <c r="Z566" s="1397" t="s">
        <v>1009</v>
      </c>
      <c r="AA566" s="1397"/>
      <c r="AB566" s="1397"/>
      <c r="AC566" s="1397"/>
      <c r="AD566" s="1397"/>
      <c r="AE566" s="1377"/>
      <c r="AF566" s="1378"/>
      <c r="AG566" s="1378"/>
      <c r="AH566" s="1379"/>
      <c r="AI566" s="1401"/>
      <c r="AJ566" s="1402"/>
      <c r="AK566" s="1402"/>
      <c r="AL566" s="1403"/>
      <c r="AM566" s="1430">
        <v>4584565</v>
      </c>
      <c r="AN566" s="1431"/>
      <c r="AO566" s="1431"/>
      <c r="AP566" s="1431"/>
      <c r="AQ566" s="1431"/>
      <c r="AR566" s="1431"/>
      <c r="AS566" s="1432"/>
      <c r="AT566" s="1030" t="str">
        <f t="shared" ref="AT566:AT573" si="2">IF(AND(NOT(C565=""),C566="",NOT(C567="")),"!","")</f>
        <v/>
      </c>
      <c r="AU566" s="1029"/>
      <c r="BB566" s="3"/>
      <c r="BC566" s="3"/>
      <c r="BD566" s="3"/>
      <c r="BE566" s="3"/>
      <c r="BF566" s="3"/>
      <c r="BG566" s="3"/>
      <c r="BH566" s="3" t="s">
        <v>86</v>
      </c>
      <c r="BI566" s="3" t="str">
        <f>N673</f>
        <v>No</v>
      </c>
    </row>
    <row r="567" spans="1:61" ht="12.9" customHeight="1">
      <c r="B567" s="44" t="s">
        <v>1413</v>
      </c>
      <c r="C567" s="1405" t="s">
        <v>1414</v>
      </c>
      <c r="D567" s="1405"/>
      <c r="E567" s="1405"/>
      <c r="F567" s="1405"/>
      <c r="G567" s="1405"/>
      <c r="H567" s="1405"/>
      <c r="I567" s="1405"/>
      <c r="J567" s="1405"/>
      <c r="K567" s="1405"/>
      <c r="L567" s="1405"/>
      <c r="M567" s="1404" t="s">
        <v>1362</v>
      </c>
      <c r="N567" s="1404"/>
      <c r="O567" s="1404"/>
      <c r="P567" s="1404"/>
      <c r="Q567" s="1391"/>
      <c r="R567" s="1392"/>
      <c r="S567" s="1393"/>
      <c r="T567" s="1391"/>
      <c r="U567" s="1392"/>
      <c r="V567" s="1393"/>
      <c r="W567" s="1388"/>
      <c r="X567" s="1389"/>
      <c r="Y567" s="1390"/>
      <c r="Z567" s="1397" t="s">
        <v>1009</v>
      </c>
      <c r="AA567" s="1397"/>
      <c r="AB567" s="1397"/>
      <c r="AC567" s="1397"/>
      <c r="AD567" s="1397"/>
      <c r="AE567" s="1377"/>
      <c r="AF567" s="1378"/>
      <c r="AG567" s="1378"/>
      <c r="AH567" s="1379"/>
      <c r="AI567" s="1401"/>
      <c r="AJ567" s="1402"/>
      <c r="AK567" s="1402"/>
      <c r="AL567" s="1403"/>
      <c r="AM567" s="1430">
        <v>8657664</v>
      </c>
      <c r="AN567" s="1431"/>
      <c r="AO567" s="1431"/>
      <c r="AP567" s="1431"/>
      <c r="AQ567" s="1431"/>
      <c r="AR567" s="1431"/>
      <c r="AS567" s="1432"/>
      <c r="AT567" s="1030" t="str">
        <f t="shared" si="2"/>
        <v/>
      </c>
      <c r="AU567" s="1029"/>
      <c r="BB567" s="3"/>
      <c r="BC567" s="3"/>
      <c r="BD567" s="3"/>
      <c r="BE567" s="3"/>
      <c r="BF567" s="3"/>
      <c r="BG567" s="3"/>
      <c r="BH567" s="3" t="s">
        <v>1413</v>
      </c>
      <c r="BI567" s="3" t="str">
        <f>AG673</f>
        <v>No</v>
      </c>
    </row>
    <row r="568" spans="1:61" ht="12.9" customHeight="1">
      <c r="B568" s="44" t="s">
        <v>1415</v>
      </c>
      <c r="C568" s="1405"/>
      <c r="D568" s="1405"/>
      <c r="E568" s="1405"/>
      <c r="F568" s="1405"/>
      <c r="G568" s="1405"/>
      <c r="H568" s="1405"/>
      <c r="I568" s="1405"/>
      <c r="J568" s="1405"/>
      <c r="K568" s="1405"/>
      <c r="L568" s="1405"/>
      <c r="M568" s="1404" t="s">
        <v>1009</v>
      </c>
      <c r="N568" s="1404"/>
      <c r="O568" s="1404"/>
      <c r="P568" s="1404"/>
      <c r="Q568" s="1391"/>
      <c r="R568" s="1392"/>
      <c r="S568" s="1393"/>
      <c r="T568" s="1391"/>
      <c r="U568" s="1392"/>
      <c r="V568" s="1393"/>
      <c r="W568" s="1388"/>
      <c r="X568" s="1389"/>
      <c r="Y568" s="1390"/>
      <c r="Z568" s="1397" t="s">
        <v>1009</v>
      </c>
      <c r="AA568" s="1397"/>
      <c r="AB568" s="1397"/>
      <c r="AC568" s="1397"/>
      <c r="AD568" s="1397"/>
      <c r="AE568" s="1377"/>
      <c r="AF568" s="1378"/>
      <c r="AG568" s="1378"/>
      <c r="AH568" s="1379"/>
      <c r="AI568" s="1401"/>
      <c r="AJ568" s="1402"/>
      <c r="AK568" s="1402"/>
      <c r="AL568" s="1403"/>
      <c r="AM568" s="1430"/>
      <c r="AN568" s="1431"/>
      <c r="AO568" s="1431"/>
      <c r="AP568" s="1431"/>
      <c r="AQ568" s="1431"/>
      <c r="AR568" s="1431"/>
      <c r="AS568" s="1432"/>
      <c r="AT568" s="1030" t="str">
        <f t="shared" si="2"/>
        <v/>
      </c>
      <c r="AU568" s="1029"/>
      <c r="BB568" s="3"/>
      <c r="BC568" s="3"/>
      <c r="BD568" s="3"/>
      <c r="BE568" s="3"/>
      <c r="BF568" s="3"/>
      <c r="BG568" s="3"/>
      <c r="BH568" s="3"/>
      <c r="BI568" s="3"/>
    </row>
    <row r="569" spans="1:61" ht="12.9" customHeight="1">
      <c r="B569" s="44" t="s">
        <v>1416</v>
      </c>
      <c r="C569" s="1405"/>
      <c r="D569" s="1405"/>
      <c r="E569" s="1405"/>
      <c r="F569" s="1405"/>
      <c r="G569" s="1405"/>
      <c r="H569" s="1405"/>
      <c r="I569" s="1405"/>
      <c r="J569" s="1405"/>
      <c r="K569" s="1405"/>
      <c r="L569" s="1405"/>
      <c r="M569" s="1404" t="s">
        <v>1009</v>
      </c>
      <c r="N569" s="1404"/>
      <c r="O569" s="1404"/>
      <c r="P569" s="1404"/>
      <c r="Q569" s="1391"/>
      <c r="R569" s="1392"/>
      <c r="S569" s="1393"/>
      <c r="T569" s="1391"/>
      <c r="U569" s="1392"/>
      <c r="V569" s="1393"/>
      <c r="W569" s="1388"/>
      <c r="X569" s="1389"/>
      <c r="Y569" s="1390"/>
      <c r="Z569" s="1397" t="s">
        <v>1009</v>
      </c>
      <c r="AA569" s="1397"/>
      <c r="AB569" s="1397"/>
      <c r="AC569" s="1397"/>
      <c r="AD569" s="1397"/>
      <c r="AE569" s="1377"/>
      <c r="AF569" s="1378"/>
      <c r="AG569" s="1378"/>
      <c r="AH569" s="1379"/>
      <c r="AI569" s="1401"/>
      <c r="AJ569" s="1402"/>
      <c r="AK569" s="1402"/>
      <c r="AL569" s="1403"/>
      <c r="AM569" s="1430"/>
      <c r="AN569" s="1431"/>
      <c r="AO569" s="1431"/>
      <c r="AP569" s="1431"/>
      <c r="AQ569" s="1431"/>
      <c r="AR569" s="1431"/>
      <c r="AS569" s="1432"/>
      <c r="AT569" s="1030" t="str">
        <f t="shared" si="2"/>
        <v/>
      </c>
      <c r="AU569" s="1029"/>
      <c r="BB569" s="3"/>
      <c r="BC569" s="3"/>
      <c r="BD569" s="3"/>
      <c r="BE569" s="3"/>
      <c r="BF569" s="3"/>
      <c r="BG569" s="3"/>
      <c r="BH569" s="3"/>
      <c r="BI569" s="3"/>
    </row>
    <row r="570" spans="1:61" ht="12.9" customHeight="1">
      <c r="B570" s="44" t="s">
        <v>1417</v>
      </c>
      <c r="C570" s="1405"/>
      <c r="D570" s="1405"/>
      <c r="E570" s="1405"/>
      <c r="F570" s="1405"/>
      <c r="G570" s="1405"/>
      <c r="H570" s="1405"/>
      <c r="I570" s="1405"/>
      <c r="J570" s="1405"/>
      <c r="K570" s="1405"/>
      <c r="L570" s="1405"/>
      <c r="M570" s="1404" t="s">
        <v>1009</v>
      </c>
      <c r="N570" s="1404"/>
      <c r="O570" s="1404"/>
      <c r="P570" s="1404"/>
      <c r="Q570" s="1391"/>
      <c r="R570" s="1392"/>
      <c r="S570" s="1393"/>
      <c r="T570" s="1391"/>
      <c r="U570" s="1392"/>
      <c r="V570" s="1393"/>
      <c r="W570" s="1388"/>
      <c r="X570" s="1389"/>
      <c r="Y570" s="1390"/>
      <c r="Z570" s="1397" t="s">
        <v>1009</v>
      </c>
      <c r="AA570" s="1397"/>
      <c r="AB570" s="1397"/>
      <c r="AC570" s="1397"/>
      <c r="AD570" s="1397"/>
      <c r="AE570" s="1377"/>
      <c r="AF570" s="1378"/>
      <c r="AG570" s="1378"/>
      <c r="AH570" s="1379"/>
      <c r="AI570" s="1401"/>
      <c r="AJ570" s="1402"/>
      <c r="AK570" s="1402"/>
      <c r="AL570" s="1403"/>
      <c r="AM570" s="1430"/>
      <c r="AN570" s="1431"/>
      <c r="AO570" s="1431"/>
      <c r="AP570" s="1431"/>
      <c r="AQ570" s="1431"/>
      <c r="AR570" s="1431"/>
      <c r="AS570" s="1432"/>
      <c r="AT570" s="1030" t="str">
        <f t="shared" si="2"/>
        <v/>
      </c>
      <c r="AU570" s="1029"/>
      <c r="BB570" s="3"/>
      <c r="BC570" s="3"/>
      <c r="BD570" s="3"/>
      <c r="BE570" s="3"/>
      <c r="BF570" s="3"/>
      <c r="BG570" s="3"/>
      <c r="BH570" s="3"/>
      <c r="BI570" s="3"/>
    </row>
    <row r="571" spans="1:61" ht="12.9" customHeight="1">
      <c r="B571" s="44" t="s">
        <v>1418</v>
      </c>
      <c r="C571" s="1405"/>
      <c r="D571" s="1405"/>
      <c r="E571" s="1405"/>
      <c r="F571" s="1405"/>
      <c r="G571" s="1405"/>
      <c r="H571" s="1405"/>
      <c r="I571" s="1405"/>
      <c r="J571" s="1405"/>
      <c r="K571" s="1405"/>
      <c r="L571" s="1405"/>
      <c r="M571" s="1404" t="s">
        <v>1009</v>
      </c>
      <c r="N571" s="1404"/>
      <c r="O571" s="1404"/>
      <c r="P571" s="1404"/>
      <c r="Q571" s="1391"/>
      <c r="R571" s="1392"/>
      <c r="S571" s="1393"/>
      <c r="T571" s="1391"/>
      <c r="U571" s="1392"/>
      <c r="V571" s="1393"/>
      <c r="W571" s="1388"/>
      <c r="X571" s="1389"/>
      <c r="Y571" s="1390"/>
      <c r="Z571" s="1397" t="s">
        <v>1009</v>
      </c>
      <c r="AA571" s="1397"/>
      <c r="AB571" s="1397"/>
      <c r="AC571" s="1397"/>
      <c r="AD571" s="1397"/>
      <c r="AE571" s="1377"/>
      <c r="AF571" s="1378"/>
      <c r="AG571" s="1378"/>
      <c r="AH571" s="1379"/>
      <c r="AI571" s="1401"/>
      <c r="AJ571" s="1402"/>
      <c r="AK571" s="1402"/>
      <c r="AL571" s="1403"/>
      <c r="AM571" s="1430"/>
      <c r="AN571" s="1431"/>
      <c r="AO571" s="1431"/>
      <c r="AP571" s="1431"/>
      <c r="AQ571" s="1431"/>
      <c r="AR571" s="1431"/>
      <c r="AS571" s="1432"/>
      <c r="AT571" s="1030" t="str">
        <f t="shared" si="2"/>
        <v/>
      </c>
      <c r="BB571" s="3"/>
      <c r="BC571" s="3"/>
      <c r="BD571" s="3"/>
      <c r="BE571" s="3"/>
      <c r="BF571" s="3"/>
      <c r="BG571" s="3"/>
      <c r="BH571" s="3"/>
      <c r="BI571" s="3"/>
    </row>
    <row r="572" spans="1:61" ht="12.9" customHeight="1">
      <c r="B572" s="44" t="s">
        <v>1419</v>
      </c>
      <c r="C572" s="1405"/>
      <c r="D572" s="1405"/>
      <c r="E572" s="1405"/>
      <c r="F572" s="1405"/>
      <c r="G572" s="1405"/>
      <c r="H572" s="1405"/>
      <c r="I572" s="1405"/>
      <c r="J572" s="1405"/>
      <c r="K572" s="1405"/>
      <c r="L572" s="1405"/>
      <c r="M572" s="1404" t="s">
        <v>1009</v>
      </c>
      <c r="N572" s="1404"/>
      <c r="O572" s="1404"/>
      <c r="P572" s="1404"/>
      <c r="Q572" s="1391"/>
      <c r="R572" s="1392"/>
      <c r="S572" s="1393"/>
      <c r="T572" s="1391"/>
      <c r="U572" s="1392"/>
      <c r="V572" s="1393"/>
      <c r="W572" s="1388"/>
      <c r="X572" s="1389"/>
      <c r="Y572" s="1390"/>
      <c r="Z572" s="1397" t="s">
        <v>1009</v>
      </c>
      <c r="AA572" s="1397"/>
      <c r="AB572" s="1397"/>
      <c r="AC572" s="1397"/>
      <c r="AD572" s="1397"/>
      <c r="AE572" s="1377"/>
      <c r="AF572" s="1378"/>
      <c r="AG572" s="1378"/>
      <c r="AH572" s="1379"/>
      <c r="AI572" s="1401"/>
      <c r="AJ572" s="1402"/>
      <c r="AK572" s="1402"/>
      <c r="AL572" s="1403"/>
      <c r="AM572" s="1430"/>
      <c r="AN572" s="1431"/>
      <c r="AO572" s="1431"/>
      <c r="AP572" s="1431"/>
      <c r="AQ572" s="1431"/>
      <c r="AR572" s="1431"/>
      <c r="AS572" s="1432"/>
      <c r="AT572" s="1030" t="str">
        <f t="shared" si="2"/>
        <v/>
      </c>
      <c r="BB572" s="3"/>
      <c r="BC572" s="3"/>
      <c r="BD572" s="3"/>
      <c r="BE572" s="3"/>
      <c r="BF572" s="3"/>
      <c r="BG572" s="3"/>
      <c r="BH572" s="3"/>
      <c r="BI572" s="3"/>
    </row>
    <row r="573" spans="1:61" ht="12.9" customHeight="1">
      <c r="B573" s="44" t="s">
        <v>1420</v>
      </c>
      <c r="C573" s="1405"/>
      <c r="D573" s="1405"/>
      <c r="E573" s="1405"/>
      <c r="F573" s="1405"/>
      <c r="G573" s="1405"/>
      <c r="H573" s="1405"/>
      <c r="I573" s="1405"/>
      <c r="J573" s="1405"/>
      <c r="K573" s="1405"/>
      <c r="L573" s="1405"/>
      <c r="M573" s="1404" t="s">
        <v>1009</v>
      </c>
      <c r="N573" s="1404"/>
      <c r="O573" s="1404"/>
      <c r="P573" s="1404"/>
      <c r="Q573" s="1391"/>
      <c r="R573" s="1392"/>
      <c r="S573" s="1393"/>
      <c r="T573" s="1391"/>
      <c r="U573" s="1392"/>
      <c r="V573" s="1393"/>
      <c r="W573" s="1388"/>
      <c r="X573" s="1389"/>
      <c r="Y573" s="1390"/>
      <c r="Z573" s="1397" t="s">
        <v>1009</v>
      </c>
      <c r="AA573" s="1397"/>
      <c r="AB573" s="1397"/>
      <c r="AC573" s="1397"/>
      <c r="AD573" s="1397"/>
      <c r="AE573" s="1377"/>
      <c r="AF573" s="1378"/>
      <c r="AG573" s="1378"/>
      <c r="AH573" s="1379"/>
      <c r="AI573" s="1401"/>
      <c r="AJ573" s="1402"/>
      <c r="AK573" s="1402"/>
      <c r="AL573" s="1403"/>
      <c r="AM573" s="1430"/>
      <c r="AN573" s="1431"/>
      <c r="AO573" s="1431"/>
      <c r="AP573" s="1431"/>
      <c r="AQ573" s="1431"/>
      <c r="AR573" s="1431"/>
      <c r="AS573" s="1432"/>
      <c r="AT573" s="1030" t="str">
        <f t="shared" si="2"/>
        <v/>
      </c>
      <c r="BB573" s="3"/>
      <c r="BC573" s="3"/>
      <c r="BD573" s="3"/>
      <c r="BE573" s="3"/>
      <c r="BF573" s="3"/>
      <c r="BG573" s="3"/>
      <c r="BH573" s="3"/>
      <c r="BI573" s="3"/>
    </row>
    <row r="574" spans="1:61" ht="12.9" customHeight="1">
      <c r="B574" s="1373" t="s">
        <v>1421</v>
      </c>
      <c r="C574" s="1374"/>
      <c r="D574" s="1374"/>
      <c r="E574" s="1374"/>
      <c r="F574" s="1374"/>
      <c r="G574" s="1374"/>
      <c r="H574" s="1374"/>
      <c r="I574" s="1374"/>
      <c r="J574" s="1374"/>
      <c r="K574" s="1374"/>
      <c r="L574" s="1374"/>
      <c r="M574" s="1374"/>
      <c r="N574" s="1374"/>
      <c r="O574" s="1374"/>
      <c r="P574" s="1374"/>
      <c r="Q574" s="1374"/>
      <c r="R574" s="1374"/>
      <c r="S574" s="1374"/>
      <c r="T574" s="1374"/>
      <c r="U574" s="1375"/>
      <c r="V574" s="1374"/>
      <c r="W574" s="1374"/>
      <c r="X574" s="1374"/>
      <c r="Y574" s="1374"/>
      <c r="Z574" s="1374"/>
      <c r="AA574" s="1374"/>
      <c r="AB574" s="1374"/>
      <c r="AC574" s="1374"/>
      <c r="AD574" s="1374"/>
      <c r="AE574" s="1374"/>
      <c r="AF574" s="1374"/>
      <c r="AG574" s="1374"/>
      <c r="AH574" s="1374"/>
      <c r="AI574" s="1374"/>
      <c r="AJ574" s="1374"/>
      <c r="AK574" s="1374"/>
      <c r="AL574" s="1376"/>
      <c r="AM574" s="1434">
        <f>SUM(AM562:AS573)</f>
        <v>86048414</v>
      </c>
      <c r="AN574" s="1435"/>
      <c r="AO574" s="1435"/>
      <c r="AP574" s="1435"/>
      <c r="AQ574" s="1435"/>
      <c r="AR574" s="1435"/>
      <c r="AS574" s="1436"/>
      <c r="BB574" s="3"/>
      <c r="BC574" s="3"/>
      <c r="BD574" s="3"/>
      <c r="BE574" s="3"/>
      <c r="BF574" s="3"/>
      <c r="BG574" s="3"/>
      <c r="BH574" s="3" t="s">
        <v>1415</v>
      </c>
      <c r="BI574" s="3" t="str">
        <f>N681</f>
        <v>No</v>
      </c>
    </row>
    <row r="575" spans="1:61" ht="12.9"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1416</v>
      </c>
      <c r="BI575" s="3" t="str">
        <f>AG681</f>
        <v>No</v>
      </c>
    </row>
    <row r="576" spans="1:61" ht="12.9" customHeight="1">
      <c r="A576" s="47" t="s">
        <v>18</v>
      </c>
      <c r="B576" t="s">
        <v>1422</v>
      </c>
      <c r="G576" s="1445" t="str">
        <f>C562</f>
        <v>Keybank - Tax Exempt Bond</v>
      </c>
      <c r="H576" s="1445"/>
      <c r="I576" s="1445"/>
      <c r="J576" s="1445"/>
      <c r="K576" s="1445"/>
      <c r="L576" s="1445"/>
      <c r="M576" s="1445"/>
      <c r="N576" s="1445"/>
      <c r="O576" s="1445"/>
      <c r="P576" s="1445"/>
      <c r="Q576" s="1445"/>
      <c r="R576" s="1445"/>
      <c r="S576" s="7"/>
      <c r="T576" s="47" t="s">
        <v>31</v>
      </c>
      <c r="U576" t="s">
        <v>1422</v>
      </c>
      <c r="Z576" s="1445" t="str">
        <f>C563</f>
        <v>Keybank - Taxable Bond</v>
      </c>
      <c r="AA576" s="1445"/>
      <c r="AB576" s="1445"/>
      <c r="AC576" s="1445"/>
      <c r="AD576" s="1445"/>
      <c r="AE576" s="1445"/>
      <c r="AF576" s="1445"/>
      <c r="AG576" s="1445"/>
      <c r="AH576" s="1445"/>
      <c r="AI576" s="1445"/>
      <c r="AJ576" s="1445"/>
      <c r="AK576" s="1445"/>
      <c r="BB576" s="3"/>
      <c r="BC576" s="3"/>
      <c r="BD576" s="3"/>
      <c r="BE576" s="3"/>
      <c r="BF576" s="3"/>
      <c r="BG576" s="3"/>
      <c r="BH576" s="3"/>
      <c r="BI576" s="3"/>
    </row>
    <row r="577" spans="1:61" ht="12.9" customHeight="1">
      <c r="A577" s="19"/>
      <c r="B577" t="s">
        <v>1074</v>
      </c>
      <c r="G577" s="1372" t="s">
        <v>1423</v>
      </c>
      <c r="H577" s="1372"/>
      <c r="I577" s="1372"/>
      <c r="J577" s="1372"/>
      <c r="K577" s="1372"/>
      <c r="L577" s="1372"/>
      <c r="M577" s="1372"/>
      <c r="N577" s="1372"/>
      <c r="O577" s="1372"/>
      <c r="P577" s="1372"/>
      <c r="Q577" s="1372"/>
      <c r="R577" s="1372"/>
      <c r="S577" s="7"/>
      <c r="T577" s="19"/>
      <c r="U577" t="s">
        <v>1074</v>
      </c>
      <c r="Z577" s="1372" t="s">
        <v>1423</v>
      </c>
      <c r="AA577" s="1372"/>
      <c r="AB577" s="1372"/>
      <c r="AC577" s="1372"/>
      <c r="AD577" s="1372"/>
      <c r="AE577" s="1372"/>
      <c r="AF577" s="1372"/>
      <c r="AG577" s="1372"/>
      <c r="AH577" s="1372"/>
      <c r="AI577" s="1372"/>
      <c r="AJ577" s="1372"/>
      <c r="AK577" s="1372"/>
      <c r="BB577" s="3"/>
      <c r="BC577" s="3"/>
      <c r="BD577" s="3"/>
      <c r="BE577" s="3"/>
      <c r="BF577" s="3"/>
      <c r="BG577" s="3"/>
      <c r="BH577" s="3"/>
      <c r="BI577" s="3"/>
    </row>
    <row r="578" spans="1:61" ht="12.9" customHeight="1">
      <c r="A578" s="19"/>
      <c r="B578" t="s">
        <v>941</v>
      </c>
      <c r="G578" s="1372" t="s">
        <v>1424</v>
      </c>
      <c r="H578" s="1372"/>
      <c r="I578" s="1372"/>
      <c r="J578" s="1372"/>
      <c r="K578" s="1372"/>
      <c r="L578" s="1372"/>
      <c r="M578" s="1372"/>
      <c r="N578" s="1372"/>
      <c r="O578" s="1372"/>
      <c r="P578" s="1372"/>
      <c r="Q578" s="1372"/>
      <c r="R578" s="1372"/>
      <c r="T578" s="19"/>
      <c r="U578" t="s">
        <v>941</v>
      </c>
      <c r="Z578" s="1341" t="s">
        <v>1424</v>
      </c>
      <c r="AA578" s="1341"/>
      <c r="AB578" s="1341"/>
      <c r="AC578" s="1341"/>
      <c r="AD578" s="1341"/>
      <c r="AE578" s="1341"/>
      <c r="AF578" s="1341"/>
      <c r="AG578" s="1341"/>
      <c r="AH578" s="1341"/>
      <c r="AI578" s="1341"/>
      <c r="AJ578" s="1341"/>
      <c r="AK578" s="1341"/>
      <c r="BB578" s="3"/>
      <c r="BC578" s="3"/>
      <c r="BD578" s="3"/>
      <c r="BE578" s="3"/>
      <c r="BF578" s="3"/>
      <c r="BG578" s="3"/>
      <c r="BH578" s="3"/>
      <c r="BI578" s="3"/>
    </row>
    <row r="579" spans="1:61" ht="12.9" customHeight="1">
      <c r="A579" s="19"/>
      <c r="B579" t="s">
        <v>1425</v>
      </c>
      <c r="G579" s="1372" t="s">
        <v>1426</v>
      </c>
      <c r="H579" s="1372"/>
      <c r="I579" s="1372"/>
      <c r="J579" s="1372"/>
      <c r="K579" s="1372"/>
      <c r="L579" s="1372"/>
      <c r="M579" s="1372"/>
      <c r="N579" s="1372"/>
      <c r="O579" s="1372"/>
      <c r="P579" s="1372"/>
      <c r="Q579" s="1372"/>
      <c r="R579" s="1372"/>
      <c r="S579" s="7"/>
      <c r="T579" s="19"/>
      <c r="U579" t="s">
        <v>1425</v>
      </c>
      <c r="Z579" s="1341" t="s">
        <v>1426</v>
      </c>
      <c r="AA579" s="1341"/>
      <c r="AB579" s="1341"/>
      <c r="AC579" s="1341"/>
      <c r="AD579" s="1341"/>
      <c r="AE579" s="1341"/>
      <c r="AF579" s="1341"/>
      <c r="AG579" s="1341"/>
      <c r="AH579" s="1341"/>
      <c r="AI579" s="1341"/>
      <c r="AJ579" s="1341"/>
      <c r="AK579" s="1341"/>
      <c r="BB579" s="3"/>
      <c r="BC579" s="3"/>
      <c r="BD579" s="3"/>
      <c r="BE579" s="3"/>
      <c r="BF579" s="3"/>
      <c r="BG579" s="3"/>
      <c r="BH579" s="3"/>
      <c r="BI579" s="3"/>
    </row>
    <row r="580" spans="1:61" ht="12.9" customHeight="1">
      <c r="A580" s="19"/>
      <c r="B580" t="s">
        <v>834</v>
      </c>
      <c r="G580" s="1449" t="s">
        <v>1427</v>
      </c>
      <c r="H580" s="1449"/>
      <c r="I580" s="1449"/>
      <c r="J580" s="1449"/>
      <c r="K580" s="1449"/>
      <c r="L580" s="1449"/>
      <c r="O580" s="918" t="s">
        <v>1083</v>
      </c>
      <c r="P580" s="1433"/>
      <c r="Q580" s="1433"/>
      <c r="R580" s="1433"/>
      <c r="S580" s="9"/>
      <c r="T580" s="19"/>
      <c r="U580" t="s">
        <v>834</v>
      </c>
      <c r="Z580" s="1449" t="s">
        <v>1427</v>
      </c>
      <c r="AA580" s="1449"/>
      <c r="AB580" s="1449"/>
      <c r="AC580" s="1449"/>
      <c r="AD580" s="1449"/>
      <c r="AE580" s="1449"/>
      <c r="AH580" s="918" t="s">
        <v>1083</v>
      </c>
      <c r="AI580" s="1433"/>
      <c r="AJ580" s="1433"/>
      <c r="AK580" s="1433"/>
      <c r="BB580" s="3"/>
      <c r="BC580" s="3"/>
      <c r="BD580" s="3"/>
      <c r="BE580" s="3"/>
      <c r="BF580" s="3"/>
      <c r="BG580" s="3"/>
      <c r="BH580" s="3"/>
      <c r="BI580" s="3"/>
    </row>
    <row r="581" spans="1:61" ht="12.9" customHeight="1">
      <c r="A581" s="19"/>
      <c r="B581" t="s">
        <v>1428</v>
      </c>
      <c r="H581" s="1372" t="s">
        <v>1429</v>
      </c>
      <c r="I581" s="1372"/>
      <c r="J581" s="1372"/>
      <c r="K581" s="1372"/>
      <c r="L581" s="1372"/>
      <c r="M581" s="1372"/>
      <c r="N581" s="1372"/>
      <c r="O581" s="1372"/>
      <c r="P581" s="1372"/>
      <c r="Q581" s="1372"/>
      <c r="R581" s="1372"/>
      <c r="S581" s="7"/>
      <c r="T581" s="19"/>
      <c r="U581" t="s">
        <v>1428</v>
      </c>
      <c r="AA581" s="1372" t="s">
        <v>1430</v>
      </c>
      <c r="AB581" s="1372"/>
      <c r="AC581" s="1372"/>
      <c r="AD581" s="1372"/>
      <c r="AE581" s="1372"/>
      <c r="AF581" s="1372"/>
      <c r="AG581" s="1372"/>
      <c r="AH581" s="1372"/>
      <c r="AI581" s="1372"/>
      <c r="AJ581" s="1372"/>
      <c r="AK581" s="1372"/>
      <c r="BB581" s="3"/>
      <c r="BC581" s="3"/>
      <c r="BD581" s="3"/>
      <c r="BE581" s="3"/>
      <c r="BF581" s="3"/>
      <c r="BG581" s="3"/>
      <c r="BH581" s="3"/>
      <c r="BI581" s="3"/>
    </row>
    <row r="582" spans="1:61" ht="12.9" customHeight="1">
      <c r="A582" s="19"/>
      <c r="B582" s="225" t="s">
        <v>1431</v>
      </c>
      <c r="H582" s="7"/>
      <c r="I582" s="7"/>
      <c r="J582" s="7"/>
      <c r="K582" s="7"/>
      <c r="L582" s="7"/>
      <c r="M582" s="1586" t="s">
        <v>1432</v>
      </c>
      <c r="N582" s="1586"/>
      <c r="O582" s="1586"/>
      <c r="P582" s="1586"/>
      <c r="Q582" s="1586"/>
      <c r="R582" s="1586"/>
      <c r="S582" s="7"/>
      <c r="T582" s="19"/>
      <c r="U582" s="225" t="s">
        <v>1431</v>
      </c>
      <c r="AA582" s="7"/>
      <c r="AB582" s="7"/>
      <c r="AC582" s="7"/>
      <c r="AD582" s="7"/>
      <c r="AE582" s="7"/>
      <c r="AF582" s="1586" t="s">
        <v>1432</v>
      </c>
      <c r="AG582" s="1586"/>
      <c r="AH582" s="1586"/>
      <c r="AI582" s="1586"/>
      <c r="AJ582" s="1586"/>
      <c r="AK582" s="1586"/>
      <c r="BB582" s="3"/>
      <c r="BC582" s="3"/>
      <c r="BD582" s="3"/>
      <c r="BE582" s="3"/>
      <c r="BF582" s="3"/>
      <c r="BG582" s="3"/>
      <c r="BH582" s="3"/>
      <c r="BI582" s="3"/>
    </row>
    <row r="583" spans="1:61" ht="12.9" customHeight="1">
      <c r="A583" s="19"/>
      <c r="B583" t="s">
        <v>1433</v>
      </c>
      <c r="N583" s="1380" t="s">
        <v>856</v>
      </c>
      <c r="O583" s="1380"/>
      <c r="T583" s="19"/>
      <c r="U583" t="s">
        <v>1433</v>
      </c>
      <c r="AG583" s="1380" t="s">
        <v>856</v>
      </c>
      <c r="AH583" s="1380"/>
      <c r="BB583" s="3"/>
      <c r="BC583" s="3"/>
      <c r="BD583" s="3"/>
      <c r="BE583" s="3"/>
      <c r="BF583" s="3"/>
      <c r="BG583" s="3"/>
      <c r="BH583" s="3"/>
      <c r="BI583" s="3"/>
    </row>
    <row r="584" spans="1:61" ht="12.9" customHeight="1">
      <c r="A584" s="19"/>
      <c r="T584" s="19"/>
      <c r="BB584" s="3"/>
      <c r="BC584" s="3"/>
      <c r="BD584" s="3"/>
      <c r="BE584" s="3"/>
      <c r="BF584" s="3"/>
      <c r="BG584" s="3"/>
      <c r="BH584" s="3"/>
      <c r="BI584" s="3"/>
    </row>
    <row r="585" spans="1:61" ht="12.9" customHeight="1">
      <c r="A585" s="47" t="s">
        <v>39</v>
      </c>
      <c r="B585" t="s">
        <v>1422</v>
      </c>
      <c r="G585" s="1445" t="str">
        <f>C564</f>
        <v>Keybank - Taxable Construction</v>
      </c>
      <c r="H585" s="1445"/>
      <c r="I585" s="1445"/>
      <c r="J585" s="1445"/>
      <c r="K585" s="1445"/>
      <c r="L585" s="1445"/>
      <c r="M585" s="1445"/>
      <c r="N585" s="1445"/>
      <c r="O585" s="1445"/>
      <c r="P585" s="1445"/>
      <c r="Q585" s="1445"/>
      <c r="R585" s="1445"/>
      <c r="T585" s="47" t="s">
        <v>82</v>
      </c>
      <c r="U585" t="s">
        <v>1422</v>
      </c>
      <c r="Z585" s="1445" t="str">
        <f>C565</f>
        <v>Operation</v>
      </c>
      <c r="AA585" s="1445"/>
      <c r="AB585" s="1445"/>
      <c r="AC585" s="1445"/>
      <c r="AD585" s="1445"/>
      <c r="AE585" s="1445"/>
      <c r="AF585" s="1445"/>
      <c r="AG585" s="1445"/>
      <c r="AH585" s="1445"/>
      <c r="AI585" s="1445"/>
      <c r="AJ585" s="1445"/>
      <c r="AK585" s="1445"/>
      <c r="BB585" s="3"/>
      <c r="BC585" s="3"/>
    </row>
    <row r="586" spans="1:61" ht="12.9" customHeight="1">
      <c r="A586" s="19"/>
      <c r="B586" t="s">
        <v>1074</v>
      </c>
      <c r="G586" s="1372" t="s">
        <v>1423</v>
      </c>
      <c r="H586" s="1372"/>
      <c r="I586" s="1372"/>
      <c r="J586" s="1372"/>
      <c r="K586" s="1372"/>
      <c r="L586" s="1372"/>
      <c r="M586" s="1372"/>
      <c r="N586" s="1372"/>
      <c r="O586" s="1372"/>
      <c r="P586" s="1372"/>
      <c r="Q586" s="1372"/>
      <c r="R586" s="1372"/>
      <c r="T586" s="19"/>
      <c r="U586" t="s">
        <v>1074</v>
      </c>
      <c r="Z586" s="1372"/>
      <c r="AA586" s="1372"/>
      <c r="AB586" s="1372"/>
      <c r="AC586" s="1372"/>
      <c r="AD586" s="1372"/>
      <c r="AE586" s="1372"/>
      <c r="AF586" s="1372"/>
      <c r="AG586" s="1372"/>
      <c r="AH586" s="1372"/>
      <c r="AI586" s="1372"/>
      <c r="AJ586" s="1372"/>
      <c r="AK586" s="1372"/>
      <c r="BB586" s="3"/>
      <c r="BC586" s="3"/>
    </row>
    <row r="587" spans="1:61" ht="12.9" customHeight="1">
      <c r="A587" s="19"/>
      <c r="B587" t="s">
        <v>941</v>
      </c>
      <c r="G587" s="1341" t="s">
        <v>1424</v>
      </c>
      <c r="H587" s="1341"/>
      <c r="I587" s="1341"/>
      <c r="J587" s="1341"/>
      <c r="K587" s="1341"/>
      <c r="L587" s="1341"/>
      <c r="M587" s="1341"/>
      <c r="N587" s="1341"/>
      <c r="O587" s="1341"/>
      <c r="P587" s="1341"/>
      <c r="Q587" s="1341"/>
      <c r="R587" s="1341"/>
      <c r="T587" s="19"/>
      <c r="U587" t="s">
        <v>941</v>
      </c>
      <c r="Z587" s="1341"/>
      <c r="AA587" s="1341"/>
      <c r="AB587" s="1341"/>
      <c r="AC587" s="1341"/>
      <c r="AD587" s="1341"/>
      <c r="AE587" s="1341"/>
      <c r="AF587" s="1341"/>
      <c r="AG587" s="1341"/>
      <c r="AH587" s="1341"/>
      <c r="AI587" s="1341"/>
      <c r="AJ587" s="1341"/>
      <c r="AK587" s="1341"/>
      <c r="BB587" s="3"/>
      <c r="BC587" s="3"/>
    </row>
    <row r="588" spans="1:61" ht="12.9" customHeight="1">
      <c r="A588" s="19"/>
      <c r="B588" t="s">
        <v>1425</v>
      </c>
      <c r="G588" s="1341" t="s">
        <v>1426</v>
      </c>
      <c r="H588" s="1341"/>
      <c r="I588" s="1341"/>
      <c r="J588" s="1341"/>
      <c r="K588" s="1341"/>
      <c r="L588" s="1341"/>
      <c r="M588" s="1341"/>
      <c r="N588" s="1341"/>
      <c r="O588" s="1341"/>
      <c r="P588" s="1341"/>
      <c r="Q588" s="1341"/>
      <c r="R588" s="1341"/>
      <c r="T588" s="19"/>
      <c r="U588" t="s">
        <v>1425</v>
      </c>
      <c r="Z588" s="1341"/>
      <c r="AA588" s="1341"/>
      <c r="AB588" s="1341"/>
      <c r="AC588" s="1341"/>
      <c r="AD588" s="1341"/>
      <c r="AE588" s="1341"/>
      <c r="AF588" s="1341"/>
      <c r="AG588" s="1341"/>
      <c r="AH588" s="1341"/>
      <c r="AI588" s="1341"/>
      <c r="AJ588" s="1341"/>
      <c r="AK588" s="1341"/>
      <c r="BB588" s="3"/>
      <c r="BC588" s="3"/>
    </row>
    <row r="589" spans="1:61" ht="12.9" customHeight="1">
      <c r="A589" s="19"/>
      <c r="B589" t="s">
        <v>834</v>
      </c>
      <c r="G589" s="1449" t="s">
        <v>1427</v>
      </c>
      <c r="H589" s="1449"/>
      <c r="I589" s="1449"/>
      <c r="J589" s="1449"/>
      <c r="K589" s="1449"/>
      <c r="L589" s="1449"/>
      <c r="O589" s="918" t="s">
        <v>1083</v>
      </c>
      <c r="P589" s="1433"/>
      <c r="Q589" s="1433"/>
      <c r="R589" s="1433"/>
      <c r="T589" s="19"/>
      <c r="U589" t="s">
        <v>834</v>
      </c>
      <c r="Z589" s="1449"/>
      <c r="AA589" s="1449"/>
      <c r="AB589" s="1449"/>
      <c r="AC589" s="1449"/>
      <c r="AD589" s="1449"/>
      <c r="AE589" s="1449"/>
      <c r="AH589" s="918" t="s">
        <v>1083</v>
      </c>
      <c r="AI589" s="1433"/>
      <c r="AJ589" s="1433"/>
      <c r="AK589" s="1433"/>
      <c r="BB589" s="3"/>
      <c r="BC589" s="3"/>
    </row>
    <row r="590" spans="1:61" ht="12.9" customHeight="1">
      <c r="A590" s="19"/>
      <c r="B590" t="s">
        <v>1428</v>
      </c>
      <c r="H590" s="1372" t="s">
        <v>1434</v>
      </c>
      <c r="I590" s="1372"/>
      <c r="J590" s="1372"/>
      <c r="K590" s="1372"/>
      <c r="L590" s="1372"/>
      <c r="M590" s="1372"/>
      <c r="N590" s="1372"/>
      <c r="O590" s="1372"/>
      <c r="P590" s="1372"/>
      <c r="Q590" s="1372"/>
      <c r="R590" s="1372"/>
      <c r="T590" s="19"/>
      <c r="U590" t="s">
        <v>1428</v>
      </c>
      <c r="AA590" s="1372"/>
      <c r="AB590" s="1372"/>
      <c r="AC590" s="1372"/>
      <c r="AD590" s="1372"/>
      <c r="AE590" s="1372"/>
      <c r="AF590" s="1372"/>
      <c r="AG590" s="1372"/>
      <c r="AH590" s="1372"/>
      <c r="AI590" s="1372"/>
      <c r="AJ590" s="1372"/>
      <c r="AK590" s="1372"/>
      <c r="BB590" s="3"/>
      <c r="BC590" s="3"/>
    </row>
    <row r="591" spans="1:61" ht="12.9" customHeight="1">
      <c r="A591" s="19"/>
      <c r="B591" t="s">
        <v>1433</v>
      </c>
      <c r="N591" s="1380" t="s">
        <v>856</v>
      </c>
      <c r="O591" s="1380"/>
      <c r="T591" s="19"/>
      <c r="U591" t="s">
        <v>1433</v>
      </c>
      <c r="AG591" s="1380" t="s">
        <v>698</v>
      </c>
      <c r="AH591" s="1380"/>
      <c r="BB591" s="3"/>
      <c r="BC591" s="3"/>
    </row>
    <row r="592" spans="1:61" ht="12.9" customHeight="1">
      <c r="A592" s="19"/>
      <c r="T592" s="19"/>
      <c r="BB592" s="3"/>
      <c r="BC592" s="3"/>
    </row>
    <row r="593" spans="1:55" ht="12.9" customHeight="1">
      <c r="A593" s="47" t="s">
        <v>86</v>
      </c>
      <c r="B593" t="s">
        <v>1422</v>
      </c>
      <c r="G593" s="1445" t="str">
        <f>C566</f>
        <v>Tax Credit Equity</v>
      </c>
      <c r="H593" s="1445"/>
      <c r="I593" s="1445"/>
      <c r="J593" s="1445"/>
      <c r="K593" s="1445"/>
      <c r="L593" s="1445"/>
      <c r="M593" s="1445"/>
      <c r="N593" s="1445"/>
      <c r="O593" s="1445"/>
      <c r="P593" s="1445"/>
      <c r="Q593" s="1445"/>
      <c r="R593" s="1445"/>
      <c r="T593" s="47" t="s">
        <v>1413</v>
      </c>
      <c r="U593" t="s">
        <v>1422</v>
      </c>
      <c r="Z593" s="1445" t="str">
        <f>C567</f>
        <v>Deferred Costs</v>
      </c>
      <c r="AA593" s="1445"/>
      <c r="AB593" s="1445"/>
      <c r="AC593" s="1445"/>
      <c r="AD593" s="1445"/>
      <c r="AE593" s="1445"/>
      <c r="AF593" s="1445"/>
      <c r="AG593" s="1445"/>
      <c r="AH593" s="1445"/>
      <c r="AI593" s="1445"/>
      <c r="AJ593" s="1445"/>
      <c r="AK593" s="1445"/>
      <c r="BB593" s="3"/>
      <c r="BC593" s="3"/>
    </row>
    <row r="594" spans="1:55" ht="12.9" customHeight="1">
      <c r="A594" s="19"/>
      <c r="B594" t="s">
        <v>1074</v>
      </c>
      <c r="G594" s="1372" t="s">
        <v>1435</v>
      </c>
      <c r="H594" s="1372"/>
      <c r="I594" s="1372"/>
      <c r="J594" s="1372"/>
      <c r="K594" s="1372"/>
      <c r="L594" s="1372"/>
      <c r="M594" s="1372"/>
      <c r="N594" s="1372"/>
      <c r="O594" s="1372"/>
      <c r="P594" s="1372"/>
      <c r="Q594" s="1372"/>
      <c r="R594" s="1372"/>
      <c r="T594" s="19"/>
      <c r="U594" t="s">
        <v>1074</v>
      </c>
      <c r="Z594" s="1372" t="s">
        <v>1075</v>
      </c>
      <c r="AA594" s="1372"/>
      <c r="AB594" s="1372"/>
      <c r="AC594" s="1372"/>
      <c r="AD594" s="1372"/>
      <c r="AE594" s="1372"/>
      <c r="AF594" s="1372"/>
      <c r="AG594" s="1372"/>
      <c r="AH594" s="1372"/>
      <c r="AI594" s="1372"/>
      <c r="AJ594" s="1372"/>
      <c r="AK594" s="1372"/>
      <c r="BB594" s="3"/>
      <c r="BC594" s="3"/>
    </row>
    <row r="595" spans="1:55" ht="12.9" customHeight="1">
      <c r="A595" s="19"/>
      <c r="B595" t="s">
        <v>941</v>
      </c>
      <c r="G595" s="1372" t="s">
        <v>1436</v>
      </c>
      <c r="H595" s="1372"/>
      <c r="I595" s="1372"/>
      <c r="J595" s="1372"/>
      <c r="K595" s="1372"/>
      <c r="L595" s="1372"/>
      <c r="M595" s="1372"/>
      <c r="N595" s="1372"/>
      <c r="O595" s="1372"/>
      <c r="P595" s="1372"/>
      <c r="Q595" s="1372"/>
      <c r="R595" s="1372"/>
      <c r="T595" s="19"/>
      <c r="U595" t="s">
        <v>941</v>
      </c>
      <c r="Z595" s="1341" t="s">
        <v>1133</v>
      </c>
      <c r="AA595" s="1341"/>
      <c r="AB595" s="1341"/>
      <c r="AC595" s="1341"/>
      <c r="AD595" s="1341"/>
      <c r="AE595" s="1341"/>
      <c r="AF595" s="1341"/>
      <c r="AG595" s="1341"/>
      <c r="AH595" s="1341"/>
      <c r="AI595" s="1341"/>
      <c r="AJ595" s="1341"/>
      <c r="AK595" s="1341"/>
      <c r="BB595" s="3"/>
      <c r="BC595" s="3"/>
    </row>
    <row r="596" spans="1:55" ht="12.9" customHeight="1">
      <c r="A596" s="19"/>
      <c r="B596" t="s">
        <v>1425</v>
      </c>
      <c r="G596" s="1372" t="s">
        <v>1167</v>
      </c>
      <c r="H596" s="1372"/>
      <c r="I596" s="1372"/>
      <c r="J596" s="1372"/>
      <c r="K596" s="1372"/>
      <c r="L596" s="1372"/>
      <c r="M596" s="1372"/>
      <c r="N596" s="1372"/>
      <c r="O596" s="1372"/>
      <c r="P596" s="1372"/>
      <c r="Q596" s="1372"/>
      <c r="R596" s="1372"/>
      <c r="T596" s="19"/>
      <c r="U596" t="s">
        <v>1425</v>
      </c>
      <c r="Z596" s="1341" t="s">
        <v>1080</v>
      </c>
      <c r="AA596" s="1341"/>
      <c r="AB596" s="1341"/>
      <c r="AC596" s="1341"/>
      <c r="AD596" s="1341"/>
      <c r="AE596" s="1341"/>
      <c r="AF596" s="1341"/>
      <c r="AG596" s="1341"/>
      <c r="AH596" s="1341"/>
      <c r="AI596" s="1341"/>
      <c r="AJ596" s="1341"/>
      <c r="AK596" s="1341"/>
    </row>
    <row r="597" spans="1:55" ht="12.9" customHeight="1">
      <c r="A597" s="19"/>
      <c r="B597" t="s">
        <v>834</v>
      </c>
      <c r="G597" s="1449" t="s">
        <v>1437</v>
      </c>
      <c r="H597" s="1449"/>
      <c r="I597" s="1449"/>
      <c r="J597" s="1449"/>
      <c r="K597" s="1449"/>
      <c r="L597" s="1449"/>
      <c r="O597" s="918" t="s">
        <v>1083</v>
      </c>
      <c r="P597" s="1433"/>
      <c r="Q597" s="1433"/>
      <c r="R597" s="1433"/>
      <c r="T597" s="19"/>
      <c r="U597" t="s">
        <v>834</v>
      </c>
      <c r="Z597" s="1449" t="s">
        <v>1082</v>
      </c>
      <c r="AA597" s="1449"/>
      <c r="AB597" s="1449"/>
      <c r="AC597" s="1449"/>
      <c r="AD597" s="1449"/>
      <c r="AE597" s="1449"/>
      <c r="AH597" s="918" t="s">
        <v>1083</v>
      </c>
      <c r="AI597" s="1433"/>
      <c r="AJ597" s="1433"/>
      <c r="AK597" s="1433"/>
      <c r="AZ597" s="3"/>
      <c r="BA597" s="3"/>
      <c r="BB597" s="3"/>
      <c r="BC597" s="3"/>
    </row>
    <row r="598" spans="1:55" ht="12.9" customHeight="1">
      <c r="A598" s="19"/>
      <c r="B598" t="s">
        <v>1428</v>
      </c>
      <c r="H598" s="1372" t="s">
        <v>1438</v>
      </c>
      <c r="I598" s="1372"/>
      <c r="J598" s="1372"/>
      <c r="K598" s="1372"/>
      <c r="L598" s="1372"/>
      <c r="M598" s="1372"/>
      <c r="N598" s="1372"/>
      <c r="O598" s="1372"/>
      <c r="P598" s="1372"/>
      <c r="Q598" s="1372"/>
      <c r="R598" s="1372"/>
      <c r="T598" s="19"/>
      <c r="U598" t="s">
        <v>1428</v>
      </c>
      <c r="AA598" s="1372" t="s">
        <v>1439</v>
      </c>
      <c r="AB598" s="1372"/>
      <c r="AC598" s="1372"/>
      <c r="AD598" s="1372"/>
      <c r="AE598" s="1372"/>
      <c r="AF598" s="1372"/>
      <c r="AG598" s="1372"/>
      <c r="AH598" s="1372"/>
      <c r="AI598" s="1372"/>
      <c r="AJ598" s="1372"/>
      <c r="AK598" s="1372"/>
      <c r="AZ598" s="3"/>
      <c r="BA598" s="3"/>
      <c r="BB598" s="3"/>
      <c r="BC598" s="3"/>
    </row>
    <row r="599" spans="1:55" ht="12.9" customHeight="1">
      <c r="A599" s="19"/>
      <c r="B599" t="s">
        <v>1433</v>
      </c>
      <c r="N599" s="1380" t="s">
        <v>856</v>
      </c>
      <c r="O599" s="1380"/>
      <c r="T599" s="19"/>
      <c r="U599" t="s">
        <v>1433</v>
      </c>
      <c r="AG599" s="1380" t="s">
        <v>698</v>
      </c>
      <c r="AH599" s="1380"/>
      <c r="AZ599" s="3"/>
      <c r="BA599" s="3"/>
      <c r="BB599" s="3"/>
      <c r="BC599" s="3"/>
    </row>
    <row r="600" spans="1:55" ht="12.9" customHeight="1">
      <c r="A600" s="19"/>
      <c r="T600" s="19"/>
      <c r="AZ600" s="3"/>
      <c r="BA600" s="3"/>
      <c r="BB600" s="3"/>
      <c r="BC600" s="3"/>
    </row>
    <row r="601" spans="1:55" ht="12.9" customHeight="1">
      <c r="A601" s="47" t="s">
        <v>1415</v>
      </c>
      <c r="B601" t="s">
        <v>1422</v>
      </c>
      <c r="G601" s="1445">
        <f>C568</f>
        <v>0</v>
      </c>
      <c r="H601" s="1445"/>
      <c r="I601" s="1445"/>
      <c r="J601" s="1445"/>
      <c r="K601" s="1445"/>
      <c r="L601" s="1445"/>
      <c r="M601" s="1445"/>
      <c r="N601" s="1445"/>
      <c r="O601" s="1445"/>
      <c r="P601" s="1445"/>
      <c r="Q601" s="1445"/>
      <c r="R601" s="1445"/>
      <c r="T601" s="47" t="s">
        <v>1416</v>
      </c>
      <c r="U601" t="s">
        <v>1422</v>
      </c>
      <c r="Z601" s="1445">
        <f>C569</f>
        <v>0</v>
      </c>
      <c r="AA601" s="1445"/>
      <c r="AB601" s="1445"/>
      <c r="AC601" s="1445"/>
      <c r="AD601" s="1445"/>
      <c r="AE601" s="1445"/>
      <c r="AF601" s="1445"/>
      <c r="AG601" s="1445"/>
      <c r="AH601" s="1445"/>
      <c r="AI601" s="1445"/>
      <c r="AJ601" s="1445"/>
      <c r="AK601" s="1445"/>
      <c r="AZ601" s="3"/>
      <c r="BA601" s="3"/>
      <c r="BB601" s="3"/>
      <c r="BC601" s="3"/>
    </row>
    <row r="602" spans="1:55" s="4" customFormat="1" ht="12.9" customHeight="1">
      <c r="A602" s="19"/>
      <c r="B602" t="s">
        <v>1074</v>
      </c>
      <c r="C602"/>
      <c r="D602"/>
      <c r="E602"/>
      <c r="F602"/>
      <c r="G602" s="1372"/>
      <c r="H602" s="1372"/>
      <c r="I602" s="1372"/>
      <c r="J602" s="1372"/>
      <c r="K602" s="1372"/>
      <c r="L602" s="1372"/>
      <c r="M602" s="1372"/>
      <c r="N602" s="1372"/>
      <c r="O602" s="1372"/>
      <c r="P602" s="1372"/>
      <c r="Q602" s="1372"/>
      <c r="R602" s="1372"/>
      <c r="S602"/>
      <c r="T602" s="19"/>
      <c r="U602" t="s">
        <v>1074</v>
      </c>
      <c r="V602"/>
      <c r="W602"/>
      <c r="X602"/>
      <c r="Y602"/>
      <c r="Z602" s="1372"/>
      <c r="AA602" s="1372"/>
      <c r="AB602" s="1372"/>
      <c r="AC602" s="1372"/>
      <c r="AD602" s="1372"/>
      <c r="AE602" s="1372"/>
      <c r="AF602" s="1372"/>
      <c r="AG602" s="1372"/>
      <c r="AH602" s="1372"/>
      <c r="AI602" s="1372"/>
      <c r="AJ602" s="1372"/>
      <c r="AK602" s="1372"/>
      <c r="AL602"/>
      <c r="AM602"/>
      <c r="AN602"/>
      <c r="AO602"/>
      <c r="AP602"/>
      <c r="AQ602"/>
      <c r="AR602"/>
      <c r="AS602"/>
      <c r="AT602"/>
      <c r="AU602"/>
      <c r="AV602"/>
      <c r="AW602"/>
      <c r="AX602"/>
      <c r="AY602"/>
      <c r="AZ602" s="3"/>
      <c r="BA602" s="3"/>
      <c r="BB602" s="3"/>
      <c r="BC602" s="3"/>
    </row>
    <row r="603" spans="1:55" s="4" customFormat="1" ht="12.9" customHeight="1">
      <c r="A603" s="19"/>
      <c r="B603" t="s">
        <v>941</v>
      </c>
      <c r="C603"/>
      <c r="D603"/>
      <c r="E603"/>
      <c r="F603"/>
      <c r="G603" s="1372"/>
      <c r="H603" s="1372"/>
      <c r="I603" s="1372"/>
      <c r="J603" s="1372"/>
      <c r="K603" s="1372"/>
      <c r="L603" s="1372"/>
      <c r="M603" s="1372"/>
      <c r="N603" s="1372"/>
      <c r="O603" s="1372"/>
      <c r="P603" s="1372"/>
      <c r="Q603" s="1372"/>
      <c r="R603" s="1372"/>
      <c r="S603"/>
      <c r="T603" s="19"/>
      <c r="U603" t="s">
        <v>941</v>
      </c>
      <c r="V603"/>
      <c r="W603"/>
      <c r="X603"/>
      <c r="Y603"/>
      <c r="Z603" s="1341"/>
      <c r="AA603" s="1341"/>
      <c r="AB603" s="1341"/>
      <c r="AC603" s="1341"/>
      <c r="AD603" s="1341"/>
      <c r="AE603" s="1341"/>
      <c r="AF603" s="1341"/>
      <c r="AG603" s="1341"/>
      <c r="AH603" s="1341"/>
      <c r="AI603" s="1341"/>
      <c r="AJ603" s="1341"/>
      <c r="AK603" s="1341"/>
      <c r="AL603"/>
      <c r="AM603"/>
      <c r="AN603"/>
      <c r="AO603"/>
      <c r="AP603"/>
      <c r="AQ603"/>
      <c r="AR603"/>
      <c r="AS603"/>
      <c r="AT603"/>
      <c r="AU603"/>
      <c r="AV603"/>
      <c r="AW603"/>
      <c r="AX603"/>
      <c r="AY603"/>
      <c r="AZ603" s="3"/>
      <c r="BA603" s="3"/>
      <c r="BB603" s="3"/>
      <c r="BC603" s="3"/>
    </row>
    <row r="604" spans="1:55" s="4" customFormat="1" ht="12.9" customHeight="1">
      <c r="A604" s="19"/>
      <c r="B604" t="s">
        <v>1425</v>
      </c>
      <c r="C604"/>
      <c r="D604"/>
      <c r="E604"/>
      <c r="F604"/>
      <c r="G604" s="1372"/>
      <c r="H604" s="1372"/>
      <c r="I604" s="1372"/>
      <c r="J604" s="1372"/>
      <c r="K604" s="1372"/>
      <c r="L604" s="1372"/>
      <c r="M604" s="1372"/>
      <c r="N604" s="1372"/>
      <c r="O604" s="1372"/>
      <c r="P604" s="1372"/>
      <c r="Q604" s="1372"/>
      <c r="R604" s="1372"/>
      <c r="S604"/>
      <c r="T604" s="19"/>
      <c r="U604" t="s">
        <v>1425</v>
      </c>
      <c r="V604"/>
      <c r="W604"/>
      <c r="X604"/>
      <c r="Y604"/>
      <c r="Z604" s="1341"/>
      <c r="AA604" s="1341"/>
      <c r="AB604" s="1341"/>
      <c r="AC604" s="1341"/>
      <c r="AD604" s="1341"/>
      <c r="AE604" s="1341"/>
      <c r="AF604" s="1341"/>
      <c r="AG604" s="1341"/>
      <c r="AH604" s="1341"/>
      <c r="AI604" s="1341"/>
      <c r="AJ604" s="1341"/>
      <c r="AK604" s="1341"/>
      <c r="AL604"/>
      <c r="AM604"/>
      <c r="AN604"/>
      <c r="AO604"/>
      <c r="AP604"/>
      <c r="AQ604"/>
      <c r="AR604"/>
      <c r="AS604"/>
      <c r="AT604"/>
      <c r="AU604"/>
      <c r="AV604"/>
      <c r="AW604"/>
      <c r="AX604"/>
      <c r="AY604"/>
      <c r="AZ604" s="3"/>
      <c r="BA604" s="3"/>
      <c r="BB604" s="3"/>
      <c r="BC604" s="3"/>
    </row>
    <row r="605" spans="1:55" s="4" customFormat="1" ht="12.9" customHeight="1">
      <c r="A605" s="19"/>
      <c r="B605" t="s">
        <v>834</v>
      </c>
      <c r="C605"/>
      <c r="D605"/>
      <c r="E605"/>
      <c r="F605"/>
      <c r="G605" s="1449"/>
      <c r="H605" s="1449"/>
      <c r="I605" s="1449"/>
      <c r="J605" s="1449"/>
      <c r="K605" s="1449"/>
      <c r="L605" s="1449"/>
      <c r="M605"/>
      <c r="N605"/>
      <c r="O605" s="918" t="s">
        <v>1083</v>
      </c>
      <c r="P605" s="1433"/>
      <c r="Q605" s="1433"/>
      <c r="R605" s="1433"/>
      <c r="S605"/>
      <c r="T605" s="19"/>
      <c r="U605" t="s">
        <v>834</v>
      </c>
      <c r="V605"/>
      <c r="W605"/>
      <c r="X605"/>
      <c r="Y605"/>
      <c r="Z605" s="1449"/>
      <c r="AA605" s="1449"/>
      <c r="AB605" s="1449"/>
      <c r="AC605" s="1449"/>
      <c r="AD605" s="1449"/>
      <c r="AE605" s="1449"/>
      <c r="AF605"/>
      <c r="AG605"/>
      <c r="AH605" s="918" t="s">
        <v>1083</v>
      </c>
      <c r="AI605" s="1433"/>
      <c r="AJ605" s="1433"/>
      <c r="AK605" s="1433"/>
      <c r="AL605"/>
      <c r="AM605"/>
      <c r="AN605"/>
      <c r="AO605"/>
      <c r="AP605"/>
      <c r="AQ605"/>
      <c r="AR605"/>
      <c r="AS605"/>
      <c r="AT605"/>
      <c r="AU605"/>
      <c r="AV605"/>
      <c r="AW605"/>
      <c r="AX605"/>
      <c r="AY605"/>
      <c r="AZ605" s="3"/>
      <c r="BA605" s="3"/>
      <c r="BB605" s="3"/>
      <c r="BC605" s="3"/>
    </row>
    <row r="606" spans="1:55" s="4" customFormat="1" ht="12.9" customHeight="1">
      <c r="A606" s="19"/>
      <c r="B606" t="s">
        <v>1428</v>
      </c>
      <c r="C606"/>
      <c r="D606"/>
      <c r="E606"/>
      <c r="F606"/>
      <c r="G606"/>
      <c r="H606" s="1372"/>
      <c r="I606" s="1372"/>
      <c r="J606" s="1372"/>
      <c r="K606" s="1372"/>
      <c r="L606" s="1372"/>
      <c r="M606" s="1372"/>
      <c r="N606" s="1372"/>
      <c r="O606" s="1372"/>
      <c r="P606" s="1372"/>
      <c r="Q606" s="1372"/>
      <c r="R606" s="1372"/>
      <c r="S606"/>
      <c r="T606" s="19"/>
      <c r="U606" t="s">
        <v>1428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ht="12.9" customHeight="1">
      <c r="A607" s="19"/>
      <c r="B607" t="s">
        <v>1433</v>
      </c>
      <c r="N607" s="1380" t="s">
        <v>698</v>
      </c>
      <c r="O607" s="1380"/>
      <c r="T607" s="19"/>
      <c r="U607" t="s">
        <v>1433</v>
      </c>
      <c r="AG607" s="1380" t="s">
        <v>698</v>
      </c>
      <c r="AH607" s="1380"/>
      <c r="BB607" s="3"/>
      <c r="BC607" s="3"/>
    </row>
    <row r="608" spans="1:55" ht="12.9" customHeight="1">
      <c r="A608" s="19"/>
      <c r="T608" s="19"/>
      <c r="BB608" s="3"/>
      <c r="BC608" s="3"/>
    </row>
    <row r="609" spans="1:55" ht="12.9" customHeight="1">
      <c r="A609" s="47" t="s">
        <v>1417</v>
      </c>
      <c r="B609" t="s">
        <v>1422</v>
      </c>
      <c r="G609" s="1445">
        <f>C570</f>
        <v>0</v>
      </c>
      <c r="H609" s="1445"/>
      <c r="I609" s="1445"/>
      <c r="J609" s="1445"/>
      <c r="K609" s="1445"/>
      <c r="L609" s="1445"/>
      <c r="M609" s="1445"/>
      <c r="N609" s="1445"/>
      <c r="O609" s="1445"/>
      <c r="P609" s="1445"/>
      <c r="Q609" s="1445"/>
      <c r="R609" s="1445"/>
      <c r="T609" s="47" t="s">
        <v>1418</v>
      </c>
      <c r="U609" t="s">
        <v>1422</v>
      </c>
      <c r="Z609" s="1445">
        <f>C571</f>
        <v>0</v>
      </c>
      <c r="AA609" s="1445"/>
      <c r="AB609" s="1445"/>
      <c r="AC609" s="1445"/>
      <c r="AD609" s="1445"/>
      <c r="AE609" s="1445"/>
      <c r="AF609" s="1445"/>
      <c r="AG609" s="1445"/>
      <c r="AH609" s="1445"/>
      <c r="AI609" s="1445"/>
      <c r="AJ609" s="1445"/>
      <c r="AK609" s="1445"/>
      <c r="BB609" s="3"/>
      <c r="BC609" s="3"/>
    </row>
    <row r="610" spans="1:55" ht="12.9" customHeight="1">
      <c r="A610" s="19"/>
      <c r="B610" t="s">
        <v>1074</v>
      </c>
      <c r="G610" s="1372"/>
      <c r="H610" s="1372"/>
      <c r="I610" s="1372"/>
      <c r="J610" s="1372"/>
      <c r="K610" s="1372"/>
      <c r="L610" s="1372"/>
      <c r="M610" s="1372"/>
      <c r="N610" s="1372"/>
      <c r="O610" s="1372"/>
      <c r="P610" s="1372"/>
      <c r="Q610" s="1372"/>
      <c r="R610" s="1372"/>
      <c r="T610" s="19"/>
      <c r="U610" t="s">
        <v>1074</v>
      </c>
      <c r="Z610" s="1372"/>
      <c r="AA610" s="1372"/>
      <c r="AB610" s="1372"/>
      <c r="AC610" s="1372"/>
      <c r="AD610" s="1372"/>
      <c r="AE610" s="1372"/>
      <c r="AF610" s="1372"/>
      <c r="AG610" s="1372"/>
      <c r="AH610" s="1372"/>
      <c r="AI610" s="1372"/>
      <c r="AJ610" s="1372"/>
      <c r="AK610" s="1372"/>
      <c r="AZ610" s="3"/>
      <c r="BA610" s="3"/>
      <c r="BB610" s="3"/>
      <c r="BC610" s="3"/>
    </row>
    <row r="611" spans="1:55" ht="12.9" customHeight="1">
      <c r="A611" s="19"/>
      <c r="B611" t="s">
        <v>941</v>
      </c>
      <c r="G611" s="1372"/>
      <c r="H611" s="1372"/>
      <c r="I611" s="1372"/>
      <c r="J611" s="1372"/>
      <c r="K611" s="1372"/>
      <c r="L611" s="1372"/>
      <c r="M611" s="1372"/>
      <c r="N611" s="1372"/>
      <c r="O611" s="1372"/>
      <c r="P611" s="1372"/>
      <c r="Q611" s="1372"/>
      <c r="R611" s="1372"/>
      <c r="T611" s="19"/>
      <c r="U611" t="s">
        <v>941</v>
      </c>
      <c r="Z611" s="1341"/>
      <c r="AA611" s="1341"/>
      <c r="AB611" s="1341"/>
      <c r="AC611" s="1341"/>
      <c r="AD611" s="1341"/>
      <c r="AE611" s="1341"/>
      <c r="AF611" s="1341"/>
      <c r="AG611" s="1341"/>
      <c r="AH611" s="1341"/>
      <c r="AI611" s="1341"/>
      <c r="AJ611" s="1341"/>
      <c r="AK611" s="1341"/>
      <c r="AZ611" s="3"/>
      <c r="BA611" s="3"/>
      <c r="BB611" s="3"/>
      <c r="BC611" s="3"/>
    </row>
    <row r="612" spans="1:55" ht="12.9" customHeight="1">
      <c r="A612" s="19"/>
      <c r="B612" t="s">
        <v>1425</v>
      </c>
      <c r="G612" s="1372"/>
      <c r="H612" s="1372"/>
      <c r="I612" s="1372"/>
      <c r="J612" s="1372"/>
      <c r="K612" s="1372"/>
      <c r="L612" s="1372"/>
      <c r="M612" s="1372"/>
      <c r="N612" s="1372"/>
      <c r="O612" s="1372"/>
      <c r="P612" s="1372"/>
      <c r="Q612" s="1372"/>
      <c r="R612" s="1372"/>
      <c r="T612" s="19"/>
      <c r="U612" t="s">
        <v>1425</v>
      </c>
      <c r="Z612" s="1341"/>
      <c r="AA612" s="1341"/>
      <c r="AB612" s="1341"/>
      <c r="AC612" s="1341"/>
      <c r="AD612" s="1341"/>
      <c r="AE612" s="1341"/>
      <c r="AF612" s="1341"/>
      <c r="AG612" s="1341"/>
      <c r="AH612" s="1341"/>
      <c r="AI612" s="1341"/>
      <c r="AJ612" s="1341"/>
      <c r="AK612" s="1341"/>
      <c r="AZ612" s="3"/>
      <c r="BA612" s="3"/>
      <c r="BB612" s="3"/>
      <c r="BC612" s="3"/>
    </row>
    <row r="613" spans="1:55" s="4" customFormat="1" ht="12.9" customHeight="1">
      <c r="A613" s="19"/>
      <c r="B613" t="s">
        <v>834</v>
      </c>
      <c r="C613"/>
      <c r="D613"/>
      <c r="E613"/>
      <c r="F613"/>
      <c r="G613" s="1449"/>
      <c r="H613" s="1449"/>
      <c r="I613" s="1449"/>
      <c r="J613" s="1449"/>
      <c r="K613" s="1449"/>
      <c r="L613" s="1449"/>
      <c r="M613"/>
      <c r="N613"/>
      <c r="O613" s="918" t="s">
        <v>1083</v>
      </c>
      <c r="P613" s="1433"/>
      <c r="Q613" s="1433"/>
      <c r="R613" s="1433"/>
      <c r="S613"/>
      <c r="T613" s="19"/>
      <c r="U613" t="s">
        <v>834</v>
      </c>
      <c r="V613"/>
      <c r="W613"/>
      <c r="X613"/>
      <c r="Y613"/>
      <c r="Z613" s="1449"/>
      <c r="AA613" s="1449"/>
      <c r="AB613" s="1449"/>
      <c r="AC613" s="1449"/>
      <c r="AD613" s="1449"/>
      <c r="AE613" s="1449"/>
      <c r="AF613"/>
      <c r="AG613"/>
      <c r="AH613" s="918" t="s">
        <v>1083</v>
      </c>
      <c r="AI613" s="1433"/>
      <c r="AJ613" s="1433"/>
      <c r="AK613" s="1433"/>
      <c r="AL613"/>
      <c r="AM613"/>
      <c r="AN613"/>
      <c r="AO613"/>
      <c r="AP613"/>
      <c r="AQ613"/>
      <c r="AR613"/>
      <c r="AS613"/>
      <c r="AT613"/>
      <c r="AU613"/>
      <c r="AV613"/>
      <c r="AW613"/>
      <c r="AX613"/>
      <c r="AY613"/>
      <c r="AZ613" s="3"/>
      <c r="BA613" s="3"/>
      <c r="BB613" s="3"/>
      <c r="BC613" s="3"/>
    </row>
    <row r="614" spans="1:55" s="4" customFormat="1" ht="12.9" customHeight="1">
      <c r="A614" s="19"/>
      <c r="B614" t="s">
        <v>1428</v>
      </c>
      <c r="C614"/>
      <c r="D614"/>
      <c r="E614"/>
      <c r="F614"/>
      <c r="G614"/>
      <c r="H614" s="1372"/>
      <c r="I614" s="1372"/>
      <c r="J614" s="1372"/>
      <c r="K614" s="1372"/>
      <c r="L614" s="1372"/>
      <c r="M614" s="1372"/>
      <c r="N614" s="1372"/>
      <c r="O614" s="1372"/>
      <c r="P614" s="1372"/>
      <c r="Q614" s="1372"/>
      <c r="R614" s="1372"/>
      <c r="S614"/>
      <c r="T614" s="19"/>
      <c r="U614" t="s">
        <v>1428</v>
      </c>
      <c r="V614"/>
      <c r="W614"/>
      <c r="X614"/>
      <c r="Y614"/>
      <c r="Z614"/>
      <c r="AA614" s="1372"/>
      <c r="AB614" s="1372"/>
      <c r="AC614" s="1372"/>
      <c r="AD614" s="1372"/>
      <c r="AE614" s="1372"/>
      <c r="AF614" s="1372"/>
      <c r="AG614" s="1372"/>
      <c r="AH614" s="1372"/>
      <c r="AI614" s="1372"/>
      <c r="AJ614" s="1372"/>
      <c r="AK614" s="1372"/>
      <c r="AL614"/>
      <c r="AM614"/>
      <c r="AN614"/>
      <c r="AO614"/>
      <c r="AP614"/>
      <c r="AQ614"/>
      <c r="AR614"/>
      <c r="AS614"/>
      <c r="AT614"/>
      <c r="AU614"/>
      <c r="AV614"/>
      <c r="AW614"/>
      <c r="AX614"/>
      <c r="AY614"/>
      <c r="AZ614" s="3"/>
      <c r="BA614" s="3"/>
      <c r="BB614" s="3"/>
      <c r="BC614" s="3"/>
    </row>
    <row r="615" spans="1:55" s="4" customFormat="1" ht="12.9" customHeight="1">
      <c r="A615" s="19"/>
      <c r="B615" t="s">
        <v>1433</v>
      </c>
      <c r="C615"/>
      <c r="D615"/>
      <c r="E615"/>
      <c r="F615"/>
      <c r="G615"/>
      <c r="H615"/>
      <c r="I615"/>
      <c r="J615"/>
      <c r="K615"/>
      <c r="L615"/>
      <c r="M615"/>
      <c r="N615" s="1380" t="s">
        <v>698</v>
      </c>
      <c r="O615" s="1380"/>
      <c r="P615"/>
      <c r="Q615"/>
      <c r="R615"/>
      <c r="S615"/>
      <c r="T615" s="19"/>
      <c r="U615" t="s">
        <v>1433</v>
      </c>
      <c r="V615"/>
      <c r="W615"/>
      <c r="X615"/>
      <c r="Y615"/>
      <c r="Z615"/>
      <c r="AA615"/>
      <c r="AB615"/>
      <c r="AC615"/>
      <c r="AD615"/>
      <c r="AE615"/>
      <c r="AF615"/>
      <c r="AG615" s="1380" t="s">
        <v>698</v>
      </c>
      <c r="AH615" s="1380"/>
      <c r="AI615"/>
      <c r="AJ615"/>
      <c r="AK615"/>
      <c r="AL615"/>
      <c r="AM615"/>
      <c r="AN615"/>
      <c r="AO615"/>
      <c r="AP615"/>
      <c r="AQ615"/>
      <c r="AR615"/>
      <c r="AS615"/>
      <c r="AT615"/>
      <c r="AU615"/>
      <c r="AV615"/>
      <c r="AW615"/>
      <c r="AX615"/>
      <c r="AY615"/>
      <c r="AZ615" s="3"/>
      <c r="BA615" s="3"/>
      <c r="BB615" s="3"/>
      <c r="BC615" s="3"/>
    </row>
    <row r="616" spans="1:55" ht="12.9" customHeight="1">
      <c r="A616" s="19"/>
      <c r="T616" s="19"/>
      <c r="AZ616" s="3"/>
      <c r="BA616" s="3"/>
      <c r="BB616" s="3"/>
      <c r="BC616" s="3"/>
    </row>
    <row r="617" spans="1:55" ht="12.9" customHeight="1">
      <c r="A617" s="47" t="s">
        <v>1419</v>
      </c>
      <c r="B617" t="s">
        <v>1422</v>
      </c>
      <c r="G617" s="1445">
        <f>C572</f>
        <v>0</v>
      </c>
      <c r="H617" s="1445"/>
      <c r="I617" s="1445"/>
      <c r="J617" s="1445"/>
      <c r="K617" s="1445"/>
      <c r="L617" s="1445"/>
      <c r="M617" s="1445"/>
      <c r="N617" s="1445"/>
      <c r="O617" s="1445"/>
      <c r="P617" s="1445"/>
      <c r="Q617" s="1445"/>
      <c r="R617" s="1445"/>
      <c r="T617" s="47" t="s">
        <v>1420</v>
      </c>
      <c r="U617" t="s">
        <v>1422</v>
      </c>
      <c r="Z617" s="1445">
        <f>C573</f>
        <v>0</v>
      </c>
      <c r="AA617" s="1445"/>
      <c r="AB617" s="1445"/>
      <c r="AC617" s="1445"/>
      <c r="AD617" s="1445"/>
      <c r="AE617" s="1445"/>
      <c r="AF617" s="1445"/>
      <c r="AG617" s="1445"/>
      <c r="AH617" s="1445"/>
      <c r="AI617" s="1445"/>
      <c r="AJ617" s="1445"/>
      <c r="AK617" s="1445"/>
      <c r="AZ617" s="3"/>
      <c r="BA617" s="3"/>
      <c r="BB617" s="3"/>
      <c r="BC617" s="3"/>
    </row>
    <row r="618" spans="1:55" ht="12.9" customHeight="1">
      <c r="B618" t="s">
        <v>1074</v>
      </c>
      <c r="G618" s="1372"/>
      <c r="H618" s="1372"/>
      <c r="I618" s="1372"/>
      <c r="J618" s="1372"/>
      <c r="K618" s="1372"/>
      <c r="L618" s="1372"/>
      <c r="M618" s="1372"/>
      <c r="N618" s="1372"/>
      <c r="O618" s="1372"/>
      <c r="P618" s="1372"/>
      <c r="Q618" s="1372"/>
      <c r="R618" s="1372"/>
      <c r="U618" t="s">
        <v>1074</v>
      </c>
      <c r="Z618" s="1372"/>
      <c r="AA618" s="1372"/>
      <c r="AB618" s="1372"/>
      <c r="AC618" s="1372"/>
      <c r="AD618" s="1372"/>
      <c r="AE618" s="1372"/>
      <c r="AF618" s="1372"/>
      <c r="AG618" s="1372"/>
      <c r="AH618" s="1372"/>
      <c r="AI618" s="1372"/>
      <c r="AJ618" s="1372"/>
      <c r="AK618" s="1372"/>
      <c r="AZ618" s="3"/>
      <c r="BA618" s="3"/>
      <c r="BB618" s="3"/>
      <c r="BC618" s="3"/>
    </row>
    <row r="619" spans="1:55" ht="12.9" customHeight="1">
      <c r="B619" t="s">
        <v>941</v>
      </c>
      <c r="G619" s="1372"/>
      <c r="H619" s="1372"/>
      <c r="I619" s="1372"/>
      <c r="J619" s="1372"/>
      <c r="K619" s="1372"/>
      <c r="L619" s="1372"/>
      <c r="M619" s="1372"/>
      <c r="N619" s="1372"/>
      <c r="O619" s="1372"/>
      <c r="P619" s="1372"/>
      <c r="Q619" s="1372"/>
      <c r="R619" s="1372"/>
      <c r="U619" t="s">
        <v>941</v>
      </c>
      <c r="Z619" s="1341"/>
      <c r="AA619" s="1341"/>
      <c r="AB619" s="1341"/>
      <c r="AC619" s="1341"/>
      <c r="AD619" s="1341"/>
      <c r="AE619" s="1341"/>
      <c r="AF619" s="1341"/>
      <c r="AG619" s="1341"/>
      <c r="AH619" s="1341"/>
      <c r="AI619" s="1341"/>
      <c r="AJ619" s="1341"/>
      <c r="AK619" s="1341"/>
      <c r="AZ619" s="3"/>
      <c r="BA619" s="3"/>
      <c r="BB619" s="3"/>
      <c r="BC619" s="3"/>
    </row>
    <row r="620" spans="1:55" ht="12.9" customHeight="1">
      <c r="B620" t="s">
        <v>1425</v>
      </c>
      <c r="G620" s="1372"/>
      <c r="H620" s="1372"/>
      <c r="I620" s="1372"/>
      <c r="J620" s="1372"/>
      <c r="K620" s="1372"/>
      <c r="L620" s="1372"/>
      <c r="M620" s="1372"/>
      <c r="N620" s="1372"/>
      <c r="O620" s="1372"/>
      <c r="P620" s="1372"/>
      <c r="Q620" s="1372"/>
      <c r="R620" s="1372"/>
      <c r="U620" t="s">
        <v>1425</v>
      </c>
      <c r="Z620" s="1341"/>
      <c r="AA620" s="1341"/>
      <c r="AB620" s="1341"/>
      <c r="AC620" s="1341"/>
      <c r="AD620" s="1341"/>
      <c r="AE620" s="1341"/>
      <c r="AF620" s="1341"/>
      <c r="AG620" s="1341"/>
      <c r="AH620" s="1341"/>
      <c r="AI620" s="1341"/>
      <c r="AJ620" s="1341"/>
      <c r="AK620" s="1341"/>
      <c r="AZ620" s="3"/>
      <c r="BA620" s="3"/>
      <c r="BB620" s="3"/>
      <c r="BC620" s="3"/>
    </row>
    <row r="621" spans="1:55" ht="12.9" customHeight="1">
      <c r="B621" t="s">
        <v>834</v>
      </c>
      <c r="G621" s="1449"/>
      <c r="H621" s="1449"/>
      <c r="I621" s="1449"/>
      <c r="J621" s="1449"/>
      <c r="K621" s="1449"/>
      <c r="L621" s="1449"/>
      <c r="O621" s="918" t="s">
        <v>1083</v>
      </c>
      <c r="P621" s="1433"/>
      <c r="Q621" s="1433"/>
      <c r="R621" s="1433"/>
      <c r="U621" t="s">
        <v>834</v>
      </c>
      <c r="Z621" s="1449"/>
      <c r="AA621" s="1449"/>
      <c r="AB621" s="1449"/>
      <c r="AC621" s="1449"/>
      <c r="AD621" s="1449"/>
      <c r="AE621" s="1449"/>
      <c r="AH621" s="918" t="s">
        <v>1083</v>
      </c>
      <c r="AI621" s="1433"/>
      <c r="AJ621" s="1433"/>
      <c r="AK621" s="1433"/>
      <c r="AZ621" s="3"/>
      <c r="BA621" s="3"/>
      <c r="BB621" s="3"/>
      <c r="BC621" s="3"/>
    </row>
    <row r="622" spans="1:55" ht="12.9" customHeight="1">
      <c r="B622" t="s">
        <v>1428</v>
      </c>
      <c r="H622" s="1372"/>
      <c r="I622" s="1372"/>
      <c r="J622" s="1372"/>
      <c r="K622" s="1372"/>
      <c r="L622" s="1372"/>
      <c r="M622" s="1372"/>
      <c r="N622" s="1372"/>
      <c r="O622" s="1372"/>
      <c r="P622" s="1372"/>
      <c r="Q622" s="1372"/>
      <c r="R622" s="1372"/>
      <c r="U622" t="s">
        <v>1428</v>
      </c>
      <c r="AA622" s="1372"/>
      <c r="AB622" s="1372"/>
      <c r="AC622" s="1372"/>
      <c r="AD622" s="1372"/>
      <c r="AE622" s="1372"/>
      <c r="AF622" s="1372"/>
      <c r="AG622" s="1372"/>
      <c r="AH622" s="1372"/>
      <c r="AI622" s="1372"/>
      <c r="AJ622" s="1372"/>
      <c r="AK622" s="1372"/>
      <c r="AU622" s="791"/>
      <c r="AV622" s="791"/>
      <c r="AW622" s="791"/>
      <c r="AX622" s="791"/>
      <c r="AY622" s="791"/>
      <c r="AZ622" s="3"/>
      <c r="BA622" s="3"/>
      <c r="BB622" s="3"/>
      <c r="BC622" s="3"/>
    </row>
    <row r="623" spans="1:55" ht="12.9" customHeight="1">
      <c r="B623" t="s">
        <v>1433</v>
      </c>
      <c r="N623" s="1380" t="s">
        <v>698</v>
      </c>
      <c r="O623" s="1380"/>
      <c r="U623" t="s">
        <v>1433</v>
      </c>
      <c r="AG623" s="1380" t="s">
        <v>698</v>
      </c>
      <c r="AH623" s="1380"/>
      <c r="AU623" s="791"/>
      <c r="AV623" s="791"/>
      <c r="AW623" s="791"/>
      <c r="AX623" s="791"/>
      <c r="AY623" s="791"/>
      <c r="AZ623" s="3"/>
      <c r="BA623" s="3"/>
      <c r="BB623" s="3"/>
      <c r="BC623" s="3"/>
    </row>
    <row r="624" spans="1:55" ht="12.9" customHeight="1">
      <c r="AZ624" s="3"/>
      <c r="BA624" s="3"/>
      <c r="BB624" s="3"/>
      <c r="BC624" s="3"/>
    </row>
    <row r="625" spans="1:56" ht="12.9" customHeight="1">
      <c r="A625" s="1238" t="s">
        <v>1440</v>
      </c>
      <c r="B625" s="1238"/>
      <c r="C625" s="1238"/>
      <c r="D625" s="1238"/>
      <c r="E625" s="1238"/>
      <c r="F625" s="1238"/>
      <c r="G625" s="1238"/>
      <c r="H625" s="1238"/>
      <c r="I625" s="1238"/>
      <c r="J625" s="1238"/>
      <c r="K625" s="1238"/>
      <c r="L625" s="1238"/>
      <c r="M625" s="1238"/>
      <c r="N625" s="1238"/>
      <c r="O625" s="1238"/>
      <c r="P625" s="1238"/>
      <c r="Q625" s="1238"/>
      <c r="R625" s="1238"/>
      <c r="S625" s="1238"/>
      <c r="T625" s="1238"/>
      <c r="U625" s="1238"/>
      <c r="V625" s="1238"/>
      <c r="W625" s="1238"/>
      <c r="X625" s="1238"/>
      <c r="Y625" s="1238"/>
      <c r="Z625" s="1238"/>
      <c r="AA625" s="1238"/>
      <c r="AB625" s="1238"/>
      <c r="AC625" s="1238"/>
      <c r="AD625" s="1238"/>
      <c r="AE625" s="1238"/>
      <c r="AF625" s="1238"/>
      <c r="AG625" s="1238"/>
      <c r="AH625" s="1238"/>
      <c r="AI625" s="1238"/>
      <c r="AJ625" s="1238"/>
      <c r="AK625" s="1238"/>
      <c r="AL625" s="1238"/>
      <c r="AM625" s="1238"/>
      <c r="AN625" s="1238"/>
      <c r="AO625" s="1238"/>
      <c r="AP625" s="1238"/>
      <c r="AQ625" s="1238"/>
      <c r="AR625" s="1238"/>
      <c r="AS625" s="1238"/>
      <c r="AT625" s="1238"/>
      <c r="AZ625" s="3"/>
      <c r="BA625" s="3"/>
      <c r="BB625" s="3"/>
      <c r="BC625" s="3"/>
    </row>
    <row r="626" spans="1:56" ht="12.9" customHeight="1">
      <c r="A626" s="1238"/>
      <c r="B626" s="1238"/>
      <c r="C626" s="1238"/>
      <c r="D626" s="1238"/>
      <c r="E626" s="1238"/>
      <c r="F626" s="1238"/>
      <c r="G626" s="1238"/>
      <c r="H626" s="1238"/>
      <c r="I626" s="1238"/>
      <c r="J626" s="1238"/>
      <c r="K626" s="1238"/>
      <c r="L626" s="1238"/>
      <c r="M626" s="1238"/>
      <c r="N626" s="1238"/>
      <c r="O626" s="1238"/>
      <c r="P626" s="1238"/>
      <c r="Q626" s="1238"/>
      <c r="R626" s="1238"/>
      <c r="S626" s="1238"/>
      <c r="T626" s="1238"/>
      <c r="U626" s="1238"/>
      <c r="V626" s="1238"/>
      <c r="W626" s="1238"/>
      <c r="X626" s="1238"/>
      <c r="Y626" s="1238"/>
      <c r="Z626" s="1238"/>
      <c r="AA626" s="1238"/>
      <c r="AB626" s="1238"/>
      <c r="AC626" s="1238"/>
      <c r="AD626" s="1238"/>
      <c r="AE626" s="1238"/>
      <c r="AF626" s="1238"/>
      <c r="AG626" s="1238"/>
      <c r="AH626" s="1238"/>
      <c r="AI626" s="1238"/>
      <c r="AJ626" s="1238"/>
      <c r="AK626" s="1238"/>
      <c r="AL626" s="1238"/>
      <c r="AM626" s="1238"/>
      <c r="AN626" s="1238"/>
      <c r="AO626" s="1238"/>
      <c r="AP626" s="1238"/>
      <c r="AQ626" s="1238"/>
      <c r="AR626" s="1238"/>
      <c r="AS626" s="1238"/>
      <c r="AT626" s="1238"/>
      <c r="AZ626" s="3"/>
      <c r="BA626" s="3"/>
      <c r="BB626" s="3"/>
      <c r="BC626" s="3"/>
    </row>
    <row r="627" spans="1:56" ht="12.9" customHeight="1">
      <c r="AZ627" s="3"/>
      <c r="BA627" s="3"/>
      <c r="BB627" s="3"/>
      <c r="BC627" s="3"/>
    </row>
    <row r="628" spans="1:56" ht="12.9" customHeight="1">
      <c r="A628" s="2" t="s">
        <v>881</v>
      </c>
      <c r="B628" s="2"/>
      <c r="C628" s="2" t="s">
        <v>175</v>
      </c>
      <c r="AZ628" s="3"/>
      <c r="BA628" s="3"/>
      <c r="BB628" s="3"/>
      <c r="BC628" s="3"/>
    </row>
    <row r="629" spans="1:56" ht="12.9" customHeight="1">
      <c r="A629" s="2"/>
      <c r="B629" s="2"/>
      <c r="C629" s="2"/>
      <c r="AZ629" s="3"/>
      <c r="BA629" s="3"/>
      <c r="BB629" s="3"/>
      <c r="BC629" s="3"/>
    </row>
    <row r="630" spans="1:56" ht="12.9" customHeight="1">
      <c r="C630" s="2" t="s">
        <v>1399</v>
      </c>
      <c r="AZ630" s="3"/>
      <c r="BA630" s="3"/>
      <c r="BB630" s="3"/>
      <c r="BC630" s="3"/>
    </row>
    <row r="631" spans="1:56" ht="12.9" customHeight="1">
      <c r="B631" s="412"/>
      <c r="C631" s="2"/>
      <c r="AU631" s="3"/>
      <c r="AZ631" s="3"/>
      <c r="BA631" s="3"/>
      <c r="BB631" s="3"/>
      <c r="BC631" s="3"/>
    </row>
    <row r="632" spans="1:56" ht="12.9" customHeight="1">
      <c r="B632" s="1607" t="s">
        <v>1400</v>
      </c>
      <c r="C632" s="1607"/>
      <c r="D632" s="1607"/>
      <c r="E632" s="1607"/>
      <c r="F632" s="1607"/>
      <c r="G632" s="1607"/>
      <c r="H632" s="1607"/>
      <c r="I632" s="1607"/>
      <c r="J632" s="1607"/>
      <c r="K632" s="1607"/>
      <c r="L632" s="1607"/>
      <c r="M632" s="1700" t="s">
        <v>1401</v>
      </c>
      <c r="N632" s="1700"/>
      <c r="O632" s="1700"/>
      <c r="P632" s="1700"/>
      <c r="Q632" s="1700" t="s">
        <v>1441</v>
      </c>
      <c r="R632" s="1700"/>
      <c r="S632" s="1700"/>
      <c r="T632" s="1700" t="s">
        <v>1442</v>
      </c>
      <c r="U632" s="1700"/>
      <c r="V632" s="1700"/>
      <c r="W632" s="1608" t="s">
        <v>1404</v>
      </c>
      <c r="X632" s="1608"/>
      <c r="Y632" s="1608"/>
      <c r="Z632" s="1362" t="s">
        <v>1443</v>
      </c>
      <c r="AA632" s="1362"/>
      <c r="AB632" s="1363"/>
      <c r="AC632" s="1609" t="s">
        <v>1406</v>
      </c>
      <c r="AD632" s="1610"/>
      <c r="AE632" s="1611"/>
      <c r="AF632" s="1361" t="s">
        <v>1444</v>
      </c>
      <c r="AG632" s="1362"/>
      <c r="AH632" s="1362"/>
      <c r="AI632" s="1362"/>
      <c r="AJ632" s="1363"/>
      <c r="AK632" s="1598" t="s">
        <v>1445</v>
      </c>
      <c r="AL632" s="1599"/>
      <c r="AM632" s="1599"/>
      <c r="AN632" s="1600"/>
      <c r="AO632" s="1700" t="s">
        <v>1408</v>
      </c>
      <c r="AP632" s="1700"/>
      <c r="AQ632" s="1700"/>
      <c r="AR632" s="1700"/>
      <c r="AS632" s="1700"/>
      <c r="AU632" s="3"/>
      <c r="AZ632" s="3"/>
      <c r="BA632" s="3"/>
      <c r="BB632" s="3"/>
      <c r="BC632" s="3"/>
    </row>
    <row r="633" spans="1:56" ht="12.9" customHeight="1">
      <c r="B633" s="1607"/>
      <c r="C633" s="1607"/>
      <c r="D633" s="1607"/>
      <c r="E633" s="1607"/>
      <c r="F633" s="1607"/>
      <c r="G633" s="1607"/>
      <c r="H633" s="1607"/>
      <c r="I633" s="1607"/>
      <c r="J633" s="1607"/>
      <c r="K633" s="1607"/>
      <c r="L633" s="1607"/>
      <c r="M633" s="1700"/>
      <c r="N633" s="1700"/>
      <c r="O633" s="1700"/>
      <c r="P633" s="1700"/>
      <c r="Q633" s="1700"/>
      <c r="R633" s="1700"/>
      <c r="S633" s="1700"/>
      <c r="T633" s="1700"/>
      <c r="U633" s="1700"/>
      <c r="V633" s="1700"/>
      <c r="W633" s="1608"/>
      <c r="X633" s="1608"/>
      <c r="Y633" s="1608"/>
      <c r="Z633" s="1365"/>
      <c r="AA633" s="1365"/>
      <c r="AB633" s="1366"/>
      <c r="AC633" s="1612"/>
      <c r="AD633" s="1613"/>
      <c r="AE633" s="1614"/>
      <c r="AF633" s="1364"/>
      <c r="AG633" s="1365"/>
      <c r="AH633" s="1365"/>
      <c r="AI633" s="1365"/>
      <c r="AJ633" s="1366"/>
      <c r="AK633" s="1601"/>
      <c r="AL633" s="1602"/>
      <c r="AM633" s="1602"/>
      <c r="AN633" s="1603"/>
      <c r="AO633" s="1700"/>
      <c r="AP633" s="1700"/>
      <c r="AQ633" s="1700"/>
      <c r="AR633" s="1700"/>
      <c r="AS633" s="1700"/>
      <c r="AU633" s="3"/>
      <c r="AZ633" s="3"/>
      <c r="BA633" s="3"/>
      <c r="BB633" s="3"/>
      <c r="BC633" s="3"/>
      <c r="BD633" s="3"/>
    </row>
    <row r="634" spans="1:56" ht="12.9" customHeight="1">
      <c r="B634" s="1607"/>
      <c r="C634" s="1607"/>
      <c r="D634" s="1607"/>
      <c r="E634" s="1607"/>
      <c r="F634" s="1607"/>
      <c r="G634" s="1607"/>
      <c r="H634" s="1607"/>
      <c r="I634" s="1607"/>
      <c r="J634" s="1607"/>
      <c r="K634" s="1607"/>
      <c r="L634" s="1607"/>
      <c r="M634" s="1700"/>
      <c r="N634" s="1700"/>
      <c r="O634" s="1700"/>
      <c r="P634" s="1700"/>
      <c r="Q634" s="1700"/>
      <c r="R634" s="1700"/>
      <c r="S634" s="1700"/>
      <c r="T634" s="1700"/>
      <c r="U634" s="1700"/>
      <c r="V634" s="1700"/>
      <c r="W634" s="1608"/>
      <c r="X634" s="1608"/>
      <c r="Y634" s="1608"/>
      <c r="Z634" s="1368"/>
      <c r="AA634" s="1368"/>
      <c r="AB634" s="1369"/>
      <c r="AC634" s="1615"/>
      <c r="AD634" s="1616"/>
      <c r="AE634" s="1617"/>
      <c r="AF634" s="1367"/>
      <c r="AG634" s="1368"/>
      <c r="AH634" s="1368"/>
      <c r="AI634" s="1368"/>
      <c r="AJ634" s="1369"/>
      <c r="AK634" s="1604"/>
      <c r="AL634" s="1605"/>
      <c r="AM634" s="1605"/>
      <c r="AN634" s="1606"/>
      <c r="AO634" s="1700"/>
      <c r="AP634" s="1700"/>
      <c r="AQ634" s="1700"/>
      <c r="AR634" s="1700"/>
      <c r="AS634" s="1700"/>
      <c r="AT634" s="3"/>
      <c r="AU634" s="3"/>
      <c r="AZ634" s="3"/>
      <c r="BA634" s="3"/>
      <c r="BB634" s="3"/>
      <c r="BC634" s="3"/>
      <c r="BD634" s="3"/>
    </row>
    <row r="635" spans="1:56" ht="12.9" customHeight="1">
      <c r="B635" s="43" t="s">
        <v>18</v>
      </c>
      <c r="C635" s="1441" t="s">
        <v>1446</v>
      </c>
      <c r="D635" s="1441"/>
      <c r="E635" s="1441"/>
      <c r="F635" s="1441"/>
      <c r="G635" s="1441"/>
      <c r="H635" s="1441"/>
      <c r="I635" s="1441"/>
      <c r="J635" s="1441"/>
      <c r="K635" s="1441"/>
      <c r="L635" s="1441"/>
      <c r="M635" s="1546" t="s">
        <v>1376</v>
      </c>
      <c r="N635" s="1546"/>
      <c r="O635" s="1546"/>
      <c r="P635" s="1546"/>
      <c r="Q635" s="1468">
        <v>180</v>
      </c>
      <c r="R635" s="1468"/>
      <c r="S635" s="1469"/>
      <c r="T635" s="1467">
        <v>480</v>
      </c>
      <c r="U635" s="1468"/>
      <c r="V635" s="1469"/>
      <c r="W635" s="1442">
        <v>5.8999999999999997E-2</v>
      </c>
      <c r="X635" s="1443"/>
      <c r="Y635" s="1444"/>
      <c r="Z635" s="1438" t="s">
        <v>1447</v>
      </c>
      <c r="AA635" s="1439"/>
      <c r="AB635" s="1440"/>
      <c r="AC635" s="1350">
        <v>1</v>
      </c>
      <c r="AD635" s="1351"/>
      <c r="AE635" s="1352"/>
      <c r="AF635" s="1470">
        <f>PMT(W635/12,T635,-AO635)*12</f>
        <v>1454163.653500265</v>
      </c>
      <c r="AG635" s="1471"/>
      <c r="AH635" s="1471"/>
      <c r="AI635" s="1471"/>
      <c r="AJ635" s="1472"/>
      <c r="AK635" s="1446"/>
      <c r="AL635" s="1447"/>
      <c r="AM635" s="1447"/>
      <c r="AN635" s="1448"/>
      <c r="AO635" s="1570">
        <f>AM562</f>
        <v>22306185</v>
      </c>
      <c r="AP635" s="1570"/>
      <c r="AQ635" s="1570"/>
      <c r="AR635" s="1570"/>
      <c r="AS635" s="1570"/>
      <c r="AT635" s="3"/>
      <c r="AU635" s="3"/>
      <c r="AZ635" s="3"/>
      <c r="BA635" s="3"/>
      <c r="BB635" s="3"/>
      <c r="BC635" s="3"/>
      <c r="BD635" s="3"/>
    </row>
    <row r="636" spans="1:56" ht="12.9" customHeight="1">
      <c r="B636" s="44" t="s">
        <v>31</v>
      </c>
      <c r="C636" s="1441" t="s">
        <v>2774</v>
      </c>
      <c r="D636" s="1441"/>
      <c r="E636" s="1441"/>
      <c r="F636" s="1441"/>
      <c r="G636" s="1441"/>
      <c r="H636" s="1441"/>
      <c r="I636" s="1441"/>
      <c r="J636" s="1441"/>
      <c r="K636" s="1441"/>
      <c r="L636" s="1441"/>
      <c r="M636" s="1546" t="s">
        <v>1376</v>
      </c>
      <c r="N636" s="1546"/>
      <c r="O636" s="1546"/>
      <c r="P636" s="1546"/>
      <c r="Q636" s="1467">
        <v>180</v>
      </c>
      <c r="R636" s="1468"/>
      <c r="S636" s="1469"/>
      <c r="T636" s="1467">
        <v>480</v>
      </c>
      <c r="U636" s="1468"/>
      <c r="V636" s="1469"/>
      <c r="W636" s="1442">
        <v>6.3600000000000004E-2</v>
      </c>
      <c r="X636" s="1443"/>
      <c r="Y636" s="1444"/>
      <c r="Z636" s="1438" t="s">
        <v>1447</v>
      </c>
      <c r="AA636" s="1439"/>
      <c r="AB636" s="1440"/>
      <c r="AC636" s="1350">
        <v>1</v>
      </c>
      <c r="AD636" s="1351"/>
      <c r="AE636" s="1352"/>
      <c r="AF636" s="1470">
        <f>PMT(W636/12,T636,-AO636)*12</f>
        <v>1968251.365509613</v>
      </c>
      <c r="AG636" s="1471"/>
      <c r="AH636" s="1471"/>
      <c r="AI636" s="1471"/>
      <c r="AJ636" s="1472"/>
      <c r="AK636" s="1446"/>
      <c r="AL636" s="1447"/>
      <c r="AM636" s="1447"/>
      <c r="AN636" s="1448"/>
      <c r="AO636" s="1437">
        <f>AM563</f>
        <v>28500000</v>
      </c>
      <c r="AP636" s="1307"/>
      <c r="AQ636" s="1307"/>
      <c r="AR636" s="1307"/>
      <c r="AS636" s="1308"/>
      <c r="AT636" s="1030" t="str">
        <f>IF(AND(NOT(C635=""),C636="",NOT(C637="")),"!","")</f>
        <v/>
      </c>
      <c r="AU636" s="3"/>
      <c r="AZ636" s="3"/>
      <c r="BA636" s="3"/>
      <c r="BB636" s="3"/>
      <c r="BC636" s="3"/>
      <c r="BD636" s="3"/>
    </row>
    <row r="637" spans="1:56" ht="12.9" customHeight="1">
      <c r="B637" s="44" t="s">
        <v>39</v>
      </c>
      <c r="C637" s="1441" t="s">
        <v>1412</v>
      </c>
      <c r="D637" s="1441"/>
      <c r="E637" s="1441"/>
      <c r="F637" s="1441"/>
      <c r="G637" s="1441"/>
      <c r="H637" s="1441"/>
      <c r="I637" s="1441"/>
      <c r="J637" s="1441"/>
      <c r="K637" s="1441"/>
      <c r="L637" s="1441"/>
      <c r="M637" s="1546" t="s">
        <v>1385</v>
      </c>
      <c r="N637" s="1546"/>
      <c r="O637" s="1546"/>
      <c r="P637" s="1546"/>
      <c r="Q637" s="1467"/>
      <c r="R637" s="1468"/>
      <c r="S637" s="1469"/>
      <c r="T637" s="1467"/>
      <c r="U637" s="1468"/>
      <c r="V637" s="1469"/>
      <c r="W637" s="1442"/>
      <c r="X637" s="1443"/>
      <c r="Y637" s="1444"/>
      <c r="Z637" s="1438" t="s">
        <v>1009</v>
      </c>
      <c r="AA637" s="1439"/>
      <c r="AB637" s="1440"/>
      <c r="AC637" s="1350"/>
      <c r="AD637" s="1351"/>
      <c r="AE637" s="1352"/>
      <c r="AF637" s="1470"/>
      <c r="AG637" s="1471"/>
      <c r="AH637" s="1471"/>
      <c r="AI637" s="1471"/>
      <c r="AJ637" s="1472"/>
      <c r="AK637" s="1446"/>
      <c r="AL637" s="1447"/>
      <c r="AM637" s="1447"/>
      <c r="AN637" s="1448"/>
      <c r="AO637" s="1437">
        <v>2000000</v>
      </c>
      <c r="AP637" s="1307"/>
      <c r="AQ637" s="1307"/>
      <c r="AR637" s="1307"/>
      <c r="AS637" s="1308"/>
      <c r="AT637" s="1030" t="str">
        <f t="shared" ref="AT637:AT646" si="3">IF(AND(NOT(C636=""),C637="",NOT(C638="")),"!","")</f>
        <v/>
      </c>
      <c r="AU637" s="3"/>
      <c r="AZ637" s="3"/>
      <c r="BA637" s="3"/>
      <c r="BB637" s="3"/>
      <c r="BC637" s="3"/>
      <c r="BD637" s="3"/>
    </row>
    <row r="638" spans="1:56" ht="12.9" customHeight="1">
      <c r="B638" s="44" t="s">
        <v>82</v>
      </c>
      <c r="C638" s="1441" t="s">
        <v>1448</v>
      </c>
      <c r="D638" s="1441"/>
      <c r="E638" s="1441"/>
      <c r="F638" s="1441"/>
      <c r="G638" s="1441"/>
      <c r="H638" s="1441"/>
      <c r="I638" s="1441"/>
      <c r="J638" s="1441"/>
      <c r="K638" s="1441"/>
      <c r="L638" s="1441"/>
      <c r="M638" s="1546" t="s">
        <v>1364</v>
      </c>
      <c r="N638" s="1546"/>
      <c r="O638" s="1546"/>
      <c r="P638" s="1546"/>
      <c r="Q638" s="1467"/>
      <c r="R638" s="1468"/>
      <c r="S638" s="1469"/>
      <c r="T638" s="1467"/>
      <c r="U638" s="1468"/>
      <c r="V638" s="1469"/>
      <c r="W638" s="1442"/>
      <c r="X638" s="1443"/>
      <c r="Y638" s="1444"/>
      <c r="Z638" s="1438" t="s">
        <v>1009</v>
      </c>
      <c r="AA638" s="1439"/>
      <c r="AB638" s="1440"/>
      <c r="AC638" s="1350"/>
      <c r="AD638" s="1351"/>
      <c r="AE638" s="1352"/>
      <c r="AF638" s="1470"/>
      <c r="AG638" s="1471"/>
      <c r="AH638" s="1471"/>
      <c r="AI638" s="1471"/>
      <c r="AJ638" s="1472"/>
      <c r="AK638" s="1446"/>
      <c r="AL638" s="1447"/>
      <c r="AM638" s="1447"/>
      <c r="AN638" s="1448"/>
      <c r="AO638" s="1437">
        <v>2678263</v>
      </c>
      <c r="AP638" s="1307"/>
      <c r="AQ638" s="1307"/>
      <c r="AR638" s="1307"/>
      <c r="AS638" s="1308"/>
      <c r="AT638" s="1030" t="str">
        <f t="shared" si="3"/>
        <v/>
      </c>
      <c r="AU638" s="3"/>
      <c r="AZ638" s="3"/>
      <c r="BA638" s="3"/>
      <c r="BB638" s="3"/>
      <c r="BC638" s="3"/>
      <c r="BD638" s="3"/>
    </row>
    <row r="639" spans="1:56" ht="12.9" customHeight="1">
      <c r="B639" s="44" t="s">
        <v>86</v>
      </c>
      <c r="C639" s="1441"/>
      <c r="D639" s="1441"/>
      <c r="E639" s="1441"/>
      <c r="F639" s="1441"/>
      <c r="G639" s="1441"/>
      <c r="H639" s="1441"/>
      <c r="I639" s="1441"/>
      <c r="J639" s="1441"/>
      <c r="K639" s="1441"/>
      <c r="L639" s="1441"/>
      <c r="M639" s="1546" t="s">
        <v>1009</v>
      </c>
      <c r="N639" s="1546"/>
      <c r="O639" s="1546"/>
      <c r="P639" s="1546"/>
      <c r="Q639" s="1467"/>
      <c r="R639" s="1468"/>
      <c r="S639" s="1469"/>
      <c r="T639" s="1467"/>
      <c r="U639" s="1468"/>
      <c r="V639" s="1469"/>
      <c r="W639" s="1442"/>
      <c r="X639" s="1443"/>
      <c r="Y639" s="1444"/>
      <c r="Z639" s="1438" t="s">
        <v>1009</v>
      </c>
      <c r="AA639" s="1439"/>
      <c r="AB639" s="1440"/>
      <c r="AC639" s="1350"/>
      <c r="AD639" s="1351"/>
      <c r="AE639" s="1352"/>
      <c r="AF639" s="1470"/>
      <c r="AG639" s="1471"/>
      <c r="AH639" s="1471"/>
      <c r="AI639" s="1471"/>
      <c r="AJ639" s="1472"/>
      <c r="AK639" s="1446"/>
      <c r="AL639" s="1447"/>
      <c r="AM639" s="1447"/>
      <c r="AN639" s="1448"/>
      <c r="AO639" s="1437"/>
      <c r="AP639" s="1307"/>
      <c r="AQ639" s="1307"/>
      <c r="AR639" s="1307"/>
      <c r="AS639" s="1308"/>
      <c r="AT639" s="1030" t="str">
        <f t="shared" si="3"/>
        <v/>
      </c>
      <c r="AU639" s="3"/>
      <c r="AZ639" s="3"/>
      <c r="BA639" s="3"/>
      <c r="BB639" s="3"/>
      <c r="BC639" s="3"/>
      <c r="BD639" s="3"/>
    </row>
    <row r="640" spans="1:56" ht="12.9" customHeight="1">
      <c r="B640" s="44" t="s">
        <v>1413</v>
      </c>
      <c r="C640" s="1441"/>
      <c r="D640" s="1441"/>
      <c r="E640" s="1441"/>
      <c r="F640" s="1441"/>
      <c r="G640" s="1441"/>
      <c r="H640" s="1441"/>
      <c r="I640" s="1441"/>
      <c r="J640" s="1441"/>
      <c r="K640" s="1441"/>
      <c r="L640" s="1441"/>
      <c r="M640" s="1546" t="s">
        <v>1009</v>
      </c>
      <c r="N640" s="1546"/>
      <c r="O640" s="1546"/>
      <c r="P640" s="1546"/>
      <c r="Q640" s="1467"/>
      <c r="R640" s="1468"/>
      <c r="S640" s="1469"/>
      <c r="T640" s="1467"/>
      <c r="U640" s="1468"/>
      <c r="V640" s="1469"/>
      <c r="W640" s="1442"/>
      <c r="X640" s="1443"/>
      <c r="Y640" s="1444"/>
      <c r="Z640" s="1438" t="s">
        <v>1009</v>
      </c>
      <c r="AA640" s="1439"/>
      <c r="AB640" s="1440"/>
      <c r="AC640" s="1350"/>
      <c r="AD640" s="1351"/>
      <c r="AE640" s="1352"/>
      <c r="AF640" s="1470"/>
      <c r="AG640" s="1471"/>
      <c r="AH640" s="1471"/>
      <c r="AI640" s="1471"/>
      <c r="AJ640" s="1472"/>
      <c r="AK640" s="1446"/>
      <c r="AL640" s="1447"/>
      <c r="AM640" s="1447"/>
      <c r="AN640" s="1448"/>
      <c r="AO640" s="1437"/>
      <c r="AP640" s="1307"/>
      <c r="AQ640" s="1307"/>
      <c r="AR640" s="1307"/>
      <c r="AS640" s="1308"/>
      <c r="AT640" s="1030" t="str">
        <f t="shared" si="3"/>
        <v/>
      </c>
      <c r="AU640" s="3"/>
      <c r="AZ640" s="3"/>
      <c r="BA640" s="3"/>
      <c r="BB640" s="3"/>
      <c r="BC640" s="3"/>
      <c r="BD640" s="3"/>
    </row>
    <row r="641" spans="1:157" ht="12.9" customHeight="1">
      <c r="B641" s="44" t="s">
        <v>1415</v>
      </c>
      <c r="C641" s="1441"/>
      <c r="D641" s="1441"/>
      <c r="E641" s="1441"/>
      <c r="F641" s="1441"/>
      <c r="G641" s="1441"/>
      <c r="H641" s="1441"/>
      <c r="I641" s="1441"/>
      <c r="J641" s="1441"/>
      <c r="K641" s="1441"/>
      <c r="L641" s="1441"/>
      <c r="M641" s="1546" t="s">
        <v>1009</v>
      </c>
      <c r="N641" s="1546"/>
      <c r="O641" s="1546"/>
      <c r="P641" s="1546"/>
      <c r="Q641" s="1467"/>
      <c r="R641" s="1468"/>
      <c r="S641" s="1469"/>
      <c r="T641" s="1467"/>
      <c r="U641" s="1468"/>
      <c r="V641" s="1469"/>
      <c r="W641" s="1442"/>
      <c r="X641" s="1443"/>
      <c r="Y641" s="1444"/>
      <c r="Z641" s="1438" t="s">
        <v>1009</v>
      </c>
      <c r="AA641" s="1439"/>
      <c r="AB641" s="1440"/>
      <c r="AC641" s="1350"/>
      <c r="AD641" s="1351"/>
      <c r="AE641" s="1352"/>
      <c r="AF641" s="1470"/>
      <c r="AG641" s="1471"/>
      <c r="AH641" s="1471"/>
      <c r="AI641" s="1471"/>
      <c r="AJ641" s="1472"/>
      <c r="AK641" s="1446"/>
      <c r="AL641" s="1447"/>
      <c r="AM641" s="1447"/>
      <c r="AN641" s="1448"/>
      <c r="AO641" s="1437"/>
      <c r="AP641" s="1307"/>
      <c r="AQ641" s="1307"/>
      <c r="AR641" s="1307"/>
      <c r="AS641" s="1308"/>
      <c r="AT641" s="1030" t="str">
        <f t="shared" si="3"/>
        <v/>
      </c>
      <c r="AU641" s="3"/>
      <c r="AV641" s="3"/>
      <c r="AW641" s="3"/>
      <c r="AX641" s="3"/>
      <c r="AY641" s="3"/>
      <c r="AZ641" s="3"/>
      <c r="BA641" s="3"/>
      <c r="BB641" s="3"/>
      <c r="BC641" s="3"/>
      <c r="BD641" s="3"/>
    </row>
    <row r="642" spans="1:157" ht="12.9" customHeight="1">
      <c r="B642" s="44" t="s">
        <v>1416</v>
      </c>
      <c r="C642" s="1441"/>
      <c r="D642" s="1441"/>
      <c r="E642" s="1441"/>
      <c r="F642" s="1441"/>
      <c r="G642" s="1441"/>
      <c r="H642" s="1441"/>
      <c r="I642" s="1441"/>
      <c r="J642" s="1441"/>
      <c r="K642" s="1441"/>
      <c r="L642" s="1441"/>
      <c r="M642" s="1546" t="s">
        <v>1009</v>
      </c>
      <c r="N642" s="1546"/>
      <c r="O642" s="1546"/>
      <c r="P642" s="1546"/>
      <c r="Q642" s="1467"/>
      <c r="R642" s="1468"/>
      <c r="S642" s="1469"/>
      <c r="T642" s="1467"/>
      <c r="U642" s="1468"/>
      <c r="V642" s="1469"/>
      <c r="W642" s="1442"/>
      <c r="X642" s="1443"/>
      <c r="Y642" s="1444"/>
      <c r="Z642" s="1438" t="s">
        <v>1009</v>
      </c>
      <c r="AA642" s="1439"/>
      <c r="AB642" s="1440"/>
      <c r="AC642" s="1350"/>
      <c r="AD642" s="1351"/>
      <c r="AE642" s="1352"/>
      <c r="AF642" s="1470"/>
      <c r="AG642" s="1471"/>
      <c r="AH642" s="1471"/>
      <c r="AI642" s="1471"/>
      <c r="AJ642" s="1472"/>
      <c r="AK642" s="1446"/>
      <c r="AL642" s="1447"/>
      <c r="AM642" s="1447"/>
      <c r="AN642" s="1448"/>
      <c r="AO642" s="1437"/>
      <c r="AP642" s="1307"/>
      <c r="AQ642" s="1307"/>
      <c r="AR642" s="1307"/>
      <c r="AS642" s="1308"/>
      <c r="AT642" s="1030" t="str">
        <f t="shared" si="3"/>
        <v/>
      </c>
      <c r="AU642" s="3"/>
      <c r="AV642" s="3"/>
      <c r="AW642" s="3"/>
      <c r="AX642" s="3"/>
      <c r="AY642" s="3"/>
      <c r="AZ642" s="3"/>
      <c r="BA642" s="3" t="s">
        <v>1009</v>
      </c>
      <c r="BB642" s="3"/>
      <c r="BC642" s="3"/>
      <c r="BD642" s="3"/>
    </row>
    <row r="643" spans="1:157" ht="12.9" customHeight="1">
      <c r="B643" s="44" t="s">
        <v>1417</v>
      </c>
      <c r="C643" s="1441"/>
      <c r="D643" s="1441"/>
      <c r="E643" s="1441"/>
      <c r="F643" s="1441"/>
      <c r="G643" s="1441"/>
      <c r="H643" s="1441"/>
      <c r="I643" s="1441"/>
      <c r="J643" s="1441"/>
      <c r="K643" s="1441"/>
      <c r="L643" s="1441"/>
      <c r="M643" s="1546" t="s">
        <v>1009</v>
      </c>
      <c r="N643" s="1546"/>
      <c r="O643" s="1546"/>
      <c r="P643" s="1546"/>
      <c r="Q643" s="1467"/>
      <c r="R643" s="1468"/>
      <c r="S643" s="1469"/>
      <c r="T643" s="1467"/>
      <c r="U643" s="1468"/>
      <c r="V643" s="1469"/>
      <c r="W643" s="1442"/>
      <c r="X643" s="1443"/>
      <c r="Y643" s="1444"/>
      <c r="Z643" s="1438" t="s">
        <v>1009</v>
      </c>
      <c r="AA643" s="1439"/>
      <c r="AB643" s="1440"/>
      <c r="AC643" s="1350"/>
      <c r="AD643" s="1351"/>
      <c r="AE643" s="1352"/>
      <c r="AF643" s="1470"/>
      <c r="AG643" s="1471"/>
      <c r="AH643" s="1471"/>
      <c r="AI643" s="1471"/>
      <c r="AJ643" s="1472"/>
      <c r="AK643" s="1446"/>
      <c r="AL643" s="1447"/>
      <c r="AM643" s="1447"/>
      <c r="AN643" s="1448"/>
      <c r="AO643" s="1437"/>
      <c r="AP643" s="1307"/>
      <c r="AQ643" s="1307"/>
      <c r="AR643" s="1307"/>
      <c r="AS643" s="1308"/>
      <c r="AT643" s="1030" t="str">
        <f t="shared" si="3"/>
        <v/>
      </c>
      <c r="AU643" s="3"/>
      <c r="AV643" s="3"/>
      <c r="AW643" s="3"/>
      <c r="AX643" s="3"/>
      <c r="AY643" s="3"/>
      <c r="AZ643" s="3"/>
      <c r="BA643" s="3" t="s">
        <v>1449</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39" t="e">
        <f t="shared" ref="DX643:DX677" si="4">EZ726*(CP726/$CP$761)</f>
        <v>#VALUE!</v>
      </c>
      <c r="DY643" s="1339"/>
      <c r="DZ643" s="1339"/>
      <c r="EA643" s="1339"/>
      <c r="EB643" s="1339"/>
      <c r="EC643" s="1339">
        <f t="shared" ref="EC643:EC677" si="5">FE726*(CU726/$CU$761)</f>
        <v>271.125</v>
      </c>
      <c r="ED643" s="1339"/>
      <c r="EE643" s="1339"/>
      <c r="EF643" s="1339"/>
      <c r="EG643" s="1339"/>
      <c r="EH643" s="1339" t="e">
        <f t="shared" ref="EH643:EH677" si="6">FJ726*(CZ726/$CZ$761)</f>
        <v>#VALUE!</v>
      </c>
      <c r="EI643" s="1339"/>
      <c r="EJ643" s="1339"/>
      <c r="EK643" s="1339"/>
      <c r="EL643" s="1339"/>
      <c r="EM643" s="1339" t="e">
        <f t="shared" ref="EM643:EM677" si="7">FO726*(DE726/$DE$761)</f>
        <v>#VALUE!</v>
      </c>
      <c r="EN643" s="1339"/>
      <c r="EO643" s="1339"/>
      <c r="EP643" s="1339"/>
      <c r="EQ643" s="1339"/>
      <c r="ER643" s="1339" t="e">
        <f t="shared" ref="ER643:ER677" si="8">FT726*(DJ726/$DJ$761)</f>
        <v>#VALUE!</v>
      </c>
      <c r="ES643" s="1339"/>
      <c r="ET643" s="1339"/>
      <c r="EU643" s="1339"/>
      <c r="EV643" s="1339"/>
      <c r="EW643" s="1339" t="e">
        <f t="shared" ref="EW643:EW677" si="9">FY726*(DO726/$DO$761)</f>
        <v>#VALUE!</v>
      </c>
      <c r="EX643" s="1339"/>
      <c r="EY643" s="1339"/>
      <c r="EZ643" s="1339"/>
      <c r="FA643" s="1339"/>
    </row>
    <row r="644" spans="1:157" ht="12.9" customHeight="1">
      <c r="B644" s="44" t="s">
        <v>1418</v>
      </c>
      <c r="C644" s="1441"/>
      <c r="D644" s="1441"/>
      <c r="E644" s="1441"/>
      <c r="F644" s="1441"/>
      <c r="G644" s="1441"/>
      <c r="H644" s="1441"/>
      <c r="I644" s="1441"/>
      <c r="J644" s="1441"/>
      <c r="K644" s="1441"/>
      <c r="L644" s="1441"/>
      <c r="M644" s="1546" t="s">
        <v>1009</v>
      </c>
      <c r="N644" s="1546"/>
      <c r="O644" s="1546"/>
      <c r="P644" s="1546"/>
      <c r="Q644" s="1467"/>
      <c r="R644" s="1468"/>
      <c r="S644" s="1469"/>
      <c r="T644" s="1467"/>
      <c r="U644" s="1468"/>
      <c r="V644" s="1469"/>
      <c r="W644" s="1442"/>
      <c r="X644" s="1443"/>
      <c r="Y644" s="1444"/>
      <c r="Z644" s="1438" t="s">
        <v>1009</v>
      </c>
      <c r="AA644" s="1439"/>
      <c r="AB644" s="1440"/>
      <c r="AC644" s="1350"/>
      <c r="AD644" s="1351"/>
      <c r="AE644" s="1352"/>
      <c r="AF644" s="1470"/>
      <c r="AG644" s="1471"/>
      <c r="AH644" s="1471"/>
      <c r="AI644" s="1471"/>
      <c r="AJ644" s="1472"/>
      <c r="AK644" s="1446"/>
      <c r="AL644" s="1447"/>
      <c r="AM644" s="1447"/>
      <c r="AN644" s="1448"/>
      <c r="AO644" s="1437"/>
      <c r="AP644" s="1307"/>
      <c r="AQ644" s="1307"/>
      <c r="AR644" s="1307"/>
      <c r="AS644" s="1308"/>
      <c r="AT644" s="1030" t="str">
        <f t="shared" si="3"/>
        <v/>
      </c>
      <c r="AV644" s="3"/>
      <c r="AW644" s="3"/>
      <c r="AX644" s="3"/>
      <c r="AY644" s="3"/>
      <c r="AZ644" s="3"/>
      <c r="BA644" s="3" t="s">
        <v>1450</v>
      </c>
      <c r="BB644" s="3"/>
      <c r="BC644" s="3"/>
      <c r="BD644" s="3"/>
      <c r="BE644" s="3"/>
      <c r="BF644" s="3"/>
      <c r="BG644" s="3"/>
      <c r="BH644" s="3"/>
      <c r="BI644" s="3"/>
      <c r="BJ644" s="3"/>
      <c r="BK644" s="3"/>
      <c r="BL644" s="3"/>
      <c r="BM644" s="3"/>
      <c r="DA644" s="3"/>
      <c r="DB644" s="3"/>
      <c r="DC644" s="3"/>
      <c r="DD644" s="3"/>
      <c r="DE644" s="3"/>
      <c r="DF644" s="3"/>
      <c r="DX644" s="1339" t="e">
        <f t="shared" si="4"/>
        <v>#VALUE!</v>
      </c>
      <c r="DY644" s="1339"/>
      <c r="DZ644" s="1339"/>
      <c r="EA644" s="1339"/>
      <c r="EB644" s="1339"/>
      <c r="EC644" s="1339">
        <f t="shared" si="5"/>
        <v>950.0625</v>
      </c>
      <c r="ED644" s="1339"/>
      <c r="EE644" s="1339"/>
      <c r="EF644" s="1339"/>
      <c r="EG644" s="1339"/>
      <c r="EH644" s="1339" t="e">
        <f t="shared" si="6"/>
        <v>#VALUE!</v>
      </c>
      <c r="EI644" s="1339"/>
      <c r="EJ644" s="1339"/>
      <c r="EK644" s="1339"/>
      <c r="EL644" s="1339"/>
      <c r="EM644" s="1339" t="e">
        <f t="shared" si="7"/>
        <v>#VALUE!</v>
      </c>
      <c r="EN644" s="1339"/>
      <c r="EO644" s="1339"/>
      <c r="EP644" s="1339"/>
      <c r="EQ644" s="1339"/>
      <c r="ER644" s="1339" t="e">
        <f t="shared" si="8"/>
        <v>#VALUE!</v>
      </c>
      <c r="ES644" s="1339"/>
      <c r="ET644" s="1339"/>
      <c r="EU644" s="1339"/>
      <c r="EV644" s="1339"/>
      <c r="EW644" s="1339" t="e">
        <f t="shared" si="9"/>
        <v>#VALUE!</v>
      </c>
      <c r="EX644" s="1339"/>
      <c r="EY644" s="1339"/>
      <c r="EZ644" s="1339"/>
      <c r="FA644" s="1339"/>
    </row>
    <row r="645" spans="1:157" ht="12.9" customHeight="1">
      <c r="B645" s="44" t="s">
        <v>1419</v>
      </c>
      <c r="C645" s="1441"/>
      <c r="D645" s="1441"/>
      <c r="E645" s="1441"/>
      <c r="F645" s="1441"/>
      <c r="G645" s="1441"/>
      <c r="H645" s="1441"/>
      <c r="I645" s="1441"/>
      <c r="J645" s="1441"/>
      <c r="K645" s="1441"/>
      <c r="L645" s="1441"/>
      <c r="M645" s="1546" t="s">
        <v>1009</v>
      </c>
      <c r="N645" s="1546"/>
      <c r="O645" s="1546"/>
      <c r="P645" s="1546"/>
      <c r="Q645" s="1467"/>
      <c r="R645" s="1468"/>
      <c r="S645" s="1469"/>
      <c r="T645" s="1467"/>
      <c r="U645" s="1468"/>
      <c r="V645" s="1469"/>
      <c r="W645" s="1442"/>
      <c r="X645" s="1443"/>
      <c r="Y645" s="1444"/>
      <c r="Z645" s="1438" t="s">
        <v>1009</v>
      </c>
      <c r="AA645" s="1439"/>
      <c r="AB645" s="1440"/>
      <c r="AC645" s="1350"/>
      <c r="AD645" s="1351"/>
      <c r="AE645" s="1352"/>
      <c r="AF645" s="1470"/>
      <c r="AG645" s="1471"/>
      <c r="AH645" s="1471"/>
      <c r="AI645" s="1471"/>
      <c r="AJ645" s="1472"/>
      <c r="AK645" s="1446"/>
      <c r="AL645" s="1447"/>
      <c r="AM645" s="1447"/>
      <c r="AN645" s="1448"/>
      <c r="AO645" s="1437"/>
      <c r="AP645" s="1307"/>
      <c r="AQ645" s="1307"/>
      <c r="AR645" s="1307"/>
      <c r="AS645" s="1308"/>
      <c r="AT645" s="1030" t="str">
        <f t="shared" si="3"/>
        <v/>
      </c>
      <c r="AV645" s="3"/>
      <c r="AW645" s="3"/>
      <c r="AX645" s="3"/>
      <c r="AY645" s="3"/>
      <c r="AZ645" s="3"/>
      <c r="BA645" s="3" t="s">
        <v>1447</v>
      </c>
      <c r="BB645" s="3"/>
      <c r="BC645" s="3"/>
      <c r="BD645" s="3"/>
      <c r="BE645" s="3"/>
      <c r="BF645" s="3"/>
      <c r="BG645" s="3"/>
      <c r="BH645" s="3"/>
      <c r="BI645" s="3"/>
      <c r="BJ645" s="3"/>
      <c r="BK645" s="3"/>
      <c r="BL645" s="3"/>
      <c r="BM645" s="3"/>
      <c r="DA645" s="3"/>
      <c r="DB645" s="3"/>
      <c r="DC645" s="3"/>
      <c r="DD645" s="3"/>
      <c r="DE645" s="3"/>
      <c r="DF645" s="3"/>
      <c r="DX645" s="1339" t="e">
        <f t="shared" si="4"/>
        <v>#VALUE!</v>
      </c>
      <c r="DY645" s="1339"/>
      <c r="DZ645" s="1339"/>
      <c r="EA645" s="1339"/>
      <c r="EB645" s="1339"/>
      <c r="EC645" s="1339" t="e">
        <f t="shared" si="5"/>
        <v>#VALUE!</v>
      </c>
      <c r="ED645" s="1339"/>
      <c r="EE645" s="1339"/>
      <c r="EF645" s="1339"/>
      <c r="EG645" s="1339"/>
      <c r="EH645" s="1339">
        <f t="shared" si="6"/>
        <v>759.27272727272725</v>
      </c>
      <c r="EI645" s="1339"/>
      <c r="EJ645" s="1339"/>
      <c r="EK645" s="1339"/>
      <c r="EL645" s="1339"/>
      <c r="EM645" s="1339" t="e">
        <f t="shared" si="7"/>
        <v>#VALUE!</v>
      </c>
      <c r="EN645" s="1339"/>
      <c r="EO645" s="1339"/>
      <c r="EP645" s="1339"/>
      <c r="EQ645" s="1339"/>
      <c r="ER645" s="1339" t="e">
        <f t="shared" si="8"/>
        <v>#VALUE!</v>
      </c>
      <c r="ES645" s="1339"/>
      <c r="ET645" s="1339"/>
      <c r="EU645" s="1339"/>
      <c r="EV645" s="1339"/>
      <c r="EW645" s="1339" t="e">
        <f t="shared" si="9"/>
        <v>#VALUE!</v>
      </c>
      <c r="EX645" s="1339"/>
      <c r="EY645" s="1339"/>
      <c r="EZ645" s="1339"/>
      <c r="FA645" s="1339"/>
    </row>
    <row r="646" spans="1:157" ht="12.9" customHeight="1">
      <c r="B646" s="44" t="s">
        <v>1420</v>
      </c>
      <c r="C646" s="1441"/>
      <c r="D646" s="1441"/>
      <c r="E646" s="1441"/>
      <c r="F646" s="1441"/>
      <c r="G646" s="1441"/>
      <c r="H646" s="1441"/>
      <c r="I646" s="1441"/>
      <c r="J646" s="1441"/>
      <c r="K646" s="1441"/>
      <c r="L646" s="1441"/>
      <c r="M646" s="1546" t="s">
        <v>1009</v>
      </c>
      <c r="N646" s="1546"/>
      <c r="O646" s="1546"/>
      <c r="P646" s="1546"/>
      <c r="Q646" s="1467"/>
      <c r="R646" s="1468"/>
      <c r="S646" s="1469"/>
      <c r="T646" s="1467"/>
      <c r="U646" s="1468"/>
      <c r="V646" s="1469"/>
      <c r="W646" s="1442"/>
      <c r="X646" s="1443"/>
      <c r="Y646" s="1444"/>
      <c r="Z646" s="1438" t="s">
        <v>1009</v>
      </c>
      <c r="AA646" s="1439"/>
      <c r="AB646" s="1440"/>
      <c r="AC646" s="1350"/>
      <c r="AD646" s="1351"/>
      <c r="AE646" s="1352"/>
      <c r="AF646" s="1470"/>
      <c r="AG646" s="1471"/>
      <c r="AH646" s="1471"/>
      <c r="AI646" s="1471"/>
      <c r="AJ646" s="1472"/>
      <c r="AK646" s="1446"/>
      <c r="AL646" s="1447"/>
      <c r="AM646" s="1447"/>
      <c r="AN646" s="1448"/>
      <c r="AO646" s="1437"/>
      <c r="AP646" s="1307"/>
      <c r="AQ646" s="1307"/>
      <c r="AR646" s="1307"/>
      <c r="AS646" s="1308"/>
      <c r="AT646" s="1030" t="str">
        <f t="shared" si="3"/>
        <v/>
      </c>
      <c r="AV646" s="3"/>
      <c r="AW646" s="3"/>
      <c r="AX646" s="3"/>
      <c r="AY646" s="3"/>
      <c r="AZ646" s="3"/>
      <c r="BA646" s="3" t="s">
        <v>1061</v>
      </c>
      <c r="BB646" s="3"/>
      <c r="BC646" s="3"/>
      <c r="BD646" s="3"/>
      <c r="BE646" s="3"/>
      <c r="BF646" s="3"/>
      <c r="BG646" s="3"/>
      <c r="BH646" s="3"/>
      <c r="BI646" s="3"/>
      <c r="BJ646" s="3"/>
      <c r="BK646" s="3"/>
      <c r="BL646" s="3"/>
      <c r="BM646" s="3"/>
      <c r="DA646" s="3"/>
      <c r="DB646" s="3"/>
      <c r="DC646" s="3"/>
      <c r="DD646" s="3"/>
      <c r="DE646" s="3"/>
      <c r="DF646" s="3"/>
      <c r="DX646" s="1339" t="e">
        <f t="shared" si="4"/>
        <v>#VALUE!</v>
      </c>
      <c r="DY646" s="1339"/>
      <c r="DZ646" s="1339"/>
      <c r="EA646" s="1339"/>
      <c r="EB646" s="1339"/>
      <c r="EC646" s="1339" t="e">
        <f t="shared" si="5"/>
        <v>#VALUE!</v>
      </c>
      <c r="ED646" s="1339"/>
      <c r="EE646" s="1339"/>
      <c r="EF646" s="1339"/>
      <c r="EG646" s="1339"/>
      <c r="EH646" s="1339">
        <f t="shared" si="6"/>
        <v>701.61818181818182</v>
      </c>
      <c r="EI646" s="1339"/>
      <c r="EJ646" s="1339"/>
      <c r="EK646" s="1339"/>
      <c r="EL646" s="1339"/>
      <c r="EM646" s="1339" t="e">
        <f t="shared" si="7"/>
        <v>#VALUE!</v>
      </c>
      <c r="EN646" s="1339"/>
      <c r="EO646" s="1339"/>
      <c r="EP646" s="1339"/>
      <c r="EQ646" s="1339"/>
      <c r="ER646" s="1339" t="e">
        <f t="shared" si="8"/>
        <v>#VALUE!</v>
      </c>
      <c r="ES646" s="1339"/>
      <c r="ET646" s="1339"/>
      <c r="EU646" s="1339"/>
      <c r="EV646" s="1339"/>
      <c r="EW646" s="1339" t="e">
        <f t="shared" si="9"/>
        <v>#VALUE!</v>
      </c>
      <c r="EX646" s="1339"/>
      <c r="EY646" s="1339"/>
      <c r="EZ646" s="1339"/>
      <c r="FA646" s="1339"/>
    </row>
    <row r="647" spans="1:157" ht="12.9" customHeight="1">
      <c r="B647" s="1373" t="s">
        <v>1451</v>
      </c>
      <c r="C647" s="1374"/>
      <c r="D647" s="1374"/>
      <c r="E647" s="1374"/>
      <c r="F647" s="1374"/>
      <c r="G647" s="1374"/>
      <c r="H647" s="1374"/>
      <c r="I647" s="1374"/>
      <c r="J647" s="1374"/>
      <c r="K647" s="1374"/>
      <c r="L647" s="1374"/>
      <c r="M647" s="1374"/>
      <c r="N647" s="1374"/>
      <c r="O647" s="1374"/>
      <c r="P647" s="1374"/>
      <c r="Q647" s="1374"/>
      <c r="R647" s="1374"/>
      <c r="S647" s="1374"/>
      <c r="T647" s="1374"/>
      <c r="U647" s="1374"/>
      <c r="V647" s="1374"/>
      <c r="W647" s="1374"/>
      <c r="X647" s="1374"/>
      <c r="Y647" s="1374"/>
      <c r="Z647" s="1374"/>
      <c r="AA647" s="1374"/>
      <c r="AB647" s="1374"/>
      <c r="AC647" s="1374"/>
      <c r="AD647" s="1374"/>
      <c r="AE647" s="1374"/>
      <c r="AF647" s="1374"/>
      <c r="AG647" s="1374"/>
      <c r="AH647" s="1374"/>
      <c r="AI647" s="1374"/>
      <c r="AJ647" s="1374"/>
      <c r="AK647" s="1374"/>
      <c r="AL647" s="1374"/>
      <c r="AM647" s="1374"/>
      <c r="AN647" s="1376"/>
      <c r="AO647" s="1434">
        <f>SUM(AO635:AR646)</f>
        <v>55484448</v>
      </c>
      <c r="AP647" s="1435"/>
      <c r="AQ647" s="1435"/>
      <c r="AR647" s="1435"/>
      <c r="AS647" s="1436"/>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39" t="e">
        <f t="shared" si="4"/>
        <v>#VALUE!</v>
      </c>
      <c r="DY647" s="1339"/>
      <c r="DZ647" s="1339"/>
      <c r="EA647" s="1339"/>
      <c r="EB647" s="1339"/>
      <c r="EC647" s="1339" t="e">
        <f t="shared" si="5"/>
        <v>#VALUE!</v>
      </c>
      <c r="ED647" s="1339"/>
      <c r="EE647" s="1339"/>
      <c r="EF647" s="1339"/>
      <c r="EG647" s="1339"/>
      <c r="EH647" s="1339" t="e">
        <f t="shared" si="6"/>
        <v>#VALUE!</v>
      </c>
      <c r="EI647" s="1339"/>
      <c r="EJ647" s="1339"/>
      <c r="EK647" s="1339"/>
      <c r="EL647" s="1339"/>
      <c r="EM647" s="1339">
        <f t="shared" si="7"/>
        <v>2342</v>
      </c>
      <c r="EN647" s="1339"/>
      <c r="EO647" s="1339"/>
      <c r="EP647" s="1339"/>
      <c r="EQ647" s="1339"/>
      <c r="ER647" s="1339" t="e">
        <f t="shared" si="8"/>
        <v>#VALUE!</v>
      </c>
      <c r="ES647" s="1339"/>
      <c r="ET647" s="1339"/>
      <c r="EU647" s="1339"/>
      <c r="EV647" s="1339"/>
      <c r="EW647" s="1339" t="e">
        <f t="shared" si="9"/>
        <v>#VALUE!</v>
      </c>
      <c r="EX647" s="1339"/>
      <c r="EY647" s="1339"/>
      <c r="EZ647" s="1339"/>
      <c r="FA647" s="1339"/>
    </row>
    <row r="648" spans="1:157" ht="12.9" customHeight="1">
      <c r="B648" s="1373" t="s">
        <v>1452</v>
      </c>
      <c r="C648" s="1374"/>
      <c r="D648" s="1374"/>
      <c r="E648" s="1374"/>
      <c r="F648" s="1374"/>
      <c r="G648" s="1374"/>
      <c r="H648" s="1374"/>
      <c r="I648" s="1374"/>
      <c r="J648" s="1374"/>
      <c r="K648" s="1374"/>
      <c r="L648" s="1374"/>
      <c r="M648" s="1374"/>
      <c r="N648" s="1374"/>
      <c r="O648" s="1374"/>
      <c r="P648" s="1374"/>
      <c r="Q648" s="1374"/>
      <c r="R648" s="1374"/>
      <c r="S648" s="1374"/>
      <c r="T648" s="1374"/>
      <c r="U648" s="1374"/>
      <c r="V648" s="1374"/>
      <c r="W648" s="1374"/>
      <c r="X648" s="1374"/>
      <c r="Y648" s="1374"/>
      <c r="Z648" s="1374"/>
      <c r="AA648" s="1374"/>
      <c r="AB648" s="1374"/>
      <c r="AC648" s="1374"/>
      <c r="AD648" s="1374"/>
      <c r="AE648" s="1374"/>
      <c r="AF648" s="1374"/>
      <c r="AG648" s="1374"/>
      <c r="AH648" s="1374"/>
      <c r="AI648" s="1374"/>
      <c r="AJ648" s="1374"/>
      <c r="AK648" s="1374"/>
      <c r="AL648" s="1374"/>
      <c r="AM648" s="1374"/>
      <c r="AN648" s="1376"/>
      <c r="AO648" s="1437">
        <v>30563966</v>
      </c>
      <c r="AP648" s="1307"/>
      <c r="AQ648" s="1307"/>
      <c r="AR648" s="1307"/>
      <c r="AS648" s="1308"/>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39">
        <f t="shared" si="4"/>
        <v>1934</v>
      </c>
      <c r="DY648" s="1339"/>
      <c r="DZ648" s="1339"/>
      <c r="EA648" s="1339"/>
      <c r="EB648" s="1339"/>
      <c r="EC648" s="1339" t="e">
        <f t="shared" si="5"/>
        <v>#VALUE!</v>
      </c>
      <c r="ED648" s="1339"/>
      <c r="EE648" s="1339"/>
      <c r="EF648" s="1339"/>
      <c r="EG648" s="1339"/>
      <c r="EH648" s="1339" t="e">
        <f t="shared" si="6"/>
        <v>#VALUE!</v>
      </c>
      <c r="EI648" s="1339"/>
      <c r="EJ648" s="1339"/>
      <c r="EK648" s="1339"/>
      <c r="EL648" s="1339"/>
      <c r="EM648" s="1339" t="e">
        <f t="shared" si="7"/>
        <v>#VALUE!</v>
      </c>
      <c r="EN648" s="1339"/>
      <c r="EO648" s="1339"/>
      <c r="EP648" s="1339"/>
      <c r="EQ648" s="1339"/>
      <c r="ER648" s="1339" t="e">
        <f t="shared" si="8"/>
        <v>#VALUE!</v>
      </c>
      <c r="ES648" s="1339"/>
      <c r="ET648" s="1339"/>
      <c r="EU648" s="1339"/>
      <c r="EV648" s="1339"/>
      <c r="EW648" s="1339" t="e">
        <f t="shared" si="9"/>
        <v>#VALUE!</v>
      </c>
      <c r="EX648" s="1339"/>
      <c r="EY648" s="1339"/>
      <c r="EZ648" s="1339"/>
      <c r="FA648" s="1339"/>
    </row>
    <row r="649" spans="1:157" ht="12.9" customHeight="1">
      <c r="B649" s="1619" t="s">
        <v>1453</v>
      </c>
      <c r="C649" s="1375"/>
      <c r="D649" s="1375"/>
      <c r="E649" s="1375"/>
      <c r="F649" s="1375"/>
      <c r="G649" s="1375"/>
      <c r="H649" s="1375"/>
      <c r="I649" s="1375"/>
      <c r="J649" s="1375"/>
      <c r="K649" s="1375"/>
      <c r="L649" s="1375"/>
      <c r="M649" s="1375"/>
      <c r="N649" s="1375"/>
      <c r="O649" s="1375"/>
      <c r="P649" s="1375"/>
      <c r="Q649" s="1375"/>
      <c r="R649" s="1375"/>
      <c r="S649" s="1375"/>
      <c r="T649" s="1375"/>
      <c r="U649" s="1375"/>
      <c r="V649" s="1375"/>
      <c r="W649" s="1375"/>
      <c r="X649" s="1375"/>
      <c r="Y649" s="1375"/>
      <c r="Z649" s="1375"/>
      <c r="AA649" s="1375"/>
      <c r="AB649" s="1375"/>
      <c r="AC649" s="1375"/>
      <c r="AD649" s="1375"/>
      <c r="AE649" s="1375"/>
      <c r="AF649" s="1375"/>
      <c r="AG649" s="1375"/>
      <c r="AH649" s="1375"/>
      <c r="AI649" s="1375"/>
      <c r="AJ649" s="1375"/>
      <c r="AK649" s="1375"/>
      <c r="AL649" s="1375"/>
      <c r="AM649" s="1375"/>
      <c r="AN649" s="1620"/>
      <c r="AO649" s="1434">
        <f>AO647+AO648</f>
        <v>86048414</v>
      </c>
      <c r="AP649" s="1435"/>
      <c r="AQ649" s="1435"/>
      <c r="AR649" s="1435"/>
      <c r="AS649" s="1436"/>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39" t="e">
        <f t="shared" si="4"/>
        <v>#VALUE!</v>
      </c>
      <c r="DY649" s="1339"/>
      <c r="DZ649" s="1339"/>
      <c r="EA649" s="1339"/>
      <c r="EB649" s="1339"/>
      <c r="EC649" s="1339">
        <f t="shared" si="5"/>
        <v>320.625</v>
      </c>
      <c r="ED649" s="1339"/>
      <c r="EE649" s="1339"/>
      <c r="EF649" s="1339"/>
      <c r="EG649" s="1339"/>
      <c r="EH649" s="1339" t="e">
        <f t="shared" si="6"/>
        <v>#VALUE!</v>
      </c>
      <c r="EI649" s="1339"/>
      <c r="EJ649" s="1339"/>
      <c r="EK649" s="1339"/>
      <c r="EL649" s="1339"/>
      <c r="EM649" s="1339" t="e">
        <f t="shared" si="7"/>
        <v>#VALUE!</v>
      </c>
      <c r="EN649" s="1339"/>
      <c r="EO649" s="1339"/>
      <c r="EP649" s="1339"/>
      <c r="EQ649" s="1339"/>
      <c r="ER649" s="1339" t="e">
        <f t="shared" si="8"/>
        <v>#VALUE!</v>
      </c>
      <c r="ES649" s="1339"/>
      <c r="ET649" s="1339"/>
      <c r="EU649" s="1339"/>
      <c r="EV649" s="1339"/>
      <c r="EW649" s="1339" t="e">
        <f t="shared" si="9"/>
        <v>#VALUE!</v>
      </c>
      <c r="EX649" s="1339"/>
      <c r="EY649" s="1339"/>
      <c r="EZ649" s="1339"/>
      <c r="FA649" s="1339"/>
    </row>
    <row r="650" spans="1:157" ht="12.9"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39" t="e">
        <f t="shared" si="4"/>
        <v>#VALUE!</v>
      </c>
      <c r="DY650" s="1339"/>
      <c r="DZ650" s="1339"/>
      <c r="EA650" s="1339"/>
      <c r="EB650" s="1339"/>
      <c r="EC650" s="1339" t="e">
        <f t="shared" si="5"/>
        <v>#VALUE!</v>
      </c>
      <c r="ED650" s="1339"/>
      <c r="EE650" s="1339"/>
      <c r="EF650" s="1339"/>
      <c r="EG650" s="1339"/>
      <c r="EH650" s="1339" t="e">
        <f t="shared" si="6"/>
        <v>#VALUE!</v>
      </c>
      <c r="EI650" s="1339"/>
      <c r="EJ650" s="1339"/>
      <c r="EK650" s="1339"/>
      <c r="EL650" s="1339"/>
      <c r="EM650" s="1339" t="e">
        <f t="shared" si="7"/>
        <v>#VALUE!</v>
      </c>
      <c r="EN650" s="1339"/>
      <c r="EO650" s="1339"/>
      <c r="EP650" s="1339"/>
      <c r="EQ650" s="1339"/>
      <c r="ER650" s="1339" t="e">
        <f t="shared" si="8"/>
        <v>#VALUE!</v>
      </c>
      <c r="ES650" s="1339"/>
      <c r="ET650" s="1339"/>
      <c r="EU650" s="1339"/>
      <c r="EV650" s="1339"/>
      <c r="EW650" s="1339" t="e">
        <f t="shared" si="9"/>
        <v>#VALUE!</v>
      </c>
      <c r="EX650" s="1339"/>
      <c r="EY650" s="1339"/>
      <c r="EZ650" s="1339"/>
      <c r="FA650" s="1339"/>
    </row>
    <row r="651" spans="1:157" ht="12.9" customHeight="1">
      <c r="A651" s="47" t="s">
        <v>18</v>
      </c>
      <c r="B651" t="s">
        <v>1422</v>
      </c>
      <c r="G651" s="1445" t="str">
        <f>C635</f>
        <v>Keybank - Tax Exempt Perm Loan</v>
      </c>
      <c r="H651" s="1445"/>
      <c r="I651" s="1445"/>
      <c r="J651" s="1445"/>
      <c r="K651" s="1445"/>
      <c r="L651" s="1445"/>
      <c r="M651" s="1445"/>
      <c r="N651" s="1445"/>
      <c r="O651" s="1445"/>
      <c r="P651" s="1445"/>
      <c r="Q651" s="1445"/>
      <c r="R651" s="1445"/>
      <c r="S651" s="7"/>
      <c r="T651" s="47" t="s">
        <v>31</v>
      </c>
      <c r="U651" t="s">
        <v>1422</v>
      </c>
      <c r="Z651" s="1445" t="str">
        <f>C636</f>
        <v>Keybank - Taxable Perm Loan</v>
      </c>
      <c r="AA651" s="1445"/>
      <c r="AB651" s="1445"/>
      <c r="AC651" s="1445"/>
      <c r="AD651" s="1445"/>
      <c r="AE651" s="1445"/>
      <c r="AF651" s="1445"/>
      <c r="AG651" s="1445"/>
      <c r="AH651" s="1445"/>
      <c r="AI651" s="1445"/>
      <c r="AJ651" s="1445"/>
      <c r="AK651" s="1445"/>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39" t="e">
        <f t="shared" si="4"/>
        <v>#VALUE!</v>
      </c>
      <c r="DY651" s="1339"/>
      <c r="DZ651" s="1339"/>
      <c r="EA651" s="1339"/>
      <c r="EB651" s="1339"/>
      <c r="EC651" s="1339" t="e">
        <f t="shared" si="5"/>
        <v>#VALUE!</v>
      </c>
      <c r="ED651" s="1339"/>
      <c r="EE651" s="1339"/>
      <c r="EF651" s="1339"/>
      <c r="EG651" s="1339"/>
      <c r="EH651" s="1339" t="e">
        <f t="shared" si="6"/>
        <v>#VALUE!</v>
      </c>
      <c r="EI651" s="1339"/>
      <c r="EJ651" s="1339"/>
      <c r="EK651" s="1339"/>
      <c r="EL651" s="1339"/>
      <c r="EM651" s="1339" t="e">
        <f t="shared" si="7"/>
        <v>#VALUE!</v>
      </c>
      <c r="EN651" s="1339"/>
      <c r="EO651" s="1339"/>
      <c r="EP651" s="1339"/>
      <c r="EQ651" s="1339"/>
      <c r="ER651" s="1339" t="e">
        <f t="shared" si="8"/>
        <v>#VALUE!</v>
      </c>
      <c r="ES651" s="1339"/>
      <c r="ET651" s="1339"/>
      <c r="EU651" s="1339"/>
      <c r="EV651" s="1339"/>
      <c r="EW651" s="1339" t="e">
        <f t="shared" si="9"/>
        <v>#VALUE!</v>
      </c>
      <c r="EX651" s="1339"/>
      <c r="EY651" s="1339"/>
      <c r="EZ651" s="1339"/>
      <c r="FA651" s="1339"/>
    </row>
    <row r="652" spans="1:157" ht="12.9" customHeight="1">
      <c r="A652" s="19"/>
      <c r="B652" t="s">
        <v>1074</v>
      </c>
      <c r="G652" s="1372" t="s">
        <v>1423</v>
      </c>
      <c r="H652" s="1372"/>
      <c r="I652" s="1372"/>
      <c r="J652" s="1372"/>
      <c r="K652" s="1372"/>
      <c r="L652" s="1372"/>
      <c r="M652" s="1372"/>
      <c r="N652" s="1372"/>
      <c r="O652" s="1372"/>
      <c r="P652" s="1372"/>
      <c r="Q652" s="1372"/>
      <c r="R652" s="1372"/>
      <c r="S652" s="7"/>
      <c r="T652" s="19"/>
      <c r="U652" t="s">
        <v>1074</v>
      </c>
      <c r="Z652" s="1372" t="s">
        <v>1423</v>
      </c>
      <c r="AA652" s="1372"/>
      <c r="AB652" s="1372"/>
      <c r="AC652" s="1372"/>
      <c r="AD652" s="1372"/>
      <c r="AE652" s="1372"/>
      <c r="AF652" s="1372"/>
      <c r="AG652" s="1372"/>
      <c r="AH652" s="1372"/>
      <c r="AI652" s="1372"/>
      <c r="AJ652" s="1372"/>
      <c r="AK652" s="1372"/>
      <c r="AV652" s="3"/>
      <c r="AW652" s="3"/>
      <c r="AX652" s="3"/>
      <c r="AY652" s="3"/>
      <c r="AZ652" s="3"/>
      <c r="BA652" s="3"/>
      <c r="BB652" s="3"/>
      <c r="BC652" s="3"/>
      <c r="BD652" s="3"/>
      <c r="BE652" s="3"/>
      <c r="BF652" s="3"/>
      <c r="BG652" s="3"/>
      <c r="BH652" s="3"/>
      <c r="BI652" s="3"/>
      <c r="BJ652" s="3"/>
      <c r="BK652" s="3"/>
      <c r="BL652" s="3"/>
      <c r="BM652" s="3"/>
      <c r="DX652" s="1339" t="e">
        <f t="shared" si="4"/>
        <v>#VALUE!</v>
      </c>
      <c r="DY652" s="1339"/>
      <c r="DZ652" s="1339"/>
      <c r="EA652" s="1339"/>
      <c r="EB652" s="1339"/>
      <c r="EC652" s="1339" t="e">
        <f t="shared" si="5"/>
        <v>#VALUE!</v>
      </c>
      <c r="ED652" s="1339"/>
      <c r="EE652" s="1339"/>
      <c r="EF652" s="1339"/>
      <c r="EG652" s="1339"/>
      <c r="EH652" s="1339" t="e">
        <f t="shared" si="6"/>
        <v>#VALUE!</v>
      </c>
      <c r="EI652" s="1339"/>
      <c r="EJ652" s="1339"/>
      <c r="EK652" s="1339"/>
      <c r="EL652" s="1339"/>
      <c r="EM652" s="1339" t="e">
        <f t="shared" si="7"/>
        <v>#VALUE!</v>
      </c>
      <c r="EN652" s="1339"/>
      <c r="EO652" s="1339"/>
      <c r="EP652" s="1339"/>
      <c r="EQ652" s="1339"/>
      <c r="ER652" s="1339" t="e">
        <f t="shared" si="8"/>
        <v>#VALUE!</v>
      </c>
      <c r="ES652" s="1339"/>
      <c r="ET652" s="1339"/>
      <c r="EU652" s="1339"/>
      <c r="EV652" s="1339"/>
      <c r="EW652" s="1339" t="e">
        <f t="shared" si="9"/>
        <v>#VALUE!</v>
      </c>
      <c r="EX652" s="1339"/>
      <c r="EY652" s="1339"/>
      <c r="EZ652" s="1339"/>
      <c r="FA652" s="1339"/>
    </row>
    <row r="653" spans="1:157" ht="12.9" customHeight="1">
      <c r="A653" s="19"/>
      <c r="B653" t="s">
        <v>941</v>
      </c>
      <c r="G653" s="1372" t="s">
        <v>1424</v>
      </c>
      <c r="H653" s="1372"/>
      <c r="I653" s="1372"/>
      <c r="J653" s="1372"/>
      <c r="K653" s="1372"/>
      <c r="L653" s="1372"/>
      <c r="M653" s="1372"/>
      <c r="N653" s="1372"/>
      <c r="O653" s="1372"/>
      <c r="P653" s="1372"/>
      <c r="Q653" s="1372"/>
      <c r="R653" s="1372"/>
      <c r="T653" s="19"/>
      <c r="U653" t="s">
        <v>941</v>
      </c>
      <c r="Z653" s="1341" t="s">
        <v>1424</v>
      </c>
      <c r="AA653" s="1341"/>
      <c r="AB653" s="1341"/>
      <c r="AC653" s="1341"/>
      <c r="AD653" s="1341"/>
      <c r="AE653" s="1341"/>
      <c r="AF653" s="1341"/>
      <c r="AG653" s="1341"/>
      <c r="AH653" s="1341"/>
      <c r="AI653" s="1341"/>
      <c r="AJ653" s="1341"/>
      <c r="AK653" s="1341"/>
      <c r="AV653" s="3"/>
      <c r="AW653" s="3"/>
      <c r="AX653" s="3"/>
      <c r="AY653" s="3"/>
      <c r="AZ653" s="3"/>
      <c r="BA653" s="3"/>
      <c r="BB653" s="3"/>
      <c r="BC653" s="3"/>
      <c r="BD653" s="3"/>
      <c r="BE653" s="3"/>
      <c r="BF653" s="3"/>
      <c r="BG653" s="3"/>
      <c r="BH653" s="3"/>
      <c r="BI653" s="3"/>
      <c r="BJ653" s="3"/>
      <c r="BK653" s="3"/>
      <c r="BL653" s="3"/>
      <c r="BM653" s="3"/>
      <c r="DX653" s="1339" t="e">
        <f t="shared" si="4"/>
        <v>#VALUE!</v>
      </c>
      <c r="DY653" s="1339"/>
      <c r="DZ653" s="1339"/>
      <c r="EA653" s="1339"/>
      <c r="EB653" s="1339"/>
      <c r="EC653" s="1339" t="e">
        <f t="shared" si="5"/>
        <v>#VALUE!</v>
      </c>
      <c r="ED653" s="1339"/>
      <c r="EE653" s="1339"/>
      <c r="EF653" s="1339"/>
      <c r="EG653" s="1339"/>
      <c r="EH653" s="1339" t="e">
        <f t="shared" si="6"/>
        <v>#VALUE!</v>
      </c>
      <c r="EI653" s="1339"/>
      <c r="EJ653" s="1339"/>
      <c r="EK653" s="1339"/>
      <c r="EL653" s="1339"/>
      <c r="EM653" s="1339" t="e">
        <f t="shared" si="7"/>
        <v>#VALUE!</v>
      </c>
      <c r="EN653" s="1339"/>
      <c r="EO653" s="1339"/>
      <c r="EP653" s="1339"/>
      <c r="EQ653" s="1339"/>
      <c r="ER653" s="1339" t="e">
        <f t="shared" si="8"/>
        <v>#VALUE!</v>
      </c>
      <c r="ES653" s="1339"/>
      <c r="ET653" s="1339"/>
      <c r="EU653" s="1339"/>
      <c r="EV653" s="1339"/>
      <c r="EW653" s="1339" t="e">
        <f t="shared" si="9"/>
        <v>#VALUE!</v>
      </c>
      <c r="EX653" s="1339"/>
      <c r="EY653" s="1339"/>
      <c r="EZ653" s="1339"/>
      <c r="FA653" s="1339"/>
    </row>
    <row r="654" spans="1:157" ht="12.9" customHeight="1">
      <c r="A654" s="19"/>
      <c r="B654" t="s">
        <v>1425</v>
      </c>
      <c r="G654" s="1372" t="s">
        <v>1426</v>
      </c>
      <c r="H654" s="1372"/>
      <c r="I654" s="1372"/>
      <c r="J654" s="1372"/>
      <c r="K654" s="1372"/>
      <c r="L654" s="1372"/>
      <c r="M654" s="1372"/>
      <c r="N654" s="1372"/>
      <c r="O654" s="1372"/>
      <c r="P654" s="1372"/>
      <c r="Q654" s="1372"/>
      <c r="R654" s="1372"/>
      <c r="S654" s="7"/>
      <c r="T654" s="19"/>
      <c r="U654" t="s">
        <v>1425</v>
      </c>
      <c r="Z654" s="1341" t="s">
        <v>1426</v>
      </c>
      <c r="AA654" s="1341"/>
      <c r="AB654" s="1341"/>
      <c r="AC654" s="1341"/>
      <c r="AD654" s="1341"/>
      <c r="AE654" s="1341"/>
      <c r="AF654" s="1341"/>
      <c r="AG654" s="1341"/>
      <c r="AH654" s="1341"/>
      <c r="AI654" s="1341"/>
      <c r="AJ654" s="1341"/>
      <c r="AK654" s="1341"/>
      <c r="AZ654" s="3"/>
      <c r="BA654" s="3"/>
      <c r="BB654" s="3"/>
      <c r="BC654" s="3"/>
      <c r="BD654" s="3"/>
      <c r="BE654" s="3"/>
      <c r="BF654" s="3"/>
      <c r="BG654" s="3"/>
      <c r="BH654" s="3"/>
      <c r="BI654" s="3"/>
      <c r="BJ654" s="3"/>
      <c r="BK654" s="3"/>
      <c r="BL654" s="3"/>
      <c r="BM654" s="3"/>
      <c r="DX654" s="1339" t="e">
        <f t="shared" si="4"/>
        <v>#VALUE!</v>
      </c>
      <c r="DY654" s="1339"/>
      <c r="DZ654" s="1339"/>
      <c r="EA654" s="1339"/>
      <c r="EB654" s="1339"/>
      <c r="EC654" s="1339" t="e">
        <f t="shared" si="5"/>
        <v>#VALUE!</v>
      </c>
      <c r="ED654" s="1339"/>
      <c r="EE654" s="1339"/>
      <c r="EF654" s="1339"/>
      <c r="EG654" s="1339"/>
      <c r="EH654" s="1339" t="e">
        <f t="shared" si="6"/>
        <v>#VALUE!</v>
      </c>
      <c r="EI654" s="1339"/>
      <c r="EJ654" s="1339"/>
      <c r="EK654" s="1339"/>
      <c r="EL654" s="1339"/>
      <c r="EM654" s="1339" t="e">
        <f t="shared" si="7"/>
        <v>#VALUE!</v>
      </c>
      <c r="EN654" s="1339"/>
      <c r="EO654" s="1339"/>
      <c r="EP654" s="1339"/>
      <c r="EQ654" s="1339"/>
      <c r="ER654" s="1339" t="e">
        <f t="shared" si="8"/>
        <v>#VALUE!</v>
      </c>
      <c r="ES654" s="1339"/>
      <c r="ET654" s="1339"/>
      <c r="EU654" s="1339"/>
      <c r="EV654" s="1339"/>
      <c r="EW654" s="1339" t="e">
        <f t="shared" si="9"/>
        <v>#VALUE!</v>
      </c>
      <c r="EX654" s="1339"/>
      <c r="EY654" s="1339"/>
      <c r="EZ654" s="1339"/>
      <c r="FA654" s="1339"/>
    </row>
    <row r="655" spans="1:157" ht="12.9" customHeight="1">
      <c r="A655" s="19"/>
      <c r="B655" t="s">
        <v>834</v>
      </c>
      <c r="G655" s="1449" t="s">
        <v>1427</v>
      </c>
      <c r="H655" s="1449"/>
      <c r="I655" s="1449"/>
      <c r="J655" s="1449"/>
      <c r="K655" s="1449"/>
      <c r="L655" s="1449"/>
      <c r="O655" s="918" t="s">
        <v>1083</v>
      </c>
      <c r="P655" s="1433"/>
      <c r="Q655" s="1433"/>
      <c r="R655" s="1433"/>
      <c r="S655" s="9"/>
      <c r="T655" s="19"/>
      <c r="U655" t="s">
        <v>834</v>
      </c>
      <c r="Z655" s="1449" t="s">
        <v>1427</v>
      </c>
      <c r="AA655" s="1449"/>
      <c r="AB655" s="1449"/>
      <c r="AC655" s="1449"/>
      <c r="AD655" s="1449"/>
      <c r="AE655" s="1449"/>
      <c r="AH655" s="918" t="s">
        <v>1083</v>
      </c>
      <c r="AI655" s="1433"/>
      <c r="AJ655" s="1433"/>
      <c r="AK655" s="1433"/>
      <c r="AZ655" s="3"/>
      <c r="BA655" s="3"/>
      <c r="BB655" s="3"/>
      <c r="BC655" s="3"/>
      <c r="BD655" s="3"/>
      <c r="BE655" s="3"/>
      <c r="BF655" s="3"/>
      <c r="BG655" s="3"/>
      <c r="BH655" s="3"/>
      <c r="BI655" s="3"/>
      <c r="BJ655" s="3"/>
      <c r="BK655" s="3"/>
      <c r="BL655" s="3"/>
      <c r="BM655" s="3"/>
      <c r="DX655" s="1339" t="e">
        <f t="shared" si="4"/>
        <v>#VALUE!</v>
      </c>
      <c r="DY655" s="1339"/>
      <c r="DZ655" s="1339"/>
      <c r="EA655" s="1339"/>
      <c r="EB655" s="1339"/>
      <c r="EC655" s="1339" t="e">
        <f t="shared" si="5"/>
        <v>#VALUE!</v>
      </c>
      <c r="ED655" s="1339"/>
      <c r="EE655" s="1339"/>
      <c r="EF655" s="1339"/>
      <c r="EG655" s="1339"/>
      <c r="EH655" s="1339" t="e">
        <f t="shared" si="6"/>
        <v>#VALUE!</v>
      </c>
      <c r="EI655" s="1339"/>
      <c r="EJ655" s="1339"/>
      <c r="EK655" s="1339"/>
      <c r="EL655" s="1339"/>
      <c r="EM655" s="1339" t="e">
        <f t="shared" si="7"/>
        <v>#VALUE!</v>
      </c>
      <c r="EN655" s="1339"/>
      <c r="EO655" s="1339"/>
      <c r="EP655" s="1339"/>
      <c r="EQ655" s="1339"/>
      <c r="ER655" s="1339" t="e">
        <f t="shared" si="8"/>
        <v>#VALUE!</v>
      </c>
      <c r="ES655" s="1339"/>
      <c r="ET655" s="1339"/>
      <c r="EU655" s="1339"/>
      <c r="EV655" s="1339"/>
      <c r="EW655" s="1339" t="e">
        <f t="shared" si="9"/>
        <v>#VALUE!</v>
      </c>
      <c r="EX655" s="1339"/>
      <c r="EY655" s="1339"/>
      <c r="EZ655" s="1339"/>
      <c r="FA655" s="1339"/>
    </row>
    <row r="656" spans="1:157" ht="12.9" customHeight="1">
      <c r="A656" s="19"/>
      <c r="B656" t="s">
        <v>1428</v>
      </c>
      <c r="H656" s="1372" t="s">
        <v>1454</v>
      </c>
      <c r="I656" s="1372"/>
      <c r="J656" s="1372"/>
      <c r="K656" s="1372"/>
      <c r="L656" s="1372"/>
      <c r="M656" s="1372"/>
      <c r="N656" s="1372"/>
      <c r="O656" s="1372"/>
      <c r="P656" s="1372"/>
      <c r="Q656" s="1372"/>
      <c r="R656" s="1372"/>
      <c r="S656" s="7"/>
      <c r="T656" s="19"/>
      <c r="U656" t="s">
        <v>1428</v>
      </c>
      <c r="AA656" s="1372" t="s">
        <v>2775</v>
      </c>
      <c r="AB656" s="1372"/>
      <c r="AC656" s="1372"/>
      <c r="AD656" s="1372"/>
      <c r="AE656" s="1372"/>
      <c r="AF656" s="1372"/>
      <c r="AG656" s="1372"/>
      <c r="AH656" s="1372"/>
      <c r="AI656" s="1372"/>
      <c r="AJ656" s="1372"/>
      <c r="AK656" s="1372"/>
      <c r="AZ656" s="3"/>
      <c r="BA656" s="3"/>
      <c r="BB656" s="3"/>
      <c r="BC656" s="3"/>
      <c r="BD656" s="3"/>
      <c r="BE656" s="3"/>
      <c r="BF656" s="3"/>
      <c r="BG656" s="3"/>
      <c r="BH656" s="3"/>
      <c r="BI656" s="3"/>
      <c r="BJ656" s="3"/>
      <c r="BK656" s="3"/>
      <c r="BL656" s="3"/>
      <c r="BM656" s="3"/>
      <c r="DX656" s="1339" t="e">
        <f t="shared" si="4"/>
        <v>#VALUE!</v>
      </c>
      <c r="DY656" s="1339"/>
      <c r="DZ656" s="1339"/>
      <c r="EA656" s="1339"/>
      <c r="EB656" s="1339"/>
      <c r="EC656" s="1339" t="e">
        <f t="shared" si="5"/>
        <v>#VALUE!</v>
      </c>
      <c r="ED656" s="1339"/>
      <c r="EE656" s="1339"/>
      <c r="EF656" s="1339"/>
      <c r="EG656" s="1339"/>
      <c r="EH656" s="1339" t="e">
        <f t="shared" si="6"/>
        <v>#VALUE!</v>
      </c>
      <c r="EI656" s="1339"/>
      <c r="EJ656" s="1339"/>
      <c r="EK656" s="1339"/>
      <c r="EL656" s="1339"/>
      <c r="EM656" s="1339" t="e">
        <f t="shared" si="7"/>
        <v>#VALUE!</v>
      </c>
      <c r="EN656" s="1339"/>
      <c r="EO656" s="1339"/>
      <c r="EP656" s="1339"/>
      <c r="EQ656" s="1339"/>
      <c r="ER656" s="1339" t="e">
        <f t="shared" si="8"/>
        <v>#VALUE!</v>
      </c>
      <c r="ES656" s="1339"/>
      <c r="ET656" s="1339"/>
      <c r="EU656" s="1339"/>
      <c r="EV656" s="1339"/>
      <c r="EW656" s="1339" t="e">
        <f t="shared" si="9"/>
        <v>#VALUE!</v>
      </c>
      <c r="EX656" s="1339"/>
      <c r="EY656" s="1339"/>
      <c r="EZ656" s="1339"/>
      <c r="FA656" s="1339"/>
    </row>
    <row r="657" spans="1:157" ht="12.9" customHeight="1">
      <c r="A657" s="19"/>
      <c r="B657" t="s">
        <v>1433</v>
      </c>
      <c r="N657" s="1380" t="s">
        <v>856</v>
      </c>
      <c r="O657" s="1380"/>
      <c r="T657" s="19"/>
      <c r="U657" t="s">
        <v>1433</v>
      </c>
      <c r="AG657" s="1380" t="s">
        <v>856</v>
      </c>
      <c r="AH657" s="1380"/>
      <c r="AZ657" s="3"/>
      <c r="BA657" s="3"/>
      <c r="BB657" s="3"/>
      <c r="BC657" s="3"/>
      <c r="BD657" s="3"/>
      <c r="BE657" s="3"/>
      <c r="BF657" s="3"/>
      <c r="BG657" s="3"/>
      <c r="BH657" s="3"/>
      <c r="BI657" s="3"/>
      <c r="BJ657" s="3"/>
      <c r="BK657" s="3"/>
      <c r="BL657" s="3"/>
      <c r="BM657" s="3"/>
      <c r="DX657" s="1339" t="e">
        <f t="shared" si="4"/>
        <v>#VALUE!</v>
      </c>
      <c r="DY657" s="1339"/>
      <c r="DZ657" s="1339"/>
      <c r="EA657" s="1339"/>
      <c r="EB657" s="1339"/>
      <c r="EC657" s="1339" t="e">
        <f t="shared" si="5"/>
        <v>#VALUE!</v>
      </c>
      <c r="ED657" s="1339"/>
      <c r="EE657" s="1339"/>
      <c r="EF657" s="1339"/>
      <c r="EG657" s="1339"/>
      <c r="EH657" s="1339" t="e">
        <f t="shared" si="6"/>
        <v>#VALUE!</v>
      </c>
      <c r="EI657" s="1339"/>
      <c r="EJ657" s="1339"/>
      <c r="EK657" s="1339"/>
      <c r="EL657" s="1339"/>
      <c r="EM657" s="1339" t="e">
        <f t="shared" si="7"/>
        <v>#VALUE!</v>
      </c>
      <c r="EN657" s="1339"/>
      <c r="EO657" s="1339"/>
      <c r="EP657" s="1339"/>
      <c r="EQ657" s="1339"/>
      <c r="ER657" s="1339" t="e">
        <f t="shared" si="8"/>
        <v>#VALUE!</v>
      </c>
      <c r="ES657" s="1339"/>
      <c r="ET657" s="1339"/>
      <c r="EU657" s="1339"/>
      <c r="EV657" s="1339"/>
      <c r="EW657" s="1339" t="e">
        <f t="shared" si="9"/>
        <v>#VALUE!</v>
      </c>
      <c r="EX657" s="1339"/>
      <c r="EY657" s="1339"/>
      <c r="EZ657" s="1339"/>
      <c r="FA657" s="1339"/>
    </row>
    <row r="658" spans="1:157" ht="12.9" customHeight="1">
      <c r="A658" s="19"/>
      <c r="T658" s="19"/>
      <c r="AZ658" s="3"/>
      <c r="BA658" s="3"/>
      <c r="BB658" s="3"/>
      <c r="BC658" s="3"/>
      <c r="BD658" s="3"/>
      <c r="BE658" s="3"/>
      <c r="BF658" s="3"/>
      <c r="BG658" s="3"/>
      <c r="BH658" s="3"/>
      <c r="BI658" s="3"/>
      <c r="BJ658" s="3"/>
      <c r="BK658" s="3"/>
      <c r="BL658" s="3"/>
      <c r="BM658" s="3"/>
      <c r="DX658" s="1339" t="e">
        <f t="shared" si="4"/>
        <v>#VALUE!</v>
      </c>
      <c r="DY658" s="1339"/>
      <c r="DZ658" s="1339"/>
      <c r="EA658" s="1339"/>
      <c r="EB658" s="1339"/>
      <c r="EC658" s="1339" t="e">
        <f t="shared" si="5"/>
        <v>#VALUE!</v>
      </c>
      <c r="ED658" s="1339"/>
      <c r="EE658" s="1339"/>
      <c r="EF658" s="1339"/>
      <c r="EG658" s="1339"/>
      <c r="EH658" s="1339" t="e">
        <f t="shared" si="6"/>
        <v>#VALUE!</v>
      </c>
      <c r="EI658" s="1339"/>
      <c r="EJ658" s="1339"/>
      <c r="EK658" s="1339"/>
      <c r="EL658" s="1339"/>
      <c r="EM658" s="1339" t="e">
        <f t="shared" si="7"/>
        <v>#VALUE!</v>
      </c>
      <c r="EN658" s="1339"/>
      <c r="EO658" s="1339"/>
      <c r="EP658" s="1339"/>
      <c r="EQ658" s="1339"/>
      <c r="ER658" s="1339" t="e">
        <f t="shared" si="8"/>
        <v>#VALUE!</v>
      </c>
      <c r="ES658" s="1339"/>
      <c r="ET658" s="1339"/>
      <c r="EU658" s="1339"/>
      <c r="EV658" s="1339"/>
      <c r="EW658" s="1339" t="e">
        <f t="shared" si="9"/>
        <v>#VALUE!</v>
      </c>
      <c r="EX658" s="1339"/>
      <c r="EY658" s="1339"/>
      <c r="EZ658" s="1339"/>
      <c r="FA658" s="1339"/>
    </row>
    <row r="659" spans="1:157" ht="12.9" customHeight="1">
      <c r="A659" s="47" t="s">
        <v>39</v>
      </c>
      <c r="B659" t="s">
        <v>1422</v>
      </c>
      <c r="G659" s="1445" t="str">
        <f>C637</f>
        <v>Operation</v>
      </c>
      <c r="H659" s="1445"/>
      <c r="I659" s="1445"/>
      <c r="J659" s="1445"/>
      <c r="K659" s="1445"/>
      <c r="L659" s="1445"/>
      <c r="M659" s="1445"/>
      <c r="N659" s="1445"/>
      <c r="O659" s="1445"/>
      <c r="P659" s="1445"/>
      <c r="Q659" s="1445"/>
      <c r="R659" s="1445"/>
      <c r="T659" s="47" t="s">
        <v>82</v>
      </c>
      <c r="U659" t="s">
        <v>1422</v>
      </c>
      <c r="Z659" s="1445" t="str">
        <f>C638</f>
        <v>DDF</v>
      </c>
      <c r="AA659" s="1445"/>
      <c r="AB659" s="1445"/>
      <c r="AC659" s="1445"/>
      <c r="AD659" s="1445"/>
      <c r="AE659" s="1445"/>
      <c r="AF659" s="1445"/>
      <c r="AG659" s="1445"/>
      <c r="AH659" s="1445"/>
      <c r="AI659" s="1445"/>
      <c r="AJ659" s="1445"/>
      <c r="AK659" s="1445"/>
      <c r="AZ659" s="3"/>
      <c r="BA659" s="3"/>
      <c r="BB659" s="3"/>
      <c r="BC659" s="3"/>
      <c r="BD659" s="3"/>
      <c r="BE659" s="3"/>
      <c r="BF659" s="3"/>
      <c r="BG659" s="3"/>
      <c r="BH659" s="3"/>
      <c r="BI659" s="3"/>
      <c r="BJ659" s="3"/>
      <c r="BK659" s="3"/>
      <c r="BL659" s="3"/>
      <c r="BM659" s="3"/>
      <c r="DX659" s="1339" t="e">
        <f t="shared" si="4"/>
        <v>#VALUE!</v>
      </c>
      <c r="DY659" s="1339"/>
      <c r="DZ659" s="1339"/>
      <c r="EA659" s="1339"/>
      <c r="EB659" s="1339"/>
      <c r="EC659" s="1339" t="e">
        <f t="shared" si="5"/>
        <v>#VALUE!</v>
      </c>
      <c r="ED659" s="1339"/>
      <c r="EE659" s="1339"/>
      <c r="EF659" s="1339"/>
      <c r="EG659" s="1339"/>
      <c r="EH659" s="1339" t="e">
        <f t="shared" si="6"/>
        <v>#VALUE!</v>
      </c>
      <c r="EI659" s="1339"/>
      <c r="EJ659" s="1339"/>
      <c r="EK659" s="1339"/>
      <c r="EL659" s="1339"/>
      <c r="EM659" s="1339" t="e">
        <f t="shared" si="7"/>
        <v>#VALUE!</v>
      </c>
      <c r="EN659" s="1339"/>
      <c r="EO659" s="1339"/>
      <c r="EP659" s="1339"/>
      <c r="EQ659" s="1339"/>
      <c r="ER659" s="1339" t="e">
        <f t="shared" si="8"/>
        <v>#VALUE!</v>
      </c>
      <c r="ES659" s="1339"/>
      <c r="ET659" s="1339"/>
      <c r="EU659" s="1339"/>
      <c r="EV659" s="1339"/>
      <c r="EW659" s="1339" t="e">
        <f t="shared" si="9"/>
        <v>#VALUE!</v>
      </c>
      <c r="EX659" s="1339"/>
      <c r="EY659" s="1339"/>
      <c r="EZ659" s="1339"/>
      <c r="FA659" s="1339"/>
    </row>
    <row r="660" spans="1:157" ht="12.9" customHeight="1">
      <c r="A660" s="19"/>
      <c r="B660" t="s">
        <v>1074</v>
      </c>
      <c r="G660" s="1372"/>
      <c r="H660" s="1372"/>
      <c r="I660" s="1372"/>
      <c r="J660" s="1372"/>
      <c r="K660" s="1372"/>
      <c r="L660" s="1372"/>
      <c r="M660" s="1372"/>
      <c r="N660" s="1372"/>
      <c r="O660" s="1372"/>
      <c r="P660" s="1372"/>
      <c r="Q660" s="1372"/>
      <c r="R660" s="1372"/>
      <c r="T660" s="19"/>
      <c r="U660" t="s">
        <v>1074</v>
      </c>
      <c r="Z660" s="1372" t="s">
        <v>1075</v>
      </c>
      <c r="AA660" s="1372"/>
      <c r="AB660" s="1372"/>
      <c r="AC660" s="1372"/>
      <c r="AD660" s="1372"/>
      <c r="AE660" s="1372"/>
      <c r="AF660" s="1372"/>
      <c r="AG660" s="1372"/>
      <c r="AH660" s="1372"/>
      <c r="AI660" s="1372"/>
      <c r="AJ660" s="1372"/>
      <c r="AK660" s="1372"/>
      <c r="AZ660" s="3"/>
      <c r="BA660" s="3"/>
      <c r="BB660" s="3"/>
      <c r="BC660" s="3"/>
      <c r="BD660" s="3"/>
      <c r="BE660" s="3"/>
      <c r="BF660" s="3"/>
      <c r="BG660" s="3"/>
      <c r="BH660" s="3"/>
      <c r="BI660" s="3"/>
      <c r="BJ660" s="3"/>
      <c r="BK660" s="3"/>
      <c r="BL660" s="3"/>
      <c r="BM660" s="3"/>
      <c r="DX660" s="1339" t="e">
        <f t="shared" si="4"/>
        <v>#VALUE!</v>
      </c>
      <c r="DY660" s="1339"/>
      <c r="DZ660" s="1339"/>
      <c r="EA660" s="1339"/>
      <c r="EB660" s="1339"/>
      <c r="EC660" s="1339" t="e">
        <f t="shared" si="5"/>
        <v>#VALUE!</v>
      </c>
      <c r="ED660" s="1339"/>
      <c r="EE660" s="1339"/>
      <c r="EF660" s="1339"/>
      <c r="EG660" s="1339"/>
      <c r="EH660" s="1339" t="e">
        <f t="shared" si="6"/>
        <v>#VALUE!</v>
      </c>
      <c r="EI660" s="1339"/>
      <c r="EJ660" s="1339"/>
      <c r="EK660" s="1339"/>
      <c r="EL660" s="1339"/>
      <c r="EM660" s="1339" t="e">
        <f t="shared" si="7"/>
        <v>#VALUE!</v>
      </c>
      <c r="EN660" s="1339"/>
      <c r="EO660" s="1339"/>
      <c r="EP660" s="1339"/>
      <c r="EQ660" s="1339"/>
      <c r="ER660" s="1339" t="e">
        <f t="shared" si="8"/>
        <v>#VALUE!</v>
      </c>
      <c r="ES660" s="1339"/>
      <c r="ET660" s="1339"/>
      <c r="EU660" s="1339"/>
      <c r="EV660" s="1339"/>
      <c r="EW660" s="1339" t="e">
        <f t="shared" si="9"/>
        <v>#VALUE!</v>
      </c>
      <c r="EX660" s="1339"/>
      <c r="EY660" s="1339"/>
      <c r="EZ660" s="1339"/>
      <c r="FA660" s="1339"/>
    </row>
    <row r="661" spans="1:157" ht="12.9" customHeight="1">
      <c r="A661" s="19"/>
      <c r="B661" t="s">
        <v>941</v>
      </c>
      <c r="G661" s="1341"/>
      <c r="H661" s="1341"/>
      <c r="I661" s="1341"/>
      <c r="J661" s="1341"/>
      <c r="K661" s="1341"/>
      <c r="L661" s="1341"/>
      <c r="M661" s="1341"/>
      <c r="N661" s="1341"/>
      <c r="O661" s="1341"/>
      <c r="P661" s="1341"/>
      <c r="Q661" s="1341"/>
      <c r="R661" s="1341"/>
      <c r="T661" s="19"/>
      <c r="U661" t="s">
        <v>941</v>
      </c>
      <c r="Z661" s="1341" t="s">
        <v>1133</v>
      </c>
      <c r="AA661" s="1341"/>
      <c r="AB661" s="1341"/>
      <c r="AC661" s="1341"/>
      <c r="AD661" s="1341"/>
      <c r="AE661" s="1341"/>
      <c r="AF661" s="1341"/>
      <c r="AG661" s="1341"/>
      <c r="AH661" s="1341"/>
      <c r="AI661" s="1341"/>
      <c r="AJ661" s="1341"/>
      <c r="AK661" s="1341"/>
      <c r="AZ661" s="3"/>
      <c r="BA661" s="3"/>
      <c r="BB661" s="3"/>
      <c r="BC661" s="3"/>
      <c r="BD661" s="3"/>
      <c r="BE661" s="3"/>
      <c r="BF661" s="3"/>
      <c r="BG661" s="3"/>
      <c r="BH661" s="3"/>
      <c r="BI661" s="3"/>
      <c r="BJ661" s="3"/>
      <c r="BK661" s="3"/>
      <c r="BL661" s="3"/>
      <c r="BM661" s="3"/>
      <c r="DX661" s="1339" t="e">
        <f t="shared" si="4"/>
        <v>#VALUE!</v>
      </c>
      <c r="DY661" s="1339"/>
      <c r="DZ661" s="1339"/>
      <c r="EA661" s="1339"/>
      <c r="EB661" s="1339"/>
      <c r="EC661" s="1339" t="e">
        <f t="shared" si="5"/>
        <v>#VALUE!</v>
      </c>
      <c r="ED661" s="1339"/>
      <c r="EE661" s="1339"/>
      <c r="EF661" s="1339"/>
      <c r="EG661" s="1339"/>
      <c r="EH661" s="1339" t="e">
        <f t="shared" si="6"/>
        <v>#VALUE!</v>
      </c>
      <c r="EI661" s="1339"/>
      <c r="EJ661" s="1339"/>
      <c r="EK661" s="1339"/>
      <c r="EL661" s="1339"/>
      <c r="EM661" s="1339" t="e">
        <f t="shared" si="7"/>
        <v>#VALUE!</v>
      </c>
      <c r="EN661" s="1339"/>
      <c r="EO661" s="1339"/>
      <c r="EP661" s="1339"/>
      <c r="EQ661" s="1339"/>
      <c r="ER661" s="1339" t="e">
        <f t="shared" si="8"/>
        <v>#VALUE!</v>
      </c>
      <c r="ES661" s="1339"/>
      <c r="ET661" s="1339"/>
      <c r="EU661" s="1339"/>
      <c r="EV661" s="1339"/>
      <c r="EW661" s="1339" t="e">
        <f t="shared" si="9"/>
        <v>#VALUE!</v>
      </c>
      <c r="EX661" s="1339"/>
      <c r="EY661" s="1339"/>
      <c r="EZ661" s="1339"/>
      <c r="FA661" s="1339"/>
    </row>
    <row r="662" spans="1:157" ht="12.9" customHeight="1">
      <c r="A662" s="19"/>
      <c r="B662" t="s">
        <v>1425</v>
      </c>
      <c r="G662" s="1341"/>
      <c r="H662" s="1341"/>
      <c r="I662" s="1341"/>
      <c r="J662" s="1341"/>
      <c r="K662" s="1341"/>
      <c r="L662" s="1341"/>
      <c r="M662" s="1341"/>
      <c r="N662" s="1341"/>
      <c r="O662" s="1341"/>
      <c r="P662" s="1341"/>
      <c r="Q662" s="1341"/>
      <c r="R662" s="1341"/>
      <c r="T662" s="19"/>
      <c r="U662" t="s">
        <v>1425</v>
      </c>
      <c r="Z662" s="1341" t="s">
        <v>1080</v>
      </c>
      <c r="AA662" s="1341"/>
      <c r="AB662" s="1341"/>
      <c r="AC662" s="1341"/>
      <c r="AD662" s="1341"/>
      <c r="AE662" s="1341"/>
      <c r="AF662" s="1341"/>
      <c r="AG662" s="1341"/>
      <c r="AH662" s="1341"/>
      <c r="AI662" s="1341"/>
      <c r="AJ662" s="1341"/>
      <c r="AK662" s="1341"/>
      <c r="AZ662" s="3"/>
      <c r="BA662" s="3"/>
      <c r="BB662" s="3"/>
      <c r="BC662" s="3"/>
      <c r="BD662" s="3"/>
      <c r="BE662" s="3"/>
      <c r="BF662" s="3"/>
      <c r="BG662" s="3"/>
      <c r="BH662" s="3"/>
      <c r="BI662" s="3"/>
      <c r="BJ662" s="3"/>
      <c r="BK662" s="3"/>
      <c r="BL662" s="3"/>
      <c r="BM662" s="3"/>
      <c r="DX662" s="1339" t="e">
        <f t="shared" si="4"/>
        <v>#VALUE!</v>
      </c>
      <c r="DY662" s="1339"/>
      <c r="DZ662" s="1339"/>
      <c r="EA662" s="1339"/>
      <c r="EB662" s="1339"/>
      <c r="EC662" s="1339" t="e">
        <f t="shared" si="5"/>
        <v>#VALUE!</v>
      </c>
      <c r="ED662" s="1339"/>
      <c r="EE662" s="1339"/>
      <c r="EF662" s="1339"/>
      <c r="EG662" s="1339"/>
      <c r="EH662" s="1339" t="e">
        <f t="shared" si="6"/>
        <v>#VALUE!</v>
      </c>
      <c r="EI662" s="1339"/>
      <c r="EJ662" s="1339"/>
      <c r="EK662" s="1339"/>
      <c r="EL662" s="1339"/>
      <c r="EM662" s="1339" t="e">
        <f t="shared" si="7"/>
        <v>#VALUE!</v>
      </c>
      <c r="EN662" s="1339"/>
      <c r="EO662" s="1339"/>
      <c r="EP662" s="1339"/>
      <c r="EQ662" s="1339"/>
      <c r="ER662" s="1339" t="e">
        <f t="shared" si="8"/>
        <v>#VALUE!</v>
      </c>
      <c r="ES662" s="1339"/>
      <c r="ET662" s="1339"/>
      <c r="EU662" s="1339"/>
      <c r="EV662" s="1339"/>
      <c r="EW662" s="1339" t="e">
        <f t="shared" si="9"/>
        <v>#VALUE!</v>
      </c>
      <c r="EX662" s="1339"/>
      <c r="EY662" s="1339"/>
      <c r="EZ662" s="1339"/>
      <c r="FA662" s="1339"/>
    </row>
    <row r="663" spans="1:157" ht="12.9" customHeight="1">
      <c r="A663" s="19"/>
      <c r="B663" t="s">
        <v>834</v>
      </c>
      <c r="G663" s="1449"/>
      <c r="H663" s="1449"/>
      <c r="I663" s="1449"/>
      <c r="J663" s="1449"/>
      <c r="K663" s="1449"/>
      <c r="L663" s="1449"/>
      <c r="O663" s="918" t="s">
        <v>1083</v>
      </c>
      <c r="P663" s="1433"/>
      <c r="Q663" s="1433"/>
      <c r="R663" s="1433"/>
      <c r="T663" s="19"/>
      <c r="U663" t="s">
        <v>834</v>
      </c>
      <c r="Z663" s="1449" t="s">
        <v>1082</v>
      </c>
      <c r="AA663" s="1449"/>
      <c r="AB663" s="1449"/>
      <c r="AC663" s="1449"/>
      <c r="AD663" s="1449"/>
      <c r="AE663" s="1449"/>
      <c r="AH663" s="918" t="s">
        <v>1083</v>
      </c>
      <c r="AI663" s="1433"/>
      <c r="AJ663" s="1433"/>
      <c r="AK663" s="1433"/>
      <c r="AZ663" s="3"/>
      <c r="BA663" s="3"/>
      <c r="BB663" s="3"/>
      <c r="BC663" s="3"/>
      <c r="BD663" s="3"/>
      <c r="BE663" s="3"/>
      <c r="BF663" s="3"/>
      <c r="BG663" s="3"/>
      <c r="BH663" s="3"/>
      <c r="BI663" s="3"/>
      <c r="BJ663" s="3"/>
      <c r="BK663" s="3"/>
      <c r="BL663" s="3"/>
      <c r="BM663" s="3"/>
      <c r="DX663" s="1339" t="e">
        <f t="shared" si="4"/>
        <v>#VALUE!</v>
      </c>
      <c r="DY663" s="1339"/>
      <c r="DZ663" s="1339"/>
      <c r="EA663" s="1339"/>
      <c r="EB663" s="1339"/>
      <c r="EC663" s="1339" t="e">
        <f t="shared" si="5"/>
        <v>#VALUE!</v>
      </c>
      <c r="ED663" s="1339"/>
      <c r="EE663" s="1339"/>
      <c r="EF663" s="1339"/>
      <c r="EG663" s="1339"/>
      <c r="EH663" s="1339" t="e">
        <f t="shared" si="6"/>
        <v>#VALUE!</v>
      </c>
      <c r="EI663" s="1339"/>
      <c r="EJ663" s="1339"/>
      <c r="EK663" s="1339"/>
      <c r="EL663" s="1339"/>
      <c r="EM663" s="1339" t="e">
        <f t="shared" si="7"/>
        <v>#VALUE!</v>
      </c>
      <c r="EN663" s="1339"/>
      <c r="EO663" s="1339"/>
      <c r="EP663" s="1339"/>
      <c r="EQ663" s="1339"/>
      <c r="ER663" s="1339" t="e">
        <f t="shared" si="8"/>
        <v>#VALUE!</v>
      </c>
      <c r="ES663" s="1339"/>
      <c r="ET663" s="1339"/>
      <c r="EU663" s="1339"/>
      <c r="EV663" s="1339"/>
      <c r="EW663" s="1339" t="e">
        <f t="shared" si="9"/>
        <v>#VALUE!</v>
      </c>
      <c r="EX663" s="1339"/>
      <c r="EY663" s="1339"/>
      <c r="EZ663" s="1339"/>
      <c r="FA663" s="1339"/>
    </row>
    <row r="664" spans="1:157" ht="12.9" customHeight="1">
      <c r="A664" s="19"/>
      <c r="B664" t="s">
        <v>1428</v>
      </c>
      <c r="H664" s="1372"/>
      <c r="I664" s="1372"/>
      <c r="J664" s="1372"/>
      <c r="K664" s="1372"/>
      <c r="L664" s="1372"/>
      <c r="M664" s="1372"/>
      <c r="N664" s="1372"/>
      <c r="O664" s="1372"/>
      <c r="P664" s="1372"/>
      <c r="Q664" s="1372"/>
      <c r="R664" s="1372"/>
      <c r="T664" s="19"/>
      <c r="U664" t="s">
        <v>1428</v>
      </c>
      <c r="AA664" s="1372" t="s">
        <v>1439</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DX664" s="1339" t="e">
        <f t="shared" si="4"/>
        <v>#VALUE!</v>
      </c>
      <c r="DY664" s="1339"/>
      <c r="DZ664" s="1339"/>
      <c r="EA664" s="1339"/>
      <c r="EB664" s="1339"/>
      <c r="EC664" s="1339" t="e">
        <f t="shared" si="5"/>
        <v>#VALUE!</v>
      </c>
      <c r="ED664" s="1339"/>
      <c r="EE664" s="1339"/>
      <c r="EF664" s="1339"/>
      <c r="EG664" s="1339"/>
      <c r="EH664" s="1339" t="e">
        <f t="shared" si="6"/>
        <v>#VALUE!</v>
      </c>
      <c r="EI664" s="1339"/>
      <c r="EJ664" s="1339"/>
      <c r="EK664" s="1339"/>
      <c r="EL664" s="1339"/>
      <c r="EM664" s="1339" t="e">
        <f t="shared" si="7"/>
        <v>#VALUE!</v>
      </c>
      <c r="EN664" s="1339"/>
      <c r="EO664" s="1339"/>
      <c r="EP664" s="1339"/>
      <c r="EQ664" s="1339"/>
      <c r="ER664" s="1339" t="e">
        <f t="shared" si="8"/>
        <v>#VALUE!</v>
      </c>
      <c r="ES664" s="1339"/>
      <c r="ET664" s="1339"/>
      <c r="EU664" s="1339"/>
      <c r="EV664" s="1339"/>
      <c r="EW664" s="1339" t="e">
        <f t="shared" si="9"/>
        <v>#VALUE!</v>
      </c>
      <c r="EX664" s="1339"/>
      <c r="EY664" s="1339"/>
      <c r="EZ664" s="1339"/>
      <c r="FA664" s="1339"/>
    </row>
    <row r="665" spans="1:157" ht="12.9" customHeight="1">
      <c r="A665" s="19"/>
      <c r="B665" t="s">
        <v>1433</v>
      </c>
      <c r="N665" s="1380" t="s">
        <v>698</v>
      </c>
      <c r="O665" s="1380"/>
      <c r="T665" s="19"/>
      <c r="U665" t="s">
        <v>1433</v>
      </c>
      <c r="AG665" s="1380" t="s">
        <v>698</v>
      </c>
      <c r="AH665" s="1380"/>
      <c r="AZ665" s="3"/>
      <c r="BA665" s="3"/>
      <c r="BB665" s="3"/>
      <c r="BC665" s="3"/>
      <c r="BD665" s="3"/>
      <c r="BE665" s="3"/>
      <c r="BF665" s="3"/>
      <c r="BG665" s="3"/>
      <c r="BH665" s="3"/>
      <c r="BI665" s="3"/>
      <c r="BJ665" s="3"/>
      <c r="BK665" s="3"/>
      <c r="BL665" s="3"/>
      <c r="BM665" s="3"/>
      <c r="DX665" s="1339" t="e">
        <f t="shared" si="4"/>
        <v>#VALUE!</v>
      </c>
      <c r="DY665" s="1339"/>
      <c r="DZ665" s="1339"/>
      <c r="EA665" s="1339"/>
      <c r="EB665" s="1339"/>
      <c r="EC665" s="1339" t="e">
        <f t="shared" si="5"/>
        <v>#VALUE!</v>
      </c>
      <c r="ED665" s="1339"/>
      <c r="EE665" s="1339"/>
      <c r="EF665" s="1339"/>
      <c r="EG665" s="1339"/>
      <c r="EH665" s="1339" t="e">
        <f t="shared" si="6"/>
        <v>#VALUE!</v>
      </c>
      <c r="EI665" s="1339"/>
      <c r="EJ665" s="1339"/>
      <c r="EK665" s="1339"/>
      <c r="EL665" s="1339"/>
      <c r="EM665" s="1339" t="e">
        <f t="shared" si="7"/>
        <v>#VALUE!</v>
      </c>
      <c r="EN665" s="1339"/>
      <c r="EO665" s="1339"/>
      <c r="EP665" s="1339"/>
      <c r="EQ665" s="1339"/>
      <c r="ER665" s="1339" t="e">
        <f t="shared" si="8"/>
        <v>#VALUE!</v>
      </c>
      <c r="ES665" s="1339"/>
      <c r="ET665" s="1339"/>
      <c r="EU665" s="1339"/>
      <c r="EV665" s="1339"/>
      <c r="EW665" s="1339" t="e">
        <f t="shared" si="9"/>
        <v>#VALUE!</v>
      </c>
      <c r="EX665" s="1339"/>
      <c r="EY665" s="1339"/>
      <c r="EZ665" s="1339"/>
      <c r="FA665" s="1339"/>
    </row>
    <row r="666" spans="1:157" ht="12.9" customHeight="1">
      <c r="A666" s="19"/>
      <c r="T666" s="19"/>
      <c r="AZ666" s="3"/>
      <c r="BA666" s="3"/>
      <c r="BB666" s="3"/>
      <c r="BC666" s="3"/>
      <c r="BD666" s="3"/>
      <c r="BE666" s="3"/>
      <c r="BF666" s="3"/>
      <c r="BG666" s="3"/>
      <c r="BH666" s="3"/>
      <c r="BI666" s="3"/>
      <c r="BJ666" s="3"/>
      <c r="BK666" s="3"/>
      <c r="BL666" s="3"/>
      <c r="BM666" s="3"/>
      <c r="DX666" s="1339" t="e">
        <f t="shared" si="4"/>
        <v>#VALUE!</v>
      </c>
      <c r="DY666" s="1339"/>
      <c r="DZ666" s="1339"/>
      <c r="EA666" s="1339"/>
      <c r="EB666" s="1339"/>
      <c r="EC666" s="1339" t="e">
        <f t="shared" si="5"/>
        <v>#VALUE!</v>
      </c>
      <c r="ED666" s="1339"/>
      <c r="EE666" s="1339"/>
      <c r="EF666" s="1339"/>
      <c r="EG666" s="1339"/>
      <c r="EH666" s="1339" t="e">
        <f t="shared" si="6"/>
        <v>#VALUE!</v>
      </c>
      <c r="EI666" s="1339"/>
      <c r="EJ666" s="1339"/>
      <c r="EK666" s="1339"/>
      <c r="EL666" s="1339"/>
      <c r="EM666" s="1339" t="e">
        <f t="shared" si="7"/>
        <v>#VALUE!</v>
      </c>
      <c r="EN666" s="1339"/>
      <c r="EO666" s="1339"/>
      <c r="EP666" s="1339"/>
      <c r="EQ666" s="1339"/>
      <c r="ER666" s="1339" t="e">
        <f t="shared" si="8"/>
        <v>#VALUE!</v>
      </c>
      <c r="ES666" s="1339"/>
      <c r="ET666" s="1339"/>
      <c r="EU666" s="1339"/>
      <c r="EV666" s="1339"/>
      <c r="EW666" s="1339" t="e">
        <f t="shared" si="9"/>
        <v>#VALUE!</v>
      </c>
      <c r="EX666" s="1339"/>
      <c r="EY666" s="1339"/>
      <c r="EZ666" s="1339"/>
      <c r="FA666" s="1339"/>
    </row>
    <row r="667" spans="1:157" ht="12.9" customHeight="1">
      <c r="A667" s="47" t="s">
        <v>86</v>
      </c>
      <c r="B667" t="s">
        <v>1422</v>
      </c>
      <c r="G667" s="1445">
        <f>C639</f>
        <v>0</v>
      </c>
      <c r="H667" s="1445"/>
      <c r="I667" s="1445"/>
      <c r="J667" s="1445"/>
      <c r="K667" s="1445"/>
      <c r="L667" s="1445"/>
      <c r="M667" s="1445"/>
      <c r="N667" s="1445"/>
      <c r="O667" s="1445"/>
      <c r="P667" s="1445"/>
      <c r="Q667" s="1445"/>
      <c r="R667" s="1445"/>
      <c r="T667" s="47" t="s">
        <v>1413</v>
      </c>
      <c r="U667" t="s">
        <v>1422</v>
      </c>
      <c r="Z667" s="1445">
        <f>C640</f>
        <v>0</v>
      </c>
      <c r="AA667" s="1445"/>
      <c r="AB667" s="1445"/>
      <c r="AC667" s="1445"/>
      <c r="AD667" s="1445"/>
      <c r="AE667" s="1445"/>
      <c r="AF667" s="1445"/>
      <c r="AG667" s="1445"/>
      <c r="AH667" s="1445"/>
      <c r="AI667" s="1445"/>
      <c r="AJ667" s="1445"/>
      <c r="AK667" s="1445"/>
      <c r="AZ667" s="3"/>
      <c r="BA667" s="3"/>
      <c r="BB667" s="3"/>
      <c r="BC667" s="3"/>
      <c r="BD667" s="3"/>
      <c r="BE667" s="3"/>
      <c r="BF667" s="3"/>
      <c r="BG667" s="3"/>
      <c r="BH667" s="3"/>
      <c r="BI667" s="3"/>
      <c r="BJ667" s="3"/>
      <c r="BK667" s="3"/>
      <c r="BL667" s="3"/>
      <c r="BM667" s="3"/>
      <c r="DX667" s="1339" t="e">
        <f t="shared" si="4"/>
        <v>#VALUE!</v>
      </c>
      <c r="DY667" s="1339"/>
      <c r="DZ667" s="1339"/>
      <c r="EA667" s="1339"/>
      <c r="EB667" s="1339"/>
      <c r="EC667" s="1339" t="e">
        <f t="shared" si="5"/>
        <v>#VALUE!</v>
      </c>
      <c r="ED667" s="1339"/>
      <c r="EE667" s="1339"/>
      <c r="EF667" s="1339"/>
      <c r="EG667" s="1339"/>
      <c r="EH667" s="1339" t="e">
        <f t="shared" si="6"/>
        <v>#VALUE!</v>
      </c>
      <c r="EI667" s="1339"/>
      <c r="EJ667" s="1339"/>
      <c r="EK667" s="1339"/>
      <c r="EL667" s="1339"/>
      <c r="EM667" s="1339" t="e">
        <f t="shared" si="7"/>
        <v>#VALUE!</v>
      </c>
      <c r="EN667" s="1339"/>
      <c r="EO667" s="1339"/>
      <c r="EP667" s="1339"/>
      <c r="EQ667" s="1339"/>
      <c r="ER667" s="1339" t="e">
        <f t="shared" si="8"/>
        <v>#VALUE!</v>
      </c>
      <c r="ES667" s="1339"/>
      <c r="ET667" s="1339"/>
      <c r="EU667" s="1339"/>
      <c r="EV667" s="1339"/>
      <c r="EW667" s="1339" t="e">
        <f t="shared" si="9"/>
        <v>#VALUE!</v>
      </c>
      <c r="EX667" s="1339"/>
      <c r="EY667" s="1339"/>
      <c r="EZ667" s="1339"/>
      <c r="FA667" s="1339"/>
    </row>
    <row r="668" spans="1:157" ht="12.9" customHeight="1">
      <c r="A668" s="19"/>
      <c r="B668" t="s">
        <v>1074</v>
      </c>
      <c r="G668" s="1372"/>
      <c r="H668" s="1372"/>
      <c r="I668" s="1372"/>
      <c r="J668" s="1372"/>
      <c r="K668" s="1372"/>
      <c r="L668" s="1372"/>
      <c r="M668" s="1372"/>
      <c r="N668" s="1372"/>
      <c r="O668" s="1372"/>
      <c r="P668" s="1372"/>
      <c r="Q668" s="1372"/>
      <c r="R668" s="1372"/>
      <c r="T668" s="19"/>
      <c r="U668" t="s">
        <v>1074</v>
      </c>
      <c r="Z668" s="1372"/>
      <c r="AA668" s="1372"/>
      <c r="AB668" s="1372"/>
      <c r="AC668" s="1372"/>
      <c r="AD668" s="1372"/>
      <c r="AE668" s="1372"/>
      <c r="AF668" s="1372"/>
      <c r="AG668" s="1372"/>
      <c r="AH668" s="1372"/>
      <c r="AI668" s="1372"/>
      <c r="AJ668" s="1372"/>
      <c r="AK668" s="1372"/>
      <c r="AZ668" s="3"/>
      <c r="BA668" s="3"/>
      <c r="BB668" s="3"/>
      <c r="BC668" s="3"/>
      <c r="BD668" s="3"/>
      <c r="BE668" s="3"/>
      <c r="BF668" s="3"/>
      <c r="BG668" s="3"/>
      <c r="BH668" s="3"/>
      <c r="BI668" s="3"/>
      <c r="BJ668" s="3"/>
      <c r="BK668" s="3"/>
      <c r="BL668" s="3"/>
      <c r="BM668" s="3"/>
      <c r="DX668" s="1339" t="e">
        <f t="shared" si="4"/>
        <v>#VALUE!</v>
      </c>
      <c r="DY668" s="1339"/>
      <c r="DZ668" s="1339"/>
      <c r="EA668" s="1339"/>
      <c r="EB668" s="1339"/>
      <c r="EC668" s="1339" t="e">
        <f t="shared" si="5"/>
        <v>#VALUE!</v>
      </c>
      <c r="ED668" s="1339"/>
      <c r="EE668" s="1339"/>
      <c r="EF668" s="1339"/>
      <c r="EG668" s="1339"/>
      <c r="EH668" s="1339" t="e">
        <f t="shared" si="6"/>
        <v>#VALUE!</v>
      </c>
      <c r="EI668" s="1339"/>
      <c r="EJ668" s="1339"/>
      <c r="EK668" s="1339"/>
      <c r="EL668" s="1339"/>
      <c r="EM668" s="1339" t="e">
        <f t="shared" si="7"/>
        <v>#VALUE!</v>
      </c>
      <c r="EN668" s="1339"/>
      <c r="EO668" s="1339"/>
      <c r="EP668" s="1339"/>
      <c r="EQ668" s="1339"/>
      <c r="ER668" s="1339" t="e">
        <f t="shared" si="8"/>
        <v>#VALUE!</v>
      </c>
      <c r="ES668" s="1339"/>
      <c r="ET668" s="1339"/>
      <c r="EU668" s="1339"/>
      <c r="EV668" s="1339"/>
      <c r="EW668" s="1339" t="e">
        <f t="shared" si="9"/>
        <v>#VALUE!</v>
      </c>
      <c r="EX668" s="1339"/>
      <c r="EY668" s="1339"/>
      <c r="EZ668" s="1339"/>
      <c r="FA668" s="1339"/>
    </row>
    <row r="669" spans="1:157" ht="12.9" customHeight="1">
      <c r="A669" s="19"/>
      <c r="B669" t="s">
        <v>941</v>
      </c>
      <c r="G669" s="1372"/>
      <c r="H669" s="1372"/>
      <c r="I669" s="1372"/>
      <c r="J669" s="1372"/>
      <c r="K669" s="1372"/>
      <c r="L669" s="1372"/>
      <c r="M669" s="1372"/>
      <c r="N669" s="1372"/>
      <c r="O669" s="1372"/>
      <c r="P669" s="1372"/>
      <c r="Q669" s="1372"/>
      <c r="R669" s="1372"/>
      <c r="T669" s="19"/>
      <c r="U669" t="s">
        <v>941</v>
      </c>
      <c r="Z669" s="1341"/>
      <c r="AA669" s="1341"/>
      <c r="AB669" s="1341"/>
      <c r="AC669" s="1341"/>
      <c r="AD669" s="1341"/>
      <c r="AE669" s="1341"/>
      <c r="AF669" s="1341"/>
      <c r="AG669" s="1341"/>
      <c r="AH669" s="1341"/>
      <c r="AI669" s="1341"/>
      <c r="AJ669" s="1341"/>
      <c r="AK669" s="1341"/>
      <c r="AZ669" s="3"/>
      <c r="BA669" s="3"/>
      <c r="BB669" s="3"/>
      <c r="BC669" s="3"/>
      <c r="BD669" s="3"/>
      <c r="BE669" s="3"/>
      <c r="BF669" s="3"/>
      <c r="BG669" s="3"/>
      <c r="BH669" s="3"/>
      <c r="BI669" s="3"/>
      <c r="BJ669" s="3"/>
      <c r="BK669" s="3"/>
      <c r="BL669" s="3"/>
      <c r="BM669" s="3"/>
      <c r="DX669" s="1339" t="e">
        <f t="shared" si="4"/>
        <v>#VALUE!</v>
      </c>
      <c r="DY669" s="1339"/>
      <c r="DZ669" s="1339"/>
      <c r="EA669" s="1339"/>
      <c r="EB669" s="1339"/>
      <c r="EC669" s="1339" t="e">
        <f t="shared" si="5"/>
        <v>#VALUE!</v>
      </c>
      <c r="ED669" s="1339"/>
      <c r="EE669" s="1339"/>
      <c r="EF669" s="1339"/>
      <c r="EG669" s="1339"/>
      <c r="EH669" s="1339" t="e">
        <f t="shared" si="6"/>
        <v>#VALUE!</v>
      </c>
      <c r="EI669" s="1339"/>
      <c r="EJ669" s="1339"/>
      <c r="EK669" s="1339"/>
      <c r="EL669" s="1339"/>
      <c r="EM669" s="1339" t="e">
        <f t="shared" si="7"/>
        <v>#VALUE!</v>
      </c>
      <c r="EN669" s="1339"/>
      <c r="EO669" s="1339"/>
      <c r="EP669" s="1339"/>
      <c r="EQ669" s="1339"/>
      <c r="ER669" s="1339" t="e">
        <f t="shared" si="8"/>
        <v>#VALUE!</v>
      </c>
      <c r="ES669" s="1339"/>
      <c r="ET669" s="1339"/>
      <c r="EU669" s="1339"/>
      <c r="EV669" s="1339"/>
      <c r="EW669" s="1339" t="e">
        <f t="shared" si="9"/>
        <v>#VALUE!</v>
      </c>
      <c r="EX669" s="1339"/>
      <c r="EY669" s="1339"/>
      <c r="EZ669" s="1339"/>
      <c r="FA669" s="1339"/>
    </row>
    <row r="670" spans="1:157" ht="12.9" customHeight="1">
      <c r="A670" s="19"/>
      <c r="B670" t="s">
        <v>1425</v>
      </c>
      <c r="G670" s="1372"/>
      <c r="H670" s="1372"/>
      <c r="I670" s="1372"/>
      <c r="J670" s="1372"/>
      <c r="K670" s="1372"/>
      <c r="L670" s="1372"/>
      <c r="M670" s="1372"/>
      <c r="N670" s="1372"/>
      <c r="O670" s="1372"/>
      <c r="P670" s="1372"/>
      <c r="Q670" s="1372"/>
      <c r="R670" s="1372"/>
      <c r="T670" s="19"/>
      <c r="U670" t="s">
        <v>1425</v>
      </c>
      <c r="Z670" s="1341"/>
      <c r="AA670" s="1341"/>
      <c r="AB670" s="1341"/>
      <c r="AC670" s="1341"/>
      <c r="AD670" s="1341"/>
      <c r="AE670" s="1341"/>
      <c r="AF670" s="1341"/>
      <c r="AG670" s="1341"/>
      <c r="AH670" s="1341"/>
      <c r="AI670" s="1341"/>
      <c r="AJ670" s="1341"/>
      <c r="AK670" s="134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39" t="e">
        <f t="shared" si="4"/>
        <v>#VALUE!</v>
      </c>
      <c r="DY670" s="1339"/>
      <c r="DZ670" s="1339"/>
      <c r="EA670" s="1339"/>
      <c r="EB670" s="1339"/>
      <c r="EC670" s="1339" t="e">
        <f t="shared" si="5"/>
        <v>#VALUE!</v>
      </c>
      <c r="ED670" s="1339"/>
      <c r="EE670" s="1339"/>
      <c r="EF670" s="1339"/>
      <c r="EG670" s="1339"/>
      <c r="EH670" s="1339" t="e">
        <f t="shared" si="6"/>
        <v>#VALUE!</v>
      </c>
      <c r="EI670" s="1339"/>
      <c r="EJ670" s="1339"/>
      <c r="EK670" s="1339"/>
      <c r="EL670" s="1339"/>
      <c r="EM670" s="1339" t="e">
        <f t="shared" si="7"/>
        <v>#VALUE!</v>
      </c>
      <c r="EN670" s="1339"/>
      <c r="EO670" s="1339"/>
      <c r="EP670" s="1339"/>
      <c r="EQ670" s="1339"/>
      <c r="ER670" s="1339" t="e">
        <f t="shared" si="8"/>
        <v>#VALUE!</v>
      </c>
      <c r="ES670" s="1339"/>
      <c r="ET670" s="1339"/>
      <c r="EU670" s="1339"/>
      <c r="EV670" s="1339"/>
      <c r="EW670" s="1339" t="e">
        <f t="shared" si="9"/>
        <v>#VALUE!</v>
      </c>
      <c r="EX670" s="1339"/>
      <c r="EY670" s="1339"/>
      <c r="EZ670" s="1339"/>
      <c r="FA670" s="1339"/>
    </row>
    <row r="671" spans="1:157" ht="12.9" customHeight="1">
      <c r="A671" s="19"/>
      <c r="B671" t="s">
        <v>834</v>
      </c>
      <c r="G671" s="1449"/>
      <c r="H671" s="1449"/>
      <c r="I671" s="1449"/>
      <c r="J671" s="1449"/>
      <c r="K671" s="1449"/>
      <c r="L671" s="1449"/>
      <c r="O671" s="918" t="s">
        <v>1083</v>
      </c>
      <c r="P671" s="1433"/>
      <c r="Q671" s="1433"/>
      <c r="R671" s="1433"/>
      <c r="T671" s="19"/>
      <c r="U671" t="s">
        <v>834</v>
      </c>
      <c r="Z671" s="1449"/>
      <c r="AA671" s="1449"/>
      <c r="AB671" s="1449"/>
      <c r="AC671" s="1449"/>
      <c r="AD671" s="1449"/>
      <c r="AE671" s="1449"/>
      <c r="AH671" s="918" t="s">
        <v>1083</v>
      </c>
      <c r="AI671" s="1433"/>
      <c r="AJ671" s="1433"/>
      <c r="AK671" s="143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39" t="e">
        <f t="shared" si="4"/>
        <v>#VALUE!</v>
      </c>
      <c r="DY671" s="1339"/>
      <c r="DZ671" s="1339"/>
      <c r="EA671" s="1339"/>
      <c r="EB671" s="1339"/>
      <c r="EC671" s="1339" t="e">
        <f t="shared" si="5"/>
        <v>#VALUE!</v>
      </c>
      <c r="ED671" s="1339"/>
      <c r="EE671" s="1339"/>
      <c r="EF671" s="1339"/>
      <c r="EG671" s="1339"/>
      <c r="EH671" s="1339" t="e">
        <f t="shared" si="6"/>
        <v>#VALUE!</v>
      </c>
      <c r="EI671" s="1339"/>
      <c r="EJ671" s="1339"/>
      <c r="EK671" s="1339"/>
      <c r="EL671" s="1339"/>
      <c r="EM671" s="1339" t="e">
        <f t="shared" si="7"/>
        <v>#VALUE!</v>
      </c>
      <c r="EN671" s="1339"/>
      <c r="EO671" s="1339"/>
      <c r="EP671" s="1339"/>
      <c r="EQ671" s="1339"/>
      <c r="ER671" s="1339" t="e">
        <f t="shared" si="8"/>
        <v>#VALUE!</v>
      </c>
      <c r="ES671" s="1339"/>
      <c r="ET671" s="1339"/>
      <c r="EU671" s="1339"/>
      <c r="EV671" s="1339"/>
      <c r="EW671" s="1339" t="e">
        <f t="shared" si="9"/>
        <v>#VALUE!</v>
      </c>
      <c r="EX671" s="1339"/>
      <c r="EY671" s="1339"/>
      <c r="EZ671" s="1339"/>
      <c r="FA671" s="1339"/>
    </row>
    <row r="672" spans="1:157" ht="12.9" customHeight="1">
      <c r="A672" s="19"/>
      <c r="B672" t="s">
        <v>1428</v>
      </c>
      <c r="H672" s="1372"/>
      <c r="I672" s="1372"/>
      <c r="J672" s="1372"/>
      <c r="K672" s="1372"/>
      <c r="L672" s="1372"/>
      <c r="M672" s="1372"/>
      <c r="N672" s="1372"/>
      <c r="O672" s="1372"/>
      <c r="P672" s="1372"/>
      <c r="Q672" s="1372"/>
      <c r="R672" s="1372"/>
      <c r="T672" s="19"/>
      <c r="U672" t="s">
        <v>1428</v>
      </c>
      <c r="AA672" s="1372"/>
      <c r="AB672" s="1372"/>
      <c r="AC672" s="1372"/>
      <c r="AD672" s="1372"/>
      <c r="AE672" s="1372"/>
      <c r="AF672" s="1372"/>
      <c r="AG672" s="1372"/>
      <c r="AH672" s="1372"/>
      <c r="AI672" s="1372"/>
      <c r="AJ672" s="1372"/>
      <c r="AK672" s="137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39" t="e">
        <f t="shared" si="4"/>
        <v>#VALUE!</v>
      </c>
      <c r="DY672" s="1339"/>
      <c r="DZ672" s="1339"/>
      <c r="EA672" s="1339"/>
      <c r="EB672" s="1339"/>
      <c r="EC672" s="1339" t="e">
        <f t="shared" si="5"/>
        <v>#VALUE!</v>
      </c>
      <c r="ED672" s="1339"/>
      <c r="EE672" s="1339"/>
      <c r="EF672" s="1339"/>
      <c r="EG672" s="1339"/>
      <c r="EH672" s="1339" t="e">
        <f t="shared" si="6"/>
        <v>#VALUE!</v>
      </c>
      <c r="EI672" s="1339"/>
      <c r="EJ672" s="1339"/>
      <c r="EK672" s="1339"/>
      <c r="EL672" s="1339"/>
      <c r="EM672" s="1339" t="e">
        <f t="shared" si="7"/>
        <v>#VALUE!</v>
      </c>
      <c r="EN672" s="1339"/>
      <c r="EO672" s="1339"/>
      <c r="EP672" s="1339"/>
      <c r="EQ672" s="1339"/>
      <c r="ER672" s="1339" t="e">
        <f t="shared" si="8"/>
        <v>#VALUE!</v>
      </c>
      <c r="ES672" s="1339"/>
      <c r="ET672" s="1339"/>
      <c r="EU672" s="1339"/>
      <c r="EV672" s="1339"/>
      <c r="EW672" s="1339" t="e">
        <f t="shared" si="9"/>
        <v>#VALUE!</v>
      </c>
      <c r="EX672" s="1339"/>
      <c r="EY672" s="1339"/>
      <c r="EZ672" s="1339"/>
      <c r="FA672" s="1339"/>
    </row>
    <row r="673" spans="1:157" ht="12.9" customHeight="1">
      <c r="A673" s="19"/>
      <c r="B673" t="s">
        <v>1433</v>
      </c>
      <c r="N673" s="1380" t="s">
        <v>698</v>
      </c>
      <c r="O673" s="1380"/>
      <c r="T673" s="19"/>
      <c r="U673" t="s">
        <v>1433</v>
      </c>
      <c r="AG673" s="1380" t="s">
        <v>698</v>
      </c>
      <c r="AH673" s="138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39" t="e">
        <f t="shared" si="4"/>
        <v>#VALUE!</v>
      </c>
      <c r="DY673" s="1339"/>
      <c r="DZ673" s="1339"/>
      <c r="EA673" s="1339"/>
      <c r="EB673" s="1339"/>
      <c r="EC673" s="1339" t="e">
        <f t="shared" si="5"/>
        <v>#VALUE!</v>
      </c>
      <c r="ED673" s="1339"/>
      <c r="EE673" s="1339"/>
      <c r="EF673" s="1339"/>
      <c r="EG673" s="1339"/>
      <c r="EH673" s="1339" t="e">
        <f t="shared" si="6"/>
        <v>#VALUE!</v>
      </c>
      <c r="EI673" s="1339"/>
      <c r="EJ673" s="1339"/>
      <c r="EK673" s="1339"/>
      <c r="EL673" s="1339"/>
      <c r="EM673" s="1339" t="e">
        <f t="shared" si="7"/>
        <v>#VALUE!</v>
      </c>
      <c r="EN673" s="1339"/>
      <c r="EO673" s="1339"/>
      <c r="EP673" s="1339"/>
      <c r="EQ673" s="1339"/>
      <c r="ER673" s="1339" t="e">
        <f t="shared" si="8"/>
        <v>#VALUE!</v>
      </c>
      <c r="ES673" s="1339"/>
      <c r="ET673" s="1339"/>
      <c r="EU673" s="1339"/>
      <c r="EV673" s="1339"/>
      <c r="EW673" s="1339" t="e">
        <f t="shared" si="9"/>
        <v>#VALUE!</v>
      </c>
      <c r="EX673" s="1339"/>
      <c r="EY673" s="1339"/>
      <c r="EZ673" s="1339"/>
      <c r="FA673" s="1339"/>
    </row>
    <row r="674" spans="1:157" ht="12.9"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39" t="e">
        <f t="shared" si="4"/>
        <v>#VALUE!</v>
      </c>
      <c r="DY674" s="1339"/>
      <c r="DZ674" s="1339"/>
      <c r="EA674" s="1339"/>
      <c r="EB674" s="1339"/>
      <c r="EC674" s="1339" t="e">
        <f t="shared" si="5"/>
        <v>#VALUE!</v>
      </c>
      <c r="ED674" s="1339"/>
      <c r="EE674" s="1339"/>
      <c r="EF674" s="1339"/>
      <c r="EG674" s="1339"/>
      <c r="EH674" s="1339" t="e">
        <f t="shared" si="6"/>
        <v>#VALUE!</v>
      </c>
      <c r="EI674" s="1339"/>
      <c r="EJ674" s="1339"/>
      <c r="EK674" s="1339"/>
      <c r="EL674" s="1339"/>
      <c r="EM674" s="1339" t="e">
        <f t="shared" si="7"/>
        <v>#VALUE!</v>
      </c>
      <c r="EN674" s="1339"/>
      <c r="EO674" s="1339"/>
      <c r="EP674" s="1339"/>
      <c r="EQ674" s="1339"/>
      <c r="ER674" s="1339" t="e">
        <f t="shared" si="8"/>
        <v>#VALUE!</v>
      </c>
      <c r="ES674" s="1339"/>
      <c r="ET674" s="1339"/>
      <c r="EU674" s="1339"/>
      <c r="EV674" s="1339"/>
      <c r="EW674" s="1339" t="e">
        <f t="shared" si="9"/>
        <v>#VALUE!</v>
      </c>
      <c r="EX674" s="1339"/>
      <c r="EY674" s="1339"/>
      <c r="EZ674" s="1339"/>
      <c r="FA674" s="1339"/>
    </row>
    <row r="675" spans="1:157" ht="12.9" customHeight="1">
      <c r="A675" s="47" t="s">
        <v>1415</v>
      </c>
      <c r="B675" t="s">
        <v>1422</v>
      </c>
      <c r="G675" s="1445">
        <f>C641</f>
        <v>0</v>
      </c>
      <c r="H675" s="1445"/>
      <c r="I675" s="1445"/>
      <c r="J675" s="1445"/>
      <c r="K675" s="1445"/>
      <c r="L675" s="1445"/>
      <c r="M675" s="1445"/>
      <c r="N675" s="1445"/>
      <c r="O675" s="1445"/>
      <c r="P675" s="1445"/>
      <c r="Q675" s="1445"/>
      <c r="R675" s="1445"/>
      <c r="T675" s="47" t="s">
        <v>1416</v>
      </c>
      <c r="U675" t="s">
        <v>1422</v>
      </c>
      <c r="Z675" s="1445">
        <f>C642</f>
        <v>0</v>
      </c>
      <c r="AA675" s="1445"/>
      <c r="AB675" s="1445"/>
      <c r="AC675" s="1445"/>
      <c r="AD675" s="1445"/>
      <c r="AE675" s="1445"/>
      <c r="AF675" s="1445"/>
      <c r="AG675" s="1445"/>
      <c r="AH675" s="1445"/>
      <c r="AI675" s="1445"/>
      <c r="AJ675" s="1445"/>
      <c r="AK675" s="144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39" t="e">
        <f t="shared" si="4"/>
        <v>#VALUE!</v>
      </c>
      <c r="DY675" s="1339"/>
      <c r="DZ675" s="1339"/>
      <c r="EA675" s="1339"/>
      <c r="EB675" s="1339"/>
      <c r="EC675" s="1339" t="e">
        <f t="shared" si="5"/>
        <v>#VALUE!</v>
      </c>
      <c r="ED675" s="1339"/>
      <c r="EE675" s="1339"/>
      <c r="EF675" s="1339"/>
      <c r="EG675" s="1339"/>
      <c r="EH675" s="1339" t="e">
        <f t="shared" si="6"/>
        <v>#VALUE!</v>
      </c>
      <c r="EI675" s="1339"/>
      <c r="EJ675" s="1339"/>
      <c r="EK675" s="1339"/>
      <c r="EL675" s="1339"/>
      <c r="EM675" s="1339" t="e">
        <f t="shared" si="7"/>
        <v>#VALUE!</v>
      </c>
      <c r="EN675" s="1339"/>
      <c r="EO675" s="1339"/>
      <c r="EP675" s="1339"/>
      <c r="EQ675" s="1339"/>
      <c r="ER675" s="1339" t="e">
        <f t="shared" si="8"/>
        <v>#VALUE!</v>
      </c>
      <c r="ES675" s="1339"/>
      <c r="ET675" s="1339"/>
      <c r="EU675" s="1339"/>
      <c r="EV675" s="1339"/>
      <c r="EW675" s="1339" t="e">
        <f t="shared" si="9"/>
        <v>#VALUE!</v>
      </c>
      <c r="EX675" s="1339"/>
      <c r="EY675" s="1339"/>
      <c r="EZ675" s="1339"/>
      <c r="FA675" s="1339"/>
    </row>
    <row r="676" spans="1:157" ht="12.9" customHeight="1">
      <c r="A676" s="19"/>
      <c r="B676" t="s">
        <v>1074</v>
      </c>
      <c r="G676" s="1372"/>
      <c r="H676" s="1372"/>
      <c r="I676" s="1372"/>
      <c r="J676" s="1372"/>
      <c r="K676" s="1372"/>
      <c r="L676" s="1372"/>
      <c r="M676" s="1372"/>
      <c r="N676" s="1372"/>
      <c r="O676" s="1372"/>
      <c r="P676" s="1372"/>
      <c r="Q676" s="1372"/>
      <c r="R676" s="1372"/>
      <c r="T676" s="19"/>
      <c r="U676" t="s">
        <v>1074</v>
      </c>
      <c r="Z676" s="1372"/>
      <c r="AA676" s="1372"/>
      <c r="AB676" s="1372"/>
      <c r="AC676" s="1372"/>
      <c r="AD676" s="1372"/>
      <c r="AE676" s="1372"/>
      <c r="AF676" s="1372"/>
      <c r="AG676" s="1372"/>
      <c r="AH676" s="1372"/>
      <c r="AI676" s="1372"/>
      <c r="AJ676" s="1372"/>
      <c r="AK676" s="137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39" t="e">
        <f t="shared" si="4"/>
        <v>#VALUE!</v>
      </c>
      <c r="DY676" s="1339"/>
      <c r="DZ676" s="1339"/>
      <c r="EA676" s="1339"/>
      <c r="EB676" s="1339"/>
      <c r="EC676" s="1339" t="e">
        <f t="shared" si="5"/>
        <v>#VALUE!</v>
      </c>
      <c r="ED676" s="1339"/>
      <c r="EE676" s="1339"/>
      <c r="EF676" s="1339"/>
      <c r="EG676" s="1339"/>
      <c r="EH676" s="1339" t="e">
        <f t="shared" si="6"/>
        <v>#VALUE!</v>
      </c>
      <c r="EI676" s="1339"/>
      <c r="EJ676" s="1339"/>
      <c r="EK676" s="1339"/>
      <c r="EL676" s="1339"/>
      <c r="EM676" s="1339" t="e">
        <f t="shared" si="7"/>
        <v>#VALUE!</v>
      </c>
      <c r="EN676" s="1339"/>
      <c r="EO676" s="1339"/>
      <c r="EP676" s="1339"/>
      <c r="EQ676" s="1339"/>
      <c r="ER676" s="1339" t="e">
        <f t="shared" si="8"/>
        <v>#VALUE!</v>
      </c>
      <c r="ES676" s="1339"/>
      <c r="ET676" s="1339"/>
      <c r="EU676" s="1339"/>
      <c r="EV676" s="1339"/>
      <c r="EW676" s="1339" t="e">
        <f t="shared" si="9"/>
        <v>#VALUE!</v>
      </c>
      <c r="EX676" s="1339"/>
      <c r="EY676" s="1339"/>
      <c r="EZ676" s="1339"/>
      <c r="FA676" s="1339"/>
    </row>
    <row r="677" spans="1:157" ht="12.9" customHeight="1">
      <c r="A677" s="19"/>
      <c r="B677" t="s">
        <v>941</v>
      </c>
      <c r="G677" s="1372"/>
      <c r="H677" s="1372"/>
      <c r="I677" s="1372"/>
      <c r="J677" s="1372"/>
      <c r="K677" s="1372"/>
      <c r="L677" s="1372"/>
      <c r="M677" s="1372"/>
      <c r="N677" s="1372"/>
      <c r="O677" s="1372"/>
      <c r="P677" s="1372"/>
      <c r="Q677" s="1372"/>
      <c r="R677" s="1372"/>
      <c r="T677" s="19"/>
      <c r="U677" t="s">
        <v>941</v>
      </c>
      <c r="Z677" s="1341"/>
      <c r="AA677" s="1341"/>
      <c r="AB677" s="1341"/>
      <c r="AC677" s="1341"/>
      <c r="AD677" s="1341"/>
      <c r="AE677" s="1341"/>
      <c r="AF677" s="1341"/>
      <c r="AG677" s="1341"/>
      <c r="AH677" s="1341"/>
      <c r="AI677" s="1341"/>
      <c r="AJ677" s="1341"/>
      <c r="AK677" s="134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39" t="e">
        <f t="shared" si="4"/>
        <v>#VALUE!</v>
      </c>
      <c r="DY677" s="1339"/>
      <c r="DZ677" s="1339"/>
      <c r="EA677" s="1339"/>
      <c r="EB677" s="1339"/>
      <c r="EC677" s="1339" t="e">
        <f t="shared" si="5"/>
        <v>#VALUE!</v>
      </c>
      <c r="ED677" s="1339"/>
      <c r="EE677" s="1339"/>
      <c r="EF677" s="1339"/>
      <c r="EG677" s="1339"/>
      <c r="EH677" s="1339" t="e">
        <f t="shared" si="6"/>
        <v>#VALUE!</v>
      </c>
      <c r="EI677" s="1339"/>
      <c r="EJ677" s="1339"/>
      <c r="EK677" s="1339"/>
      <c r="EL677" s="1339"/>
      <c r="EM677" s="1339" t="e">
        <f t="shared" si="7"/>
        <v>#VALUE!</v>
      </c>
      <c r="EN677" s="1339"/>
      <c r="EO677" s="1339"/>
      <c r="EP677" s="1339"/>
      <c r="EQ677" s="1339"/>
      <c r="ER677" s="1339" t="e">
        <f t="shared" si="8"/>
        <v>#VALUE!</v>
      </c>
      <c r="ES677" s="1339"/>
      <c r="ET677" s="1339"/>
      <c r="EU677" s="1339"/>
      <c r="EV677" s="1339"/>
      <c r="EW677" s="1339" t="e">
        <f t="shared" si="9"/>
        <v>#VALUE!</v>
      </c>
      <c r="EX677" s="1339"/>
      <c r="EY677" s="1339"/>
      <c r="EZ677" s="1339"/>
      <c r="FA677" s="1339"/>
    </row>
    <row r="678" spans="1:157" ht="12.9" customHeight="1">
      <c r="A678" s="19"/>
      <c r="B678" t="s">
        <v>1425</v>
      </c>
      <c r="G678" s="1372"/>
      <c r="H678" s="1372"/>
      <c r="I678" s="1372"/>
      <c r="J678" s="1372"/>
      <c r="K678" s="1372"/>
      <c r="L678" s="1372"/>
      <c r="M678" s="1372"/>
      <c r="N678" s="1372"/>
      <c r="O678" s="1372"/>
      <c r="P678" s="1372"/>
      <c r="Q678" s="1372"/>
      <c r="R678" s="1372"/>
      <c r="T678" s="19"/>
      <c r="U678" t="s">
        <v>1425</v>
      </c>
      <c r="Z678" s="1341"/>
      <c r="AA678" s="1341"/>
      <c r="AB678" s="1341"/>
      <c r="AC678" s="1341"/>
      <c r="AD678" s="1341"/>
      <c r="AE678" s="1341"/>
      <c r="AF678" s="1341"/>
      <c r="AG678" s="1341"/>
      <c r="AH678" s="1341"/>
      <c r="AI678" s="1341"/>
      <c r="AJ678" s="1341"/>
      <c r="AK678" s="134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39">
        <f>SUMIF(DX643:EB677,"&gt;0")</f>
        <v>1934</v>
      </c>
      <c r="DY678" s="1339"/>
      <c r="DZ678" s="1339"/>
      <c r="EA678" s="1339"/>
      <c r="EB678" s="1339"/>
      <c r="EC678" s="1339">
        <f>SUMIF(EC643:EG677,"&gt;0")</f>
        <v>1541.8125</v>
      </c>
      <c r="ED678" s="1339"/>
      <c r="EE678" s="1339"/>
      <c r="EF678" s="1339"/>
      <c r="EG678" s="1339"/>
      <c r="EH678" s="1339">
        <f>SUMIF(EH643:EL677,"&gt;0")</f>
        <v>1460.8909090909092</v>
      </c>
      <c r="EI678" s="1339"/>
      <c r="EJ678" s="1339"/>
      <c r="EK678" s="1339"/>
      <c r="EL678" s="1339"/>
      <c r="EM678" s="1339">
        <f>SUMIF(EM643:EQ677,"&gt;0")</f>
        <v>2342</v>
      </c>
      <c r="EN678" s="1339"/>
      <c r="EO678" s="1339"/>
      <c r="EP678" s="1339"/>
      <c r="EQ678" s="1339"/>
      <c r="ER678" s="1339">
        <f>SUMIF(ER643:EV677,"&gt;0")</f>
        <v>0</v>
      </c>
      <c r="ES678" s="1339"/>
      <c r="ET678" s="1339"/>
      <c r="EU678" s="1339"/>
      <c r="EV678" s="1339"/>
      <c r="EW678" s="1339">
        <f>SUMIF(EW643:FA677,"&gt;0")</f>
        <v>0</v>
      </c>
      <c r="EX678" s="1339"/>
      <c r="EY678" s="1339"/>
      <c r="EZ678" s="1339"/>
      <c r="FA678" s="1339"/>
    </row>
    <row r="679" spans="1:157" ht="12.9" customHeight="1">
      <c r="A679" s="19"/>
      <c r="B679" t="s">
        <v>834</v>
      </c>
      <c r="G679" s="1449"/>
      <c r="H679" s="1449"/>
      <c r="I679" s="1449"/>
      <c r="J679" s="1449"/>
      <c r="K679" s="1449"/>
      <c r="L679" s="1449"/>
      <c r="O679" s="918" t="s">
        <v>1083</v>
      </c>
      <c r="P679" s="1433"/>
      <c r="Q679" s="1433"/>
      <c r="R679" s="1433"/>
      <c r="T679" s="19"/>
      <c r="U679" t="s">
        <v>834</v>
      </c>
      <c r="Z679" s="1449"/>
      <c r="AA679" s="1449"/>
      <c r="AB679" s="1449"/>
      <c r="AC679" s="1449"/>
      <c r="AD679" s="1449"/>
      <c r="AE679" s="1449"/>
      <c r="AH679" s="918" t="s">
        <v>1083</v>
      </c>
      <c r="AI679" s="1433"/>
      <c r="AJ679" s="1433"/>
      <c r="AK679" s="143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19"/>
      <c r="B680" t="s">
        <v>1428</v>
      </c>
      <c r="H680" s="1372"/>
      <c r="I680" s="1372"/>
      <c r="J680" s="1372"/>
      <c r="K680" s="1372"/>
      <c r="L680" s="1372"/>
      <c r="M680" s="1372"/>
      <c r="N680" s="1372"/>
      <c r="O680" s="1372"/>
      <c r="P680" s="1372"/>
      <c r="Q680" s="1372"/>
      <c r="R680" s="1372"/>
      <c r="T680" s="19"/>
      <c r="U680" t="s">
        <v>1428</v>
      </c>
      <c r="AA680" s="1372"/>
      <c r="AB680" s="1372"/>
      <c r="AC680" s="1372"/>
      <c r="AD680" s="1372"/>
      <c r="AE680" s="1372"/>
      <c r="AF680" s="1372"/>
      <c r="AG680" s="1372"/>
      <c r="AH680" s="1372"/>
      <c r="AI680" s="1372"/>
      <c r="AJ680" s="1372"/>
      <c r="AK680" s="137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19"/>
      <c r="B681" t="s">
        <v>1433</v>
      </c>
      <c r="N681" s="1380" t="s">
        <v>698</v>
      </c>
      <c r="O681" s="1380"/>
      <c r="T681" s="19"/>
      <c r="U681" t="s">
        <v>1433</v>
      </c>
      <c r="AG681" s="1380" t="s">
        <v>698</v>
      </c>
      <c r="AH681" s="1380"/>
      <c r="AZ681" s="3"/>
    </row>
    <row r="682" spans="1:157" ht="12.9" customHeight="1">
      <c r="A682" s="19"/>
      <c r="T682" s="19"/>
      <c r="AZ682" s="3"/>
    </row>
    <row r="683" spans="1:157" ht="12.9" customHeight="1">
      <c r="A683" s="47" t="s">
        <v>1417</v>
      </c>
      <c r="B683" t="s">
        <v>1422</v>
      </c>
      <c r="G683" s="1445">
        <f>C643</f>
        <v>0</v>
      </c>
      <c r="H683" s="1445"/>
      <c r="I683" s="1445"/>
      <c r="J683" s="1445"/>
      <c r="K683" s="1445"/>
      <c r="L683" s="1445"/>
      <c r="M683" s="1445"/>
      <c r="N683" s="1445"/>
      <c r="O683" s="1445"/>
      <c r="P683" s="1445"/>
      <c r="Q683" s="1445"/>
      <c r="R683" s="1445"/>
      <c r="T683" s="47" t="s">
        <v>1418</v>
      </c>
      <c r="U683" t="s">
        <v>1422</v>
      </c>
      <c r="Z683" s="1445">
        <f>C644</f>
        <v>0</v>
      </c>
      <c r="AA683" s="1445"/>
      <c r="AB683" s="1445"/>
      <c r="AC683" s="1445"/>
      <c r="AD683" s="1445"/>
      <c r="AE683" s="1445"/>
      <c r="AF683" s="1445"/>
      <c r="AG683" s="1445"/>
      <c r="AH683" s="1445"/>
      <c r="AI683" s="1445"/>
      <c r="AJ683" s="1445"/>
      <c r="AK683" s="1445"/>
      <c r="AZ683" s="3"/>
    </row>
    <row r="684" spans="1:157" ht="12.9" customHeight="1">
      <c r="A684" s="19"/>
      <c r="B684" t="s">
        <v>1074</v>
      </c>
      <c r="G684" s="1372"/>
      <c r="H684" s="1372"/>
      <c r="I684" s="1372"/>
      <c r="J684" s="1372"/>
      <c r="K684" s="1372"/>
      <c r="L684" s="1372"/>
      <c r="M684" s="1372"/>
      <c r="N684" s="1372"/>
      <c r="O684" s="1372"/>
      <c r="P684" s="1372"/>
      <c r="Q684" s="1372"/>
      <c r="R684" s="1372"/>
      <c r="T684" s="19"/>
      <c r="U684" t="s">
        <v>1074</v>
      </c>
      <c r="Z684" s="1372"/>
      <c r="AA684" s="1372"/>
      <c r="AB684" s="1372"/>
      <c r="AC684" s="1372"/>
      <c r="AD684" s="1372"/>
      <c r="AE684" s="1372"/>
      <c r="AF684" s="1372"/>
      <c r="AG684" s="1372"/>
      <c r="AH684" s="1372"/>
      <c r="AI684" s="1372"/>
      <c r="AJ684" s="1372"/>
      <c r="AK684" s="1372"/>
      <c r="AZ684" s="3"/>
    </row>
    <row r="685" spans="1:157" ht="12.9" customHeight="1">
      <c r="A685" s="19"/>
      <c r="B685" t="s">
        <v>941</v>
      </c>
      <c r="G685" s="1372"/>
      <c r="H685" s="1372"/>
      <c r="I685" s="1372"/>
      <c r="J685" s="1372"/>
      <c r="K685" s="1372"/>
      <c r="L685" s="1372"/>
      <c r="M685" s="1372"/>
      <c r="N685" s="1372"/>
      <c r="O685" s="1372"/>
      <c r="P685" s="1372"/>
      <c r="Q685" s="1372"/>
      <c r="R685" s="1372"/>
      <c r="T685" s="19"/>
      <c r="U685" t="s">
        <v>941</v>
      </c>
      <c r="Z685" s="1341"/>
      <c r="AA685" s="1341"/>
      <c r="AB685" s="1341"/>
      <c r="AC685" s="1341"/>
      <c r="AD685" s="1341"/>
      <c r="AE685" s="1341"/>
      <c r="AF685" s="1341"/>
      <c r="AG685" s="1341"/>
      <c r="AH685" s="1341"/>
      <c r="AI685" s="1341"/>
      <c r="AJ685" s="1341"/>
      <c r="AK685" s="1341"/>
      <c r="AZ685" s="3"/>
    </row>
    <row r="686" spans="1:157" ht="12.9" customHeight="1">
      <c r="A686" s="19"/>
      <c r="B686" t="s">
        <v>1425</v>
      </c>
      <c r="G686" s="1372"/>
      <c r="H686" s="1372"/>
      <c r="I686" s="1372"/>
      <c r="J686" s="1372"/>
      <c r="K686" s="1372"/>
      <c r="L686" s="1372"/>
      <c r="M686" s="1372"/>
      <c r="N686" s="1372"/>
      <c r="O686" s="1372"/>
      <c r="P686" s="1372"/>
      <c r="Q686" s="1372"/>
      <c r="R686" s="1372"/>
      <c r="T686" s="19"/>
      <c r="U686" t="s">
        <v>1425</v>
      </c>
      <c r="Z686" s="1341"/>
      <c r="AA686" s="1341"/>
      <c r="AB686" s="1341"/>
      <c r="AC686" s="1341"/>
      <c r="AD686" s="1341"/>
      <c r="AE686" s="1341"/>
      <c r="AF686" s="1341"/>
      <c r="AG686" s="1341"/>
      <c r="AH686" s="1341"/>
      <c r="AI686" s="1341"/>
      <c r="AJ686" s="1341"/>
      <c r="AK686" s="1341"/>
      <c r="AZ686" s="3"/>
    </row>
    <row r="687" spans="1:157" ht="12.9" customHeight="1">
      <c r="A687" s="19"/>
      <c r="B687" t="s">
        <v>834</v>
      </c>
      <c r="G687" s="1449"/>
      <c r="H687" s="1449"/>
      <c r="I687" s="1449"/>
      <c r="J687" s="1449"/>
      <c r="K687" s="1449"/>
      <c r="L687" s="1449"/>
      <c r="O687" s="918" t="s">
        <v>1083</v>
      </c>
      <c r="P687" s="1433"/>
      <c r="Q687" s="1433"/>
      <c r="R687" s="1433"/>
      <c r="T687" s="19"/>
      <c r="U687" t="s">
        <v>834</v>
      </c>
      <c r="Z687" s="1449"/>
      <c r="AA687" s="1449"/>
      <c r="AB687" s="1449"/>
      <c r="AC687" s="1449"/>
      <c r="AD687" s="1449"/>
      <c r="AE687" s="1449"/>
      <c r="AH687" s="918" t="s">
        <v>1083</v>
      </c>
      <c r="AI687" s="1433"/>
      <c r="AJ687" s="1433"/>
      <c r="AK687" s="1433"/>
      <c r="AZ687" s="3"/>
    </row>
    <row r="688" spans="1:157" ht="12.9" customHeight="1">
      <c r="A688" s="19"/>
      <c r="B688" t="s">
        <v>1428</v>
      </c>
      <c r="H688" s="1372"/>
      <c r="I688" s="1372"/>
      <c r="J688" s="1372"/>
      <c r="K688" s="1372"/>
      <c r="L688" s="1372"/>
      <c r="M688" s="1372"/>
      <c r="N688" s="1372"/>
      <c r="O688" s="1372"/>
      <c r="P688" s="1372"/>
      <c r="Q688" s="1372"/>
      <c r="R688" s="1372"/>
      <c r="T688" s="19"/>
      <c r="U688" t="s">
        <v>1428</v>
      </c>
      <c r="AA688" s="1372"/>
      <c r="AB688" s="1372"/>
      <c r="AC688" s="1372"/>
      <c r="AD688" s="1372"/>
      <c r="AE688" s="1372"/>
      <c r="AF688" s="1372"/>
      <c r="AG688" s="1372"/>
      <c r="AH688" s="1372"/>
      <c r="AI688" s="1372"/>
      <c r="AJ688" s="1372"/>
      <c r="AK688" s="1372"/>
      <c r="AZ688" s="3"/>
    </row>
    <row r="689" spans="1:52" ht="12.9" customHeight="1">
      <c r="A689" s="19"/>
      <c r="B689" t="s">
        <v>1433</v>
      </c>
      <c r="N689" s="1380" t="s">
        <v>698</v>
      </c>
      <c r="O689" s="1380"/>
      <c r="T689" s="19"/>
      <c r="U689" t="s">
        <v>1433</v>
      </c>
      <c r="AG689" s="1380" t="s">
        <v>698</v>
      </c>
      <c r="AH689" s="1380"/>
      <c r="AZ689" s="3"/>
    </row>
    <row r="690" spans="1:52" ht="12.9" customHeight="1">
      <c r="A690" s="19"/>
      <c r="T690" s="19"/>
      <c r="AZ690" s="3"/>
    </row>
    <row r="691" spans="1:52" ht="12.9" customHeight="1">
      <c r="A691" s="47" t="s">
        <v>1419</v>
      </c>
      <c r="B691" t="s">
        <v>1422</v>
      </c>
      <c r="G691" s="1445">
        <f>C645</f>
        <v>0</v>
      </c>
      <c r="H691" s="1445"/>
      <c r="I691" s="1445"/>
      <c r="J691" s="1445"/>
      <c r="K691" s="1445"/>
      <c r="L691" s="1445"/>
      <c r="M691" s="1445"/>
      <c r="N691" s="1445"/>
      <c r="O691" s="1445"/>
      <c r="P691" s="1445"/>
      <c r="Q691" s="1445"/>
      <c r="R691" s="1445"/>
      <c r="T691" s="47" t="s">
        <v>1420</v>
      </c>
      <c r="U691" t="s">
        <v>1422</v>
      </c>
      <c r="Z691" s="1445">
        <f>C646</f>
        <v>0</v>
      </c>
      <c r="AA691" s="1445"/>
      <c r="AB691" s="1445"/>
      <c r="AC691" s="1445"/>
      <c r="AD691" s="1445"/>
      <c r="AE691" s="1445"/>
      <c r="AF691" s="1445"/>
      <c r="AG691" s="1445"/>
      <c r="AH691" s="1445"/>
      <c r="AI691" s="1445"/>
      <c r="AJ691" s="1445"/>
      <c r="AK691" s="1445"/>
      <c r="AZ691" s="3"/>
    </row>
    <row r="692" spans="1:52" ht="12.9" customHeight="1">
      <c r="B692" t="s">
        <v>1074</v>
      </c>
      <c r="G692" s="1372"/>
      <c r="H692" s="1372"/>
      <c r="I692" s="1372"/>
      <c r="J692" s="1372"/>
      <c r="K692" s="1372"/>
      <c r="L692" s="1372"/>
      <c r="M692" s="1372"/>
      <c r="N692" s="1372"/>
      <c r="O692" s="1372"/>
      <c r="P692" s="1372"/>
      <c r="Q692" s="1372"/>
      <c r="R692" s="1372"/>
      <c r="T692" s="19"/>
      <c r="U692" t="s">
        <v>1074</v>
      </c>
      <c r="Z692" s="1372"/>
      <c r="AA692" s="1372"/>
      <c r="AB692" s="1372"/>
      <c r="AC692" s="1372"/>
      <c r="AD692" s="1372"/>
      <c r="AE692" s="1372"/>
      <c r="AF692" s="1372"/>
      <c r="AG692" s="1372"/>
      <c r="AH692" s="1372"/>
      <c r="AI692" s="1372"/>
      <c r="AJ692" s="1372"/>
      <c r="AK692" s="1372"/>
      <c r="AZ692" s="3"/>
    </row>
    <row r="693" spans="1:52" ht="12.9" customHeight="1">
      <c r="B693" t="s">
        <v>941</v>
      </c>
      <c r="G693" s="1372"/>
      <c r="H693" s="1372"/>
      <c r="I693" s="1372"/>
      <c r="J693" s="1372"/>
      <c r="K693" s="1372"/>
      <c r="L693" s="1372"/>
      <c r="M693" s="1372"/>
      <c r="N693" s="1372"/>
      <c r="O693" s="1372"/>
      <c r="P693" s="1372"/>
      <c r="Q693" s="1372"/>
      <c r="R693" s="1372"/>
      <c r="U693" t="s">
        <v>941</v>
      </c>
      <c r="Z693" s="1341"/>
      <c r="AA693" s="1341"/>
      <c r="AB693" s="1341"/>
      <c r="AC693" s="1341"/>
      <c r="AD693" s="1341"/>
      <c r="AE693" s="1341"/>
      <c r="AF693" s="1341"/>
      <c r="AG693" s="1341"/>
      <c r="AH693" s="1341"/>
      <c r="AI693" s="1341"/>
      <c r="AJ693" s="1341"/>
      <c r="AK693" s="1341"/>
      <c r="AZ693" s="3"/>
    </row>
    <row r="694" spans="1:52" ht="12.9" customHeight="1">
      <c r="B694" t="s">
        <v>1425</v>
      </c>
      <c r="G694" s="1372"/>
      <c r="H694" s="1372"/>
      <c r="I694" s="1372"/>
      <c r="J694" s="1372"/>
      <c r="K694" s="1372"/>
      <c r="L694" s="1372"/>
      <c r="M694" s="1372"/>
      <c r="N694" s="1372"/>
      <c r="O694" s="1372"/>
      <c r="P694" s="1372"/>
      <c r="Q694" s="1372"/>
      <c r="R694" s="1372"/>
      <c r="U694" t="s">
        <v>1425</v>
      </c>
      <c r="Z694" s="1341"/>
      <c r="AA694" s="1341"/>
      <c r="AB694" s="1341"/>
      <c r="AC694" s="1341"/>
      <c r="AD694" s="1341"/>
      <c r="AE694" s="1341"/>
      <c r="AF694" s="1341"/>
      <c r="AG694" s="1341"/>
      <c r="AH694" s="1341"/>
      <c r="AI694" s="1341"/>
      <c r="AJ694" s="1341"/>
      <c r="AK694" s="1341"/>
      <c r="AZ694" s="3"/>
    </row>
    <row r="695" spans="1:52" ht="12.9" customHeight="1">
      <c r="B695" t="s">
        <v>834</v>
      </c>
      <c r="G695" s="1449"/>
      <c r="H695" s="1449"/>
      <c r="I695" s="1449"/>
      <c r="J695" s="1449"/>
      <c r="K695" s="1449"/>
      <c r="L695" s="1449"/>
      <c r="O695" s="918" t="s">
        <v>1083</v>
      </c>
      <c r="P695" s="1433"/>
      <c r="Q695" s="1433"/>
      <c r="R695" s="1433"/>
      <c r="U695" t="s">
        <v>834</v>
      </c>
      <c r="Z695" s="1449"/>
      <c r="AA695" s="1449"/>
      <c r="AB695" s="1449"/>
      <c r="AC695" s="1449"/>
      <c r="AD695" s="1449"/>
      <c r="AE695" s="1449"/>
      <c r="AH695" s="918" t="s">
        <v>1083</v>
      </c>
      <c r="AI695" s="1433"/>
      <c r="AJ695" s="1433"/>
      <c r="AK695" s="1433"/>
      <c r="AZ695" s="3"/>
    </row>
    <row r="696" spans="1:52" ht="12.9" customHeight="1">
      <c r="B696" t="s">
        <v>1428</v>
      </c>
      <c r="H696" s="1372"/>
      <c r="I696" s="1372"/>
      <c r="J696" s="1372"/>
      <c r="K696" s="1372"/>
      <c r="L696" s="1372"/>
      <c r="M696" s="1372"/>
      <c r="N696" s="1372"/>
      <c r="O696" s="1372"/>
      <c r="P696" s="1372"/>
      <c r="Q696" s="1372"/>
      <c r="R696" s="1372"/>
      <c r="U696" t="s">
        <v>1428</v>
      </c>
      <c r="AA696" s="1372"/>
      <c r="AB696" s="1372"/>
      <c r="AC696" s="1372"/>
      <c r="AD696" s="1372"/>
      <c r="AE696" s="1372"/>
      <c r="AF696" s="1372"/>
      <c r="AG696" s="1372"/>
      <c r="AH696" s="1372"/>
      <c r="AI696" s="1372"/>
      <c r="AJ696" s="1372"/>
      <c r="AK696" s="1372"/>
      <c r="AZ696" s="3"/>
    </row>
    <row r="697" spans="1:52" ht="12.9" customHeight="1">
      <c r="B697" t="s">
        <v>1433</v>
      </c>
      <c r="N697" s="1380" t="s">
        <v>698</v>
      </c>
      <c r="O697" s="1380"/>
      <c r="U697" t="s">
        <v>1433</v>
      </c>
      <c r="AG697" s="1380" t="s">
        <v>698</v>
      </c>
      <c r="AH697" s="1380"/>
      <c r="AZ697" s="3"/>
    </row>
    <row r="698" spans="1:52" ht="12.9" customHeight="1">
      <c r="AZ698" s="3"/>
    </row>
    <row r="699" spans="1:52" ht="12.9" customHeight="1">
      <c r="A699" s="2" t="s">
        <v>922</v>
      </c>
      <c r="C699" s="2" t="s">
        <v>179</v>
      </c>
      <c r="E699" s="95"/>
      <c r="F699" s="95"/>
      <c r="G699" s="95"/>
      <c r="H699" s="95"/>
      <c r="AZ699" s="3"/>
    </row>
    <row r="700" spans="1:52" ht="12.9" customHeight="1">
      <c r="B700" s="99"/>
      <c r="C700" s="99"/>
      <c r="D700" s="921" t="s">
        <v>1455</v>
      </c>
      <c r="E700" s="99"/>
      <c r="F700" s="99"/>
      <c r="G700" s="99"/>
      <c r="H700" s="99"/>
      <c r="AZ700" s="3"/>
    </row>
    <row r="701" spans="1:52" ht="12.9" customHeight="1">
      <c r="B701" s="99"/>
      <c r="C701" s="99"/>
      <c r="E701" s="921" t="s">
        <v>1456</v>
      </c>
      <c r="F701" s="99"/>
      <c r="G701" s="99"/>
      <c r="H701" s="99"/>
      <c r="AE701" s="1380" t="s">
        <v>856</v>
      </c>
      <c r="AF701" s="1380"/>
      <c r="AZ701" s="3"/>
    </row>
    <row r="702" spans="1:52" ht="12.9" customHeight="1">
      <c r="B702" s="99"/>
      <c r="C702" s="99"/>
      <c r="D702" s="921" t="s">
        <v>1457</v>
      </c>
      <c r="E702" s="99"/>
      <c r="F702" s="99"/>
      <c r="G702" s="99"/>
      <c r="H702" s="99"/>
      <c r="AE702" s="1380" t="s">
        <v>856</v>
      </c>
      <c r="AF702" s="1380"/>
      <c r="AZ702" s="3"/>
    </row>
    <row r="703" spans="1:52" ht="12.9" customHeight="1">
      <c r="B703" s="99"/>
      <c r="C703" s="99"/>
      <c r="D703" s="921" t="s">
        <v>1458</v>
      </c>
      <c r="E703" s="99"/>
      <c r="F703" s="99"/>
      <c r="G703" s="99"/>
      <c r="H703" s="99"/>
      <c r="AE703" s="1466">
        <v>46056</v>
      </c>
      <c r="AF703" s="1466"/>
      <c r="AG703" s="1466"/>
      <c r="AH703" s="1466"/>
      <c r="AI703" s="1466"/>
    </row>
    <row r="704" spans="1:52" ht="12.9" customHeight="1">
      <c r="B704" s="99"/>
      <c r="C704" s="99"/>
      <c r="D704" s="223" t="s">
        <v>1459</v>
      </c>
      <c r="E704" s="99"/>
      <c r="F704" s="99"/>
      <c r="G704" s="99"/>
      <c r="H704" s="99"/>
      <c r="AE704" s="1618">
        <v>46154</v>
      </c>
      <c r="AF704" s="1618"/>
      <c r="AG704" s="1618"/>
      <c r="AH704" s="1618"/>
      <c r="AI704" s="1618"/>
    </row>
    <row r="705" spans="1:110" ht="12.9" customHeight="1">
      <c r="B705" s="99"/>
      <c r="C705" s="99"/>
    </row>
    <row r="706" spans="1:110" ht="12.9" customHeight="1">
      <c r="B706" s="99"/>
      <c r="C706" s="99"/>
      <c r="D706" s="921" t="s">
        <v>1460</v>
      </c>
      <c r="E706" s="99"/>
      <c r="F706" s="99"/>
      <c r="G706" s="99"/>
      <c r="H706" s="99"/>
      <c r="AE706" s="1466">
        <v>46266</v>
      </c>
      <c r="AF706" s="1466"/>
      <c r="AG706" s="1466"/>
      <c r="AH706" s="1466"/>
      <c r="AI706" s="1466"/>
    </row>
    <row r="707" spans="1:110" ht="12.9" customHeight="1">
      <c r="B707" s="99"/>
      <c r="C707" s="99"/>
      <c r="D707" s="921" t="s">
        <v>1461</v>
      </c>
      <c r="E707" s="99"/>
      <c r="F707" s="99"/>
      <c r="G707" s="99"/>
      <c r="H707" s="99"/>
      <c r="AE707" s="1780">
        <v>0.28239999999999998</v>
      </c>
      <c r="AF707" s="1780"/>
      <c r="AG707" s="1780"/>
      <c r="AH707" s="1780"/>
      <c r="AI707" s="1780"/>
    </row>
    <row r="708" spans="1:110" ht="12.9" customHeight="1">
      <c r="B708" s="99"/>
      <c r="C708" s="99"/>
      <c r="D708" s="921" t="s">
        <v>1462</v>
      </c>
      <c r="E708" s="99"/>
      <c r="F708" s="99"/>
      <c r="G708" s="99"/>
      <c r="H708" s="99"/>
      <c r="W708" s="1445" t="str">
        <f>H344</f>
        <v>City and County of San Francisco</v>
      </c>
      <c r="X708" s="1445"/>
      <c r="Y708" s="1445"/>
      <c r="Z708" s="1445"/>
      <c r="AA708" s="1445"/>
      <c r="AB708" s="1445"/>
      <c r="AC708" s="1445"/>
      <c r="AD708" s="1445"/>
      <c r="AE708" s="1445"/>
      <c r="AF708" s="1445"/>
      <c r="AG708" s="1445"/>
      <c r="AH708" s="1445"/>
      <c r="AI708" s="1445"/>
      <c r="AJ708" s="1445"/>
      <c r="AK708" s="1445"/>
    </row>
    <row r="709" spans="1:110" ht="12.9" customHeight="1">
      <c r="B709" s="99"/>
      <c r="C709" s="99"/>
      <c r="D709" s="921"/>
      <c r="E709" s="99"/>
      <c r="F709" s="99"/>
      <c r="G709" s="99"/>
      <c r="H709" s="99"/>
    </row>
    <row r="710" spans="1:110" ht="12.9" customHeight="1">
      <c r="B710" s="99"/>
      <c r="C710" s="99"/>
      <c r="D710" s="921" t="s">
        <v>1463</v>
      </c>
      <c r="E710" s="99"/>
      <c r="F710" s="99"/>
      <c r="G710" s="99"/>
      <c r="H710" s="99"/>
      <c r="AE710" s="1380" t="s">
        <v>698</v>
      </c>
      <c r="AF710" s="1380"/>
    </row>
    <row r="711" spans="1:110" ht="12.9" customHeight="1">
      <c r="B711" s="99"/>
      <c r="C711" s="99"/>
      <c r="D711" s="921" t="s">
        <v>1464</v>
      </c>
      <c r="E711" s="99"/>
      <c r="F711" s="99"/>
      <c r="G711" s="99"/>
      <c r="H711" s="99"/>
      <c r="W711" s="1372" t="s">
        <v>820</v>
      </c>
      <c r="X711" s="1372"/>
      <c r="Y711" s="1372"/>
      <c r="Z711" s="1372"/>
      <c r="AA711" s="1372"/>
      <c r="AB711" s="1372"/>
      <c r="AC711" s="1372"/>
      <c r="AD711" s="1372"/>
      <c r="AE711" s="1372"/>
      <c r="AF711" s="1372"/>
      <c r="AG711" s="1372"/>
      <c r="AH711" s="1372"/>
      <c r="AI711" s="1372"/>
      <c r="AJ711" s="1372"/>
      <c r="AK711" s="1372"/>
    </row>
    <row r="712" spans="1:110" ht="12.9" customHeight="1">
      <c r="B712" s="99"/>
      <c r="C712" s="99"/>
      <c r="D712" s="921" t="s">
        <v>1079</v>
      </c>
      <c r="E712" s="99"/>
      <c r="F712" s="99"/>
      <c r="G712" s="99"/>
      <c r="H712" s="99"/>
      <c r="J712" s="1372"/>
      <c r="K712" s="1372"/>
      <c r="L712" s="1372"/>
      <c r="M712" s="1372"/>
      <c r="N712" s="1372"/>
      <c r="O712" s="1372"/>
      <c r="P712" s="1372"/>
      <c r="Q712" s="1372"/>
      <c r="R712" s="1372"/>
      <c r="S712" s="1372"/>
      <c r="T712" s="1372"/>
      <c r="U712" s="1372"/>
      <c r="V712" s="1372"/>
      <c r="W712" s="1372"/>
      <c r="X712" s="1372"/>
      <c r="BB712" s="3"/>
      <c r="BC712" s="3"/>
      <c r="BD712" s="3"/>
      <c r="BE712" s="3"/>
      <c r="BF712" s="3"/>
      <c r="BJ712" s="3"/>
      <c r="BK712" s="3"/>
      <c r="BL712" s="3"/>
      <c r="BM712" s="3"/>
      <c r="BN712" s="3"/>
      <c r="BO712" s="3"/>
    </row>
    <row r="713" spans="1:110" ht="12.9" customHeight="1">
      <c r="B713" s="99"/>
      <c r="C713" s="99"/>
      <c r="D713" s="921" t="s">
        <v>1081</v>
      </c>
      <c r="J713" s="1449"/>
      <c r="K713" s="1449"/>
      <c r="L713" s="1449"/>
      <c r="M713" s="1449"/>
      <c r="N713" s="1449"/>
      <c r="O713" s="1449"/>
      <c r="P713" s="3" t="s">
        <v>1083</v>
      </c>
      <c r="Q713" s="3"/>
      <c r="R713" s="1433"/>
      <c r="S713" s="1433"/>
      <c r="T713" s="143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99"/>
      <c r="C714" s="99"/>
      <c r="D714" s="921" t="s">
        <v>1465</v>
      </c>
      <c r="W714" s="1372" t="s">
        <v>311</v>
      </c>
      <c r="X714" s="1372"/>
      <c r="Y714" s="1372"/>
      <c r="Z714" s="1372"/>
      <c r="AA714" s="1372"/>
      <c r="AB714" s="1372"/>
      <c r="AC714" s="1372"/>
      <c r="AD714" s="1372"/>
      <c r="AE714" s="1372"/>
      <c r="AF714" s="1372"/>
      <c r="AG714" s="1372"/>
      <c r="AH714" s="1372"/>
      <c r="AI714" s="1372"/>
      <c r="AJ714" s="1372"/>
      <c r="AK714" s="137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99"/>
      <c r="C715" s="99"/>
      <c r="D715" s="921"/>
      <c r="E715" s="1372" t="s">
        <v>1354</v>
      </c>
      <c r="F715" s="1372"/>
      <c r="G715" s="1372"/>
      <c r="H715" s="1372"/>
      <c r="I715" s="1372"/>
      <c r="J715" s="1372"/>
      <c r="K715" s="1372"/>
      <c r="L715" s="1372"/>
      <c r="M715" s="1372"/>
      <c r="N715" s="1372"/>
      <c r="O715" s="1372"/>
      <c r="P715" s="1372"/>
      <c r="Q715" s="1372"/>
      <c r="R715" s="1372"/>
      <c r="S715" s="1372"/>
      <c r="T715" s="1372"/>
      <c r="U715" s="1372"/>
      <c r="V715" s="1372"/>
      <c r="W715" s="1372"/>
      <c r="X715" s="1372"/>
      <c r="Y715" s="1372"/>
      <c r="Z715" s="1372"/>
      <c r="AA715" s="1372"/>
      <c r="AB715" s="1372"/>
      <c r="AC715" s="1372"/>
      <c r="AD715" s="1372"/>
      <c r="AE715" s="1372"/>
      <c r="AF715" s="1372"/>
      <c r="AG715" s="1372"/>
      <c r="AH715" s="1372"/>
      <c r="AI715" s="1372"/>
      <c r="AJ715" s="1372"/>
      <c r="AK715" s="137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38" t="s">
        <v>1466</v>
      </c>
      <c r="B717" s="1238"/>
      <c r="C717" s="1238"/>
      <c r="D717" s="1238"/>
      <c r="E717" s="1238"/>
      <c r="F717" s="1238"/>
      <c r="G717" s="1238"/>
      <c r="H717" s="1238"/>
      <c r="I717" s="1238"/>
      <c r="J717" s="1238"/>
      <c r="K717" s="1238"/>
      <c r="L717" s="1238"/>
      <c r="M717" s="1238"/>
      <c r="N717" s="1238"/>
      <c r="O717" s="1238"/>
      <c r="P717" s="1238"/>
      <c r="Q717" s="1238"/>
      <c r="R717" s="1238"/>
      <c r="S717" s="1238"/>
      <c r="T717" s="1238"/>
      <c r="U717" s="1238"/>
      <c r="V717" s="1238"/>
      <c r="W717" s="1238"/>
      <c r="X717" s="1238"/>
      <c r="Y717" s="1238"/>
      <c r="Z717" s="1238"/>
      <c r="AA717" s="1238"/>
      <c r="AB717" s="1238"/>
      <c r="AC717" s="1238"/>
      <c r="AD717" s="1238"/>
      <c r="AE717" s="1238"/>
      <c r="AF717" s="1238"/>
      <c r="AG717" s="1238"/>
      <c r="AH717" s="1238"/>
      <c r="AI717" s="1238"/>
      <c r="AJ717" s="1238"/>
      <c r="AK717" s="1238"/>
      <c r="AL717" s="1238"/>
      <c r="AM717" s="1238"/>
      <c r="AN717" s="1238"/>
      <c r="AO717" s="1238"/>
      <c r="AP717" s="1238"/>
      <c r="AQ717" s="1238"/>
      <c r="AR717" s="1238"/>
      <c r="AS717" s="1238"/>
      <c r="AT717" s="1238"/>
      <c r="AZ717" s="3" t="s">
        <v>840</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38"/>
      <c r="B718" s="1238"/>
      <c r="C718" s="1238"/>
      <c r="D718" s="1238"/>
      <c r="E718" s="1238"/>
      <c r="F718" s="1238"/>
      <c r="G718" s="1238"/>
      <c r="H718" s="1238"/>
      <c r="I718" s="1238"/>
      <c r="J718" s="1238"/>
      <c r="K718" s="1238"/>
      <c r="L718" s="1238"/>
      <c r="M718" s="1238"/>
      <c r="N718" s="1238"/>
      <c r="O718" s="1238"/>
      <c r="P718" s="1238"/>
      <c r="Q718" s="1238"/>
      <c r="R718" s="1238"/>
      <c r="S718" s="1238"/>
      <c r="T718" s="1238"/>
      <c r="U718" s="1238"/>
      <c r="V718" s="1238"/>
      <c r="W718" s="1238"/>
      <c r="X718" s="1238"/>
      <c r="Y718" s="1238"/>
      <c r="Z718" s="1238"/>
      <c r="AA718" s="1238"/>
      <c r="AB718" s="1238"/>
      <c r="AC718" s="1238"/>
      <c r="AD718" s="1238"/>
      <c r="AE718" s="1238"/>
      <c r="AF718" s="1238"/>
      <c r="AG718" s="1238"/>
      <c r="AH718" s="1238"/>
      <c r="AI718" s="1238"/>
      <c r="AJ718" s="1238"/>
      <c r="AK718" s="1238"/>
      <c r="AL718" s="1238"/>
      <c r="AM718" s="1238"/>
      <c r="AN718" s="1238"/>
      <c r="AO718" s="1238"/>
      <c r="AP718" s="1238"/>
      <c r="AQ718" s="1238"/>
      <c r="AR718" s="1238"/>
      <c r="AS718" s="1238"/>
      <c r="AT718" s="1238"/>
      <c r="AZ718" s="3" t="s">
        <v>841</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38"/>
      <c r="B719" s="1238"/>
      <c r="C719" s="1238"/>
      <c r="D719" s="1238"/>
      <c r="E719" s="1238"/>
      <c r="F719" s="1238"/>
      <c r="G719" s="1238"/>
      <c r="H719" s="1238"/>
      <c r="I719" s="1238"/>
      <c r="J719" s="1238"/>
      <c r="K719" s="1238"/>
      <c r="L719" s="1238"/>
      <c r="M719" s="1238"/>
      <c r="N719" s="1238"/>
      <c r="O719" s="1238"/>
      <c r="P719" s="1238"/>
      <c r="Q719" s="1238"/>
      <c r="R719" s="1238"/>
      <c r="S719" s="1238"/>
      <c r="T719" s="1238"/>
      <c r="U719" s="1238"/>
      <c r="V719" s="1238"/>
      <c r="W719" s="1238"/>
      <c r="X719" s="1238"/>
      <c r="Y719" s="1238"/>
      <c r="Z719" s="1238"/>
      <c r="AA719" s="1238"/>
      <c r="AB719" s="1238"/>
      <c r="AC719" s="1238"/>
      <c r="AD719" s="1238"/>
      <c r="AE719" s="1238"/>
      <c r="AF719" s="1238"/>
      <c r="AG719" s="1238"/>
      <c r="AH719" s="1238"/>
      <c r="AI719" s="1238"/>
      <c r="AJ719" s="1238"/>
      <c r="AK719" s="1238"/>
      <c r="AL719" s="1238"/>
      <c r="AM719" s="1238"/>
      <c r="AN719" s="1238"/>
      <c r="AO719" s="1238"/>
      <c r="AP719" s="1238"/>
      <c r="AQ719" s="1238"/>
      <c r="AR719" s="1238"/>
      <c r="AS719" s="1238"/>
      <c r="AT719" s="1238"/>
      <c r="AZ719" s="3" t="s">
        <v>842</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881</v>
      </c>
      <c r="B720" s="2"/>
      <c r="C720" s="2" t="s">
        <v>1467</v>
      </c>
      <c r="AZ720" s="3" t="s">
        <v>843</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412"/>
      <c r="C721" s="2"/>
      <c r="AZ721" s="3" t="s">
        <v>844</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451" t="s">
        <v>1468</v>
      </c>
      <c r="C722" s="1452"/>
      <c r="D722" s="1452"/>
      <c r="E722" s="1452"/>
      <c r="F722" s="1453"/>
      <c r="G722" s="1451" t="s">
        <v>1469</v>
      </c>
      <c r="H722" s="1452"/>
      <c r="I722" s="1452"/>
      <c r="J722" s="1453"/>
      <c r="K722" s="1473" t="s">
        <v>1470</v>
      </c>
      <c r="L722" s="1474"/>
      <c r="M722" s="1474"/>
      <c r="N722" s="1475"/>
      <c r="O722" s="1451" t="s">
        <v>1471</v>
      </c>
      <c r="P722" s="1452"/>
      <c r="Q722" s="1452"/>
      <c r="R722" s="1452"/>
      <c r="S722" s="1453"/>
      <c r="T722" s="1451" t="s">
        <v>1472</v>
      </c>
      <c r="U722" s="1452"/>
      <c r="V722" s="1452"/>
      <c r="W722" s="1453"/>
      <c r="X722" s="1451" t="s">
        <v>1473</v>
      </c>
      <c r="Y722" s="1452"/>
      <c r="Z722" s="1452"/>
      <c r="AA722" s="1452"/>
      <c r="AB722" s="1453"/>
      <c r="AC722" s="1451" t="s">
        <v>1474</v>
      </c>
      <c r="AD722" s="1452"/>
      <c r="AE722" s="1452"/>
      <c r="AF722" s="1452"/>
      <c r="AG722" s="1453"/>
      <c r="AH722" s="1451" t="s">
        <v>1475</v>
      </c>
      <c r="AI722" s="1452"/>
      <c r="AJ722" s="1453"/>
      <c r="AK722" s="1451" t="s">
        <v>1476</v>
      </c>
      <c r="AL722" s="1452"/>
      <c r="AM722" s="1452"/>
      <c r="AN722" s="1452"/>
      <c r="AO722" s="1453"/>
      <c r="AP722" s="3"/>
      <c r="AQ722" s="3"/>
      <c r="AR722" s="3"/>
      <c r="AS722" s="3"/>
      <c r="AZ722" s="3" t="s">
        <v>845</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454"/>
      <c r="C723" s="1455"/>
      <c r="D723" s="1455"/>
      <c r="E723" s="1455"/>
      <c r="F723" s="1456"/>
      <c r="G723" s="1454"/>
      <c r="H723" s="1455"/>
      <c r="I723" s="1455"/>
      <c r="J723" s="1456"/>
      <c r="K723" s="1476"/>
      <c r="L723" s="1477"/>
      <c r="M723" s="1477"/>
      <c r="N723" s="1478"/>
      <c r="O723" s="1454"/>
      <c r="P723" s="1455"/>
      <c r="Q723" s="1455"/>
      <c r="R723" s="1455"/>
      <c r="S723" s="1456"/>
      <c r="T723" s="1454"/>
      <c r="U723" s="1455"/>
      <c r="V723" s="1455"/>
      <c r="W723" s="1456"/>
      <c r="X723" s="1454"/>
      <c r="Y723" s="1455"/>
      <c r="Z723" s="1455"/>
      <c r="AA723" s="1455"/>
      <c r="AB723" s="1456"/>
      <c r="AC723" s="1454"/>
      <c r="AD723" s="1455"/>
      <c r="AE723" s="1455"/>
      <c r="AF723" s="1455"/>
      <c r="AG723" s="1456"/>
      <c r="AH723" s="1454"/>
      <c r="AI723" s="1455"/>
      <c r="AJ723" s="1456"/>
      <c r="AK723" s="1454"/>
      <c r="AL723" s="1455"/>
      <c r="AM723" s="1455"/>
      <c r="AN723" s="1455"/>
      <c r="AO723" s="145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3"/>
      <c r="B724" s="1454"/>
      <c r="C724" s="1455"/>
      <c r="D724" s="1455"/>
      <c r="E724" s="1455"/>
      <c r="F724" s="1456"/>
      <c r="G724" s="1454"/>
      <c r="H724" s="1455"/>
      <c r="I724" s="1455"/>
      <c r="J724" s="1456"/>
      <c r="K724" s="1476"/>
      <c r="L724" s="1477"/>
      <c r="M724" s="1477"/>
      <c r="N724" s="1478"/>
      <c r="O724" s="1454"/>
      <c r="P724" s="1455"/>
      <c r="Q724" s="1455"/>
      <c r="R724" s="1455"/>
      <c r="S724" s="1456"/>
      <c r="T724" s="1454"/>
      <c r="U724" s="1455"/>
      <c r="V724" s="1455"/>
      <c r="W724" s="1456"/>
      <c r="X724" s="1454"/>
      <c r="Y724" s="1455"/>
      <c r="Z724" s="1455"/>
      <c r="AA724" s="1455"/>
      <c r="AB724" s="1456"/>
      <c r="AC724" s="1454"/>
      <c r="AD724" s="1455"/>
      <c r="AE724" s="1455"/>
      <c r="AF724" s="1455"/>
      <c r="AG724" s="1456"/>
      <c r="AH724" s="1454"/>
      <c r="AI724" s="1455"/>
      <c r="AJ724" s="1456"/>
      <c r="AK724" s="1454"/>
      <c r="AL724" s="1455"/>
      <c r="AM724" s="1455"/>
      <c r="AN724" s="1455"/>
      <c r="AO724" s="1456"/>
      <c r="AP724" s="3"/>
      <c r="AQ724" s="3"/>
      <c r="AR724" s="3"/>
      <c r="AS724" s="3"/>
      <c r="BA724" s="3"/>
      <c r="BB724" s="3"/>
      <c r="BC724" s="3"/>
      <c r="BD724" s="3"/>
      <c r="BE724" s="136"/>
      <c r="BF724" s="137" t="s">
        <v>1477</v>
      </c>
      <c r="BG724" s="136"/>
      <c r="BH724" s="136"/>
      <c r="BI724" s="3"/>
      <c r="BJ724" s="3"/>
      <c r="BK724" s="3"/>
      <c r="BL724" s="3"/>
      <c r="BM724" s="3"/>
      <c r="BN724" s="3"/>
      <c r="BS724" s="137" t="s">
        <v>1478</v>
      </c>
      <c r="BT724" s="136"/>
      <c r="BU724" s="136"/>
      <c r="CC724" s="3"/>
      <c r="CD724" s="3"/>
      <c r="CE724" s="3"/>
      <c r="CF724" s="3"/>
      <c r="CG724" s="3"/>
      <c r="CH724" s="3"/>
      <c r="CI724" s="3"/>
      <c r="CJ724" s="3"/>
      <c r="CK724" s="3"/>
      <c r="CL724" s="3"/>
      <c r="CM724" s="3"/>
      <c r="CN724" s="3"/>
      <c r="CO724" s="3"/>
      <c r="CP724" s="3" t="s">
        <v>1479</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1481</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3"/>
      <c r="B725" s="1457"/>
      <c r="C725" s="1458"/>
      <c r="D725" s="1458"/>
      <c r="E725" s="1458"/>
      <c r="F725" s="1459"/>
      <c r="G725" s="1457"/>
      <c r="H725" s="1458"/>
      <c r="I725" s="1458"/>
      <c r="J725" s="1459"/>
      <c r="K725" s="1476"/>
      <c r="L725" s="1477"/>
      <c r="M725" s="1477"/>
      <c r="N725" s="1478"/>
      <c r="O725" s="1457"/>
      <c r="P725" s="1458"/>
      <c r="Q725" s="1458"/>
      <c r="R725" s="1458"/>
      <c r="S725" s="1459"/>
      <c r="T725" s="1457"/>
      <c r="U725" s="1458"/>
      <c r="V725" s="1458"/>
      <c r="W725" s="1459"/>
      <c r="X725" s="1457"/>
      <c r="Y725" s="1458"/>
      <c r="Z725" s="1458"/>
      <c r="AA725" s="1458"/>
      <c r="AB725" s="1459"/>
      <c r="AC725" s="1457"/>
      <c r="AD725" s="1458"/>
      <c r="AE725" s="1458"/>
      <c r="AF725" s="1458"/>
      <c r="AG725" s="1459"/>
      <c r="AH725" s="1457"/>
      <c r="AI725" s="1458"/>
      <c r="AJ725" s="1459"/>
      <c r="AK725" s="1457"/>
      <c r="AL725" s="1458"/>
      <c r="AM725" s="1458"/>
      <c r="AN725" s="1458"/>
      <c r="AO725" s="1459"/>
      <c r="AP725" s="3"/>
      <c r="AQ725" s="3"/>
      <c r="AR725" s="3"/>
      <c r="AS725" s="3"/>
      <c r="AZ725" s="73" t="s">
        <v>1482</v>
      </c>
      <c r="BA725" s="3"/>
      <c r="BB725" s="3"/>
      <c r="BC725" s="3"/>
      <c r="BD725" s="3"/>
      <c r="BE725" s="136"/>
      <c r="BF725" s="201" t="s">
        <v>1483</v>
      </c>
      <c r="BG725" s="205" t="s">
        <v>1484</v>
      </c>
      <c r="BH725" s="204" t="s">
        <v>1485</v>
      </c>
      <c r="BI725" s="3"/>
      <c r="BJ725" s="3"/>
      <c r="BK725" s="3"/>
      <c r="BL725" s="3"/>
      <c r="BM725" s="3"/>
      <c r="BN725" s="3"/>
      <c r="BS725" s="201" t="s">
        <v>1483</v>
      </c>
      <c r="BT725" s="205" t="s">
        <v>1484</v>
      </c>
      <c r="BU725" s="204" t="s">
        <v>1485</v>
      </c>
      <c r="CC725" s="3"/>
      <c r="CD725" s="3"/>
      <c r="CE725" s="3"/>
      <c r="CF725" s="3"/>
      <c r="CG725" s="87" t="s">
        <v>1486</v>
      </c>
      <c r="CH725" s="88"/>
      <c r="CI725" s="1304"/>
      <c r="CJ725" s="1306"/>
      <c r="CK725" s="87" t="s">
        <v>1487</v>
      </c>
      <c r="CL725" s="88"/>
      <c r="CM725" s="1304"/>
      <c r="CN725" s="1306"/>
      <c r="CO725" s="3"/>
      <c r="CP725" s="1621" t="s">
        <v>846</v>
      </c>
      <c r="CQ725" s="1622"/>
      <c r="CR725" s="1622"/>
      <c r="CS725" s="1622"/>
      <c r="CT725" s="1623"/>
      <c r="CU725" s="1450" t="s">
        <v>841</v>
      </c>
      <c r="CV725" s="1450"/>
      <c r="CW725" s="1450"/>
      <c r="CX725" s="1450"/>
      <c r="CY725" s="1450"/>
      <c r="CZ725" s="1450" t="s">
        <v>842</v>
      </c>
      <c r="DA725" s="1450"/>
      <c r="DB725" s="1450"/>
      <c r="DC725" s="1450"/>
      <c r="DD725" s="1450"/>
      <c r="DE725" s="1450" t="s">
        <v>843</v>
      </c>
      <c r="DF725" s="1450"/>
      <c r="DG725" s="1450"/>
      <c r="DH725" s="1450"/>
      <c r="DI725" s="1450"/>
      <c r="DJ725" s="1450" t="s">
        <v>847</v>
      </c>
      <c r="DK725" s="1450"/>
      <c r="DL725" s="1450"/>
      <c r="DM725" s="1450"/>
      <c r="DN725" s="1450"/>
      <c r="DO725" s="1450" t="s">
        <v>845</v>
      </c>
      <c r="DP725" s="1450"/>
      <c r="DQ725" s="1450"/>
      <c r="DR725" s="1450"/>
      <c r="DS725" s="1450"/>
      <c r="DT725" s="65"/>
      <c r="DU725" s="1450" t="s">
        <v>846</v>
      </c>
      <c r="DV725" s="1450"/>
      <c r="DW725" s="1450"/>
      <c r="DX725" s="1450"/>
      <c r="DY725" s="1450"/>
      <c r="DZ725" s="1450" t="s">
        <v>841</v>
      </c>
      <c r="EA725" s="1450"/>
      <c r="EB725" s="1450"/>
      <c r="EC725" s="1450"/>
      <c r="ED725" s="1450"/>
      <c r="EE725" s="1450" t="s">
        <v>842</v>
      </c>
      <c r="EF725" s="1450"/>
      <c r="EG725" s="1450"/>
      <c r="EH725" s="1450"/>
      <c r="EI725" s="1450"/>
      <c r="EJ725" s="1450" t="s">
        <v>843</v>
      </c>
      <c r="EK725" s="1450"/>
      <c r="EL725" s="1450"/>
      <c r="EM725" s="1450"/>
      <c r="EN725" s="1450"/>
      <c r="EO725" s="1450" t="s">
        <v>847</v>
      </c>
      <c r="EP725" s="1450"/>
      <c r="EQ725" s="1450"/>
      <c r="ER725" s="1450"/>
      <c r="ES725" s="1450"/>
      <c r="ET725" s="1450" t="s">
        <v>845</v>
      </c>
      <c r="EU725" s="1450"/>
      <c r="EV725" s="1450"/>
      <c r="EW725" s="1450"/>
      <c r="EX725" s="1450"/>
      <c r="EY725" s="3"/>
      <c r="EZ725" s="1450" t="s">
        <v>846</v>
      </c>
      <c r="FA725" s="1450"/>
      <c r="FB725" s="1450"/>
      <c r="FC725" s="1450"/>
      <c r="FD725" s="1450"/>
      <c r="FE725" s="1450" t="s">
        <v>841</v>
      </c>
      <c r="FF725" s="1450"/>
      <c r="FG725" s="1450"/>
      <c r="FH725" s="1450"/>
      <c r="FI725" s="1450"/>
      <c r="FJ725" s="1450" t="s">
        <v>842</v>
      </c>
      <c r="FK725" s="1450"/>
      <c r="FL725" s="1450"/>
      <c r="FM725" s="1450"/>
      <c r="FN725" s="1450"/>
      <c r="FO725" s="1450" t="s">
        <v>843</v>
      </c>
      <c r="FP725" s="1450"/>
      <c r="FQ725" s="1450"/>
      <c r="FR725" s="1450"/>
      <c r="FS725" s="1450"/>
      <c r="FT725" s="1450" t="s">
        <v>847</v>
      </c>
      <c r="FU725" s="1450"/>
      <c r="FV725" s="1450"/>
      <c r="FW725" s="1450"/>
      <c r="FX725" s="1450"/>
      <c r="FY725" s="1450" t="s">
        <v>845</v>
      </c>
      <c r="FZ725" s="1450"/>
      <c r="GA725" s="1450"/>
      <c r="GB725" s="1450"/>
      <c r="GC725" s="1450"/>
    </row>
    <row r="726" spans="1:185" ht="12.9" customHeight="1">
      <c r="A726" s="3"/>
      <c r="B726" s="1318" t="s">
        <v>841</v>
      </c>
      <c r="C726" s="1319"/>
      <c r="D726" s="1319"/>
      <c r="E726" s="1319"/>
      <c r="F726" s="1320"/>
      <c r="G726" s="1327">
        <v>9</v>
      </c>
      <c r="H726" s="1328"/>
      <c r="I726" s="1328"/>
      <c r="J726" s="1329"/>
      <c r="K726" s="1460">
        <v>587</v>
      </c>
      <c r="L726" s="1461"/>
      <c r="M726" s="1461"/>
      <c r="N726" s="1462"/>
      <c r="O726" s="1334">
        <v>964</v>
      </c>
      <c r="P726" s="1335"/>
      <c r="Q726" s="1335"/>
      <c r="R726" s="1335"/>
      <c r="S726" s="1336"/>
      <c r="T726" s="1334">
        <v>124</v>
      </c>
      <c r="U726" s="1335"/>
      <c r="V726" s="1335"/>
      <c r="W726" s="1336"/>
      <c r="X726" s="1321">
        <f t="shared" ref="X726:X749" si="10">O726+T726</f>
        <v>1088</v>
      </c>
      <c r="Y726" s="1322"/>
      <c r="Z726" s="1322"/>
      <c r="AA726" s="1322"/>
      <c r="AB726" s="1323"/>
      <c r="AC726" s="1331">
        <v>0.3</v>
      </c>
      <c r="AD726" s="1332"/>
      <c r="AE726" s="1332"/>
      <c r="AF726" s="1332"/>
      <c r="AG726" s="1333"/>
      <c r="AH726" s="1324">
        <f>IF($AC726&gt;0,($X726/$AZ726), "")</f>
        <v>0.30005515719801434</v>
      </c>
      <c r="AI726" s="1325"/>
      <c r="AJ726" s="1326"/>
      <c r="AK726" s="1318" t="s">
        <v>820</v>
      </c>
      <c r="AL726" s="1319"/>
      <c r="AM726" s="1319"/>
      <c r="AN726" s="1319"/>
      <c r="AO726" s="1320"/>
      <c r="AP726" s="3"/>
      <c r="AQ726" s="3"/>
      <c r="AR726" s="3"/>
      <c r="AS726" s="3"/>
      <c r="AZ726" s="84">
        <f t="shared" ref="AZ726:AZ760" si="11">IF($G726=0,"N/A",VLOOKUP($T$189,TC_Rent,(MATCH($B726,bedrooms,FALSE)),FALSE))</f>
        <v>3626</v>
      </c>
      <c r="BA726" s="3"/>
      <c r="BB726" s="3"/>
      <c r="BC726" s="3"/>
      <c r="BD726" s="3"/>
      <c r="BE726" s="136"/>
      <c r="BF726" s="202">
        <f t="shared" ref="BF726:BF760" si="12">G726</f>
        <v>9</v>
      </c>
      <c r="BG726" s="206">
        <f t="shared" ref="BG726:BG760" si="13">IF($BF$761=0,0,BF726/$BF$761)</f>
        <v>0.1</v>
      </c>
      <c r="BH726" s="207">
        <f t="shared" ref="BH726:BH760" si="14">IF(BG726=0,"",BG726*AC726)</f>
        <v>0.03</v>
      </c>
      <c r="BI726" s="3"/>
      <c r="BJ726" s="3"/>
      <c r="BK726" s="3"/>
      <c r="BL726" s="3"/>
      <c r="BM726" s="3"/>
      <c r="BN726" s="3"/>
      <c r="BS726" s="202">
        <f t="shared" ref="BS726:BS760" si="15">G726</f>
        <v>9</v>
      </c>
      <c r="BT726" s="206">
        <f t="shared" ref="BT726:BT760" si="16">IF($BS$761=0,0,BS726/$BS$761)</f>
        <v>0.1</v>
      </c>
      <c r="BU726" s="207">
        <f t="shared" ref="BU726:BU760" si="17">IF(BT726=0,"",BT726*AH726)</f>
        <v>3.0005515719801437E-2</v>
      </c>
      <c r="CC726" s="3"/>
      <c r="CD726" s="3"/>
      <c r="CE726" s="3"/>
      <c r="CF726" s="3"/>
      <c r="CG726" s="1304">
        <f>IF(AND(AC726&lt;=0.5,AC726&gt;=0.36),1,0)</f>
        <v>0</v>
      </c>
      <c r="CH726" s="1306"/>
      <c r="CI726" s="1304">
        <f>IF(CG726=1,G726,0)</f>
        <v>0</v>
      </c>
      <c r="CJ726" s="1306"/>
      <c r="CK726" s="1304">
        <f t="shared" ref="CK726:CK760" si="18">IF(AND(AC726&lt;=0.35,AC726&gt;0),1,0)</f>
        <v>1</v>
      </c>
      <c r="CL726" s="1306"/>
      <c r="CM726" s="1304">
        <f t="shared" ref="CM726:CM760" si="19">IF(CK726=1,G726,0)</f>
        <v>9</v>
      </c>
      <c r="CN726" s="1306"/>
      <c r="CO726" s="3"/>
      <c r="CP726" s="1301">
        <f t="shared" ref="CP726:CP760" si="20">IF(B726="SRO/Studio",G726,0)</f>
        <v>0</v>
      </c>
      <c r="CQ726" s="1302"/>
      <c r="CR726" s="1302"/>
      <c r="CS726" s="1302"/>
      <c r="CT726" s="1303"/>
      <c r="CU726" s="1317">
        <f t="shared" ref="CU726:CU760" si="21">IF(B726="1 Bedroom",G726,0)</f>
        <v>9</v>
      </c>
      <c r="CV726" s="1317"/>
      <c r="CW726" s="1317"/>
      <c r="CX726" s="1317"/>
      <c r="CY726" s="1317"/>
      <c r="CZ726" s="1317">
        <f t="shared" ref="CZ726:CZ760" si="22">IF(B726="2 Bedrooms",G726,0)</f>
        <v>0</v>
      </c>
      <c r="DA726" s="1317"/>
      <c r="DB726" s="1317"/>
      <c r="DC726" s="1317"/>
      <c r="DD726" s="1317"/>
      <c r="DE726" s="1317">
        <f t="shared" ref="DE726:DE760" si="23">IF(B726="3 Bedrooms",G726,0)</f>
        <v>0</v>
      </c>
      <c r="DF726" s="1317"/>
      <c r="DG726" s="1317"/>
      <c r="DH726" s="1317"/>
      <c r="DI726" s="1317"/>
      <c r="DJ726" s="1317">
        <f t="shared" ref="DJ726:DJ760" si="24">IF(B726="4 Bedrooms",G726,0)</f>
        <v>0</v>
      </c>
      <c r="DK726" s="1317"/>
      <c r="DL726" s="1317"/>
      <c r="DM726" s="1317"/>
      <c r="DN726" s="1317"/>
      <c r="DO726" s="1317">
        <f t="shared" ref="DO726:DO760" si="25">IF(B726="5 Bedrooms",G726,0)</f>
        <v>0</v>
      </c>
      <c r="DP726" s="1317"/>
      <c r="DQ726" s="1317"/>
      <c r="DR726" s="1317"/>
      <c r="DS726" s="1317"/>
      <c r="DT726" s="257"/>
      <c r="DU726" s="1338">
        <f t="shared" ref="DU726:DU760" si="26">IF(AND(B726="SRO/Studio",AC726&lt;=0.3),G726,0)</f>
        <v>0</v>
      </c>
      <c r="DV726" s="1338"/>
      <c r="DW726" s="1338"/>
      <c r="DX726" s="1338"/>
      <c r="DY726" s="1338"/>
      <c r="DZ726" s="1338">
        <f t="shared" ref="DZ726:DZ760" si="27">IF(AND(B726="1 Bedroom",AC726&lt;=0.3),G726,0)</f>
        <v>9</v>
      </c>
      <c r="EA726" s="1338"/>
      <c r="EB726" s="1338"/>
      <c r="EC726" s="1338"/>
      <c r="ED726" s="1338"/>
      <c r="EE726" s="1338">
        <f t="shared" ref="EE726:EE760" si="28">IF(AND(B726="2 Bedrooms",AC726&lt;=0.3),G726,0)</f>
        <v>0</v>
      </c>
      <c r="EF726" s="1338"/>
      <c r="EG726" s="1338"/>
      <c r="EH726" s="1338"/>
      <c r="EI726" s="1338"/>
      <c r="EJ726" s="1338">
        <f t="shared" ref="EJ726:EJ760" si="29">IF(AND(B726="3 Bedrooms",AC726&lt;=0.3),G726,0)</f>
        <v>0</v>
      </c>
      <c r="EK726" s="1338"/>
      <c r="EL726" s="1338"/>
      <c r="EM726" s="1338"/>
      <c r="EN726" s="1338"/>
      <c r="EO726" s="1338">
        <f t="shared" ref="EO726:EO760" si="30">IF(AND(B726="4 Bedrooms",AC726&lt;=0.3),G726,0)</f>
        <v>0</v>
      </c>
      <c r="EP726" s="1338"/>
      <c r="EQ726" s="1338"/>
      <c r="ER726" s="1338"/>
      <c r="ES726" s="1338"/>
      <c r="ET726" s="1338">
        <f t="shared" ref="ET726:ET760" si="31">IF(AND(B726="5 Bedrooms",AC726&lt;=0.3),G726,0)</f>
        <v>0</v>
      </c>
      <c r="EU726" s="1338"/>
      <c r="EV726" s="1338"/>
      <c r="EW726" s="1338"/>
      <c r="EX726" s="1338"/>
      <c r="EY726" s="3"/>
      <c r="EZ726" s="1304" t="str">
        <f t="shared" ref="EZ726:EZ760" si="32">IF(CP726&gt;0,O726,"")</f>
        <v/>
      </c>
      <c r="FA726" s="1305"/>
      <c r="FB726" s="1305"/>
      <c r="FC726" s="1305"/>
      <c r="FD726" s="1306"/>
      <c r="FE726" s="1304">
        <f t="shared" ref="FE726:FE760" si="33">IF(CU726&gt;0,O726,"")</f>
        <v>964</v>
      </c>
      <c r="FF726" s="1305"/>
      <c r="FG726" s="1305"/>
      <c r="FH726" s="1305"/>
      <c r="FI726" s="1306"/>
      <c r="FJ726" s="1304" t="str">
        <f t="shared" ref="FJ726:FJ760" si="34">IF(CZ726&gt;0,O726,"")</f>
        <v/>
      </c>
      <c r="FK726" s="1305"/>
      <c r="FL726" s="1305"/>
      <c r="FM726" s="1305"/>
      <c r="FN726" s="1306"/>
      <c r="FO726" s="1304" t="str">
        <f t="shared" ref="FO726:FO760" si="35">IF(DE726&gt;0,O726,"")</f>
        <v/>
      </c>
      <c r="FP726" s="1305"/>
      <c r="FQ726" s="1305"/>
      <c r="FR726" s="1305"/>
      <c r="FS726" s="1306"/>
      <c r="FT726" s="1304" t="str">
        <f t="shared" ref="FT726:FT760" si="36">IF(DJ726&gt;0,O726,"")</f>
        <v/>
      </c>
      <c r="FU726" s="1305"/>
      <c r="FV726" s="1305"/>
      <c r="FW726" s="1305"/>
      <c r="FX726" s="1306"/>
      <c r="FY726" s="1304" t="str">
        <f t="shared" ref="FY726:FY760" si="37">IF(DO726&gt;0,O726,"")</f>
        <v/>
      </c>
      <c r="FZ726" s="1305"/>
      <c r="GA726" s="1305"/>
      <c r="GB726" s="1305"/>
      <c r="GC726" s="1306"/>
    </row>
    <row r="727" spans="1:185" ht="12.9" customHeight="1">
      <c r="A727" s="3"/>
      <c r="B727" s="1318" t="s">
        <v>841</v>
      </c>
      <c r="C727" s="1319"/>
      <c r="D727" s="1319"/>
      <c r="E727" s="1319"/>
      <c r="F727" s="1320"/>
      <c r="G727" s="1327">
        <v>18</v>
      </c>
      <c r="H727" s="1328"/>
      <c r="I727" s="1328"/>
      <c r="J727" s="1329"/>
      <c r="K727" s="1460">
        <v>587</v>
      </c>
      <c r="L727" s="1461"/>
      <c r="M727" s="1461"/>
      <c r="N727" s="1462"/>
      <c r="O727" s="1334">
        <v>1689</v>
      </c>
      <c r="P727" s="1335"/>
      <c r="Q727" s="1335"/>
      <c r="R727" s="1335"/>
      <c r="S727" s="1336"/>
      <c r="T727" s="1334">
        <v>124</v>
      </c>
      <c r="U727" s="1335"/>
      <c r="V727" s="1335"/>
      <c r="W727" s="1336"/>
      <c r="X727" s="1321">
        <f t="shared" si="10"/>
        <v>1813</v>
      </c>
      <c r="Y727" s="1322"/>
      <c r="Z727" s="1322"/>
      <c r="AA727" s="1322"/>
      <c r="AB727" s="1323"/>
      <c r="AC727" s="1331">
        <v>0.5</v>
      </c>
      <c r="AD727" s="1332"/>
      <c r="AE727" s="1332"/>
      <c r="AF727" s="1332"/>
      <c r="AG727" s="1333"/>
      <c r="AH727" s="1324">
        <f t="shared" ref="AH727:AH760" si="38">IF($AC727&gt;0,($X727/$AZ727), "")</f>
        <v>0.5</v>
      </c>
      <c r="AI727" s="1325"/>
      <c r="AJ727" s="1326"/>
      <c r="AK727" s="1318" t="s">
        <v>820</v>
      </c>
      <c r="AL727" s="1319"/>
      <c r="AM727" s="1319"/>
      <c r="AN727" s="1319"/>
      <c r="AO727" s="1320"/>
      <c r="AP727" s="3"/>
      <c r="AQ727" s="3"/>
      <c r="AR727" s="3"/>
      <c r="AS727" s="3"/>
      <c r="AZ727" s="84">
        <f t="shared" si="11"/>
        <v>3626</v>
      </c>
      <c r="BA727" s="3"/>
      <c r="BB727" s="3"/>
      <c r="BC727" s="3"/>
      <c r="BD727" s="3"/>
      <c r="BE727" s="136"/>
      <c r="BF727" s="203">
        <f t="shared" si="12"/>
        <v>18</v>
      </c>
      <c r="BG727" s="206">
        <f t="shared" si="13"/>
        <v>0.2</v>
      </c>
      <c r="BH727" s="207">
        <f t="shared" si="14"/>
        <v>0.1</v>
      </c>
      <c r="BI727" s="3"/>
      <c r="BJ727" s="3"/>
      <c r="BK727" s="3"/>
      <c r="BL727" s="3"/>
      <c r="BM727" s="3"/>
      <c r="BN727" s="3"/>
      <c r="BS727" s="203">
        <f t="shared" si="15"/>
        <v>18</v>
      </c>
      <c r="BT727" s="206">
        <f t="shared" si="16"/>
        <v>0.2</v>
      </c>
      <c r="BU727" s="207">
        <f t="shared" si="17"/>
        <v>0.1</v>
      </c>
      <c r="CC727" s="3"/>
      <c r="CD727" s="3"/>
      <c r="CE727" s="3"/>
      <c r="CF727" s="3"/>
      <c r="CG727" s="1304">
        <f t="shared" ref="CG727:CG760" si="39">IF(AND(AC727&lt;=0.5,AC727&gt;=0.36),1,0)</f>
        <v>1</v>
      </c>
      <c r="CH727" s="1306"/>
      <c r="CI727" s="1304">
        <f t="shared" ref="CI727:CI760" si="40">IF(CG727=1,G727,0)</f>
        <v>18</v>
      </c>
      <c r="CJ727" s="1306"/>
      <c r="CK727" s="1304">
        <f t="shared" si="18"/>
        <v>0</v>
      </c>
      <c r="CL727" s="1306"/>
      <c r="CM727" s="1304">
        <f t="shared" si="19"/>
        <v>0</v>
      </c>
      <c r="CN727" s="1306"/>
      <c r="CO727" s="3"/>
      <c r="CP727" s="1301">
        <f t="shared" si="20"/>
        <v>0</v>
      </c>
      <c r="CQ727" s="1302"/>
      <c r="CR727" s="1302"/>
      <c r="CS727" s="1302"/>
      <c r="CT727" s="1303"/>
      <c r="CU727" s="1317">
        <f t="shared" si="21"/>
        <v>18</v>
      </c>
      <c r="CV727" s="1317"/>
      <c r="CW727" s="1317"/>
      <c r="CX727" s="1317"/>
      <c r="CY727" s="1317"/>
      <c r="CZ727" s="1317">
        <f t="shared" si="22"/>
        <v>0</v>
      </c>
      <c r="DA727" s="1317"/>
      <c r="DB727" s="1317"/>
      <c r="DC727" s="1317"/>
      <c r="DD727" s="1317"/>
      <c r="DE727" s="1317">
        <f t="shared" si="23"/>
        <v>0</v>
      </c>
      <c r="DF727" s="1317"/>
      <c r="DG727" s="1317"/>
      <c r="DH727" s="1317"/>
      <c r="DI727" s="1317"/>
      <c r="DJ727" s="1317">
        <f t="shared" si="24"/>
        <v>0</v>
      </c>
      <c r="DK727" s="1317"/>
      <c r="DL727" s="1317"/>
      <c r="DM727" s="1317"/>
      <c r="DN727" s="1317"/>
      <c r="DO727" s="1317">
        <f t="shared" si="25"/>
        <v>0</v>
      </c>
      <c r="DP727" s="1317"/>
      <c r="DQ727" s="1317"/>
      <c r="DR727" s="1317"/>
      <c r="DS727" s="1317"/>
      <c r="DT727" s="257"/>
      <c r="DU727" s="1338">
        <f t="shared" si="26"/>
        <v>0</v>
      </c>
      <c r="DV727" s="1338"/>
      <c r="DW727" s="1338"/>
      <c r="DX727" s="1338"/>
      <c r="DY727" s="1338"/>
      <c r="DZ727" s="1338">
        <f t="shared" si="27"/>
        <v>0</v>
      </c>
      <c r="EA727" s="1338"/>
      <c r="EB727" s="1338"/>
      <c r="EC727" s="1338"/>
      <c r="ED727" s="1338"/>
      <c r="EE727" s="1338">
        <f t="shared" si="28"/>
        <v>0</v>
      </c>
      <c r="EF727" s="1338"/>
      <c r="EG727" s="1338"/>
      <c r="EH727" s="1338"/>
      <c r="EI727" s="1338"/>
      <c r="EJ727" s="1338">
        <f t="shared" si="29"/>
        <v>0</v>
      </c>
      <c r="EK727" s="1338"/>
      <c r="EL727" s="1338"/>
      <c r="EM727" s="1338"/>
      <c r="EN727" s="1338"/>
      <c r="EO727" s="1338">
        <f t="shared" si="30"/>
        <v>0</v>
      </c>
      <c r="EP727" s="1338"/>
      <c r="EQ727" s="1338"/>
      <c r="ER727" s="1338"/>
      <c r="ES727" s="1338"/>
      <c r="ET727" s="1338">
        <f t="shared" si="31"/>
        <v>0</v>
      </c>
      <c r="EU727" s="1338"/>
      <c r="EV727" s="1338"/>
      <c r="EW727" s="1338"/>
      <c r="EX727" s="1338"/>
      <c r="EY727" s="3"/>
      <c r="EZ727" s="1304" t="str">
        <f t="shared" si="32"/>
        <v/>
      </c>
      <c r="FA727" s="1305"/>
      <c r="FB727" s="1305"/>
      <c r="FC727" s="1305"/>
      <c r="FD727" s="1306"/>
      <c r="FE727" s="1304">
        <f t="shared" si="33"/>
        <v>1689</v>
      </c>
      <c r="FF727" s="1305"/>
      <c r="FG727" s="1305"/>
      <c r="FH727" s="1305"/>
      <c r="FI727" s="1306"/>
      <c r="FJ727" s="1304" t="str">
        <f t="shared" si="34"/>
        <v/>
      </c>
      <c r="FK727" s="1305"/>
      <c r="FL727" s="1305"/>
      <c r="FM727" s="1305"/>
      <c r="FN727" s="1306"/>
      <c r="FO727" s="1304" t="str">
        <f t="shared" si="35"/>
        <v/>
      </c>
      <c r="FP727" s="1305"/>
      <c r="FQ727" s="1305"/>
      <c r="FR727" s="1305"/>
      <c r="FS727" s="1306"/>
      <c r="FT727" s="1304" t="str">
        <f t="shared" si="36"/>
        <v/>
      </c>
      <c r="FU727" s="1305"/>
      <c r="FV727" s="1305"/>
      <c r="FW727" s="1305"/>
      <c r="FX727" s="1306"/>
      <c r="FY727" s="1304" t="str">
        <f t="shared" si="37"/>
        <v/>
      </c>
      <c r="FZ727" s="1305"/>
      <c r="GA727" s="1305"/>
      <c r="GB727" s="1305"/>
      <c r="GC727" s="1306"/>
    </row>
    <row r="728" spans="1:185" ht="12.9" customHeight="1">
      <c r="A728" s="3"/>
      <c r="B728" s="1318" t="s">
        <v>842</v>
      </c>
      <c r="C728" s="1319"/>
      <c r="D728" s="1319"/>
      <c r="E728" s="1319"/>
      <c r="F728" s="1320"/>
      <c r="G728" s="1327">
        <v>36</v>
      </c>
      <c r="H728" s="1328"/>
      <c r="I728" s="1328"/>
      <c r="J728" s="1329"/>
      <c r="K728" s="1460">
        <v>752</v>
      </c>
      <c r="L728" s="1461"/>
      <c r="M728" s="1461"/>
      <c r="N728" s="1462"/>
      <c r="O728" s="1334">
        <v>1160</v>
      </c>
      <c r="P728" s="1335"/>
      <c r="Q728" s="1335"/>
      <c r="R728" s="1335"/>
      <c r="S728" s="1336"/>
      <c r="T728" s="1334">
        <v>145</v>
      </c>
      <c r="U728" s="1335"/>
      <c r="V728" s="1335"/>
      <c r="W728" s="1336"/>
      <c r="X728" s="1321">
        <f t="shared" si="10"/>
        <v>1305</v>
      </c>
      <c r="Y728" s="1322"/>
      <c r="Z728" s="1322"/>
      <c r="AA728" s="1322"/>
      <c r="AB728" s="1323"/>
      <c r="AC728" s="1331">
        <v>0.3</v>
      </c>
      <c r="AD728" s="1332"/>
      <c r="AE728" s="1332"/>
      <c r="AF728" s="1332"/>
      <c r="AG728" s="1333"/>
      <c r="AH728" s="1324">
        <f t="shared" si="38"/>
        <v>0.29986213235294118</v>
      </c>
      <c r="AI728" s="1325"/>
      <c r="AJ728" s="1326"/>
      <c r="AK728" s="1318" t="s">
        <v>820</v>
      </c>
      <c r="AL728" s="1319"/>
      <c r="AM728" s="1319"/>
      <c r="AN728" s="1319"/>
      <c r="AO728" s="1320"/>
      <c r="AP728" s="3"/>
      <c r="AQ728" s="3"/>
      <c r="AR728" s="3"/>
      <c r="AS728" s="3"/>
      <c r="AZ728" s="84">
        <f t="shared" si="11"/>
        <v>4352</v>
      </c>
      <c r="BA728" s="3"/>
      <c r="BB728" s="3"/>
      <c r="BC728" s="3"/>
      <c r="BD728" s="3"/>
      <c r="BE728" s="136"/>
      <c r="BF728" s="203">
        <f t="shared" si="12"/>
        <v>36</v>
      </c>
      <c r="BG728" s="206">
        <f t="shared" si="13"/>
        <v>0.4</v>
      </c>
      <c r="BH728" s="207">
        <f t="shared" si="14"/>
        <v>0.12</v>
      </c>
      <c r="BI728" s="3"/>
      <c r="BJ728" s="3"/>
      <c r="BK728" s="3"/>
      <c r="BL728" s="3"/>
      <c r="BM728" s="3"/>
      <c r="BN728" s="3"/>
      <c r="BS728" s="203">
        <f t="shared" si="15"/>
        <v>36</v>
      </c>
      <c r="BT728" s="206">
        <f t="shared" si="16"/>
        <v>0.4</v>
      </c>
      <c r="BU728" s="207">
        <f t="shared" si="17"/>
        <v>0.11994485294117647</v>
      </c>
      <c r="CC728" s="3"/>
      <c r="CD728" s="3"/>
      <c r="CE728" s="3"/>
      <c r="CF728" s="3"/>
      <c r="CG728" s="1304">
        <f t="shared" si="39"/>
        <v>0</v>
      </c>
      <c r="CH728" s="1306"/>
      <c r="CI728" s="1304">
        <f t="shared" si="40"/>
        <v>0</v>
      </c>
      <c r="CJ728" s="1306"/>
      <c r="CK728" s="1304">
        <f t="shared" si="18"/>
        <v>1</v>
      </c>
      <c r="CL728" s="1306"/>
      <c r="CM728" s="1304">
        <f t="shared" si="19"/>
        <v>36</v>
      </c>
      <c r="CN728" s="1306"/>
      <c r="CO728" s="3"/>
      <c r="CP728" s="1301">
        <f t="shared" si="20"/>
        <v>0</v>
      </c>
      <c r="CQ728" s="1302"/>
      <c r="CR728" s="1302"/>
      <c r="CS728" s="1302"/>
      <c r="CT728" s="1303"/>
      <c r="CU728" s="1317">
        <f t="shared" si="21"/>
        <v>0</v>
      </c>
      <c r="CV728" s="1317"/>
      <c r="CW728" s="1317"/>
      <c r="CX728" s="1317"/>
      <c r="CY728" s="1317"/>
      <c r="CZ728" s="1317">
        <f t="shared" si="22"/>
        <v>36</v>
      </c>
      <c r="DA728" s="1317"/>
      <c r="DB728" s="1317"/>
      <c r="DC728" s="1317"/>
      <c r="DD728" s="1317"/>
      <c r="DE728" s="1317">
        <f t="shared" si="23"/>
        <v>0</v>
      </c>
      <c r="DF728" s="1317"/>
      <c r="DG728" s="1317"/>
      <c r="DH728" s="1317"/>
      <c r="DI728" s="1317"/>
      <c r="DJ728" s="1317">
        <f t="shared" si="24"/>
        <v>0</v>
      </c>
      <c r="DK728" s="1317"/>
      <c r="DL728" s="1317"/>
      <c r="DM728" s="1317"/>
      <c r="DN728" s="1317"/>
      <c r="DO728" s="1317">
        <f t="shared" si="25"/>
        <v>0</v>
      </c>
      <c r="DP728" s="1317"/>
      <c r="DQ728" s="1317"/>
      <c r="DR728" s="1317"/>
      <c r="DS728" s="1317"/>
      <c r="DT728" s="257"/>
      <c r="DU728" s="1338">
        <f t="shared" si="26"/>
        <v>0</v>
      </c>
      <c r="DV728" s="1338"/>
      <c r="DW728" s="1338"/>
      <c r="DX728" s="1338"/>
      <c r="DY728" s="1338"/>
      <c r="DZ728" s="1338">
        <f t="shared" si="27"/>
        <v>0</v>
      </c>
      <c r="EA728" s="1338"/>
      <c r="EB728" s="1338"/>
      <c r="EC728" s="1338"/>
      <c r="ED728" s="1338"/>
      <c r="EE728" s="1338">
        <f t="shared" si="28"/>
        <v>36</v>
      </c>
      <c r="EF728" s="1338"/>
      <c r="EG728" s="1338"/>
      <c r="EH728" s="1338"/>
      <c r="EI728" s="1338"/>
      <c r="EJ728" s="1338">
        <f t="shared" si="29"/>
        <v>0</v>
      </c>
      <c r="EK728" s="1338"/>
      <c r="EL728" s="1338"/>
      <c r="EM728" s="1338"/>
      <c r="EN728" s="1338"/>
      <c r="EO728" s="1338">
        <f t="shared" si="30"/>
        <v>0</v>
      </c>
      <c r="EP728" s="1338"/>
      <c r="EQ728" s="1338"/>
      <c r="ER728" s="1338"/>
      <c r="ES728" s="1338"/>
      <c r="ET728" s="1338">
        <f t="shared" si="31"/>
        <v>0</v>
      </c>
      <c r="EU728" s="1338"/>
      <c r="EV728" s="1338"/>
      <c r="EW728" s="1338"/>
      <c r="EX728" s="1338"/>
      <c r="EZ728" s="1304" t="str">
        <f t="shared" si="32"/>
        <v/>
      </c>
      <c r="FA728" s="1305"/>
      <c r="FB728" s="1305"/>
      <c r="FC728" s="1305"/>
      <c r="FD728" s="1306"/>
      <c r="FE728" s="1304" t="str">
        <f t="shared" si="33"/>
        <v/>
      </c>
      <c r="FF728" s="1305"/>
      <c r="FG728" s="1305"/>
      <c r="FH728" s="1305"/>
      <c r="FI728" s="1306"/>
      <c r="FJ728" s="1304">
        <f t="shared" si="34"/>
        <v>1160</v>
      </c>
      <c r="FK728" s="1305"/>
      <c r="FL728" s="1305"/>
      <c r="FM728" s="1305"/>
      <c r="FN728" s="1306"/>
      <c r="FO728" s="1304" t="str">
        <f t="shared" si="35"/>
        <v/>
      </c>
      <c r="FP728" s="1305"/>
      <c r="FQ728" s="1305"/>
      <c r="FR728" s="1305"/>
      <c r="FS728" s="1306"/>
      <c r="FT728" s="1304" t="str">
        <f t="shared" si="36"/>
        <v/>
      </c>
      <c r="FU728" s="1305"/>
      <c r="FV728" s="1305"/>
      <c r="FW728" s="1305"/>
      <c r="FX728" s="1306"/>
      <c r="FY728" s="1304" t="str">
        <f t="shared" si="37"/>
        <v/>
      </c>
      <c r="FZ728" s="1305"/>
      <c r="GA728" s="1305"/>
      <c r="GB728" s="1305"/>
      <c r="GC728" s="1306"/>
    </row>
    <row r="729" spans="1:185" ht="12.9" customHeight="1">
      <c r="B729" s="1318" t="s">
        <v>842</v>
      </c>
      <c r="C729" s="1319"/>
      <c r="D729" s="1319"/>
      <c r="E729" s="1319"/>
      <c r="F729" s="1320"/>
      <c r="G729" s="1327">
        <v>19</v>
      </c>
      <c r="H729" s="1328"/>
      <c r="I729" s="1328"/>
      <c r="J729" s="1329"/>
      <c r="K729" s="1460">
        <v>920</v>
      </c>
      <c r="L729" s="1461"/>
      <c r="M729" s="1461"/>
      <c r="N729" s="1462"/>
      <c r="O729" s="1334">
        <v>2031</v>
      </c>
      <c r="P729" s="1335"/>
      <c r="Q729" s="1335"/>
      <c r="R729" s="1335"/>
      <c r="S729" s="1336"/>
      <c r="T729" s="1334">
        <v>145</v>
      </c>
      <c r="U729" s="1335"/>
      <c r="V729" s="1335"/>
      <c r="W729" s="1336"/>
      <c r="X729" s="1321">
        <f t="shared" si="10"/>
        <v>2176</v>
      </c>
      <c r="Y729" s="1322"/>
      <c r="Z729" s="1322"/>
      <c r="AA729" s="1322"/>
      <c r="AB729" s="1323"/>
      <c r="AC729" s="1331">
        <v>0.5</v>
      </c>
      <c r="AD729" s="1332"/>
      <c r="AE729" s="1332"/>
      <c r="AF729" s="1332"/>
      <c r="AG729" s="1333"/>
      <c r="AH729" s="1324">
        <f t="shared" si="38"/>
        <v>0.5</v>
      </c>
      <c r="AI729" s="1325"/>
      <c r="AJ729" s="1326"/>
      <c r="AK729" s="1318" t="s">
        <v>820</v>
      </c>
      <c r="AL729" s="1319"/>
      <c r="AM729" s="1319"/>
      <c r="AN729" s="1319"/>
      <c r="AO729" s="1320"/>
      <c r="AP729" s="3"/>
      <c r="AQ729" s="3"/>
      <c r="AR729" s="3"/>
      <c r="AS729" s="3"/>
      <c r="AY729" s="85"/>
      <c r="AZ729" s="84">
        <f t="shared" si="11"/>
        <v>4352</v>
      </c>
      <c r="BA729" s="3"/>
      <c r="BB729" s="3"/>
      <c r="BC729" s="3"/>
      <c r="BD729" s="3"/>
      <c r="BE729" s="136"/>
      <c r="BF729" s="203">
        <f t="shared" si="12"/>
        <v>19</v>
      </c>
      <c r="BG729" s="206">
        <f t="shared" si="13"/>
        <v>0.21111111111111111</v>
      </c>
      <c r="BH729" s="207">
        <f t="shared" si="14"/>
        <v>0.10555555555555556</v>
      </c>
      <c r="BI729" s="3"/>
      <c r="BJ729" s="3"/>
      <c r="BK729" s="3"/>
      <c r="BL729" s="3"/>
      <c r="BM729" s="3"/>
      <c r="BN729" s="3"/>
      <c r="BS729" s="203">
        <f t="shared" si="15"/>
        <v>19</v>
      </c>
      <c r="BT729" s="206">
        <f t="shared" si="16"/>
        <v>0.21111111111111111</v>
      </c>
      <c r="BU729" s="207">
        <f t="shared" si="17"/>
        <v>0.10555555555555556</v>
      </c>
      <c r="CC729" s="3"/>
      <c r="CD729" s="3"/>
      <c r="CE729" s="3"/>
      <c r="CF729" s="3"/>
      <c r="CG729" s="1304">
        <f t="shared" si="39"/>
        <v>1</v>
      </c>
      <c r="CH729" s="1306"/>
      <c r="CI729" s="1304">
        <f t="shared" si="40"/>
        <v>19</v>
      </c>
      <c r="CJ729" s="1306"/>
      <c r="CK729" s="1304">
        <f t="shared" si="18"/>
        <v>0</v>
      </c>
      <c r="CL729" s="1306"/>
      <c r="CM729" s="1304">
        <f t="shared" si="19"/>
        <v>0</v>
      </c>
      <c r="CN729" s="1306"/>
      <c r="CO729" s="3"/>
      <c r="CP729" s="1301">
        <f t="shared" si="20"/>
        <v>0</v>
      </c>
      <c r="CQ729" s="1302"/>
      <c r="CR729" s="1302"/>
      <c r="CS729" s="1302"/>
      <c r="CT729" s="1303"/>
      <c r="CU729" s="1317">
        <f t="shared" si="21"/>
        <v>0</v>
      </c>
      <c r="CV729" s="1317"/>
      <c r="CW729" s="1317"/>
      <c r="CX729" s="1317"/>
      <c r="CY729" s="1317"/>
      <c r="CZ729" s="1317">
        <f t="shared" si="22"/>
        <v>19</v>
      </c>
      <c r="DA729" s="1317"/>
      <c r="DB729" s="1317"/>
      <c r="DC729" s="1317"/>
      <c r="DD729" s="1317"/>
      <c r="DE729" s="1317">
        <f t="shared" si="23"/>
        <v>0</v>
      </c>
      <c r="DF729" s="1317"/>
      <c r="DG729" s="1317"/>
      <c r="DH729" s="1317"/>
      <c r="DI729" s="1317"/>
      <c r="DJ729" s="1317">
        <f t="shared" si="24"/>
        <v>0</v>
      </c>
      <c r="DK729" s="1317"/>
      <c r="DL729" s="1317"/>
      <c r="DM729" s="1317"/>
      <c r="DN729" s="1317"/>
      <c r="DO729" s="1317">
        <f t="shared" si="25"/>
        <v>0</v>
      </c>
      <c r="DP729" s="1317"/>
      <c r="DQ729" s="1317"/>
      <c r="DR729" s="1317"/>
      <c r="DS729" s="1317"/>
      <c r="DT729" s="257"/>
      <c r="DU729" s="1338">
        <f t="shared" si="26"/>
        <v>0</v>
      </c>
      <c r="DV729" s="1338"/>
      <c r="DW729" s="1338"/>
      <c r="DX729" s="1338"/>
      <c r="DY729" s="1338"/>
      <c r="DZ729" s="1338">
        <f t="shared" si="27"/>
        <v>0</v>
      </c>
      <c r="EA729" s="1338"/>
      <c r="EB729" s="1338"/>
      <c r="EC729" s="1338"/>
      <c r="ED729" s="1338"/>
      <c r="EE729" s="1338">
        <f t="shared" si="28"/>
        <v>0</v>
      </c>
      <c r="EF729" s="1338"/>
      <c r="EG729" s="1338"/>
      <c r="EH729" s="1338"/>
      <c r="EI729" s="1338"/>
      <c r="EJ729" s="1338">
        <f t="shared" si="29"/>
        <v>0</v>
      </c>
      <c r="EK729" s="1338"/>
      <c r="EL729" s="1338"/>
      <c r="EM729" s="1338"/>
      <c r="EN729" s="1338"/>
      <c r="EO729" s="1338">
        <f t="shared" si="30"/>
        <v>0</v>
      </c>
      <c r="EP729" s="1338"/>
      <c r="EQ729" s="1338"/>
      <c r="ER729" s="1338"/>
      <c r="ES729" s="1338"/>
      <c r="ET729" s="1338">
        <f t="shared" si="31"/>
        <v>0</v>
      </c>
      <c r="EU729" s="1338"/>
      <c r="EV729" s="1338"/>
      <c r="EW729" s="1338"/>
      <c r="EX729" s="1338"/>
      <c r="EZ729" s="1304" t="str">
        <f t="shared" si="32"/>
        <v/>
      </c>
      <c r="FA729" s="1305"/>
      <c r="FB729" s="1305"/>
      <c r="FC729" s="1305"/>
      <c r="FD729" s="1306"/>
      <c r="FE729" s="1304" t="str">
        <f t="shared" si="33"/>
        <v/>
      </c>
      <c r="FF729" s="1305"/>
      <c r="FG729" s="1305"/>
      <c r="FH729" s="1305"/>
      <c r="FI729" s="1306"/>
      <c r="FJ729" s="1304">
        <f t="shared" si="34"/>
        <v>2031</v>
      </c>
      <c r="FK729" s="1305"/>
      <c r="FL729" s="1305"/>
      <c r="FM729" s="1305"/>
      <c r="FN729" s="1306"/>
      <c r="FO729" s="1304" t="str">
        <f t="shared" si="35"/>
        <v/>
      </c>
      <c r="FP729" s="1305"/>
      <c r="FQ729" s="1305"/>
      <c r="FR729" s="1305"/>
      <c r="FS729" s="1306"/>
      <c r="FT729" s="1304" t="str">
        <f t="shared" si="36"/>
        <v/>
      </c>
      <c r="FU729" s="1305"/>
      <c r="FV729" s="1305"/>
      <c r="FW729" s="1305"/>
      <c r="FX729" s="1306"/>
      <c r="FY729" s="1304" t="str">
        <f t="shared" si="37"/>
        <v/>
      </c>
      <c r="FZ729" s="1305"/>
      <c r="GA729" s="1305"/>
      <c r="GB729" s="1305"/>
      <c r="GC729" s="1306"/>
    </row>
    <row r="730" spans="1:185" ht="12.9" customHeight="1">
      <c r="B730" s="1318" t="s">
        <v>843</v>
      </c>
      <c r="C730" s="1319"/>
      <c r="D730" s="1319"/>
      <c r="E730" s="1319"/>
      <c r="F730" s="1320"/>
      <c r="G730" s="1327">
        <v>2</v>
      </c>
      <c r="H730" s="1328"/>
      <c r="I730" s="1328"/>
      <c r="J730" s="1329"/>
      <c r="K730" s="1460">
        <v>920</v>
      </c>
      <c r="L730" s="1461"/>
      <c r="M730" s="1461"/>
      <c r="N730" s="1462"/>
      <c r="O730" s="1334">
        <v>2342</v>
      </c>
      <c r="P730" s="1335"/>
      <c r="Q730" s="1335"/>
      <c r="R730" s="1335"/>
      <c r="S730" s="1336"/>
      <c r="T730" s="1334">
        <v>172</v>
      </c>
      <c r="U730" s="1335"/>
      <c r="V730" s="1335"/>
      <c r="W730" s="1336"/>
      <c r="X730" s="1321">
        <f t="shared" si="10"/>
        <v>2514</v>
      </c>
      <c r="Y730" s="1322"/>
      <c r="Z730" s="1322"/>
      <c r="AA730" s="1322"/>
      <c r="AB730" s="1323"/>
      <c r="AC730" s="1331">
        <v>0.5</v>
      </c>
      <c r="AD730" s="1332"/>
      <c r="AE730" s="1332"/>
      <c r="AF730" s="1332"/>
      <c r="AG730" s="1333"/>
      <c r="AH730" s="1324">
        <f t="shared" si="38"/>
        <v>0.5</v>
      </c>
      <c r="AI730" s="1325"/>
      <c r="AJ730" s="1326"/>
      <c r="AK730" s="1318" t="s">
        <v>820</v>
      </c>
      <c r="AL730" s="1319"/>
      <c r="AM730" s="1319"/>
      <c r="AN730" s="1319"/>
      <c r="AO730" s="1320"/>
      <c r="AP730" s="3"/>
      <c r="AQ730" s="3"/>
      <c r="AR730" s="3"/>
      <c r="AS730" s="3"/>
      <c r="AY730" s="85"/>
      <c r="AZ730" s="84">
        <f t="shared" si="11"/>
        <v>5028</v>
      </c>
      <c r="BA730" s="3"/>
      <c r="BB730" s="3"/>
      <c r="BC730" s="3"/>
      <c r="BD730" s="3"/>
      <c r="BE730" s="136"/>
      <c r="BF730" s="203">
        <f t="shared" si="12"/>
        <v>2</v>
      </c>
      <c r="BG730" s="206">
        <f t="shared" si="13"/>
        <v>2.2222222222222223E-2</v>
      </c>
      <c r="BH730" s="207">
        <f t="shared" si="14"/>
        <v>1.1111111111111112E-2</v>
      </c>
      <c r="BI730" s="3"/>
      <c r="BJ730" s="3"/>
      <c r="BK730" s="3"/>
      <c r="BL730" s="3"/>
      <c r="BM730" s="3"/>
      <c r="BN730" s="3"/>
      <c r="BS730" s="203">
        <f t="shared" si="15"/>
        <v>2</v>
      </c>
      <c r="BT730" s="206">
        <f t="shared" si="16"/>
        <v>2.2222222222222223E-2</v>
      </c>
      <c r="BU730" s="207">
        <f t="shared" si="17"/>
        <v>1.1111111111111112E-2</v>
      </c>
      <c r="CC730" s="3"/>
      <c r="CD730" s="3"/>
      <c r="CE730" s="3"/>
      <c r="CF730" s="3"/>
      <c r="CG730" s="1304">
        <f t="shared" si="39"/>
        <v>1</v>
      </c>
      <c r="CH730" s="1306"/>
      <c r="CI730" s="1304">
        <f t="shared" si="40"/>
        <v>2</v>
      </c>
      <c r="CJ730" s="1306"/>
      <c r="CK730" s="1304">
        <f t="shared" si="18"/>
        <v>0</v>
      </c>
      <c r="CL730" s="1306"/>
      <c r="CM730" s="1304">
        <f t="shared" si="19"/>
        <v>0</v>
      </c>
      <c r="CN730" s="1306"/>
      <c r="CO730" s="3"/>
      <c r="CP730" s="1301">
        <f t="shared" si="20"/>
        <v>0</v>
      </c>
      <c r="CQ730" s="1302"/>
      <c r="CR730" s="1302"/>
      <c r="CS730" s="1302"/>
      <c r="CT730" s="1303"/>
      <c r="CU730" s="1317">
        <f t="shared" si="21"/>
        <v>0</v>
      </c>
      <c r="CV730" s="1317"/>
      <c r="CW730" s="1317"/>
      <c r="CX730" s="1317"/>
      <c r="CY730" s="1317"/>
      <c r="CZ730" s="1317">
        <f t="shared" si="22"/>
        <v>0</v>
      </c>
      <c r="DA730" s="1317"/>
      <c r="DB730" s="1317"/>
      <c r="DC730" s="1317"/>
      <c r="DD730" s="1317"/>
      <c r="DE730" s="1317">
        <f t="shared" si="23"/>
        <v>2</v>
      </c>
      <c r="DF730" s="1317"/>
      <c r="DG730" s="1317"/>
      <c r="DH730" s="1317"/>
      <c r="DI730" s="1317"/>
      <c r="DJ730" s="1317">
        <f t="shared" si="24"/>
        <v>0</v>
      </c>
      <c r="DK730" s="1317"/>
      <c r="DL730" s="1317"/>
      <c r="DM730" s="1317"/>
      <c r="DN730" s="1317"/>
      <c r="DO730" s="1317">
        <f t="shared" si="25"/>
        <v>0</v>
      </c>
      <c r="DP730" s="1317"/>
      <c r="DQ730" s="1317"/>
      <c r="DR730" s="1317"/>
      <c r="DS730" s="1317"/>
      <c r="DT730" s="257"/>
      <c r="DU730" s="1338">
        <f t="shared" si="26"/>
        <v>0</v>
      </c>
      <c r="DV730" s="1338"/>
      <c r="DW730" s="1338"/>
      <c r="DX730" s="1338"/>
      <c r="DY730" s="1338"/>
      <c r="DZ730" s="1338">
        <f t="shared" si="27"/>
        <v>0</v>
      </c>
      <c r="EA730" s="1338"/>
      <c r="EB730" s="1338"/>
      <c r="EC730" s="1338"/>
      <c r="ED730" s="1338"/>
      <c r="EE730" s="1338">
        <f t="shared" si="28"/>
        <v>0</v>
      </c>
      <c r="EF730" s="1338"/>
      <c r="EG730" s="1338"/>
      <c r="EH730" s="1338"/>
      <c r="EI730" s="1338"/>
      <c r="EJ730" s="1338">
        <f t="shared" si="29"/>
        <v>0</v>
      </c>
      <c r="EK730" s="1338"/>
      <c r="EL730" s="1338"/>
      <c r="EM730" s="1338"/>
      <c r="EN730" s="1338"/>
      <c r="EO730" s="1338">
        <f t="shared" si="30"/>
        <v>0</v>
      </c>
      <c r="EP730" s="1338"/>
      <c r="EQ730" s="1338"/>
      <c r="ER730" s="1338"/>
      <c r="ES730" s="1338"/>
      <c r="ET730" s="1338">
        <f t="shared" si="31"/>
        <v>0</v>
      </c>
      <c r="EU730" s="1338"/>
      <c r="EV730" s="1338"/>
      <c r="EW730" s="1338"/>
      <c r="EX730" s="1338"/>
      <c r="EZ730" s="1304" t="str">
        <f t="shared" si="32"/>
        <v/>
      </c>
      <c r="FA730" s="1305"/>
      <c r="FB730" s="1305"/>
      <c r="FC730" s="1305"/>
      <c r="FD730" s="1306"/>
      <c r="FE730" s="1304" t="str">
        <f t="shared" si="33"/>
        <v/>
      </c>
      <c r="FF730" s="1305"/>
      <c r="FG730" s="1305"/>
      <c r="FH730" s="1305"/>
      <c r="FI730" s="1306"/>
      <c r="FJ730" s="1304" t="str">
        <f t="shared" si="34"/>
        <v/>
      </c>
      <c r="FK730" s="1305"/>
      <c r="FL730" s="1305"/>
      <c r="FM730" s="1305"/>
      <c r="FN730" s="1306"/>
      <c r="FO730" s="1304">
        <f t="shared" si="35"/>
        <v>2342</v>
      </c>
      <c r="FP730" s="1305"/>
      <c r="FQ730" s="1305"/>
      <c r="FR730" s="1305"/>
      <c r="FS730" s="1306"/>
      <c r="FT730" s="1304" t="str">
        <f t="shared" si="36"/>
        <v/>
      </c>
      <c r="FU730" s="1305"/>
      <c r="FV730" s="1305"/>
      <c r="FW730" s="1305"/>
      <c r="FX730" s="1306"/>
      <c r="FY730" s="1304" t="str">
        <f t="shared" si="37"/>
        <v/>
      </c>
      <c r="FZ730" s="1305"/>
      <c r="GA730" s="1305"/>
      <c r="GB730" s="1305"/>
      <c r="GC730" s="1306"/>
    </row>
    <row r="731" spans="1:185" ht="12.9" customHeight="1">
      <c r="B731" s="1318" t="s">
        <v>840</v>
      </c>
      <c r="C731" s="1319"/>
      <c r="D731" s="1319"/>
      <c r="E731" s="1319"/>
      <c r="F731" s="1320"/>
      <c r="G731" s="1327">
        <v>1</v>
      </c>
      <c r="H731" s="1328"/>
      <c r="I731" s="1328"/>
      <c r="J731" s="1329"/>
      <c r="K731" s="1460">
        <v>405</v>
      </c>
      <c r="L731" s="1461"/>
      <c r="M731" s="1461"/>
      <c r="N731" s="1462"/>
      <c r="O731" s="1334">
        <v>1934</v>
      </c>
      <c r="P731" s="1335"/>
      <c r="Q731" s="1335"/>
      <c r="R731" s="1335"/>
      <c r="S731" s="1336"/>
      <c r="T731" s="1334">
        <v>97</v>
      </c>
      <c r="U731" s="1335"/>
      <c r="V731" s="1335"/>
      <c r="W731" s="1336"/>
      <c r="X731" s="1321">
        <f t="shared" si="10"/>
        <v>2031</v>
      </c>
      <c r="Y731" s="1322"/>
      <c r="Z731" s="1322"/>
      <c r="AA731" s="1322"/>
      <c r="AB731" s="1323"/>
      <c r="AC731" s="1331">
        <v>0.6</v>
      </c>
      <c r="AD731" s="1332"/>
      <c r="AE731" s="1332"/>
      <c r="AF731" s="1332"/>
      <c r="AG731" s="1333"/>
      <c r="AH731" s="1324">
        <f t="shared" si="38"/>
        <v>0.60017730496453903</v>
      </c>
      <c r="AI731" s="1325"/>
      <c r="AJ731" s="1326"/>
      <c r="AK731" s="1318" t="s">
        <v>820</v>
      </c>
      <c r="AL731" s="1319"/>
      <c r="AM731" s="1319"/>
      <c r="AN731" s="1319"/>
      <c r="AO731" s="1320"/>
      <c r="AP731" s="3"/>
      <c r="AQ731" s="3"/>
      <c r="AR731" s="3"/>
      <c r="AS731" s="3"/>
      <c r="AY731" s="85"/>
      <c r="AZ731" s="84">
        <f t="shared" si="11"/>
        <v>3384</v>
      </c>
      <c r="BA731" s="3"/>
      <c r="BB731" s="3"/>
      <c r="BC731" s="3"/>
      <c r="BD731" s="3"/>
      <c r="BE731" s="136"/>
      <c r="BF731" s="203">
        <f t="shared" si="12"/>
        <v>1</v>
      </c>
      <c r="BG731" s="206">
        <f t="shared" si="13"/>
        <v>1.1111111111111112E-2</v>
      </c>
      <c r="BH731" s="207">
        <f t="shared" si="14"/>
        <v>6.6666666666666671E-3</v>
      </c>
      <c r="BI731" s="3"/>
      <c r="BJ731" s="3"/>
      <c r="BK731" s="3"/>
      <c r="BL731" s="3"/>
      <c r="BM731" s="3"/>
      <c r="BN731" s="3"/>
      <c r="BS731" s="203">
        <f t="shared" si="15"/>
        <v>1</v>
      </c>
      <c r="BT731" s="206">
        <f t="shared" si="16"/>
        <v>1.1111111111111112E-2</v>
      </c>
      <c r="BU731" s="207">
        <f t="shared" si="17"/>
        <v>6.6686367218282113E-3</v>
      </c>
      <c r="CC731" s="3"/>
      <c r="CD731" s="3"/>
      <c r="CE731" s="3"/>
      <c r="CF731" s="3"/>
      <c r="CG731" s="1304">
        <f t="shared" si="39"/>
        <v>0</v>
      </c>
      <c r="CH731" s="1306"/>
      <c r="CI731" s="1304">
        <f t="shared" si="40"/>
        <v>0</v>
      </c>
      <c r="CJ731" s="1306"/>
      <c r="CK731" s="1304">
        <f t="shared" si="18"/>
        <v>0</v>
      </c>
      <c r="CL731" s="1306"/>
      <c r="CM731" s="1304">
        <f t="shared" si="19"/>
        <v>0</v>
      </c>
      <c r="CN731" s="1306"/>
      <c r="CO731" s="3"/>
      <c r="CP731" s="1301">
        <f t="shared" si="20"/>
        <v>1</v>
      </c>
      <c r="CQ731" s="1302"/>
      <c r="CR731" s="1302"/>
      <c r="CS731" s="1302"/>
      <c r="CT731" s="1303"/>
      <c r="CU731" s="1317">
        <f t="shared" si="21"/>
        <v>0</v>
      </c>
      <c r="CV731" s="1317"/>
      <c r="CW731" s="1317"/>
      <c r="CX731" s="1317"/>
      <c r="CY731" s="1317"/>
      <c r="CZ731" s="1317">
        <f t="shared" si="22"/>
        <v>0</v>
      </c>
      <c r="DA731" s="1317"/>
      <c r="DB731" s="1317"/>
      <c r="DC731" s="1317"/>
      <c r="DD731" s="1317"/>
      <c r="DE731" s="1317">
        <f t="shared" si="23"/>
        <v>0</v>
      </c>
      <c r="DF731" s="1317"/>
      <c r="DG731" s="1317"/>
      <c r="DH731" s="1317"/>
      <c r="DI731" s="1317"/>
      <c r="DJ731" s="1317">
        <f t="shared" si="24"/>
        <v>0</v>
      </c>
      <c r="DK731" s="1317"/>
      <c r="DL731" s="1317"/>
      <c r="DM731" s="1317"/>
      <c r="DN731" s="1317"/>
      <c r="DO731" s="1317">
        <f t="shared" si="25"/>
        <v>0</v>
      </c>
      <c r="DP731" s="1317"/>
      <c r="DQ731" s="1317"/>
      <c r="DR731" s="1317"/>
      <c r="DS731" s="1317"/>
      <c r="DT731" s="257"/>
      <c r="DU731" s="1338">
        <f t="shared" si="26"/>
        <v>0</v>
      </c>
      <c r="DV731" s="1338"/>
      <c r="DW731" s="1338"/>
      <c r="DX731" s="1338"/>
      <c r="DY731" s="1338"/>
      <c r="DZ731" s="1338">
        <f t="shared" si="27"/>
        <v>0</v>
      </c>
      <c r="EA731" s="1338"/>
      <c r="EB731" s="1338"/>
      <c r="EC731" s="1338"/>
      <c r="ED731" s="1338"/>
      <c r="EE731" s="1338">
        <f t="shared" si="28"/>
        <v>0</v>
      </c>
      <c r="EF731" s="1338"/>
      <c r="EG731" s="1338"/>
      <c r="EH731" s="1338"/>
      <c r="EI731" s="1338"/>
      <c r="EJ731" s="1338">
        <f t="shared" si="29"/>
        <v>0</v>
      </c>
      <c r="EK731" s="1338"/>
      <c r="EL731" s="1338"/>
      <c r="EM731" s="1338"/>
      <c r="EN731" s="1338"/>
      <c r="EO731" s="1338">
        <f t="shared" si="30"/>
        <v>0</v>
      </c>
      <c r="EP731" s="1338"/>
      <c r="EQ731" s="1338"/>
      <c r="ER731" s="1338"/>
      <c r="ES731" s="1338"/>
      <c r="ET731" s="1338">
        <f t="shared" si="31"/>
        <v>0</v>
      </c>
      <c r="EU731" s="1338"/>
      <c r="EV731" s="1338"/>
      <c r="EW731" s="1338"/>
      <c r="EX731" s="1338"/>
      <c r="EZ731" s="1304">
        <f t="shared" si="32"/>
        <v>1934</v>
      </c>
      <c r="FA731" s="1305"/>
      <c r="FB731" s="1305"/>
      <c r="FC731" s="1305"/>
      <c r="FD731" s="1306"/>
      <c r="FE731" s="1304" t="str">
        <f t="shared" si="33"/>
        <v/>
      </c>
      <c r="FF731" s="1305"/>
      <c r="FG731" s="1305"/>
      <c r="FH731" s="1305"/>
      <c r="FI731" s="1306"/>
      <c r="FJ731" s="1304" t="str">
        <f t="shared" si="34"/>
        <v/>
      </c>
      <c r="FK731" s="1305"/>
      <c r="FL731" s="1305"/>
      <c r="FM731" s="1305"/>
      <c r="FN731" s="1306"/>
      <c r="FO731" s="1304" t="str">
        <f t="shared" si="35"/>
        <v/>
      </c>
      <c r="FP731" s="1305"/>
      <c r="FQ731" s="1305"/>
      <c r="FR731" s="1305"/>
      <c r="FS731" s="1306"/>
      <c r="FT731" s="1304" t="str">
        <f t="shared" si="36"/>
        <v/>
      </c>
      <c r="FU731" s="1305"/>
      <c r="FV731" s="1305"/>
      <c r="FW731" s="1305"/>
      <c r="FX731" s="1306"/>
      <c r="FY731" s="1304" t="str">
        <f t="shared" si="37"/>
        <v/>
      </c>
      <c r="FZ731" s="1305"/>
      <c r="GA731" s="1305"/>
      <c r="GB731" s="1305"/>
      <c r="GC731" s="1306"/>
    </row>
    <row r="732" spans="1:185" ht="12.9" customHeight="1">
      <c r="B732" s="1318" t="s">
        <v>841</v>
      </c>
      <c r="C732" s="1319"/>
      <c r="D732" s="1319"/>
      <c r="E732" s="1319"/>
      <c r="F732" s="1320"/>
      <c r="G732" s="1327">
        <v>5</v>
      </c>
      <c r="H732" s="1328"/>
      <c r="I732" s="1328"/>
      <c r="J732" s="1329"/>
      <c r="K732" s="1460">
        <v>587</v>
      </c>
      <c r="L732" s="1461"/>
      <c r="M732" s="1461"/>
      <c r="N732" s="1462"/>
      <c r="O732" s="1334">
        <v>2052</v>
      </c>
      <c r="P732" s="1335"/>
      <c r="Q732" s="1335"/>
      <c r="R732" s="1335"/>
      <c r="S732" s="1336"/>
      <c r="T732" s="1334">
        <v>124</v>
      </c>
      <c r="U732" s="1335"/>
      <c r="V732" s="1335"/>
      <c r="W732" s="1336"/>
      <c r="X732" s="1321">
        <f t="shared" si="10"/>
        <v>2176</v>
      </c>
      <c r="Y732" s="1322"/>
      <c r="Z732" s="1322"/>
      <c r="AA732" s="1322"/>
      <c r="AB732" s="1323"/>
      <c r="AC732" s="1331">
        <v>0.6</v>
      </c>
      <c r="AD732" s="1332"/>
      <c r="AE732" s="1332"/>
      <c r="AF732" s="1332"/>
      <c r="AG732" s="1333"/>
      <c r="AH732" s="1324">
        <f t="shared" si="38"/>
        <v>0.60011031439602869</v>
      </c>
      <c r="AI732" s="1325"/>
      <c r="AJ732" s="1326"/>
      <c r="AK732" s="1318" t="s">
        <v>820</v>
      </c>
      <c r="AL732" s="1319"/>
      <c r="AM732" s="1319"/>
      <c r="AN732" s="1319"/>
      <c r="AO732" s="1320"/>
      <c r="AP732" s="3"/>
      <c r="AQ732" s="3"/>
      <c r="AR732" s="3"/>
      <c r="AS732" s="3"/>
      <c r="AY732" s="85"/>
      <c r="AZ732" s="84">
        <f t="shared" si="11"/>
        <v>3626</v>
      </c>
      <c r="BA732" s="3"/>
      <c r="BB732" s="3"/>
      <c r="BC732" s="3"/>
      <c r="BD732" s="3"/>
      <c r="BE732" s="136"/>
      <c r="BF732" s="203">
        <f t="shared" si="12"/>
        <v>5</v>
      </c>
      <c r="BG732" s="206">
        <f t="shared" si="13"/>
        <v>5.5555555555555552E-2</v>
      </c>
      <c r="BH732" s="207">
        <f t="shared" si="14"/>
        <v>3.3333333333333333E-2</v>
      </c>
      <c r="BI732" s="3"/>
      <c r="BJ732" s="3"/>
      <c r="BK732" s="3"/>
      <c r="BL732" s="3"/>
      <c r="BM732" s="3"/>
      <c r="BN732" s="3"/>
      <c r="BS732" s="203">
        <f t="shared" si="15"/>
        <v>5</v>
      </c>
      <c r="BT732" s="206">
        <f t="shared" si="16"/>
        <v>5.5555555555555552E-2</v>
      </c>
      <c r="BU732" s="207">
        <f t="shared" si="17"/>
        <v>3.3339461910890482E-2</v>
      </c>
      <c r="CC732" s="3"/>
      <c r="CE732" s="3"/>
      <c r="CF732" s="3"/>
      <c r="CG732" s="1304">
        <f t="shared" si="39"/>
        <v>0</v>
      </c>
      <c r="CH732" s="1306"/>
      <c r="CI732" s="1304">
        <f t="shared" si="40"/>
        <v>0</v>
      </c>
      <c r="CJ732" s="1306"/>
      <c r="CK732" s="1304">
        <f t="shared" si="18"/>
        <v>0</v>
      </c>
      <c r="CL732" s="1306"/>
      <c r="CM732" s="1304">
        <f t="shared" si="19"/>
        <v>0</v>
      </c>
      <c r="CN732" s="1306"/>
      <c r="CO732" s="3"/>
      <c r="CP732" s="1301">
        <f t="shared" si="20"/>
        <v>0</v>
      </c>
      <c r="CQ732" s="1302"/>
      <c r="CR732" s="1302"/>
      <c r="CS732" s="1302"/>
      <c r="CT732" s="1303"/>
      <c r="CU732" s="1317">
        <f t="shared" si="21"/>
        <v>5</v>
      </c>
      <c r="CV732" s="1317"/>
      <c r="CW732" s="1317"/>
      <c r="CX732" s="1317"/>
      <c r="CY732" s="1317"/>
      <c r="CZ732" s="1317">
        <f t="shared" si="22"/>
        <v>0</v>
      </c>
      <c r="DA732" s="1317"/>
      <c r="DB732" s="1317"/>
      <c r="DC732" s="1317"/>
      <c r="DD732" s="1317"/>
      <c r="DE732" s="1317">
        <f t="shared" si="23"/>
        <v>0</v>
      </c>
      <c r="DF732" s="1317"/>
      <c r="DG732" s="1317"/>
      <c r="DH732" s="1317"/>
      <c r="DI732" s="1317"/>
      <c r="DJ732" s="1317">
        <f t="shared" si="24"/>
        <v>0</v>
      </c>
      <c r="DK732" s="1317"/>
      <c r="DL732" s="1317"/>
      <c r="DM732" s="1317"/>
      <c r="DN732" s="1317"/>
      <c r="DO732" s="1317">
        <f t="shared" si="25"/>
        <v>0</v>
      </c>
      <c r="DP732" s="1317"/>
      <c r="DQ732" s="1317"/>
      <c r="DR732" s="1317"/>
      <c r="DS732" s="1317"/>
      <c r="DT732" s="257"/>
      <c r="DU732" s="1338">
        <f t="shared" si="26"/>
        <v>0</v>
      </c>
      <c r="DV732" s="1338"/>
      <c r="DW732" s="1338"/>
      <c r="DX732" s="1338"/>
      <c r="DY732" s="1338"/>
      <c r="DZ732" s="1338">
        <f t="shared" si="27"/>
        <v>0</v>
      </c>
      <c r="EA732" s="1338"/>
      <c r="EB732" s="1338"/>
      <c r="EC732" s="1338"/>
      <c r="ED732" s="1338"/>
      <c r="EE732" s="1338">
        <f t="shared" si="28"/>
        <v>0</v>
      </c>
      <c r="EF732" s="1338"/>
      <c r="EG732" s="1338"/>
      <c r="EH732" s="1338"/>
      <c r="EI732" s="1338"/>
      <c r="EJ732" s="1338">
        <f t="shared" si="29"/>
        <v>0</v>
      </c>
      <c r="EK732" s="1338"/>
      <c r="EL732" s="1338"/>
      <c r="EM732" s="1338"/>
      <c r="EN732" s="1338"/>
      <c r="EO732" s="1338">
        <f t="shared" si="30"/>
        <v>0</v>
      </c>
      <c r="EP732" s="1338"/>
      <c r="EQ732" s="1338"/>
      <c r="ER732" s="1338"/>
      <c r="ES732" s="1338"/>
      <c r="ET732" s="1338">
        <f t="shared" si="31"/>
        <v>0</v>
      </c>
      <c r="EU732" s="1338"/>
      <c r="EV732" s="1338"/>
      <c r="EW732" s="1338"/>
      <c r="EX732" s="1338"/>
      <c r="EZ732" s="1304" t="str">
        <f t="shared" si="32"/>
        <v/>
      </c>
      <c r="FA732" s="1305"/>
      <c r="FB732" s="1305"/>
      <c r="FC732" s="1305"/>
      <c r="FD732" s="1306"/>
      <c r="FE732" s="1304">
        <f t="shared" si="33"/>
        <v>2052</v>
      </c>
      <c r="FF732" s="1305"/>
      <c r="FG732" s="1305"/>
      <c r="FH732" s="1305"/>
      <c r="FI732" s="1306"/>
      <c r="FJ732" s="1304" t="str">
        <f t="shared" si="34"/>
        <v/>
      </c>
      <c r="FK732" s="1305"/>
      <c r="FL732" s="1305"/>
      <c r="FM732" s="1305"/>
      <c r="FN732" s="1306"/>
      <c r="FO732" s="1304" t="str">
        <f t="shared" si="35"/>
        <v/>
      </c>
      <c r="FP732" s="1305"/>
      <c r="FQ732" s="1305"/>
      <c r="FR732" s="1305"/>
      <c r="FS732" s="1306"/>
      <c r="FT732" s="1304" t="str">
        <f t="shared" si="36"/>
        <v/>
      </c>
      <c r="FU732" s="1305"/>
      <c r="FV732" s="1305"/>
      <c r="FW732" s="1305"/>
      <c r="FX732" s="1306"/>
      <c r="FY732" s="1304" t="str">
        <f t="shared" si="37"/>
        <v/>
      </c>
      <c r="FZ732" s="1305"/>
      <c r="GA732" s="1305"/>
      <c r="GB732" s="1305"/>
      <c r="GC732" s="1306"/>
    </row>
    <row r="733" spans="1:185" ht="12.9" customHeight="1">
      <c r="B733" s="1318"/>
      <c r="C733" s="1319"/>
      <c r="D733" s="1319"/>
      <c r="E733" s="1319"/>
      <c r="F733" s="1320"/>
      <c r="G733" s="1327"/>
      <c r="H733" s="1328"/>
      <c r="I733" s="1328"/>
      <c r="J733" s="1329"/>
      <c r="K733" s="1460"/>
      <c r="L733" s="1461"/>
      <c r="M733" s="1461"/>
      <c r="N733" s="1462"/>
      <c r="O733" s="1334"/>
      <c r="P733" s="1335"/>
      <c r="Q733" s="1335"/>
      <c r="R733" s="1335"/>
      <c r="S733" s="1336"/>
      <c r="T733" s="1334"/>
      <c r="U733" s="1335"/>
      <c r="V733" s="1335"/>
      <c r="W733" s="1336"/>
      <c r="X733" s="1321">
        <f t="shared" si="10"/>
        <v>0</v>
      </c>
      <c r="Y733" s="1322"/>
      <c r="Z733" s="1322"/>
      <c r="AA733" s="1322"/>
      <c r="AB733" s="1323"/>
      <c r="AC733" s="1331"/>
      <c r="AD733" s="1332"/>
      <c r="AE733" s="1332"/>
      <c r="AF733" s="1332"/>
      <c r="AG733" s="1333"/>
      <c r="AH733" s="1324" t="str">
        <f t="shared" si="38"/>
        <v/>
      </c>
      <c r="AI733" s="1325"/>
      <c r="AJ733" s="1326"/>
      <c r="AK733" s="1318" t="s">
        <v>820</v>
      </c>
      <c r="AL733" s="1319"/>
      <c r="AM733" s="1319"/>
      <c r="AN733" s="1319"/>
      <c r="AO733" s="1320"/>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8"/>
      <c r="BW733" s="3"/>
      <c r="BX733" s="3"/>
      <c r="BY733" s="3"/>
      <c r="BZ733" s="3"/>
      <c r="CA733" s="3"/>
      <c r="CB733" s="3"/>
      <c r="CC733" s="3"/>
      <c r="CE733" s="3"/>
      <c r="CF733" s="3"/>
      <c r="CG733" s="1304">
        <f t="shared" si="39"/>
        <v>0</v>
      </c>
      <c r="CH733" s="1306"/>
      <c r="CI733" s="1304">
        <f t="shared" si="40"/>
        <v>0</v>
      </c>
      <c r="CJ733" s="1306"/>
      <c r="CK733" s="1304">
        <f t="shared" si="18"/>
        <v>0</v>
      </c>
      <c r="CL733" s="1306"/>
      <c r="CM733" s="1304">
        <f t="shared" si="19"/>
        <v>0</v>
      </c>
      <c r="CN733" s="1306"/>
      <c r="CO733" s="3"/>
      <c r="CP733" s="1301">
        <f t="shared" si="20"/>
        <v>0</v>
      </c>
      <c r="CQ733" s="1302"/>
      <c r="CR733" s="1302"/>
      <c r="CS733" s="1302"/>
      <c r="CT733" s="1303"/>
      <c r="CU733" s="1317">
        <f t="shared" si="21"/>
        <v>0</v>
      </c>
      <c r="CV733" s="1317"/>
      <c r="CW733" s="1317"/>
      <c r="CX733" s="1317"/>
      <c r="CY733" s="1317"/>
      <c r="CZ733" s="1317">
        <f t="shared" si="22"/>
        <v>0</v>
      </c>
      <c r="DA733" s="1317"/>
      <c r="DB733" s="1317"/>
      <c r="DC733" s="1317"/>
      <c r="DD733" s="1317"/>
      <c r="DE733" s="1317">
        <f t="shared" si="23"/>
        <v>0</v>
      </c>
      <c r="DF733" s="1317"/>
      <c r="DG733" s="1317"/>
      <c r="DH733" s="1317"/>
      <c r="DI733" s="1317"/>
      <c r="DJ733" s="1317">
        <f t="shared" si="24"/>
        <v>0</v>
      </c>
      <c r="DK733" s="1317"/>
      <c r="DL733" s="1317"/>
      <c r="DM733" s="1317"/>
      <c r="DN733" s="1317"/>
      <c r="DO733" s="1317">
        <f t="shared" si="25"/>
        <v>0</v>
      </c>
      <c r="DP733" s="1317"/>
      <c r="DQ733" s="1317"/>
      <c r="DR733" s="1317"/>
      <c r="DS733" s="1317"/>
      <c r="DT733" s="257"/>
      <c r="DU733" s="1338">
        <f t="shared" si="26"/>
        <v>0</v>
      </c>
      <c r="DV733" s="1338"/>
      <c r="DW733" s="1338"/>
      <c r="DX733" s="1338"/>
      <c r="DY733" s="1338"/>
      <c r="DZ733" s="1338">
        <f t="shared" si="27"/>
        <v>0</v>
      </c>
      <c r="EA733" s="1338"/>
      <c r="EB733" s="1338"/>
      <c r="EC733" s="1338"/>
      <c r="ED733" s="1338"/>
      <c r="EE733" s="1338">
        <f t="shared" si="28"/>
        <v>0</v>
      </c>
      <c r="EF733" s="1338"/>
      <c r="EG733" s="1338"/>
      <c r="EH733" s="1338"/>
      <c r="EI733" s="1338"/>
      <c r="EJ733" s="1338">
        <f t="shared" si="29"/>
        <v>0</v>
      </c>
      <c r="EK733" s="1338"/>
      <c r="EL733" s="1338"/>
      <c r="EM733" s="1338"/>
      <c r="EN733" s="1338"/>
      <c r="EO733" s="1338">
        <f t="shared" si="30"/>
        <v>0</v>
      </c>
      <c r="EP733" s="1338"/>
      <c r="EQ733" s="1338"/>
      <c r="ER733" s="1338"/>
      <c r="ES733" s="1338"/>
      <c r="ET733" s="1338">
        <f t="shared" si="31"/>
        <v>0</v>
      </c>
      <c r="EU733" s="1338"/>
      <c r="EV733" s="1338"/>
      <c r="EW733" s="1338"/>
      <c r="EX733" s="1338"/>
      <c r="EZ733" s="1304" t="str">
        <f t="shared" si="32"/>
        <v/>
      </c>
      <c r="FA733" s="1305"/>
      <c r="FB733" s="1305"/>
      <c r="FC733" s="1305"/>
      <c r="FD733" s="1306"/>
      <c r="FE733" s="1304" t="str">
        <f t="shared" si="33"/>
        <v/>
      </c>
      <c r="FF733" s="1305"/>
      <c r="FG733" s="1305"/>
      <c r="FH733" s="1305"/>
      <c r="FI733" s="1306"/>
      <c r="FJ733" s="1304" t="str">
        <f t="shared" si="34"/>
        <v/>
      </c>
      <c r="FK733" s="1305"/>
      <c r="FL733" s="1305"/>
      <c r="FM733" s="1305"/>
      <c r="FN733" s="1306"/>
      <c r="FO733" s="1304" t="str">
        <f t="shared" si="35"/>
        <v/>
      </c>
      <c r="FP733" s="1305"/>
      <c r="FQ733" s="1305"/>
      <c r="FR733" s="1305"/>
      <c r="FS733" s="1306"/>
      <c r="FT733" s="1304" t="str">
        <f t="shared" si="36"/>
        <v/>
      </c>
      <c r="FU733" s="1305"/>
      <c r="FV733" s="1305"/>
      <c r="FW733" s="1305"/>
      <c r="FX733" s="1306"/>
      <c r="FY733" s="1304" t="str">
        <f t="shared" si="37"/>
        <v/>
      </c>
      <c r="FZ733" s="1305"/>
      <c r="GA733" s="1305"/>
      <c r="GB733" s="1305"/>
      <c r="GC733" s="1306"/>
    </row>
    <row r="734" spans="1:185" ht="12.9" customHeight="1">
      <c r="B734" s="1318"/>
      <c r="C734" s="1319"/>
      <c r="D734" s="1319"/>
      <c r="E734" s="1319"/>
      <c r="F734" s="1320"/>
      <c r="G734" s="1327"/>
      <c r="H734" s="1328"/>
      <c r="I734" s="1328"/>
      <c r="J734" s="1329"/>
      <c r="K734" s="1460"/>
      <c r="L734" s="1461"/>
      <c r="M734" s="1461"/>
      <c r="N734" s="1462"/>
      <c r="O734" s="1334"/>
      <c r="P734" s="1335"/>
      <c r="Q734" s="1335"/>
      <c r="R734" s="1335"/>
      <c r="S734" s="1336"/>
      <c r="T734" s="1334"/>
      <c r="U734" s="1335"/>
      <c r="V734" s="1335"/>
      <c r="W734" s="1336"/>
      <c r="X734" s="1321">
        <f t="shared" si="10"/>
        <v>0</v>
      </c>
      <c r="Y734" s="1322"/>
      <c r="Z734" s="1322"/>
      <c r="AA734" s="1322"/>
      <c r="AB734" s="1323"/>
      <c r="AC734" s="1331"/>
      <c r="AD734" s="1332"/>
      <c r="AE734" s="1332"/>
      <c r="AF734" s="1332"/>
      <c r="AG734" s="1333"/>
      <c r="AH734" s="1324" t="str">
        <f t="shared" si="38"/>
        <v/>
      </c>
      <c r="AI734" s="1325"/>
      <c r="AJ734" s="1326"/>
      <c r="AK734" s="1318" t="s">
        <v>820</v>
      </c>
      <c r="AL734" s="1319"/>
      <c r="AM734" s="1319"/>
      <c r="AN734" s="1319"/>
      <c r="AO734" s="1320"/>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304">
        <f t="shared" si="39"/>
        <v>0</v>
      </c>
      <c r="CH734" s="1306"/>
      <c r="CI734" s="1304">
        <f t="shared" si="40"/>
        <v>0</v>
      </c>
      <c r="CJ734" s="1306"/>
      <c r="CK734" s="1304">
        <f t="shared" si="18"/>
        <v>0</v>
      </c>
      <c r="CL734" s="1306"/>
      <c r="CM734" s="1304">
        <f t="shared" si="19"/>
        <v>0</v>
      </c>
      <c r="CN734" s="1306"/>
      <c r="CO734" s="3"/>
      <c r="CP734" s="1301">
        <f t="shared" si="20"/>
        <v>0</v>
      </c>
      <c r="CQ734" s="1302"/>
      <c r="CR734" s="1302"/>
      <c r="CS734" s="1302"/>
      <c r="CT734" s="1303"/>
      <c r="CU734" s="1317">
        <f t="shared" si="21"/>
        <v>0</v>
      </c>
      <c r="CV734" s="1317"/>
      <c r="CW734" s="1317"/>
      <c r="CX734" s="1317"/>
      <c r="CY734" s="1317"/>
      <c r="CZ734" s="1317">
        <f t="shared" si="22"/>
        <v>0</v>
      </c>
      <c r="DA734" s="1317"/>
      <c r="DB734" s="1317"/>
      <c r="DC734" s="1317"/>
      <c r="DD734" s="1317"/>
      <c r="DE734" s="1317">
        <f t="shared" si="23"/>
        <v>0</v>
      </c>
      <c r="DF734" s="1317"/>
      <c r="DG734" s="1317"/>
      <c r="DH734" s="1317"/>
      <c r="DI734" s="1317"/>
      <c r="DJ734" s="1317">
        <f t="shared" si="24"/>
        <v>0</v>
      </c>
      <c r="DK734" s="1317"/>
      <c r="DL734" s="1317"/>
      <c r="DM734" s="1317"/>
      <c r="DN734" s="1317"/>
      <c r="DO734" s="1317">
        <f t="shared" si="25"/>
        <v>0</v>
      </c>
      <c r="DP734" s="1317"/>
      <c r="DQ734" s="1317"/>
      <c r="DR734" s="1317"/>
      <c r="DS734" s="1317"/>
      <c r="DT734" s="257"/>
      <c r="DU734" s="1338">
        <f t="shared" si="26"/>
        <v>0</v>
      </c>
      <c r="DV734" s="1338"/>
      <c r="DW734" s="1338"/>
      <c r="DX734" s="1338"/>
      <c r="DY734" s="1338"/>
      <c r="DZ734" s="1338">
        <f t="shared" si="27"/>
        <v>0</v>
      </c>
      <c r="EA734" s="1338"/>
      <c r="EB734" s="1338"/>
      <c r="EC734" s="1338"/>
      <c r="ED734" s="1338"/>
      <c r="EE734" s="1338">
        <f t="shared" si="28"/>
        <v>0</v>
      </c>
      <c r="EF734" s="1338"/>
      <c r="EG734" s="1338"/>
      <c r="EH734" s="1338"/>
      <c r="EI734" s="1338"/>
      <c r="EJ734" s="1338">
        <f t="shared" si="29"/>
        <v>0</v>
      </c>
      <c r="EK734" s="1338"/>
      <c r="EL734" s="1338"/>
      <c r="EM734" s="1338"/>
      <c r="EN734" s="1338"/>
      <c r="EO734" s="1338">
        <f t="shared" si="30"/>
        <v>0</v>
      </c>
      <c r="EP734" s="1338"/>
      <c r="EQ734" s="1338"/>
      <c r="ER734" s="1338"/>
      <c r="ES734" s="1338"/>
      <c r="ET734" s="1338">
        <f t="shared" si="31"/>
        <v>0</v>
      </c>
      <c r="EU734" s="1338"/>
      <c r="EV734" s="1338"/>
      <c r="EW734" s="1338"/>
      <c r="EX734" s="1338"/>
      <c r="EY734" s="3"/>
      <c r="EZ734" s="1304" t="str">
        <f t="shared" si="32"/>
        <v/>
      </c>
      <c r="FA734" s="1305"/>
      <c r="FB734" s="1305"/>
      <c r="FC734" s="1305"/>
      <c r="FD734" s="1306"/>
      <c r="FE734" s="1304" t="str">
        <f t="shared" si="33"/>
        <v/>
      </c>
      <c r="FF734" s="1305"/>
      <c r="FG734" s="1305"/>
      <c r="FH734" s="1305"/>
      <c r="FI734" s="1306"/>
      <c r="FJ734" s="1304" t="str">
        <f t="shared" si="34"/>
        <v/>
      </c>
      <c r="FK734" s="1305"/>
      <c r="FL734" s="1305"/>
      <c r="FM734" s="1305"/>
      <c r="FN734" s="1306"/>
      <c r="FO734" s="1304" t="str">
        <f t="shared" si="35"/>
        <v/>
      </c>
      <c r="FP734" s="1305"/>
      <c r="FQ734" s="1305"/>
      <c r="FR734" s="1305"/>
      <c r="FS734" s="1306"/>
      <c r="FT734" s="1304" t="str">
        <f t="shared" si="36"/>
        <v/>
      </c>
      <c r="FU734" s="1305"/>
      <c r="FV734" s="1305"/>
      <c r="FW734" s="1305"/>
      <c r="FX734" s="1306"/>
      <c r="FY734" s="1304" t="str">
        <f t="shared" si="37"/>
        <v/>
      </c>
      <c r="FZ734" s="1305"/>
      <c r="GA734" s="1305"/>
      <c r="GB734" s="1305"/>
      <c r="GC734" s="1306"/>
    </row>
    <row r="735" spans="1:185" ht="12.9" customHeight="1">
      <c r="A735" s="3"/>
      <c r="B735" s="1318"/>
      <c r="C735" s="1319"/>
      <c r="D735" s="1319"/>
      <c r="E735" s="1319"/>
      <c r="F735" s="1320"/>
      <c r="G735" s="1327"/>
      <c r="H735" s="1328"/>
      <c r="I735" s="1328"/>
      <c r="J735" s="1329"/>
      <c r="K735" s="1460"/>
      <c r="L735" s="1461"/>
      <c r="M735" s="1461"/>
      <c r="N735" s="1462"/>
      <c r="O735" s="1334"/>
      <c r="P735" s="1335"/>
      <c r="Q735" s="1335"/>
      <c r="R735" s="1335"/>
      <c r="S735" s="1336"/>
      <c r="T735" s="1334"/>
      <c r="U735" s="1335"/>
      <c r="V735" s="1335"/>
      <c r="W735" s="1336"/>
      <c r="X735" s="1321">
        <f t="shared" si="10"/>
        <v>0</v>
      </c>
      <c r="Y735" s="1322"/>
      <c r="Z735" s="1322"/>
      <c r="AA735" s="1322"/>
      <c r="AB735" s="1323"/>
      <c r="AC735" s="1331"/>
      <c r="AD735" s="1332"/>
      <c r="AE735" s="1332"/>
      <c r="AF735" s="1332"/>
      <c r="AG735" s="1333"/>
      <c r="AH735" s="1324" t="str">
        <f t="shared" si="38"/>
        <v/>
      </c>
      <c r="AI735" s="1325"/>
      <c r="AJ735" s="1326"/>
      <c r="AK735" s="1318" t="s">
        <v>820</v>
      </c>
      <c r="AL735" s="1319"/>
      <c r="AM735" s="1319"/>
      <c r="AN735" s="1319"/>
      <c r="AO735" s="1320"/>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4">
        <f t="shared" si="39"/>
        <v>0</v>
      </c>
      <c r="CH735" s="1306"/>
      <c r="CI735" s="1304">
        <f t="shared" si="40"/>
        <v>0</v>
      </c>
      <c r="CJ735" s="1306"/>
      <c r="CK735" s="1304">
        <f t="shared" si="18"/>
        <v>0</v>
      </c>
      <c r="CL735" s="1306"/>
      <c r="CM735" s="1304">
        <f t="shared" si="19"/>
        <v>0</v>
      </c>
      <c r="CN735" s="1306"/>
      <c r="CO735" s="3"/>
      <c r="CP735" s="1301">
        <f t="shared" si="20"/>
        <v>0</v>
      </c>
      <c r="CQ735" s="1302"/>
      <c r="CR735" s="1302"/>
      <c r="CS735" s="1302"/>
      <c r="CT735" s="1303"/>
      <c r="CU735" s="1317">
        <f t="shared" si="21"/>
        <v>0</v>
      </c>
      <c r="CV735" s="1317"/>
      <c r="CW735" s="1317"/>
      <c r="CX735" s="1317"/>
      <c r="CY735" s="1317"/>
      <c r="CZ735" s="1317">
        <f t="shared" si="22"/>
        <v>0</v>
      </c>
      <c r="DA735" s="1317"/>
      <c r="DB735" s="1317"/>
      <c r="DC735" s="1317"/>
      <c r="DD735" s="1317"/>
      <c r="DE735" s="1317">
        <f t="shared" si="23"/>
        <v>0</v>
      </c>
      <c r="DF735" s="1317"/>
      <c r="DG735" s="1317"/>
      <c r="DH735" s="1317"/>
      <c r="DI735" s="1317"/>
      <c r="DJ735" s="1317">
        <f t="shared" si="24"/>
        <v>0</v>
      </c>
      <c r="DK735" s="1317"/>
      <c r="DL735" s="1317"/>
      <c r="DM735" s="1317"/>
      <c r="DN735" s="1317"/>
      <c r="DO735" s="1317">
        <f t="shared" si="25"/>
        <v>0</v>
      </c>
      <c r="DP735" s="1317"/>
      <c r="DQ735" s="1317"/>
      <c r="DR735" s="1317"/>
      <c r="DS735" s="1317"/>
      <c r="DT735" s="257"/>
      <c r="DU735" s="1338">
        <f t="shared" si="26"/>
        <v>0</v>
      </c>
      <c r="DV735" s="1338"/>
      <c r="DW735" s="1338"/>
      <c r="DX735" s="1338"/>
      <c r="DY735" s="1338"/>
      <c r="DZ735" s="1338">
        <f t="shared" si="27"/>
        <v>0</v>
      </c>
      <c r="EA735" s="1338"/>
      <c r="EB735" s="1338"/>
      <c r="EC735" s="1338"/>
      <c r="ED735" s="1338"/>
      <c r="EE735" s="1338">
        <f t="shared" si="28"/>
        <v>0</v>
      </c>
      <c r="EF735" s="1338"/>
      <c r="EG735" s="1338"/>
      <c r="EH735" s="1338"/>
      <c r="EI735" s="1338"/>
      <c r="EJ735" s="1338">
        <f t="shared" si="29"/>
        <v>0</v>
      </c>
      <c r="EK735" s="1338"/>
      <c r="EL735" s="1338"/>
      <c r="EM735" s="1338"/>
      <c r="EN735" s="1338"/>
      <c r="EO735" s="1338">
        <f t="shared" si="30"/>
        <v>0</v>
      </c>
      <c r="EP735" s="1338"/>
      <c r="EQ735" s="1338"/>
      <c r="ER735" s="1338"/>
      <c r="ES735" s="1338"/>
      <c r="ET735" s="1338">
        <f t="shared" si="31"/>
        <v>0</v>
      </c>
      <c r="EU735" s="1338"/>
      <c r="EV735" s="1338"/>
      <c r="EW735" s="1338"/>
      <c r="EX735" s="1338"/>
      <c r="EY735" s="3"/>
      <c r="EZ735" s="1304" t="str">
        <f t="shared" si="32"/>
        <v/>
      </c>
      <c r="FA735" s="1305"/>
      <c r="FB735" s="1305"/>
      <c r="FC735" s="1305"/>
      <c r="FD735" s="1306"/>
      <c r="FE735" s="1304" t="str">
        <f t="shared" si="33"/>
        <v/>
      </c>
      <c r="FF735" s="1305"/>
      <c r="FG735" s="1305"/>
      <c r="FH735" s="1305"/>
      <c r="FI735" s="1306"/>
      <c r="FJ735" s="1304" t="str">
        <f t="shared" si="34"/>
        <v/>
      </c>
      <c r="FK735" s="1305"/>
      <c r="FL735" s="1305"/>
      <c r="FM735" s="1305"/>
      <c r="FN735" s="1306"/>
      <c r="FO735" s="1304" t="str">
        <f t="shared" si="35"/>
        <v/>
      </c>
      <c r="FP735" s="1305"/>
      <c r="FQ735" s="1305"/>
      <c r="FR735" s="1305"/>
      <c r="FS735" s="1306"/>
      <c r="FT735" s="1304" t="str">
        <f t="shared" si="36"/>
        <v/>
      </c>
      <c r="FU735" s="1305"/>
      <c r="FV735" s="1305"/>
      <c r="FW735" s="1305"/>
      <c r="FX735" s="1306"/>
      <c r="FY735" s="1304" t="str">
        <f t="shared" si="37"/>
        <v/>
      </c>
      <c r="FZ735" s="1305"/>
      <c r="GA735" s="1305"/>
      <c r="GB735" s="1305"/>
      <c r="GC735" s="1306"/>
    </row>
    <row r="736" spans="1:185" ht="12.9" customHeight="1">
      <c r="A736" s="3"/>
      <c r="B736" s="1318"/>
      <c r="C736" s="1319"/>
      <c r="D736" s="1319"/>
      <c r="E736" s="1319"/>
      <c r="F736" s="1320"/>
      <c r="G736" s="1327"/>
      <c r="H736" s="1328"/>
      <c r="I736" s="1328"/>
      <c r="J736" s="1329"/>
      <c r="K736" s="1460"/>
      <c r="L736" s="1461"/>
      <c r="M736" s="1461"/>
      <c r="N736" s="1462"/>
      <c r="O736" s="1334"/>
      <c r="P736" s="1335"/>
      <c r="Q736" s="1335"/>
      <c r="R736" s="1335"/>
      <c r="S736" s="1336"/>
      <c r="T736" s="1334"/>
      <c r="U736" s="1335"/>
      <c r="V736" s="1335"/>
      <c r="W736" s="1336"/>
      <c r="X736" s="1321">
        <f t="shared" si="10"/>
        <v>0</v>
      </c>
      <c r="Y736" s="1322"/>
      <c r="Z736" s="1322"/>
      <c r="AA736" s="1322"/>
      <c r="AB736" s="1323"/>
      <c r="AC736" s="1331"/>
      <c r="AD736" s="1332"/>
      <c r="AE736" s="1332"/>
      <c r="AF736" s="1332"/>
      <c r="AG736" s="1333"/>
      <c r="AH736" s="1324" t="str">
        <f t="shared" si="38"/>
        <v/>
      </c>
      <c r="AI736" s="1325"/>
      <c r="AJ736" s="1326"/>
      <c r="AK736" s="1318" t="s">
        <v>820</v>
      </c>
      <c r="AL736" s="1319"/>
      <c r="AM736" s="1319"/>
      <c r="AN736" s="1319"/>
      <c r="AO736" s="1320"/>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4">
        <f t="shared" si="39"/>
        <v>0</v>
      </c>
      <c r="CH736" s="1306"/>
      <c r="CI736" s="1304">
        <f t="shared" si="40"/>
        <v>0</v>
      </c>
      <c r="CJ736" s="1306"/>
      <c r="CK736" s="1304">
        <f t="shared" si="18"/>
        <v>0</v>
      </c>
      <c r="CL736" s="1306"/>
      <c r="CM736" s="1304">
        <f t="shared" si="19"/>
        <v>0</v>
      </c>
      <c r="CN736" s="1306"/>
      <c r="CO736" s="3"/>
      <c r="CP736" s="1301">
        <f t="shared" si="20"/>
        <v>0</v>
      </c>
      <c r="CQ736" s="1302"/>
      <c r="CR736" s="1302"/>
      <c r="CS736" s="1302"/>
      <c r="CT736" s="1303"/>
      <c r="CU736" s="1317">
        <f t="shared" si="21"/>
        <v>0</v>
      </c>
      <c r="CV736" s="1317"/>
      <c r="CW736" s="1317"/>
      <c r="CX736" s="1317"/>
      <c r="CY736" s="1317"/>
      <c r="CZ736" s="1317">
        <f t="shared" si="22"/>
        <v>0</v>
      </c>
      <c r="DA736" s="1317"/>
      <c r="DB736" s="1317"/>
      <c r="DC736" s="1317"/>
      <c r="DD736" s="1317"/>
      <c r="DE736" s="1317">
        <f t="shared" si="23"/>
        <v>0</v>
      </c>
      <c r="DF736" s="1317"/>
      <c r="DG736" s="1317"/>
      <c r="DH736" s="1317"/>
      <c r="DI736" s="1317"/>
      <c r="DJ736" s="1317">
        <f t="shared" si="24"/>
        <v>0</v>
      </c>
      <c r="DK736" s="1317"/>
      <c r="DL736" s="1317"/>
      <c r="DM736" s="1317"/>
      <c r="DN736" s="1317"/>
      <c r="DO736" s="1317">
        <f t="shared" si="25"/>
        <v>0</v>
      </c>
      <c r="DP736" s="1317"/>
      <c r="DQ736" s="1317"/>
      <c r="DR736" s="1317"/>
      <c r="DS736" s="1317"/>
      <c r="DT736" s="257"/>
      <c r="DU736" s="1338">
        <f t="shared" si="26"/>
        <v>0</v>
      </c>
      <c r="DV736" s="1338"/>
      <c r="DW736" s="1338"/>
      <c r="DX736" s="1338"/>
      <c r="DY736" s="1338"/>
      <c r="DZ736" s="1338">
        <f t="shared" si="27"/>
        <v>0</v>
      </c>
      <c r="EA736" s="1338"/>
      <c r="EB736" s="1338"/>
      <c r="EC736" s="1338"/>
      <c r="ED736" s="1338"/>
      <c r="EE736" s="1338">
        <f t="shared" si="28"/>
        <v>0</v>
      </c>
      <c r="EF736" s="1338"/>
      <c r="EG736" s="1338"/>
      <c r="EH736" s="1338"/>
      <c r="EI736" s="1338"/>
      <c r="EJ736" s="1338">
        <f t="shared" si="29"/>
        <v>0</v>
      </c>
      <c r="EK736" s="1338"/>
      <c r="EL736" s="1338"/>
      <c r="EM736" s="1338"/>
      <c r="EN736" s="1338"/>
      <c r="EO736" s="1338">
        <f t="shared" si="30"/>
        <v>0</v>
      </c>
      <c r="EP736" s="1338"/>
      <c r="EQ736" s="1338"/>
      <c r="ER736" s="1338"/>
      <c r="ES736" s="1338"/>
      <c r="ET736" s="1338">
        <f t="shared" si="31"/>
        <v>0</v>
      </c>
      <c r="EU736" s="1338"/>
      <c r="EV736" s="1338"/>
      <c r="EW736" s="1338"/>
      <c r="EX736" s="1338"/>
      <c r="EY736" s="3"/>
      <c r="EZ736" s="1304" t="str">
        <f t="shared" si="32"/>
        <v/>
      </c>
      <c r="FA736" s="1305"/>
      <c r="FB736" s="1305"/>
      <c r="FC736" s="1305"/>
      <c r="FD736" s="1306"/>
      <c r="FE736" s="1304" t="str">
        <f t="shared" si="33"/>
        <v/>
      </c>
      <c r="FF736" s="1305"/>
      <c r="FG736" s="1305"/>
      <c r="FH736" s="1305"/>
      <c r="FI736" s="1306"/>
      <c r="FJ736" s="1304" t="str">
        <f t="shared" si="34"/>
        <v/>
      </c>
      <c r="FK736" s="1305"/>
      <c r="FL736" s="1305"/>
      <c r="FM736" s="1305"/>
      <c r="FN736" s="1306"/>
      <c r="FO736" s="1304" t="str">
        <f t="shared" si="35"/>
        <v/>
      </c>
      <c r="FP736" s="1305"/>
      <c r="FQ736" s="1305"/>
      <c r="FR736" s="1305"/>
      <c r="FS736" s="1306"/>
      <c r="FT736" s="1304" t="str">
        <f t="shared" si="36"/>
        <v/>
      </c>
      <c r="FU736" s="1305"/>
      <c r="FV736" s="1305"/>
      <c r="FW736" s="1305"/>
      <c r="FX736" s="1306"/>
      <c r="FY736" s="1304" t="str">
        <f t="shared" si="37"/>
        <v/>
      </c>
      <c r="FZ736" s="1305"/>
      <c r="GA736" s="1305"/>
      <c r="GB736" s="1305"/>
      <c r="GC736" s="1306"/>
    </row>
    <row r="737" spans="1:185" ht="12.9" customHeight="1">
      <c r="A737" s="3"/>
      <c r="B737" s="1318"/>
      <c r="C737" s="1319"/>
      <c r="D737" s="1319"/>
      <c r="E737" s="1319"/>
      <c r="F737" s="1320"/>
      <c r="G737" s="1327"/>
      <c r="H737" s="1328"/>
      <c r="I737" s="1328"/>
      <c r="J737" s="1329"/>
      <c r="K737" s="1460"/>
      <c r="L737" s="1461"/>
      <c r="M737" s="1461"/>
      <c r="N737" s="1462"/>
      <c r="O737" s="1334"/>
      <c r="P737" s="1335"/>
      <c r="Q737" s="1335"/>
      <c r="R737" s="1335"/>
      <c r="S737" s="1336"/>
      <c r="T737" s="1334"/>
      <c r="U737" s="1335"/>
      <c r="V737" s="1335"/>
      <c r="W737" s="1336"/>
      <c r="X737" s="1321">
        <f t="shared" si="10"/>
        <v>0</v>
      </c>
      <c r="Y737" s="1322"/>
      <c r="Z737" s="1322"/>
      <c r="AA737" s="1322"/>
      <c r="AB737" s="1323"/>
      <c r="AC737" s="1331"/>
      <c r="AD737" s="1332"/>
      <c r="AE737" s="1332"/>
      <c r="AF737" s="1332"/>
      <c r="AG737" s="1333"/>
      <c r="AH737" s="1324" t="str">
        <f t="shared" si="38"/>
        <v/>
      </c>
      <c r="AI737" s="1325"/>
      <c r="AJ737" s="1326"/>
      <c r="AK737" s="1318" t="s">
        <v>820</v>
      </c>
      <c r="AL737" s="1319"/>
      <c r="AM737" s="1319"/>
      <c r="AN737" s="1319"/>
      <c r="AO737" s="1320"/>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4">
        <f t="shared" si="39"/>
        <v>0</v>
      </c>
      <c r="CH737" s="1306"/>
      <c r="CI737" s="1304">
        <f t="shared" si="40"/>
        <v>0</v>
      </c>
      <c r="CJ737" s="1306"/>
      <c r="CK737" s="1304">
        <f t="shared" si="18"/>
        <v>0</v>
      </c>
      <c r="CL737" s="1306"/>
      <c r="CM737" s="1304">
        <f t="shared" si="19"/>
        <v>0</v>
      </c>
      <c r="CN737" s="1306"/>
      <c r="CO737" s="3"/>
      <c r="CP737" s="1301">
        <f t="shared" si="20"/>
        <v>0</v>
      </c>
      <c r="CQ737" s="1302"/>
      <c r="CR737" s="1302"/>
      <c r="CS737" s="1302"/>
      <c r="CT737" s="1303"/>
      <c r="CU737" s="1317">
        <f t="shared" si="21"/>
        <v>0</v>
      </c>
      <c r="CV737" s="1317"/>
      <c r="CW737" s="1317"/>
      <c r="CX737" s="1317"/>
      <c r="CY737" s="1317"/>
      <c r="CZ737" s="1317">
        <f t="shared" si="22"/>
        <v>0</v>
      </c>
      <c r="DA737" s="1317"/>
      <c r="DB737" s="1317"/>
      <c r="DC737" s="1317"/>
      <c r="DD737" s="1317"/>
      <c r="DE737" s="1317">
        <f t="shared" si="23"/>
        <v>0</v>
      </c>
      <c r="DF737" s="1317"/>
      <c r="DG737" s="1317"/>
      <c r="DH737" s="1317"/>
      <c r="DI737" s="1317"/>
      <c r="DJ737" s="1317">
        <f t="shared" si="24"/>
        <v>0</v>
      </c>
      <c r="DK737" s="1317"/>
      <c r="DL737" s="1317"/>
      <c r="DM737" s="1317"/>
      <c r="DN737" s="1317"/>
      <c r="DO737" s="1317">
        <f t="shared" si="25"/>
        <v>0</v>
      </c>
      <c r="DP737" s="1317"/>
      <c r="DQ737" s="1317"/>
      <c r="DR737" s="1317"/>
      <c r="DS737" s="1317"/>
      <c r="DT737" s="257"/>
      <c r="DU737" s="1338">
        <f t="shared" si="26"/>
        <v>0</v>
      </c>
      <c r="DV737" s="1338"/>
      <c r="DW737" s="1338"/>
      <c r="DX737" s="1338"/>
      <c r="DY737" s="1338"/>
      <c r="DZ737" s="1338">
        <f t="shared" si="27"/>
        <v>0</v>
      </c>
      <c r="EA737" s="1338"/>
      <c r="EB737" s="1338"/>
      <c r="EC737" s="1338"/>
      <c r="ED737" s="1338"/>
      <c r="EE737" s="1338">
        <f t="shared" si="28"/>
        <v>0</v>
      </c>
      <c r="EF737" s="1338"/>
      <c r="EG737" s="1338"/>
      <c r="EH737" s="1338"/>
      <c r="EI737" s="1338"/>
      <c r="EJ737" s="1338">
        <f t="shared" si="29"/>
        <v>0</v>
      </c>
      <c r="EK737" s="1338"/>
      <c r="EL737" s="1338"/>
      <c r="EM737" s="1338"/>
      <c r="EN737" s="1338"/>
      <c r="EO737" s="1338">
        <f t="shared" si="30"/>
        <v>0</v>
      </c>
      <c r="EP737" s="1338"/>
      <c r="EQ737" s="1338"/>
      <c r="ER737" s="1338"/>
      <c r="ES737" s="1338"/>
      <c r="ET737" s="1338">
        <f t="shared" si="31"/>
        <v>0</v>
      </c>
      <c r="EU737" s="1338"/>
      <c r="EV737" s="1338"/>
      <c r="EW737" s="1338"/>
      <c r="EX737" s="1338"/>
      <c r="EZ737" s="1304" t="str">
        <f t="shared" si="32"/>
        <v/>
      </c>
      <c r="FA737" s="1305"/>
      <c r="FB737" s="1305"/>
      <c r="FC737" s="1305"/>
      <c r="FD737" s="1306"/>
      <c r="FE737" s="1304" t="str">
        <f t="shared" si="33"/>
        <v/>
      </c>
      <c r="FF737" s="1305"/>
      <c r="FG737" s="1305"/>
      <c r="FH737" s="1305"/>
      <c r="FI737" s="1306"/>
      <c r="FJ737" s="1304" t="str">
        <f t="shared" si="34"/>
        <v/>
      </c>
      <c r="FK737" s="1305"/>
      <c r="FL737" s="1305"/>
      <c r="FM737" s="1305"/>
      <c r="FN737" s="1306"/>
      <c r="FO737" s="1304" t="str">
        <f t="shared" si="35"/>
        <v/>
      </c>
      <c r="FP737" s="1305"/>
      <c r="FQ737" s="1305"/>
      <c r="FR737" s="1305"/>
      <c r="FS737" s="1306"/>
      <c r="FT737" s="1304" t="str">
        <f t="shared" si="36"/>
        <v/>
      </c>
      <c r="FU737" s="1305"/>
      <c r="FV737" s="1305"/>
      <c r="FW737" s="1305"/>
      <c r="FX737" s="1306"/>
      <c r="FY737" s="1304" t="str">
        <f t="shared" si="37"/>
        <v/>
      </c>
      <c r="FZ737" s="1305"/>
      <c r="GA737" s="1305"/>
      <c r="GB737" s="1305"/>
      <c r="GC737" s="1306"/>
    </row>
    <row r="738" spans="1:185" ht="12.9" customHeight="1">
      <c r="B738" s="1318"/>
      <c r="C738" s="1319"/>
      <c r="D738" s="1319"/>
      <c r="E738" s="1319"/>
      <c r="F738" s="1320"/>
      <c r="G738" s="1327"/>
      <c r="H738" s="1328"/>
      <c r="I738" s="1328"/>
      <c r="J738" s="1329"/>
      <c r="K738" s="1460"/>
      <c r="L738" s="1461"/>
      <c r="M738" s="1461"/>
      <c r="N738" s="1462"/>
      <c r="O738" s="1334"/>
      <c r="P738" s="1335"/>
      <c r="Q738" s="1335"/>
      <c r="R738" s="1335"/>
      <c r="S738" s="1336"/>
      <c r="T738" s="1334"/>
      <c r="U738" s="1335"/>
      <c r="V738" s="1335"/>
      <c r="W738" s="1336"/>
      <c r="X738" s="1321">
        <f t="shared" si="10"/>
        <v>0</v>
      </c>
      <c r="Y738" s="1322"/>
      <c r="Z738" s="1322"/>
      <c r="AA738" s="1322"/>
      <c r="AB738" s="1323"/>
      <c r="AC738" s="1331"/>
      <c r="AD738" s="1332"/>
      <c r="AE738" s="1332"/>
      <c r="AF738" s="1332"/>
      <c r="AG738" s="1333"/>
      <c r="AH738" s="1324" t="str">
        <f t="shared" si="38"/>
        <v/>
      </c>
      <c r="AI738" s="1325"/>
      <c r="AJ738" s="1326"/>
      <c r="AK738" s="1318" t="s">
        <v>820</v>
      </c>
      <c r="AL738" s="1319"/>
      <c r="AM738" s="1319"/>
      <c r="AN738" s="1319"/>
      <c r="AO738" s="1320"/>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4">
        <f t="shared" si="39"/>
        <v>0</v>
      </c>
      <c r="CH738" s="1306"/>
      <c r="CI738" s="1304">
        <f t="shared" si="40"/>
        <v>0</v>
      </c>
      <c r="CJ738" s="1306"/>
      <c r="CK738" s="1304">
        <f t="shared" si="18"/>
        <v>0</v>
      </c>
      <c r="CL738" s="1306"/>
      <c r="CM738" s="1304">
        <f t="shared" si="19"/>
        <v>0</v>
      </c>
      <c r="CN738" s="1306"/>
      <c r="CO738" s="3"/>
      <c r="CP738" s="1301">
        <f t="shared" si="20"/>
        <v>0</v>
      </c>
      <c r="CQ738" s="1302"/>
      <c r="CR738" s="1302"/>
      <c r="CS738" s="1302"/>
      <c r="CT738" s="1303"/>
      <c r="CU738" s="1317">
        <f t="shared" si="21"/>
        <v>0</v>
      </c>
      <c r="CV738" s="1317"/>
      <c r="CW738" s="1317"/>
      <c r="CX738" s="1317"/>
      <c r="CY738" s="1317"/>
      <c r="CZ738" s="1317">
        <f t="shared" si="22"/>
        <v>0</v>
      </c>
      <c r="DA738" s="1317"/>
      <c r="DB738" s="1317"/>
      <c r="DC738" s="1317"/>
      <c r="DD738" s="1317"/>
      <c r="DE738" s="1317">
        <f t="shared" si="23"/>
        <v>0</v>
      </c>
      <c r="DF738" s="1317"/>
      <c r="DG738" s="1317"/>
      <c r="DH738" s="1317"/>
      <c r="DI738" s="1317"/>
      <c r="DJ738" s="1317">
        <f t="shared" si="24"/>
        <v>0</v>
      </c>
      <c r="DK738" s="1317"/>
      <c r="DL738" s="1317"/>
      <c r="DM738" s="1317"/>
      <c r="DN738" s="1317"/>
      <c r="DO738" s="1317">
        <f t="shared" si="25"/>
        <v>0</v>
      </c>
      <c r="DP738" s="1317"/>
      <c r="DQ738" s="1317"/>
      <c r="DR738" s="1317"/>
      <c r="DS738" s="1317"/>
      <c r="DT738" s="257"/>
      <c r="DU738" s="1338">
        <f t="shared" si="26"/>
        <v>0</v>
      </c>
      <c r="DV738" s="1338"/>
      <c r="DW738" s="1338"/>
      <c r="DX738" s="1338"/>
      <c r="DY738" s="1338"/>
      <c r="DZ738" s="1338">
        <f t="shared" si="27"/>
        <v>0</v>
      </c>
      <c r="EA738" s="1338"/>
      <c r="EB738" s="1338"/>
      <c r="EC738" s="1338"/>
      <c r="ED738" s="1338"/>
      <c r="EE738" s="1338">
        <f t="shared" si="28"/>
        <v>0</v>
      </c>
      <c r="EF738" s="1338"/>
      <c r="EG738" s="1338"/>
      <c r="EH738" s="1338"/>
      <c r="EI738" s="1338"/>
      <c r="EJ738" s="1338">
        <f t="shared" si="29"/>
        <v>0</v>
      </c>
      <c r="EK738" s="1338"/>
      <c r="EL738" s="1338"/>
      <c r="EM738" s="1338"/>
      <c r="EN738" s="1338"/>
      <c r="EO738" s="1338">
        <f t="shared" si="30"/>
        <v>0</v>
      </c>
      <c r="EP738" s="1338"/>
      <c r="EQ738" s="1338"/>
      <c r="ER738" s="1338"/>
      <c r="ES738" s="1338"/>
      <c r="ET738" s="1338">
        <f t="shared" si="31"/>
        <v>0</v>
      </c>
      <c r="EU738" s="1338"/>
      <c r="EV738" s="1338"/>
      <c r="EW738" s="1338"/>
      <c r="EX738" s="1338"/>
      <c r="EZ738" s="1304" t="str">
        <f t="shared" si="32"/>
        <v/>
      </c>
      <c r="FA738" s="1305"/>
      <c r="FB738" s="1305"/>
      <c r="FC738" s="1305"/>
      <c r="FD738" s="1306"/>
      <c r="FE738" s="1304" t="str">
        <f t="shared" si="33"/>
        <v/>
      </c>
      <c r="FF738" s="1305"/>
      <c r="FG738" s="1305"/>
      <c r="FH738" s="1305"/>
      <c r="FI738" s="1306"/>
      <c r="FJ738" s="1304" t="str">
        <f t="shared" si="34"/>
        <v/>
      </c>
      <c r="FK738" s="1305"/>
      <c r="FL738" s="1305"/>
      <c r="FM738" s="1305"/>
      <c r="FN738" s="1306"/>
      <c r="FO738" s="1304" t="str">
        <f t="shared" si="35"/>
        <v/>
      </c>
      <c r="FP738" s="1305"/>
      <c r="FQ738" s="1305"/>
      <c r="FR738" s="1305"/>
      <c r="FS738" s="1306"/>
      <c r="FT738" s="1304" t="str">
        <f t="shared" si="36"/>
        <v/>
      </c>
      <c r="FU738" s="1305"/>
      <c r="FV738" s="1305"/>
      <c r="FW738" s="1305"/>
      <c r="FX738" s="1306"/>
      <c r="FY738" s="1304" t="str">
        <f t="shared" si="37"/>
        <v/>
      </c>
      <c r="FZ738" s="1305"/>
      <c r="GA738" s="1305"/>
      <c r="GB738" s="1305"/>
      <c r="GC738" s="1306"/>
    </row>
    <row r="739" spans="1:185" ht="12.9" customHeight="1">
      <c r="B739" s="1318"/>
      <c r="C739" s="1319"/>
      <c r="D739" s="1319"/>
      <c r="E739" s="1319"/>
      <c r="F739" s="1320"/>
      <c r="G739" s="1327"/>
      <c r="H739" s="1328"/>
      <c r="I739" s="1328"/>
      <c r="J739" s="1329"/>
      <c r="K739" s="1460"/>
      <c r="L739" s="1461"/>
      <c r="M739" s="1461"/>
      <c r="N739" s="1462"/>
      <c r="O739" s="1334"/>
      <c r="P739" s="1335"/>
      <c r="Q739" s="1335"/>
      <c r="R739" s="1335"/>
      <c r="S739" s="1336"/>
      <c r="T739" s="1334"/>
      <c r="U739" s="1335"/>
      <c r="V739" s="1335"/>
      <c r="W739" s="1336"/>
      <c r="X739" s="1321">
        <f t="shared" si="10"/>
        <v>0</v>
      </c>
      <c r="Y739" s="1322"/>
      <c r="Z739" s="1322"/>
      <c r="AA739" s="1322"/>
      <c r="AB739" s="1323"/>
      <c r="AC739" s="1331"/>
      <c r="AD739" s="1332"/>
      <c r="AE739" s="1332"/>
      <c r="AF739" s="1332"/>
      <c r="AG739" s="1333"/>
      <c r="AH739" s="1324" t="str">
        <f t="shared" si="38"/>
        <v/>
      </c>
      <c r="AI739" s="1325"/>
      <c r="AJ739" s="1326"/>
      <c r="AK739" s="1318" t="s">
        <v>820</v>
      </c>
      <c r="AL739" s="1319"/>
      <c r="AM739" s="1319"/>
      <c r="AN739" s="1319"/>
      <c r="AO739" s="1320"/>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4">
        <f t="shared" si="39"/>
        <v>0</v>
      </c>
      <c r="CH739" s="1306"/>
      <c r="CI739" s="1304">
        <f t="shared" si="40"/>
        <v>0</v>
      </c>
      <c r="CJ739" s="1306"/>
      <c r="CK739" s="1304">
        <f t="shared" si="18"/>
        <v>0</v>
      </c>
      <c r="CL739" s="1306"/>
      <c r="CM739" s="1304">
        <f t="shared" si="19"/>
        <v>0</v>
      </c>
      <c r="CN739" s="1306"/>
      <c r="CO739" s="3"/>
      <c r="CP739" s="1301">
        <f t="shared" si="20"/>
        <v>0</v>
      </c>
      <c r="CQ739" s="1302"/>
      <c r="CR739" s="1302"/>
      <c r="CS739" s="1302"/>
      <c r="CT739" s="1303"/>
      <c r="CU739" s="1317">
        <f t="shared" si="21"/>
        <v>0</v>
      </c>
      <c r="CV739" s="1317"/>
      <c r="CW739" s="1317"/>
      <c r="CX739" s="1317"/>
      <c r="CY739" s="1317"/>
      <c r="CZ739" s="1317">
        <f t="shared" si="22"/>
        <v>0</v>
      </c>
      <c r="DA739" s="1317"/>
      <c r="DB739" s="1317"/>
      <c r="DC739" s="1317"/>
      <c r="DD739" s="1317"/>
      <c r="DE739" s="1317">
        <f t="shared" si="23"/>
        <v>0</v>
      </c>
      <c r="DF739" s="1317"/>
      <c r="DG739" s="1317"/>
      <c r="DH739" s="1317"/>
      <c r="DI739" s="1317"/>
      <c r="DJ739" s="1317">
        <f t="shared" si="24"/>
        <v>0</v>
      </c>
      <c r="DK739" s="1317"/>
      <c r="DL739" s="1317"/>
      <c r="DM739" s="1317"/>
      <c r="DN739" s="1317"/>
      <c r="DO739" s="1317">
        <f t="shared" si="25"/>
        <v>0</v>
      </c>
      <c r="DP739" s="1317"/>
      <c r="DQ739" s="1317"/>
      <c r="DR739" s="1317"/>
      <c r="DS739" s="1317"/>
      <c r="DT739" s="257"/>
      <c r="DU739" s="1338">
        <f t="shared" si="26"/>
        <v>0</v>
      </c>
      <c r="DV739" s="1338"/>
      <c r="DW739" s="1338"/>
      <c r="DX739" s="1338"/>
      <c r="DY739" s="1338"/>
      <c r="DZ739" s="1338">
        <f t="shared" si="27"/>
        <v>0</v>
      </c>
      <c r="EA739" s="1338"/>
      <c r="EB739" s="1338"/>
      <c r="EC739" s="1338"/>
      <c r="ED739" s="1338"/>
      <c r="EE739" s="1338">
        <f t="shared" si="28"/>
        <v>0</v>
      </c>
      <c r="EF739" s="1338"/>
      <c r="EG739" s="1338"/>
      <c r="EH739" s="1338"/>
      <c r="EI739" s="1338"/>
      <c r="EJ739" s="1338">
        <f t="shared" si="29"/>
        <v>0</v>
      </c>
      <c r="EK739" s="1338"/>
      <c r="EL739" s="1338"/>
      <c r="EM739" s="1338"/>
      <c r="EN739" s="1338"/>
      <c r="EO739" s="1338">
        <f t="shared" si="30"/>
        <v>0</v>
      </c>
      <c r="EP739" s="1338"/>
      <c r="EQ739" s="1338"/>
      <c r="ER739" s="1338"/>
      <c r="ES739" s="1338"/>
      <c r="ET739" s="1338">
        <f t="shared" si="31"/>
        <v>0</v>
      </c>
      <c r="EU739" s="1338"/>
      <c r="EV739" s="1338"/>
      <c r="EW739" s="1338"/>
      <c r="EX739" s="1338"/>
      <c r="EZ739" s="1304" t="str">
        <f t="shared" si="32"/>
        <v/>
      </c>
      <c r="FA739" s="1305"/>
      <c r="FB739" s="1305"/>
      <c r="FC739" s="1305"/>
      <c r="FD739" s="1306"/>
      <c r="FE739" s="1304" t="str">
        <f t="shared" si="33"/>
        <v/>
      </c>
      <c r="FF739" s="1305"/>
      <c r="FG739" s="1305"/>
      <c r="FH739" s="1305"/>
      <c r="FI739" s="1306"/>
      <c r="FJ739" s="1304" t="str">
        <f t="shared" si="34"/>
        <v/>
      </c>
      <c r="FK739" s="1305"/>
      <c r="FL739" s="1305"/>
      <c r="FM739" s="1305"/>
      <c r="FN739" s="1306"/>
      <c r="FO739" s="1304" t="str">
        <f t="shared" si="35"/>
        <v/>
      </c>
      <c r="FP739" s="1305"/>
      <c r="FQ739" s="1305"/>
      <c r="FR739" s="1305"/>
      <c r="FS739" s="1306"/>
      <c r="FT739" s="1304" t="str">
        <f t="shared" si="36"/>
        <v/>
      </c>
      <c r="FU739" s="1305"/>
      <c r="FV739" s="1305"/>
      <c r="FW739" s="1305"/>
      <c r="FX739" s="1306"/>
      <c r="FY739" s="1304" t="str">
        <f t="shared" si="37"/>
        <v/>
      </c>
      <c r="FZ739" s="1305"/>
      <c r="GA739" s="1305"/>
      <c r="GB739" s="1305"/>
      <c r="GC739" s="1306"/>
    </row>
    <row r="740" spans="1:185" ht="12.9" customHeight="1">
      <c r="B740" s="1318"/>
      <c r="C740" s="1319"/>
      <c r="D740" s="1319"/>
      <c r="E740" s="1319"/>
      <c r="F740" s="1320"/>
      <c r="G740" s="1327"/>
      <c r="H740" s="1328"/>
      <c r="I740" s="1328"/>
      <c r="J740" s="1329"/>
      <c r="K740" s="1460"/>
      <c r="L740" s="1461"/>
      <c r="M740" s="1461"/>
      <c r="N740" s="1462"/>
      <c r="O740" s="1334"/>
      <c r="P740" s="1335"/>
      <c r="Q740" s="1335"/>
      <c r="R740" s="1335"/>
      <c r="S740" s="1336"/>
      <c r="T740" s="1334"/>
      <c r="U740" s="1335"/>
      <c r="V740" s="1335"/>
      <c r="W740" s="1336"/>
      <c r="X740" s="1321">
        <f t="shared" si="10"/>
        <v>0</v>
      </c>
      <c r="Y740" s="1322"/>
      <c r="Z740" s="1322"/>
      <c r="AA740" s="1322"/>
      <c r="AB740" s="1323"/>
      <c r="AC740" s="1331"/>
      <c r="AD740" s="1332"/>
      <c r="AE740" s="1332"/>
      <c r="AF740" s="1332"/>
      <c r="AG740" s="1333"/>
      <c r="AH740" s="1324" t="str">
        <f t="shared" si="38"/>
        <v/>
      </c>
      <c r="AI740" s="1325"/>
      <c r="AJ740" s="1326"/>
      <c r="AK740" s="1318" t="s">
        <v>820</v>
      </c>
      <c r="AL740" s="1319"/>
      <c r="AM740" s="1319"/>
      <c r="AN740" s="1319"/>
      <c r="AO740" s="1320"/>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4">
        <f t="shared" si="39"/>
        <v>0</v>
      </c>
      <c r="CH740" s="1306"/>
      <c r="CI740" s="1304">
        <f t="shared" si="40"/>
        <v>0</v>
      </c>
      <c r="CJ740" s="1306"/>
      <c r="CK740" s="1304">
        <f t="shared" si="18"/>
        <v>0</v>
      </c>
      <c r="CL740" s="1306"/>
      <c r="CM740" s="1304">
        <f t="shared" si="19"/>
        <v>0</v>
      </c>
      <c r="CN740" s="1306"/>
      <c r="CO740" s="3"/>
      <c r="CP740" s="1301">
        <f t="shared" si="20"/>
        <v>0</v>
      </c>
      <c r="CQ740" s="1302"/>
      <c r="CR740" s="1302"/>
      <c r="CS740" s="1302"/>
      <c r="CT740" s="1303"/>
      <c r="CU740" s="1317">
        <f t="shared" si="21"/>
        <v>0</v>
      </c>
      <c r="CV740" s="1317"/>
      <c r="CW740" s="1317"/>
      <c r="CX740" s="1317"/>
      <c r="CY740" s="1317"/>
      <c r="CZ740" s="1317">
        <f t="shared" si="22"/>
        <v>0</v>
      </c>
      <c r="DA740" s="1317"/>
      <c r="DB740" s="1317"/>
      <c r="DC740" s="1317"/>
      <c r="DD740" s="1317"/>
      <c r="DE740" s="1317">
        <f t="shared" si="23"/>
        <v>0</v>
      </c>
      <c r="DF740" s="1317"/>
      <c r="DG740" s="1317"/>
      <c r="DH740" s="1317"/>
      <c r="DI740" s="1317"/>
      <c r="DJ740" s="1317">
        <f t="shared" si="24"/>
        <v>0</v>
      </c>
      <c r="DK740" s="1317"/>
      <c r="DL740" s="1317"/>
      <c r="DM740" s="1317"/>
      <c r="DN740" s="1317"/>
      <c r="DO740" s="1317">
        <f t="shared" si="25"/>
        <v>0</v>
      </c>
      <c r="DP740" s="1317"/>
      <c r="DQ740" s="1317"/>
      <c r="DR740" s="1317"/>
      <c r="DS740" s="1317"/>
      <c r="DT740" s="257"/>
      <c r="DU740" s="1338">
        <f t="shared" si="26"/>
        <v>0</v>
      </c>
      <c r="DV740" s="1338"/>
      <c r="DW740" s="1338"/>
      <c r="DX740" s="1338"/>
      <c r="DY740" s="1338"/>
      <c r="DZ740" s="1338">
        <f t="shared" si="27"/>
        <v>0</v>
      </c>
      <c r="EA740" s="1338"/>
      <c r="EB740" s="1338"/>
      <c r="EC740" s="1338"/>
      <c r="ED740" s="1338"/>
      <c r="EE740" s="1338">
        <f t="shared" si="28"/>
        <v>0</v>
      </c>
      <c r="EF740" s="1338"/>
      <c r="EG740" s="1338"/>
      <c r="EH740" s="1338"/>
      <c r="EI740" s="1338"/>
      <c r="EJ740" s="1338">
        <f t="shared" si="29"/>
        <v>0</v>
      </c>
      <c r="EK740" s="1338"/>
      <c r="EL740" s="1338"/>
      <c r="EM740" s="1338"/>
      <c r="EN740" s="1338"/>
      <c r="EO740" s="1338">
        <f t="shared" si="30"/>
        <v>0</v>
      </c>
      <c r="EP740" s="1338"/>
      <c r="EQ740" s="1338"/>
      <c r="ER740" s="1338"/>
      <c r="ES740" s="1338"/>
      <c r="ET740" s="1338">
        <f t="shared" si="31"/>
        <v>0</v>
      </c>
      <c r="EU740" s="1338"/>
      <c r="EV740" s="1338"/>
      <c r="EW740" s="1338"/>
      <c r="EX740" s="1338"/>
      <c r="EZ740" s="1304" t="str">
        <f t="shared" si="32"/>
        <v/>
      </c>
      <c r="FA740" s="1305"/>
      <c r="FB740" s="1305"/>
      <c r="FC740" s="1305"/>
      <c r="FD740" s="1306"/>
      <c r="FE740" s="1304" t="str">
        <f t="shared" si="33"/>
        <v/>
      </c>
      <c r="FF740" s="1305"/>
      <c r="FG740" s="1305"/>
      <c r="FH740" s="1305"/>
      <c r="FI740" s="1306"/>
      <c r="FJ740" s="1304" t="str">
        <f t="shared" si="34"/>
        <v/>
      </c>
      <c r="FK740" s="1305"/>
      <c r="FL740" s="1305"/>
      <c r="FM740" s="1305"/>
      <c r="FN740" s="1306"/>
      <c r="FO740" s="1304" t="str">
        <f t="shared" si="35"/>
        <v/>
      </c>
      <c r="FP740" s="1305"/>
      <c r="FQ740" s="1305"/>
      <c r="FR740" s="1305"/>
      <c r="FS740" s="1306"/>
      <c r="FT740" s="1304" t="str">
        <f t="shared" si="36"/>
        <v/>
      </c>
      <c r="FU740" s="1305"/>
      <c r="FV740" s="1305"/>
      <c r="FW740" s="1305"/>
      <c r="FX740" s="1306"/>
      <c r="FY740" s="1304" t="str">
        <f t="shared" si="37"/>
        <v/>
      </c>
      <c r="FZ740" s="1305"/>
      <c r="GA740" s="1305"/>
      <c r="GB740" s="1305"/>
      <c r="GC740" s="1306"/>
    </row>
    <row r="741" spans="1:185" ht="12.9" customHeight="1">
      <c r="B741" s="1318"/>
      <c r="C741" s="1319"/>
      <c r="D741" s="1319"/>
      <c r="E741" s="1319"/>
      <c r="F741" s="1320"/>
      <c r="G741" s="1327"/>
      <c r="H741" s="1328"/>
      <c r="I741" s="1328"/>
      <c r="J741" s="1329"/>
      <c r="K741" s="1460"/>
      <c r="L741" s="1461"/>
      <c r="M741" s="1461"/>
      <c r="N741" s="1462"/>
      <c r="O741" s="1334"/>
      <c r="P741" s="1335"/>
      <c r="Q741" s="1335"/>
      <c r="R741" s="1335"/>
      <c r="S741" s="1336"/>
      <c r="T741" s="1334"/>
      <c r="U741" s="1335"/>
      <c r="V741" s="1335"/>
      <c r="W741" s="1336"/>
      <c r="X741" s="1321">
        <f t="shared" si="10"/>
        <v>0</v>
      </c>
      <c r="Y741" s="1322"/>
      <c r="Z741" s="1322"/>
      <c r="AA741" s="1322"/>
      <c r="AB741" s="1323"/>
      <c r="AC741" s="1331"/>
      <c r="AD741" s="1332"/>
      <c r="AE741" s="1332"/>
      <c r="AF741" s="1332"/>
      <c r="AG741" s="1333"/>
      <c r="AH741" s="1324" t="str">
        <f t="shared" si="38"/>
        <v/>
      </c>
      <c r="AI741" s="1325"/>
      <c r="AJ741" s="1326"/>
      <c r="AK741" s="1318" t="s">
        <v>820</v>
      </c>
      <c r="AL741" s="1319"/>
      <c r="AM741" s="1319"/>
      <c r="AN741" s="1319"/>
      <c r="AO741" s="1320"/>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4">
        <f t="shared" si="39"/>
        <v>0</v>
      </c>
      <c r="CH741" s="1306"/>
      <c r="CI741" s="1304">
        <f t="shared" si="40"/>
        <v>0</v>
      </c>
      <c r="CJ741" s="1306"/>
      <c r="CK741" s="1304">
        <f t="shared" si="18"/>
        <v>0</v>
      </c>
      <c r="CL741" s="1306"/>
      <c r="CM741" s="1304">
        <f t="shared" si="19"/>
        <v>0</v>
      </c>
      <c r="CN741" s="1306"/>
      <c r="CO741" s="3"/>
      <c r="CP741" s="1301">
        <f t="shared" si="20"/>
        <v>0</v>
      </c>
      <c r="CQ741" s="1302"/>
      <c r="CR741" s="1302"/>
      <c r="CS741" s="1302"/>
      <c r="CT741" s="1303"/>
      <c r="CU741" s="1317">
        <f t="shared" si="21"/>
        <v>0</v>
      </c>
      <c r="CV741" s="1317"/>
      <c r="CW741" s="1317"/>
      <c r="CX741" s="1317"/>
      <c r="CY741" s="1317"/>
      <c r="CZ741" s="1317">
        <f t="shared" si="22"/>
        <v>0</v>
      </c>
      <c r="DA741" s="1317"/>
      <c r="DB741" s="1317"/>
      <c r="DC741" s="1317"/>
      <c r="DD741" s="1317"/>
      <c r="DE741" s="1317">
        <f t="shared" si="23"/>
        <v>0</v>
      </c>
      <c r="DF741" s="1317"/>
      <c r="DG741" s="1317"/>
      <c r="DH741" s="1317"/>
      <c r="DI741" s="1317"/>
      <c r="DJ741" s="1317">
        <f t="shared" si="24"/>
        <v>0</v>
      </c>
      <c r="DK741" s="1317"/>
      <c r="DL741" s="1317"/>
      <c r="DM741" s="1317"/>
      <c r="DN741" s="1317"/>
      <c r="DO741" s="1317">
        <f t="shared" si="25"/>
        <v>0</v>
      </c>
      <c r="DP741" s="1317"/>
      <c r="DQ741" s="1317"/>
      <c r="DR741" s="1317"/>
      <c r="DS741" s="1317"/>
      <c r="DT741" s="257"/>
      <c r="DU741" s="1338">
        <f t="shared" si="26"/>
        <v>0</v>
      </c>
      <c r="DV741" s="1338"/>
      <c r="DW741" s="1338"/>
      <c r="DX741" s="1338"/>
      <c r="DY741" s="1338"/>
      <c r="DZ741" s="1338">
        <f t="shared" si="27"/>
        <v>0</v>
      </c>
      <c r="EA741" s="1338"/>
      <c r="EB741" s="1338"/>
      <c r="EC741" s="1338"/>
      <c r="ED741" s="1338"/>
      <c r="EE741" s="1338">
        <f t="shared" si="28"/>
        <v>0</v>
      </c>
      <c r="EF741" s="1338"/>
      <c r="EG741" s="1338"/>
      <c r="EH741" s="1338"/>
      <c r="EI741" s="1338"/>
      <c r="EJ741" s="1338">
        <f t="shared" si="29"/>
        <v>0</v>
      </c>
      <c r="EK741" s="1338"/>
      <c r="EL741" s="1338"/>
      <c r="EM741" s="1338"/>
      <c r="EN741" s="1338"/>
      <c r="EO741" s="1338">
        <f t="shared" si="30"/>
        <v>0</v>
      </c>
      <c r="EP741" s="1338"/>
      <c r="EQ741" s="1338"/>
      <c r="ER741" s="1338"/>
      <c r="ES741" s="1338"/>
      <c r="ET741" s="1338">
        <f t="shared" si="31"/>
        <v>0</v>
      </c>
      <c r="EU741" s="1338"/>
      <c r="EV741" s="1338"/>
      <c r="EW741" s="1338"/>
      <c r="EX741" s="1338"/>
      <c r="EZ741" s="1304" t="str">
        <f t="shared" si="32"/>
        <v/>
      </c>
      <c r="FA741" s="1305"/>
      <c r="FB741" s="1305"/>
      <c r="FC741" s="1305"/>
      <c r="FD741" s="1306"/>
      <c r="FE741" s="1304" t="str">
        <f t="shared" si="33"/>
        <v/>
      </c>
      <c r="FF741" s="1305"/>
      <c r="FG741" s="1305"/>
      <c r="FH741" s="1305"/>
      <c r="FI741" s="1306"/>
      <c r="FJ741" s="1304" t="str">
        <f t="shared" si="34"/>
        <v/>
      </c>
      <c r="FK741" s="1305"/>
      <c r="FL741" s="1305"/>
      <c r="FM741" s="1305"/>
      <c r="FN741" s="1306"/>
      <c r="FO741" s="1304" t="str">
        <f t="shared" si="35"/>
        <v/>
      </c>
      <c r="FP741" s="1305"/>
      <c r="FQ741" s="1305"/>
      <c r="FR741" s="1305"/>
      <c r="FS741" s="1306"/>
      <c r="FT741" s="1304" t="str">
        <f t="shared" si="36"/>
        <v/>
      </c>
      <c r="FU741" s="1305"/>
      <c r="FV741" s="1305"/>
      <c r="FW741" s="1305"/>
      <c r="FX741" s="1306"/>
      <c r="FY741" s="1304" t="str">
        <f t="shared" si="37"/>
        <v/>
      </c>
      <c r="FZ741" s="1305"/>
      <c r="GA741" s="1305"/>
      <c r="GB741" s="1305"/>
      <c r="GC741" s="1306"/>
    </row>
    <row r="742" spans="1:185" ht="12.9" customHeight="1">
      <c r="B742" s="1318"/>
      <c r="C742" s="1319"/>
      <c r="D742" s="1319"/>
      <c r="E742" s="1319"/>
      <c r="F742" s="1320"/>
      <c r="G742" s="1327"/>
      <c r="H742" s="1328"/>
      <c r="I742" s="1328"/>
      <c r="J742" s="1329"/>
      <c r="K742" s="1460"/>
      <c r="L742" s="1461"/>
      <c r="M742" s="1461"/>
      <c r="N742" s="1462"/>
      <c r="O742" s="1334"/>
      <c r="P742" s="1335"/>
      <c r="Q742" s="1335"/>
      <c r="R742" s="1335"/>
      <c r="S742" s="1336"/>
      <c r="T742" s="1334"/>
      <c r="U742" s="1335"/>
      <c r="V742" s="1335"/>
      <c r="W742" s="1336"/>
      <c r="X742" s="1321">
        <f t="shared" si="10"/>
        <v>0</v>
      </c>
      <c r="Y742" s="1322"/>
      <c r="Z742" s="1322"/>
      <c r="AA742" s="1322"/>
      <c r="AB742" s="1323"/>
      <c r="AC742" s="1331"/>
      <c r="AD742" s="1332"/>
      <c r="AE742" s="1332"/>
      <c r="AF742" s="1332"/>
      <c r="AG742" s="1333"/>
      <c r="AH742" s="1324" t="str">
        <f t="shared" si="38"/>
        <v/>
      </c>
      <c r="AI742" s="1325"/>
      <c r="AJ742" s="1326"/>
      <c r="AK742" s="1318" t="s">
        <v>820</v>
      </c>
      <c r="AL742" s="1319"/>
      <c r="AM742" s="1319"/>
      <c r="AN742" s="1319"/>
      <c r="AO742" s="1320"/>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4">
        <f t="shared" si="39"/>
        <v>0</v>
      </c>
      <c r="CH742" s="1306"/>
      <c r="CI742" s="1304">
        <f t="shared" si="40"/>
        <v>0</v>
      </c>
      <c r="CJ742" s="1306"/>
      <c r="CK742" s="1304">
        <f t="shared" si="18"/>
        <v>0</v>
      </c>
      <c r="CL742" s="1306"/>
      <c r="CM742" s="1304">
        <f t="shared" si="19"/>
        <v>0</v>
      </c>
      <c r="CN742" s="1306"/>
      <c r="CO742" s="3"/>
      <c r="CP742" s="1301">
        <f t="shared" si="20"/>
        <v>0</v>
      </c>
      <c r="CQ742" s="1302"/>
      <c r="CR742" s="1302"/>
      <c r="CS742" s="1302"/>
      <c r="CT742" s="1303"/>
      <c r="CU742" s="1317">
        <f t="shared" si="21"/>
        <v>0</v>
      </c>
      <c r="CV742" s="1317"/>
      <c r="CW742" s="1317"/>
      <c r="CX742" s="1317"/>
      <c r="CY742" s="1317"/>
      <c r="CZ742" s="1317">
        <f t="shared" si="22"/>
        <v>0</v>
      </c>
      <c r="DA742" s="1317"/>
      <c r="DB742" s="1317"/>
      <c r="DC742" s="1317"/>
      <c r="DD742" s="1317"/>
      <c r="DE742" s="1317">
        <f t="shared" si="23"/>
        <v>0</v>
      </c>
      <c r="DF742" s="1317"/>
      <c r="DG742" s="1317"/>
      <c r="DH742" s="1317"/>
      <c r="DI742" s="1317"/>
      <c r="DJ742" s="1317">
        <f t="shared" si="24"/>
        <v>0</v>
      </c>
      <c r="DK742" s="1317"/>
      <c r="DL742" s="1317"/>
      <c r="DM742" s="1317"/>
      <c r="DN742" s="1317"/>
      <c r="DO742" s="1317">
        <f t="shared" si="25"/>
        <v>0</v>
      </c>
      <c r="DP742" s="1317"/>
      <c r="DQ742" s="1317"/>
      <c r="DR742" s="1317"/>
      <c r="DS742" s="1317"/>
      <c r="DT742" s="257"/>
      <c r="DU742" s="1338">
        <f t="shared" si="26"/>
        <v>0</v>
      </c>
      <c r="DV742" s="1338"/>
      <c r="DW742" s="1338"/>
      <c r="DX742" s="1338"/>
      <c r="DY742" s="1338"/>
      <c r="DZ742" s="1338">
        <f t="shared" si="27"/>
        <v>0</v>
      </c>
      <c r="EA742" s="1338"/>
      <c r="EB742" s="1338"/>
      <c r="EC742" s="1338"/>
      <c r="ED742" s="1338"/>
      <c r="EE742" s="1338">
        <f t="shared" si="28"/>
        <v>0</v>
      </c>
      <c r="EF742" s="1338"/>
      <c r="EG742" s="1338"/>
      <c r="EH742" s="1338"/>
      <c r="EI742" s="1338"/>
      <c r="EJ742" s="1338">
        <f t="shared" si="29"/>
        <v>0</v>
      </c>
      <c r="EK742" s="1338"/>
      <c r="EL742" s="1338"/>
      <c r="EM742" s="1338"/>
      <c r="EN742" s="1338"/>
      <c r="EO742" s="1338">
        <f t="shared" si="30"/>
        <v>0</v>
      </c>
      <c r="EP742" s="1338"/>
      <c r="EQ742" s="1338"/>
      <c r="ER742" s="1338"/>
      <c r="ES742" s="1338"/>
      <c r="ET742" s="1338">
        <f t="shared" si="31"/>
        <v>0</v>
      </c>
      <c r="EU742" s="1338"/>
      <c r="EV742" s="1338"/>
      <c r="EW742" s="1338"/>
      <c r="EX742" s="1338"/>
      <c r="EZ742" s="1304" t="str">
        <f t="shared" si="32"/>
        <v/>
      </c>
      <c r="FA742" s="1305"/>
      <c r="FB742" s="1305"/>
      <c r="FC742" s="1305"/>
      <c r="FD742" s="1306"/>
      <c r="FE742" s="1304" t="str">
        <f t="shared" si="33"/>
        <v/>
      </c>
      <c r="FF742" s="1305"/>
      <c r="FG742" s="1305"/>
      <c r="FH742" s="1305"/>
      <c r="FI742" s="1306"/>
      <c r="FJ742" s="1304" t="str">
        <f t="shared" si="34"/>
        <v/>
      </c>
      <c r="FK742" s="1305"/>
      <c r="FL742" s="1305"/>
      <c r="FM742" s="1305"/>
      <c r="FN742" s="1306"/>
      <c r="FO742" s="1304" t="str">
        <f t="shared" si="35"/>
        <v/>
      </c>
      <c r="FP742" s="1305"/>
      <c r="FQ742" s="1305"/>
      <c r="FR742" s="1305"/>
      <c r="FS742" s="1306"/>
      <c r="FT742" s="1304" t="str">
        <f t="shared" si="36"/>
        <v/>
      </c>
      <c r="FU742" s="1305"/>
      <c r="FV742" s="1305"/>
      <c r="FW742" s="1305"/>
      <c r="FX742" s="1306"/>
      <c r="FY742" s="1304" t="str">
        <f t="shared" si="37"/>
        <v/>
      </c>
      <c r="FZ742" s="1305"/>
      <c r="GA742" s="1305"/>
      <c r="GB742" s="1305"/>
      <c r="GC742" s="1306"/>
    </row>
    <row r="743" spans="1:185" ht="12.9" customHeight="1">
      <c r="B743" s="1318"/>
      <c r="C743" s="1319"/>
      <c r="D743" s="1319"/>
      <c r="E743" s="1319"/>
      <c r="F743" s="1320"/>
      <c r="G743" s="1327"/>
      <c r="H743" s="1328"/>
      <c r="I743" s="1328"/>
      <c r="J743" s="1329"/>
      <c r="K743" s="1460"/>
      <c r="L743" s="1461"/>
      <c r="M743" s="1461"/>
      <c r="N743" s="1462"/>
      <c r="O743" s="1334"/>
      <c r="P743" s="1335"/>
      <c r="Q743" s="1335"/>
      <c r="R743" s="1335"/>
      <c r="S743" s="1336"/>
      <c r="T743" s="1334"/>
      <c r="U743" s="1335"/>
      <c r="V743" s="1335"/>
      <c r="W743" s="1336"/>
      <c r="X743" s="1321">
        <f t="shared" si="10"/>
        <v>0</v>
      </c>
      <c r="Y743" s="1322"/>
      <c r="Z743" s="1322"/>
      <c r="AA743" s="1322"/>
      <c r="AB743" s="1323"/>
      <c r="AC743" s="1331"/>
      <c r="AD743" s="1332"/>
      <c r="AE743" s="1332"/>
      <c r="AF743" s="1332"/>
      <c r="AG743" s="1333"/>
      <c r="AH743" s="1324" t="str">
        <f t="shared" si="38"/>
        <v/>
      </c>
      <c r="AI743" s="1325"/>
      <c r="AJ743" s="1326"/>
      <c r="AK743" s="1318" t="s">
        <v>820</v>
      </c>
      <c r="AL743" s="1319"/>
      <c r="AM743" s="1319"/>
      <c r="AN743" s="1319"/>
      <c r="AO743" s="1320"/>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4">
        <f t="shared" si="39"/>
        <v>0</v>
      </c>
      <c r="CH743" s="1306"/>
      <c r="CI743" s="1304">
        <f t="shared" si="40"/>
        <v>0</v>
      </c>
      <c r="CJ743" s="1306"/>
      <c r="CK743" s="1304">
        <f t="shared" si="18"/>
        <v>0</v>
      </c>
      <c r="CL743" s="1306"/>
      <c r="CM743" s="1304">
        <f t="shared" si="19"/>
        <v>0</v>
      </c>
      <c r="CN743" s="1306"/>
      <c r="CO743" s="3"/>
      <c r="CP743" s="1301">
        <f t="shared" si="20"/>
        <v>0</v>
      </c>
      <c r="CQ743" s="1302"/>
      <c r="CR743" s="1302"/>
      <c r="CS743" s="1302"/>
      <c r="CT743" s="1303"/>
      <c r="CU743" s="1317">
        <f t="shared" si="21"/>
        <v>0</v>
      </c>
      <c r="CV743" s="1317"/>
      <c r="CW743" s="1317"/>
      <c r="CX743" s="1317"/>
      <c r="CY743" s="1317"/>
      <c r="CZ743" s="1317">
        <f t="shared" si="22"/>
        <v>0</v>
      </c>
      <c r="DA743" s="1317"/>
      <c r="DB743" s="1317"/>
      <c r="DC743" s="1317"/>
      <c r="DD743" s="1317"/>
      <c r="DE743" s="1317">
        <f t="shared" si="23"/>
        <v>0</v>
      </c>
      <c r="DF743" s="1317"/>
      <c r="DG743" s="1317"/>
      <c r="DH743" s="1317"/>
      <c r="DI743" s="1317"/>
      <c r="DJ743" s="1317">
        <f t="shared" si="24"/>
        <v>0</v>
      </c>
      <c r="DK743" s="1317"/>
      <c r="DL743" s="1317"/>
      <c r="DM743" s="1317"/>
      <c r="DN743" s="1317"/>
      <c r="DO743" s="1317">
        <f t="shared" si="25"/>
        <v>0</v>
      </c>
      <c r="DP743" s="1317"/>
      <c r="DQ743" s="1317"/>
      <c r="DR743" s="1317"/>
      <c r="DS743" s="1317"/>
      <c r="DT743" s="257"/>
      <c r="DU743" s="1338">
        <f t="shared" si="26"/>
        <v>0</v>
      </c>
      <c r="DV743" s="1338"/>
      <c r="DW743" s="1338"/>
      <c r="DX743" s="1338"/>
      <c r="DY743" s="1338"/>
      <c r="DZ743" s="1338">
        <f t="shared" si="27"/>
        <v>0</v>
      </c>
      <c r="EA743" s="1338"/>
      <c r="EB743" s="1338"/>
      <c r="EC743" s="1338"/>
      <c r="ED743" s="1338"/>
      <c r="EE743" s="1338">
        <f t="shared" si="28"/>
        <v>0</v>
      </c>
      <c r="EF743" s="1338"/>
      <c r="EG743" s="1338"/>
      <c r="EH743" s="1338"/>
      <c r="EI743" s="1338"/>
      <c r="EJ743" s="1338">
        <f t="shared" si="29"/>
        <v>0</v>
      </c>
      <c r="EK743" s="1338"/>
      <c r="EL743" s="1338"/>
      <c r="EM743" s="1338"/>
      <c r="EN743" s="1338"/>
      <c r="EO743" s="1338">
        <f t="shared" si="30"/>
        <v>0</v>
      </c>
      <c r="EP743" s="1338"/>
      <c r="EQ743" s="1338"/>
      <c r="ER743" s="1338"/>
      <c r="ES743" s="1338"/>
      <c r="ET743" s="1338">
        <f t="shared" si="31"/>
        <v>0</v>
      </c>
      <c r="EU743" s="1338"/>
      <c r="EV743" s="1338"/>
      <c r="EW743" s="1338"/>
      <c r="EX743" s="1338"/>
      <c r="EZ743" s="1304" t="str">
        <f t="shared" si="32"/>
        <v/>
      </c>
      <c r="FA743" s="1305"/>
      <c r="FB743" s="1305"/>
      <c r="FC743" s="1305"/>
      <c r="FD743" s="1306"/>
      <c r="FE743" s="1304" t="str">
        <f t="shared" si="33"/>
        <v/>
      </c>
      <c r="FF743" s="1305"/>
      <c r="FG743" s="1305"/>
      <c r="FH743" s="1305"/>
      <c r="FI743" s="1306"/>
      <c r="FJ743" s="1304" t="str">
        <f t="shared" si="34"/>
        <v/>
      </c>
      <c r="FK743" s="1305"/>
      <c r="FL743" s="1305"/>
      <c r="FM743" s="1305"/>
      <c r="FN743" s="1306"/>
      <c r="FO743" s="1304" t="str">
        <f t="shared" si="35"/>
        <v/>
      </c>
      <c r="FP743" s="1305"/>
      <c r="FQ743" s="1305"/>
      <c r="FR743" s="1305"/>
      <c r="FS743" s="1306"/>
      <c r="FT743" s="1304" t="str">
        <f t="shared" si="36"/>
        <v/>
      </c>
      <c r="FU743" s="1305"/>
      <c r="FV743" s="1305"/>
      <c r="FW743" s="1305"/>
      <c r="FX743" s="1306"/>
      <c r="FY743" s="1304" t="str">
        <f t="shared" si="37"/>
        <v/>
      </c>
      <c r="FZ743" s="1305"/>
      <c r="GA743" s="1305"/>
      <c r="GB743" s="1305"/>
      <c r="GC743" s="1306"/>
    </row>
    <row r="744" spans="1:185" ht="12.9" customHeight="1">
      <c r="B744" s="1318"/>
      <c r="C744" s="1319"/>
      <c r="D744" s="1319"/>
      <c r="E744" s="1319"/>
      <c r="F744" s="1320"/>
      <c r="G744" s="1327"/>
      <c r="H744" s="1328"/>
      <c r="I744" s="1328"/>
      <c r="J744" s="1329"/>
      <c r="K744" s="1460"/>
      <c r="L744" s="1461"/>
      <c r="M744" s="1461"/>
      <c r="N744" s="1462"/>
      <c r="O744" s="1334"/>
      <c r="P744" s="1335"/>
      <c r="Q744" s="1335"/>
      <c r="R744" s="1335"/>
      <c r="S744" s="1336"/>
      <c r="T744" s="1334"/>
      <c r="U744" s="1335"/>
      <c r="V744" s="1335"/>
      <c r="W744" s="1336"/>
      <c r="X744" s="1321">
        <f t="shared" si="10"/>
        <v>0</v>
      </c>
      <c r="Y744" s="1322"/>
      <c r="Z744" s="1322"/>
      <c r="AA744" s="1322"/>
      <c r="AB744" s="1323"/>
      <c r="AC744" s="1331"/>
      <c r="AD744" s="1332"/>
      <c r="AE744" s="1332"/>
      <c r="AF744" s="1332"/>
      <c r="AG744" s="1333"/>
      <c r="AH744" s="1324" t="str">
        <f t="shared" si="38"/>
        <v/>
      </c>
      <c r="AI744" s="1325"/>
      <c r="AJ744" s="1326"/>
      <c r="AK744" s="1318" t="s">
        <v>820</v>
      </c>
      <c r="AL744" s="1319"/>
      <c r="AM744" s="1319"/>
      <c r="AN744" s="1319"/>
      <c r="AO744" s="1320"/>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4">
        <f t="shared" si="39"/>
        <v>0</v>
      </c>
      <c r="CH744" s="1306"/>
      <c r="CI744" s="1304">
        <f t="shared" si="40"/>
        <v>0</v>
      </c>
      <c r="CJ744" s="1306"/>
      <c r="CK744" s="1304">
        <f t="shared" si="18"/>
        <v>0</v>
      </c>
      <c r="CL744" s="1306"/>
      <c r="CM744" s="1304">
        <f t="shared" si="19"/>
        <v>0</v>
      </c>
      <c r="CN744" s="1306"/>
      <c r="CO744" s="3"/>
      <c r="CP744" s="1301">
        <f t="shared" si="20"/>
        <v>0</v>
      </c>
      <c r="CQ744" s="1302"/>
      <c r="CR744" s="1302"/>
      <c r="CS744" s="1302"/>
      <c r="CT744" s="1303"/>
      <c r="CU744" s="1317">
        <f t="shared" si="21"/>
        <v>0</v>
      </c>
      <c r="CV744" s="1317"/>
      <c r="CW744" s="1317"/>
      <c r="CX744" s="1317"/>
      <c r="CY744" s="1317"/>
      <c r="CZ744" s="1317">
        <f t="shared" si="22"/>
        <v>0</v>
      </c>
      <c r="DA744" s="1317"/>
      <c r="DB744" s="1317"/>
      <c r="DC744" s="1317"/>
      <c r="DD744" s="1317"/>
      <c r="DE744" s="1317">
        <f t="shared" si="23"/>
        <v>0</v>
      </c>
      <c r="DF744" s="1317"/>
      <c r="DG744" s="1317"/>
      <c r="DH744" s="1317"/>
      <c r="DI744" s="1317"/>
      <c r="DJ744" s="1317">
        <f t="shared" si="24"/>
        <v>0</v>
      </c>
      <c r="DK744" s="1317"/>
      <c r="DL744" s="1317"/>
      <c r="DM744" s="1317"/>
      <c r="DN744" s="1317"/>
      <c r="DO744" s="1317">
        <f t="shared" si="25"/>
        <v>0</v>
      </c>
      <c r="DP744" s="1317"/>
      <c r="DQ744" s="1317"/>
      <c r="DR744" s="1317"/>
      <c r="DS744" s="1317"/>
      <c r="DT744" s="257"/>
      <c r="DU744" s="1338">
        <f t="shared" si="26"/>
        <v>0</v>
      </c>
      <c r="DV744" s="1338"/>
      <c r="DW744" s="1338"/>
      <c r="DX744" s="1338"/>
      <c r="DY744" s="1338"/>
      <c r="DZ744" s="1338">
        <f t="shared" si="27"/>
        <v>0</v>
      </c>
      <c r="EA744" s="1338"/>
      <c r="EB744" s="1338"/>
      <c r="EC744" s="1338"/>
      <c r="ED744" s="1338"/>
      <c r="EE744" s="1338">
        <f t="shared" si="28"/>
        <v>0</v>
      </c>
      <c r="EF744" s="1338"/>
      <c r="EG744" s="1338"/>
      <c r="EH744" s="1338"/>
      <c r="EI744" s="1338"/>
      <c r="EJ744" s="1338">
        <f t="shared" si="29"/>
        <v>0</v>
      </c>
      <c r="EK744" s="1338"/>
      <c r="EL744" s="1338"/>
      <c r="EM744" s="1338"/>
      <c r="EN744" s="1338"/>
      <c r="EO744" s="1338">
        <f t="shared" si="30"/>
        <v>0</v>
      </c>
      <c r="EP744" s="1338"/>
      <c r="EQ744" s="1338"/>
      <c r="ER744" s="1338"/>
      <c r="ES744" s="1338"/>
      <c r="ET744" s="1338">
        <f t="shared" si="31"/>
        <v>0</v>
      </c>
      <c r="EU744" s="1338"/>
      <c r="EV744" s="1338"/>
      <c r="EW744" s="1338"/>
      <c r="EX744" s="1338"/>
      <c r="EZ744" s="1304" t="str">
        <f t="shared" si="32"/>
        <v/>
      </c>
      <c r="FA744" s="1305"/>
      <c r="FB744" s="1305"/>
      <c r="FC744" s="1305"/>
      <c r="FD744" s="1306"/>
      <c r="FE744" s="1304" t="str">
        <f t="shared" si="33"/>
        <v/>
      </c>
      <c r="FF744" s="1305"/>
      <c r="FG744" s="1305"/>
      <c r="FH744" s="1305"/>
      <c r="FI744" s="1306"/>
      <c r="FJ744" s="1304" t="str">
        <f t="shared" si="34"/>
        <v/>
      </c>
      <c r="FK744" s="1305"/>
      <c r="FL744" s="1305"/>
      <c r="FM744" s="1305"/>
      <c r="FN744" s="1306"/>
      <c r="FO744" s="1304" t="str">
        <f t="shared" si="35"/>
        <v/>
      </c>
      <c r="FP744" s="1305"/>
      <c r="FQ744" s="1305"/>
      <c r="FR744" s="1305"/>
      <c r="FS744" s="1306"/>
      <c r="FT744" s="1304" t="str">
        <f t="shared" si="36"/>
        <v/>
      </c>
      <c r="FU744" s="1305"/>
      <c r="FV744" s="1305"/>
      <c r="FW744" s="1305"/>
      <c r="FX744" s="1306"/>
      <c r="FY744" s="1304" t="str">
        <f t="shared" si="37"/>
        <v/>
      </c>
      <c r="FZ744" s="1305"/>
      <c r="GA744" s="1305"/>
      <c r="GB744" s="1305"/>
      <c r="GC744" s="1306"/>
    </row>
    <row r="745" spans="1:185" ht="12.9" customHeight="1">
      <c r="B745" s="1318"/>
      <c r="C745" s="1319"/>
      <c r="D745" s="1319"/>
      <c r="E745" s="1319"/>
      <c r="F745" s="1320"/>
      <c r="G745" s="1327"/>
      <c r="H745" s="1328"/>
      <c r="I745" s="1328"/>
      <c r="J745" s="1329"/>
      <c r="K745" s="1460"/>
      <c r="L745" s="1461"/>
      <c r="M745" s="1461"/>
      <c r="N745" s="1462"/>
      <c r="O745" s="1334"/>
      <c r="P745" s="1335"/>
      <c r="Q745" s="1335"/>
      <c r="R745" s="1335"/>
      <c r="S745" s="1336"/>
      <c r="T745" s="1334"/>
      <c r="U745" s="1335"/>
      <c r="V745" s="1335"/>
      <c r="W745" s="1336"/>
      <c r="X745" s="1321">
        <f t="shared" si="10"/>
        <v>0</v>
      </c>
      <c r="Y745" s="1322"/>
      <c r="Z745" s="1322"/>
      <c r="AA745" s="1322"/>
      <c r="AB745" s="1323"/>
      <c r="AC745" s="1331"/>
      <c r="AD745" s="1332"/>
      <c r="AE745" s="1332"/>
      <c r="AF745" s="1332"/>
      <c r="AG745" s="1333"/>
      <c r="AH745" s="1324" t="str">
        <f t="shared" si="38"/>
        <v/>
      </c>
      <c r="AI745" s="1325"/>
      <c r="AJ745" s="1326"/>
      <c r="AK745" s="1318" t="s">
        <v>820</v>
      </c>
      <c r="AL745" s="1319"/>
      <c r="AM745" s="1319"/>
      <c r="AN745" s="1319"/>
      <c r="AO745" s="1320"/>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4">
        <f t="shared" si="39"/>
        <v>0</v>
      </c>
      <c r="CH745" s="1306"/>
      <c r="CI745" s="1304">
        <f t="shared" si="40"/>
        <v>0</v>
      </c>
      <c r="CJ745" s="1306"/>
      <c r="CK745" s="1304">
        <f t="shared" si="18"/>
        <v>0</v>
      </c>
      <c r="CL745" s="1306"/>
      <c r="CM745" s="1304">
        <f t="shared" si="19"/>
        <v>0</v>
      </c>
      <c r="CN745" s="1306"/>
      <c r="CO745" s="3"/>
      <c r="CP745" s="1301">
        <f t="shared" si="20"/>
        <v>0</v>
      </c>
      <c r="CQ745" s="1302"/>
      <c r="CR745" s="1302"/>
      <c r="CS745" s="1302"/>
      <c r="CT745" s="1303"/>
      <c r="CU745" s="1317">
        <f t="shared" si="21"/>
        <v>0</v>
      </c>
      <c r="CV745" s="1317"/>
      <c r="CW745" s="1317"/>
      <c r="CX745" s="1317"/>
      <c r="CY745" s="1317"/>
      <c r="CZ745" s="1317">
        <f t="shared" si="22"/>
        <v>0</v>
      </c>
      <c r="DA745" s="1317"/>
      <c r="DB745" s="1317"/>
      <c r="DC745" s="1317"/>
      <c r="DD745" s="1317"/>
      <c r="DE745" s="1317">
        <f t="shared" si="23"/>
        <v>0</v>
      </c>
      <c r="DF745" s="1317"/>
      <c r="DG745" s="1317"/>
      <c r="DH745" s="1317"/>
      <c r="DI745" s="1317"/>
      <c r="DJ745" s="1317">
        <f t="shared" si="24"/>
        <v>0</v>
      </c>
      <c r="DK745" s="1317"/>
      <c r="DL745" s="1317"/>
      <c r="DM745" s="1317"/>
      <c r="DN745" s="1317"/>
      <c r="DO745" s="1317">
        <f t="shared" si="25"/>
        <v>0</v>
      </c>
      <c r="DP745" s="1317"/>
      <c r="DQ745" s="1317"/>
      <c r="DR745" s="1317"/>
      <c r="DS745" s="1317"/>
      <c r="DT745" s="257"/>
      <c r="DU745" s="1338">
        <f t="shared" si="26"/>
        <v>0</v>
      </c>
      <c r="DV745" s="1338"/>
      <c r="DW745" s="1338"/>
      <c r="DX745" s="1338"/>
      <c r="DY745" s="1338"/>
      <c r="DZ745" s="1338">
        <f t="shared" si="27"/>
        <v>0</v>
      </c>
      <c r="EA745" s="1338"/>
      <c r="EB745" s="1338"/>
      <c r="EC745" s="1338"/>
      <c r="ED745" s="1338"/>
      <c r="EE745" s="1338">
        <f t="shared" si="28"/>
        <v>0</v>
      </c>
      <c r="EF745" s="1338"/>
      <c r="EG745" s="1338"/>
      <c r="EH745" s="1338"/>
      <c r="EI745" s="1338"/>
      <c r="EJ745" s="1338">
        <f t="shared" si="29"/>
        <v>0</v>
      </c>
      <c r="EK745" s="1338"/>
      <c r="EL745" s="1338"/>
      <c r="EM745" s="1338"/>
      <c r="EN745" s="1338"/>
      <c r="EO745" s="1338">
        <f t="shared" si="30"/>
        <v>0</v>
      </c>
      <c r="EP745" s="1338"/>
      <c r="EQ745" s="1338"/>
      <c r="ER745" s="1338"/>
      <c r="ES745" s="1338"/>
      <c r="ET745" s="1338">
        <f t="shared" si="31"/>
        <v>0</v>
      </c>
      <c r="EU745" s="1338"/>
      <c r="EV745" s="1338"/>
      <c r="EW745" s="1338"/>
      <c r="EX745" s="1338"/>
      <c r="EZ745" s="1304" t="str">
        <f t="shared" si="32"/>
        <v/>
      </c>
      <c r="FA745" s="1305"/>
      <c r="FB745" s="1305"/>
      <c r="FC745" s="1305"/>
      <c r="FD745" s="1306"/>
      <c r="FE745" s="1304" t="str">
        <f t="shared" si="33"/>
        <v/>
      </c>
      <c r="FF745" s="1305"/>
      <c r="FG745" s="1305"/>
      <c r="FH745" s="1305"/>
      <c r="FI745" s="1306"/>
      <c r="FJ745" s="1304" t="str">
        <f t="shared" si="34"/>
        <v/>
      </c>
      <c r="FK745" s="1305"/>
      <c r="FL745" s="1305"/>
      <c r="FM745" s="1305"/>
      <c r="FN745" s="1306"/>
      <c r="FO745" s="1304" t="str">
        <f t="shared" si="35"/>
        <v/>
      </c>
      <c r="FP745" s="1305"/>
      <c r="FQ745" s="1305"/>
      <c r="FR745" s="1305"/>
      <c r="FS745" s="1306"/>
      <c r="FT745" s="1304" t="str">
        <f t="shared" si="36"/>
        <v/>
      </c>
      <c r="FU745" s="1305"/>
      <c r="FV745" s="1305"/>
      <c r="FW745" s="1305"/>
      <c r="FX745" s="1306"/>
      <c r="FY745" s="1304" t="str">
        <f t="shared" si="37"/>
        <v/>
      </c>
      <c r="FZ745" s="1305"/>
      <c r="GA745" s="1305"/>
      <c r="GB745" s="1305"/>
      <c r="GC745" s="1306"/>
    </row>
    <row r="746" spans="1:185" ht="12.9" customHeight="1">
      <c r="B746" s="1318"/>
      <c r="C746" s="1319"/>
      <c r="D746" s="1319"/>
      <c r="E746" s="1319"/>
      <c r="F746" s="1320"/>
      <c r="G746" s="1327"/>
      <c r="H746" s="1328"/>
      <c r="I746" s="1328"/>
      <c r="J746" s="1329"/>
      <c r="K746" s="1460"/>
      <c r="L746" s="1461"/>
      <c r="M746" s="1461"/>
      <c r="N746" s="1462"/>
      <c r="O746" s="1334"/>
      <c r="P746" s="1335"/>
      <c r="Q746" s="1335"/>
      <c r="R746" s="1335"/>
      <c r="S746" s="1336"/>
      <c r="T746" s="1334"/>
      <c r="U746" s="1335"/>
      <c r="V746" s="1335"/>
      <c r="W746" s="1336"/>
      <c r="X746" s="1321">
        <f t="shared" si="10"/>
        <v>0</v>
      </c>
      <c r="Y746" s="1322"/>
      <c r="Z746" s="1322"/>
      <c r="AA746" s="1322"/>
      <c r="AB746" s="1323"/>
      <c r="AC746" s="1331"/>
      <c r="AD746" s="1332"/>
      <c r="AE746" s="1332"/>
      <c r="AF746" s="1332"/>
      <c r="AG746" s="1333"/>
      <c r="AH746" s="1324" t="str">
        <f t="shared" si="38"/>
        <v/>
      </c>
      <c r="AI746" s="1325"/>
      <c r="AJ746" s="1326"/>
      <c r="AK746" s="1318" t="s">
        <v>820</v>
      </c>
      <c r="AL746" s="1319"/>
      <c r="AM746" s="1319"/>
      <c r="AN746" s="1319"/>
      <c r="AO746" s="1320"/>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4">
        <f t="shared" si="39"/>
        <v>0</v>
      </c>
      <c r="CH746" s="1306"/>
      <c r="CI746" s="1304">
        <f t="shared" si="40"/>
        <v>0</v>
      </c>
      <c r="CJ746" s="1306"/>
      <c r="CK746" s="1304">
        <f t="shared" si="18"/>
        <v>0</v>
      </c>
      <c r="CL746" s="1306"/>
      <c r="CM746" s="1304">
        <f t="shared" si="19"/>
        <v>0</v>
      </c>
      <c r="CN746" s="1306"/>
      <c r="CO746" s="3"/>
      <c r="CP746" s="1301">
        <f t="shared" si="20"/>
        <v>0</v>
      </c>
      <c r="CQ746" s="1302"/>
      <c r="CR746" s="1302"/>
      <c r="CS746" s="1302"/>
      <c r="CT746" s="1303"/>
      <c r="CU746" s="1317">
        <f t="shared" si="21"/>
        <v>0</v>
      </c>
      <c r="CV746" s="1317"/>
      <c r="CW746" s="1317"/>
      <c r="CX746" s="1317"/>
      <c r="CY746" s="1317"/>
      <c r="CZ746" s="1317">
        <f t="shared" si="22"/>
        <v>0</v>
      </c>
      <c r="DA746" s="1317"/>
      <c r="DB746" s="1317"/>
      <c r="DC746" s="1317"/>
      <c r="DD746" s="1317"/>
      <c r="DE746" s="1317">
        <f t="shared" si="23"/>
        <v>0</v>
      </c>
      <c r="DF746" s="1317"/>
      <c r="DG746" s="1317"/>
      <c r="DH746" s="1317"/>
      <c r="DI746" s="1317"/>
      <c r="DJ746" s="1317">
        <f t="shared" si="24"/>
        <v>0</v>
      </c>
      <c r="DK746" s="1317"/>
      <c r="DL746" s="1317"/>
      <c r="DM746" s="1317"/>
      <c r="DN746" s="1317"/>
      <c r="DO746" s="1317">
        <f t="shared" si="25"/>
        <v>0</v>
      </c>
      <c r="DP746" s="1317"/>
      <c r="DQ746" s="1317"/>
      <c r="DR746" s="1317"/>
      <c r="DS746" s="1317"/>
      <c r="DT746" s="257"/>
      <c r="DU746" s="1338">
        <f t="shared" si="26"/>
        <v>0</v>
      </c>
      <c r="DV746" s="1338"/>
      <c r="DW746" s="1338"/>
      <c r="DX746" s="1338"/>
      <c r="DY746" s="1338"/>
      <c r="DZ746" s="1338">
        <f t="shared" si="27"/>
        <v>0</v>
      </c>
      <c r="EA746" s="1338"/>
      <c r="EB746" s="1338"/>
      <c r="EC746" s="1338"/>
      <c r="ED746" s="1338"/>
      <c r="EE746" s="1338">
        <f t="shared" si="28"/>
        <v>0</v>
      </c>
      <c r="EF746" s="1338"/>
      <c r="EG746" s="1338"/>
      <c r="EH746" s="1338"/>
      <c r="EI746" s="1338"/>
      <c r="EJ746" s="1338">
        <f t="shared" si="29"/>
        <v>0</v>
      </c>
      <c r="EK746" s="1338"/>
      <c r="EL746" s="1338"/>
      <c r="EM746" s="1338"/>
      <c r="EN746" s="1338"/>
      <c r="EO746" s="1338">
        <f t="shared" si="30"/>
        <v>0</v>
      </c>
      <c r="EP746" s="1338"/>
      <c r="EQ746" s="1338"/>
      <c r="ER746" s="1338"/>
      <c r="ES746" s="1338"/>
      <c r="ET746" s="1338">
        <f t="shared" si="31"/>
        <v>0</v>
      </c>
      <c r="EU746" s="1338"/>
      <c r="EV746" s="1338"/>
      <c r="EW746" s="1338"/>
      <c r="EX746" s="1338"/>
      <c r="EZ746" s="1304" t="str">
        <f t="shared" si="32"/>
        <v/>
      </c>
      <c r="FA746" s="1305"/>
      <c r="FB746" s="1305"/>
      <c r="FC746" s="1305"/>
      <c r="FD746" s="1306"/>
      <c r="FE746" s="1304" t="str">
        <f t="shared" si="33"/>
        <v/>
      </c>
      <c r="FF746" s="1305"/>
      <c r="FG746" s="1305"/>
      <c r="FH746" s="1305"/>
      <c r="FI746" s="1306"/>
      <c r="FJ746" s="1304" t="str">
        <f t="shared" si="34"/>
        <v/>
      </c>
      <c r="FK746" s="1305"/>
      <c r="FL746" s="1305"/>
      <c r="FM746" s="1305"/>
      <c r="FN746" s="1306"/>
      <c r="FO746" s="1304" t="str">
        <f t="shared" si="35"/>
        <v/>
      </c>
      <c r="FP746" s="1305"/>
      <c r="FQ746" s="1305"/>
      <c r="FR746" s="1305"/>
      <c r="FS746" s="1306"/>
      <c r="FT746" s="1304" t="str">
        <f t="shared" si="36"/>
        <v/>
      </c>
      <c r="FU746" s="1305"/>
      <c r="FV746" s="1305"/>
      <c r="FW746" s="1305"/>
      <c r="FX746" s="1306"/>
      <c r="FY746" s="1304" t="str">
        <f t="shared" si="37"/>
        <v/>
      </c>
      <c r="FZ746" s="1305"/>
      <c r="GA746" s="1305"/>
      <c r="GB746" s="1305"/>
      <c r="GC746" s="1306"/>
    </row>
    <row r="747" spans="1:185" ht="12.9" customHeight="1">
      <c r="B747" s="1318"/>
      <c r="C747" s="1319"/>
      <c r="D747" s="1319"/>
      <c r="E747" s="1319"/>
      <c r="F747" s="1320"/>
      <c r="G747" s="1327"/>
      <c r="H747" s="1328"/>
      <c r="I747" s="1328"/>
      <c r="J747" s="1329"/>
      <c r="K747" s="1460"/>
      <c r="L747" s="1461"/>
      <c r="M747" s="1461"/>
      <c r="N747" s="1462"/>
      <c r="O747" s="1334"/>
      <c r="P747" s="1335"/>
      <c r="Q747" s="1335"/>
      <c r="R747" s="1335"/>
      <c r="S747" s="1336"/>
      <c r="T747" s="1334"/>
      <c r="U747" s="1335"/>
      <c r="V747" s="1335"/>
      <c r="W747" s="1336"/>
      <c r="X747" s="1321">
        <f t="shared" si="10"/>
        <v>0</v>
      </c>
      <c r="Y747" s="1322"/>
      <c r="Z747" s="1322"/>
      <c r="AA747" s="1322"/>
      <c r="AB747" s="1323"/>
      <c r="AC747" s="1331"/>
      <c r="AD747" s="1332"/>
      <c r="AE747" s="1332"/>
      <c r="AF747" s="1332"/>
      <c r="AG747" s="1333"/>
      <c r="AH747" s="1324" t="str">
        <f t="shared" si="38"/>
        <v/>
      </c>
      <c r="AI747" s="1325"/>
      <c r="AJ747" s="1326"/>
      <c r="AK747" s="1318" t="s">
        <v>820</v>
      </c>
      <c r="AL747" s="1319"/>
      <c r="AM747" s="1319"/>
      <c r="AN747" s="1319"/>
      <c r="AO747" s="1320"/>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4">
        <f t="shared" si="39"/>
        <v>0</v>
      </c>
      <c r="CH747" s="1306"/>
      <c r="CI747" s="1304">
        <f t="shared" si="40"/>
        <v>0</v>
      </c>
      <c r="CJ747" s="1306"/>
      <c r="CK747" s="1304">
        <f t="shared" si="18"/>
        <v>0</v>
      </c>
      <c r="CL747" s="1306"/>
      <c r="CM747" s="1304">
        <f t="shared" si="19"/>
        <v>0</v>
      </c>
      <c r="CN747" s="1306"/>
      <c r="CO747" s="3"/>
      <c r="CP747" s="1301">
        <f t="shared" si="20"/>
        <v>0</v>
      </c>
      <c r="CQ747" s="1302"/>
      <c r="CR747" s="1302"/>
      <c r="CS747" s="1302"/>
      <c r="CT747" s="1303"/>
      <c r="CU747" s="1317">
        <f t="shared" si="21"/>
        <v>0</v>
      </c>
      <c r="CV747" s="1317"/>
      <c r="CW747" s="1317"/>
      <c r="CX747" s="1317"/>
      <c r="CY747" s="1317"/>
      <c r="CZ747" s="1317">
        <f t="shared" si="22"/>
        <v>0</v>
      </c>
      <c r="DA747" s="1317"/>
      <c r="DB747" s="1317"/>
      <c r="DC747" s="1317"/>
      <c r="DD747" s="1317"/>
      <c r="DE747" s="1317">
        <f t="shared" si="23"/>
        <v>0</v>
      </c>
      <c r="DF747" s="1317"/>
      <c r="DG747" s="1317"/>
      <c r="DH747" s="1317"/>
      <c r="DI747" s="1317"/>
      <c r="DJ747" s="1317">
        <f t="shared" si="24"/>
        <v>0</v>
      </c>
      <c r="DK747" s="1317"/>
      <c r="DL747" s="1317"/>
      <c r="DM747" s="1317"/>
      <c r="DN747" s="1317"/>
      <c r="DO747" s="1317">
        <f t="shared" si="25"/>
        <v>0</v>
      </c>
      <c r="DP747" s="1317"/>
      <c r="DQ747" s="1317"/>
      <c r="DR747" s="1317"/>
      <c r="DS747" s="1317"/>
      <c r="DT747" s="257"/>
      <c r="DU747" s="1338">
        <f t="shared" si="26"/>
        <v>0</v>
      </c>
      <c r="DV747" s="1338"/>
      <c r="DW747" s="1338"/>
      <c r="DX747" s="1338"/>
      <c r="DY747" s="1338"/>
      <c r="DZ747" s="1338">
        <f t="shared" si="27"/>
        <v>0</v>
      </c>
      <c r="EA747" s="1338"/>
      <c r="EB747" s="1338"/>
      <c r="EC747" s="1338"/>
      <c r="ED747" s="1338"/>
      <c r="EE747" s="1338">
        <f t="shared" si="28"/>
        <v>0</v>
      </c>
      <c r="EF747" s="1338"/>
      <c r="EG747" s="1338"/>
      <c r="EH747" s="1338"/>
      <c r="EI747" s="1338"/>
      <c r="EJ747" s="1338">
        <f t="shared" si="29"/>
        <v>0</v>
      </c>
      <c r="EK747" s="1338"/>
      <c r="EL747" s="1338"/>
      <c r="EM747" s="1338"/>
      <c r="EN747" s="1338"/>
      <c r="EO747" s="1338">
        <f t="shared" si="30"/>
        <v>0</v>
      </c>
      <c r="EP747" s="1338"/>
      <c r="EQ747" s="1338"/>
      <c r="ER747" s="1338"/>
      <c r="ES747" s="1338"/>
      <c r="ET747" s="1338">
        <f t="shared" si="31"/>
        <v>0</v>
      </c>
      <c r="EU747" s="1338"/>
      <c r="EV747" s="1338"/>
      <c r="EW747" s="1338"/>
      <c r="EX747" s="1338"/>
      <c r="EZ747" s="1304" t="str">
        <f t="shared" si="32"/>
        <v/>
      </c>
      <c r="FA747" s="1305"/>
      <c r="FB747" s="1305"/>
      <c r="FC747" s="1305"/>
      <c r="FD747" s="1306"/>
      <c r="FE747" s="1304" t="str">
        <f t="shared" si="33"/>
        <v/>
      </c>
      <c r="FF747" s="1305"/>
      <c r="FG747" s="1305"/>
      <c r="FH747" s="1305"/>
      <c r="FI747" s="1306"/>
      <c r="FJ747" s="1304" t="str">
        <f t="shared" si="34"/>
        <v/>
      </c>
      <c r="FK747" s="1305"/>
      <c r="FL747" s="1305"/>
      <c r="FM747" s="1305"/>
      <c r="FN747" s="1306"/>
      <c r="FO747" s="1304" t="str">
        <f t="shared" si="35"/>
        <v/>
      </c>
      <c r="FP747" s="1305"/>
      <c r="FQ747" s="1305"/>
      <c r="FR747" s="1305"/>
      <c r="FS747" s="1306"/>
      <c r="FT747" s="1304" t="str">
        <f t="shared" si="36"/>
        <v/>
      </c>
      <c r="FU747" s="1305"/>
      <c r="FV747" s="1305"/>
      <c r="FW747" s="1305"/>
      <c r="FX747" s="1306"/>
      <c r="FY747" s="1304" t="str">
        <f t="shared" si="37"/>
        <v/>
      </c>
      <c r="FZ747" s="1305"/>
      <c r="GA747" s="1305"/>
      <c r="GB747" s="1305"/>
      <c r="GC747" s="1306"/>
    </row>
    <row r="748" spans="1:185" ht="12.9" customHeight="1">
      <c r="B748" s="1318"/>
      <c r="C748" s="1319"/>
      <c r="D748" s="1319"/>
      <c r="E748" s="1319"/>
      <c r="F748" s="1320"/>
      <c r="G748" s="1327"/>
      <c r="H748" s="1328"/>
      <c r="I748" s="1328"/>
      <c r="J748" s="1329"/>
      <c r="K748" s="1460"/>
      <c r="L748" s="1461"/>
      <c r="M748" s="1461"/>
      <c r="N748" s="1462"/>
      <c r="O748" s="1334"/>
      <c r="P748" s="1335"/>
      <c r="Q748" s="1335"/>
      <c r="R748" s="1335"/>
      <c r="S748" s="1336"/>
      <c r="T748" s="1334"/>
      <c r="U748" s="1335"/>
      <c r="V748" s="1335"/>
      <c r="W748" s="1336"/>
      <c r="X748" s="1321">
        <f t="shared" si="10"/>
        <v>0</v>
      </c>
      <c r="Y748" s="1322"/>
      <c r="Z748" s="1322"/>
      <c r="AA748" s="1322"/>
      <c r="AB748" s="1323"/>
      <c r="AC748" s="1331"/>
      <c r="AD748" s="1332"/>
      <c r="AE748" s="1332"/>
      <c r="AF748" s="1332"/>
      <c r="AG748" s="1333"/>
      <c r="AH748" s="1324" t="str">
        <f t="shared" si="38"/>
        <v/>
      </c>
      <c r="AI748" s="1325"/>
      <c r="AJ748" s="1326"/>
      <c r="AK748" s="1318" t="s">
        <v>820</v>
      </c>
      <c r="AL748" s="1319"/>
      <c r="AM748" s="1319"/>
      <c r="AN748" s="1319"/>
      <c r="AO748" s="1320"/>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4">
        <f t="shared" si="39"/>
        <v>0</v>
      </c>
      <c r="CH748" s="1306"/>
      <c r="CI748" s="1304">
        <f t="shared" si="40"/>
        <v>0</v>
      </c>
      <c r="CJ748" s="1306"/>
      <c r="CK748" s="1304">
        <f t="shared" si="18"/>
        <v>0</v>
      </c>
      <c r="CL748" s="1306"/>
      <c r="CM748" s="1304">
        <f t="shared" si="19"/>
        <v>0</v>
      </c>
      <c r="CN748" s="1306"/>
      <c r="CO748" s="3"/>
      <c r="CP748" s="1301">
        <f t="shared" si="20"/>
        <v>0</v>
      </c>
      <c r="CQ748" s="1302"/>
      <c r="CR748" s="1302"/>
      <c r="CS748" s="1302"/>
      <c r="CT748" s="1303"/>
      <c r="CU748" s="1317">
        <f t="shared" si="21"/>
        <v>0</v>
      </c>
      <c r="CV748" s="1317"/>
      <c r="CW748" s="1317"/>
      <c r="CX748" s="1317"/>
      <c r="CY748" s="1317"/>
      <c r="CZ748" s="1317">
        <f t="shared" si="22"/>
        <v>0</v>
      </c>
      <c r="DA748" s="1317"/>
      <c r="DB748" s="1317"/>
      <c r="DC748" s="1317"/>
      <c r="DD748" s="1317"/>
      <c r="DE748" s="1317">
        <f t="shared" si="23"/>
        <v>0</v>
      </c>
      <c r="DF748" s="1317"/>
      <c r="DG748" s="1317"/>
      <c r="DH748" s="1317"/>
      <c r="DI748" s="1317"/>
      <c r="DJ748" s="1317">
        <f t="shared" si="24"/>
        <v>0</v>
      </c>
      <c r="DK748" s="1317"/>
      <c r="DL748" s="1317"/>
      <c r="DM748" s="1317"/>
      <c r="DN748" s="1317"/>
      <c r="DO748" s="1317">
        <f t="shared" si="25"/>
        <v>0</v>
      </c>
      <c r="DP748" s="1317"/>
      <c r="DQ748" s="1317"/>
      <c r="DR748" s="1317"/>
      <c r="DS748" s="1317"/>
      <c r="DT748" s="257"/>
      <c r="DU748" s="1338">
        <f t="shared" si="26"/>
        <v>0</v>
      </c>
      <c r="DV748" s="1338"/>
      <c r="DW748" s="1338"/>
      <c r="DX748" s="1338"/>
      <c r="DY748" s="1338"/>
      <c r="DZ748" s="1338">
        <f t="shared" si="27"/>
        <v>0</v>
      </c>
      <c r="EA748" s="1338"/>
      <c r="EB748" s="1338"/>
      <c r="EC748" s="1338"/>
      <c r="ED748" s="1338"/>
      <c r="EE748" s="1338">
        <f t="shared" si="28"/>
        <v>0</v>
      </c>
      <c r="EF748" s="1338"/>
      <c r="EG748" s="1338"/>
      <c r="EH748" s="1338"/>
      <c r="EI748" s="1338"/>
      <c r="EJ748" s="1338">
        <f t="shared" si="29"/>
        <v>0</v>
      </c>
      <c r="EK748" s="1338"/>
      <c r="EL748" s="1338"/>
      <c r="EM748" s="1338"/>
      <c r="EN748" s="1338"/>
      <c r="EO748" s="1338">
        <f t="shared" si="30"/>
        <v>0</v>
      </c>
      <c r="EP748" s="1338"/>
      <c r="EQ748" s="1338"/>
      <c r="ER748" s="1338"/>
      <c r="ES748" s="1338"/>
      <c r="ET748" s="1338">
        <f t="shared" si="31"/>
        <v>0</v>
      </c>
      <c r="EU748" s="1338"/>
      <c r="EV748" s="1338"/>
      <c r="EW748" s="1338"/>
      <c r="EX748" s="1338"/>
      <c r="EZ748" s="1304" t="str">
        <f t="shared" si="32"/>
        <v/>
      </c>
      <c r="FA748" s="1305"/>
      <c r="FB748" s="1305"/>
      <c r="FC748" s="1305"/>
      <c r="FD748" s="1306"/>
      <c r="FE748" s="1304" t="str">
        <f t="shared" si="33"/>
        <v/>
      </c>
      <c r="FF748" s="1305"/>
      <c r="FG748" s="1305"/>
      <c r="FH748" s="1305"/>
      <c r="FI748" s="1306"/>
      <c r="FJ748" s="1304" t="str">
        <f t="shared" si="34"/>
        <v/>
      </c>
      <c r="FK748" s="1305"/>
      <c r="FL748" s="1305"/>
      <c r="FM748" s="1305"/>
      <c r="FN748" s="1306"/>
      <c r="FO748" s="1304" t="str">
        <f t="shared" si="35"/>
        <v/>
      </c>
      <c r="FP748" s="1305"/>
      <c r="FQ748" s="1305"/>
      <c r="FR748" s="1305"/>
      <c r="FS748" s="1306"/>
      <c r="FT748" s="1304" t="str">
        <f t="shared" si="36"/>
        <v/>
      </c>
      <c r="FU748" s="1305"/>
      <c r="FV748" s="1305"/>
      <c r="FW748" s="1305"/>
      <c r="FX748" s="1306"/>
      <c r="FY748" s="1304" t="str">
        <f t="shared" si="37"/>
        <v/>
      </c>
      <c r="FZ748" s="1305"/>
      <c r="GA748" s="1305"/>
      <c r="GB748" s="1305"/>
      <c r="GC748" s="1306"/>
    </row>
    <row r="749" spans="1:185" ht="12.9" customHeight="1">
      <c r="B749" s="1318"/>
      <c r="C749" s="1319"/>
      <c r="D749" s="1319"/>
      <c r="E749" s="1319"/>
      <c r="F749" s="1320"/>
      <c r="G749" s="1327"/>
      <c r="H749" s="1328"/>
      <c r="I749" s="1328"/>
      <c r="J749" s="1329"/>
      <c r="K749" s="1460"/>
      <c r="L749" s="1461"/>
      <c r="M749" s="1461"/>
      <c r="N749" s="1462"/>
      <c r="O749" s="1334"/>
      <c r="P749" s="1335"/>
      <c r="Q749" s="1335"/>
      <c r="R749" s="1335"/>
      <c r="S749" s="1336"/>
      <c r="T749" s="1334"/>
      <c r="U749" s="1335"/>
      <c r="V749" s="1335"/>
      <c r="W749" s="1336"/>
      <c r="X749" s="1321">
        <f t="shared" si="10"/>
        <v>0</v>
      </c>
      <c r="Y749" s="1322"/>
      <c r="Z749" s="1322"/>
      <c r="AA749" s="1322"/>
      <c r="AB749" s="1323"/>
      <c r="AC749" s="1331"/>
      <c r="AD749" s="1332"/>
      <c r="AE749" s="1332"/>
      <c r="AF749" s="1332"/>
      <c r="AG749" s="1333"/>
      <c r="AH749" s="1324" t="str">
        <f t="shared" si="38"/>
        <v/>
      </c>
      <c r="AI749" s="1325"/>
      <c r="AJ749" s="1326"/>
      <c r="AK749" s="1318" t="s">
        <v>820</v>
      </c>
      <c r="AL749" s="1319"/>
      <c r="AM749" s="1319"/>
      <c r="AN749" s="1319"/>
      <c r="AO749" s="1320"/>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4">
        <f t="shared" si="39"/>
        <v>0</v>
      </c>
      <c r="CH749" s="1306"/>
      <c r="CI749" s="1304">
        <f t="shared" si="40"/>
        <v>0</v>
      </c>
      <c r="CJ749" s="1306"/>
      <c r="CK749" s="1304">
        <f t="shared" si="18"/>
        <v>0</v>
      </c>
      <c r="CL749" s="1306"/>
      <c r="CM749" s="1304">
        <f t="shared" si="19"/>
        <v>0</v>
      </c>
      <c r="CN749" s="1306"/>
      <c r="CO749" s="3"/>
      <c r="CP749" s="1301">
        <f t="shared" si="20"/>
        <v>0</v>
      </c>
      <c r="CQ749" s="1302"/>
      <c r="CR749" s="1302"/>
      <c r="CS749" s="1302"/>
      <c r="CT749" s="1303"/>
      <c r="CU749" s="1317">
        <f t="shared" si="21"/>
        <v>0</v>
      </c>
      <c r="CV749" s="1317"/>
      <c r="CW749" s="1317"/>
      <c r="CX749" s="1317"/>
      <c r="CY749" s="1317"/>
      <c r="CZ749" s="1317">
        <f t="shared" si="22"/>
        <v>0</v>
      </c>
      <c r="DA749" s="1317"/>
      <c r="DB749" s="1317"/>
      <c r="DC749" s="1317"/>
      <c r="DD749" s="1317"/>
      <c r="DE749" s="1317">
        <f t="shared" si="23"/>
        <v>0</v>
      </c>
      <c r="DF749" s="1317"/>
      <c r="DG749" s="1317"/>
      <c r="DH749" s="1317"/>
      <c r="DI749" s="1317"/>
      <c r="DJ749" s="1317">
        <f t="shared" si="24"/>
        <v>0</v>
      </c>
      <c r="DK749" s="1317"/>
      <c r="DL749" s="1317"/>
      <c r="DM749" s="1317"/>
      <c r="DN749" s="1317"/>
      <c r="DO749" s="1317">
        <f t="shared" si="25"/>
        <v>0</v>
      </c>
      <c r="DP749" s="1317"/>
      <c r="DQ749" s="1317"/>
      <c r="DR749" s="1317"/>
      <c r="DS749" s="1317"/>
      <c r="DT749" s="257"/>
      <c r="DU749" s="1338">
        <f t="shared" si="26"/>
        <v>0</v>
      </c>
      <c r="DV749" s="1338"/>
      <c r="DW749" s="1338"/>
      <c r="DX749" s="1338"/>
      <c r="DY749" s="1338"/>
      <c r="DZ749" s="1338">
        <f t="shared" si="27"/>
        <v>0</v>
      </c>
      <c r="EA749" s="1338"/>
      <c r="EB749" s="1338"/>
      <c r="EC749" s="1338"/>
      <c r="ED749" s="1338"/>
      <c r="EE749" s="1338">
        <f t="shared" si="28"/>
        <v>0</v>
      </c>
      <c r="EF749" s="1338"/>
      <c r="EG749" s="1338"/>
      <c r="EH749" s="1338"/>
      <c r="EI749" s="1338"/>
      <c r="EJ749" s="1338">
        <f t="shared" si="29"/>
        <v>0</v>
      </c>
      <c r="EK749" s="1338"/>
      <c r="EL749" s="1338"/>
      <c r="EM749" s="1338"/>
      <c r="EN749" s="1338"/>
      <c r="EO749" s="1338">
        <f t="shared" si="30"/>
        <v>0</v>
      </c>
      <c r="EP749" s="1338"/>
      <c r="EQ749" s="1338"/>
      <c r="ER749" s="1338"/>
      <c r="ES749" s="1338"/>
      <c r="ET749" s="1338">
        <f t="shared" si="31"/>
        <v>0</v>
      </c>
      <c r="EU749" s="1338"/>
      <c r="EV749" s="1338"/>
      <c r="EW749" s="1338"/>
      <c r="EX749" s="1338"/>
      <c r="EZ749" s="1304" t="str">
        <f t="shared" si="32"/>
        <v/>
      </c>
      <c r="FA749" s="1305"/>
      <c r="FB749" s="1305"/>
      <c r="FC749" s="1305"/>
      <c r="FD749" s="1306"/>
      <c r="FE749" s="1304" t="str">
        <f t="shared" si="33"/>
        <v/>
      </c>
      <c r="FF749" s="1305"/>
      <c r="FG749" s="1305"/>
      <c r="FH749" s="1305"/>
      <c r="FI749" s="1306"/>
      <c r="FJ749" s="1304" t="str">
        <f t="shared" si="34"/>
        <v/>
      </c>
      <c r="FK749" s="1305"/>
      <c r="FL749" s="1305"/>
      <c r="FM749" s="1305"/>
      <c r="FN749" s="1306"/>
      <c r="FO749" s="1304" t="str">
        <f t="shared" si="35"/>
        <v/>
      </c>
      <c r="FP749" s="1305"/>
      <c r="FQ749" s="1305"/>
      <c r="FR749" s="1305"/>
      <c r="FS749" s="1306"/>
      <c r="FT749" s="1304" t="str">
        <f t="shared" si="36"/>
        <v/>
      </c>
      <c r="FU749" s="1305"/>
      <c r="FV749" s="1305"/>
      <c r="FW749" s="1305"/>
      <c r="FX749" s="1306"/>
      <c r="FY749" s="1304" t="str">
        <f t="shared" si="37"/>
        <v/>
      </c>
      <c r="FZ749" s="1305"/>
      <c r="GA749" s="1305"/>
      <c r="GB749" s="1305"/>
      <c r="GC749" s="1306"/>
    </row>
    <row r="750" spans="1:185" ht="12.9" customHeight="1">
      <c r="B750" s="1318"/>
      <c r="C750" s="1319"/>
      <c r="D750" s="1319"/>
      <c r="E750" s="1319"/>
      <c r="F750" s="1320"/>
      <c r="G750" s="1327"/>
      <c r="H750" s="1328"/>
      <c r="I750" s="1328"/>
      <c r="J750" s="1329"/>
      <c r="K750" s="1460"/>
      <c r="L750" s="1461"/>
      <c r="M750" s="1461"/>
      <c r="N750" s="1462"/>
      <c r="O750" s="1334"/>
      <c r="P750" s="1335"/>
      <c r="Q750" s="1335"/>
      <c r="R750" s="1335"/>
      <c r="S750" s="1336"/>
      <c r="T750" s="1334"/>
      <c r="U750" s="1335"/>
      <c r="V750" s="1335"/>
      <c r="W750" s="1336"/>
      <c r="X750" s="1321">
        <f t="shared" ref="X750:X759" si="41">O750+T750</f>
        <v>0</v>
      </c>
      <c r="Y750" s="1322"/>
      <c r="Z750" s="1322"/>
      <c r="AA750" s="1322"/>
      <c r="AB750" s="1323"/>
      <c r="AC750" s="1331"/>
      <c r="AD750" s="1332"/>
      <c r="AE750" s="1332"/>
      <c r="AF750" s="1332"/>
      <c r="AG750" s="1333"/>
      <c r="AH750" s="1324" t="str">
        <f t="shared" si="38"/>
        <v/>
      </c>
      <c r="AI750" s="1325"/>
      <c r="AJ750" s="1326"/>
      <c r="AK750" s="1318" t="s">
        <v>820</v>
      </c>
      <c r="AL750" s="1319"/>
      <c r="AM750" s="1319"/>
      <c r="AN750" s="1319"/>
      <c r="AO750" s="1320"/>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4">
        <f t="shared" si="39"/>
        <v>0</v>
      </c>
      <c r="CH750" s="1306"/>
      <c r="CI750" s="1304">
        <f t="shared" si="40"/>
        <v>0</v>
      </c>
      <c r="CJ750" s="1306"/>
      <c r="CK750" s="1304">
        <f t="shared" si="18"/>
        <v>0</v>
      </c>
      <c r="CL750" s="1306"/>
      <c r="CM750" s="1304">
        <f t="shared" si="19"/>
        <v>0</v>
      </c>
      <c r="CN750" s="1306"/>
      <c r="CO750" s="3"/>
      <c r="CP750" s="1301">
        <f t="shared" si="20"/>
        <v>0</v>
      </c>
      <c r="CQ750" s="1302"/>
      <c r="CR750" s="1302"/>
      <c r="CS750" s="1302"/>
      <c r="CT750" s="1303"/>
      <c r="CU750" s="1317">
        <f t="shared" si="21"/>
        <v>0</v>
      </c>
      <c r="CV750" s="1317"/>
      <c r="CW750" s="1317"/>
      <c r="CX750" s="1317"/>
      <c r="CY750" s="1317"/>
      <c r="CZ750" s="1317">
        <f t="shared" si="22"/>
        <v>0</v>
      </c>
      <c r="DA750" s="1317"/>
      <c r="DB750" s="1317"/>
      <c r="DC750" s="1317"/>
      <c r="DD750" s="1317"/>
      <c r="DE750" s="1317">
        <f t="shared" si="23"/>
        <v>0</v>
      </c>
      <c r="DF750" s="1317"/>
      <c r="DG750" s="1317"/>
      <c r="DH750" s="1317"/>
      <c r="DI750" s="1317"/>
      <c r="DJ750" s="1317">
        <f t="shared" si="24"/>
        <v>0</v>
      </c>
      <c r="DK750" s="1317"/>
      <c r="DL750" s="1317"/>
      <c r="DM750" s="1317"/>
      <c r="DN750" s="1317"/>
      <c r="DO750" s="1317">
        <f t="shared" si="25"/>
        <v>0</v>
      </c>
      <c r="DP750" s="1317"/>
      <c r="DQ750" s="1317"/>
      <c r="DR750" s="1317"/>
      <c r="DS750" s="1317"/>
      <c r="DT750" s="257"/>
      <c r="DU750" s="1338">
        <f t="shared" si="26"/>
        <v>0</v>
      </c>
      <c r="DV750" s="1338"/>
      <c r="DW750" s="1338"/>
      <c r="DX750" s="1338"/>
      <c r="DY750" s="1338"/>
      <c r="DZ750" s="1338">
        <f t="shared" si="27"/>
        <v>0</v>
      </c>
      <c r="EA750" s="1338"/>
      <c r="EB750" s="1338"/>
      <c r="EC750" s="1338"/>
      <c r="ED750" s="1338"/>
      <c r="EE750" s="1338">
        <f t="shared" si="28"/>
        <v>0</v>
      </c>
      <c r="EF750" s="1338"/>
      <c r="EG750" s="1338"/>
      <c r="EH750" s="1338"/>
      <c r="EI750" s="1338"/>
      <c r="EJ750" s="1338">
        <f t="shared" si="29"/>
        <v>0</v>
      </c>
      <c r="EK750" s="1338"/>
      <c r="EL750" s="1338"/>
      <c r="EM750" s="1338"/>
      <c r="EN750" s="1338"/>
      <c r="EO750" s="1338">
        <f t="shared" si="30"/>
        <v>0</v>
      </c>
      <c r="EP750" s="1338"/>
      <c r="EQ750" s="1338"/>
      <c r="ER750" s="1338"/>
      <c r="ES750" s="1338"/>
      <c r="ET750" s="1338">
        <f t="shared" si="31"/>
        <v>0</v>
      </c>
      <c r="EU750" s="1338"/>
      <c r="EV750" s="1338"/>
      <c r="EW750" s="1338"/>
      <c r="EX750" s="1338"/>
      <c r="EZ750" s="1304" t="str">
        <f t="shared" si="32"/>
        <v/>
      </c>
      <c r="FA750" s="1305"/>
      <c r="FB750" s="1305"/>
      <c r="FC750" s="1305"/>
      <c r="FD750" s="1306"/>
      <c r="FE750" s="1304" t="str">
        <f t="shared" si="33"/>
        <v/>
      </c>
      <c r="FF750" s="1305"/>
      <c r="FG750" s="1305"/>
      <c r="FH750" s="1305"/>
      <c r="FI750" s="1306"/>
      <c r="FJ750" s="1304" t="str">
        <f t="shared" si="34"/>
        <v/>
      </c>
      <c r="FK750" s="1305"/>
      <c r="FL750" s="1305"/>
      <c r="FM750" s="1305"/>
      <c r="FN750" s="1306"/>
      <c r="FO750" s="1304" t="str">
        <f t="shared" si="35"/>
        <v/>
      </c>
      <c r="FP750" s="1305"/>
      <c r="FQ750" s="1305"/>
      <c r="FR750" s="1305"/>
      <c r="FS750" s="1306"/>
      <c r="FT750" s="1304" t="str">
        <f t="shared" si="36"/>
        <v/>
      </c>
      <c r="FU750" s="1305"/>
      <c r="FV750" s="1305"/>
      <c r="FW750" s="1305"/>
      <c r="FX750" s="1306"/>
      <c r="FY750" s="1304" t="str">
        <f t="shared" si="37"/>
        <v/>
      </c>
      <c r="FZ750" s="1305"/>
      <c r="GA750" s="1305"/>
      <c r="GB750" s="1305"/>
      <c r="GC750" s="1306"/>
    </row>
    <row r="751" spans="1:185" s="3" customFormat="1" ht="12.9" customHeight="1">
      <c r="A751"/>
      <c r="B751" s="1318"/>
      <c r="C751" s="1319"/>
      <c r="D751" s="1319"/>
      <c r="E751" s="1319"/>
      <c r="F751" s="1320"/>
      <c r="G751" s="1327"/>
      <c r="H751" s="1328"/>
      <c r="I751" s="1328"/>
      <c r="J751" s="1329"/>
      <c r="K751" s="1460"/>
      <c r="L751" s="1461"/>
      <c r="M751" s="1461"/>
      <c r="N751" s="1462"/>
      <c r="O751" s="1334"/>
      <c r="P751" s="1335"/>
      <c r="Q751" s="1335"/>
      <c r="R751" s="1335"/>
      <c r="S751" s="1336"/>
      <c r="T751" s="1334"/>
      <c r="U751" s="1335"/>
      <c r="V751" s="1335"/>
      <c r="W751" s="1336"/>
      <c r="X751" s="1321">
        <f t="shared" si="41"/>
        <v>0</v>
      </c>
      <c r="Y751" s="1322"/>
      <c r="Z751" s="1322"/>
      <c r="AA751" s="1322"/>
      <c r="AB751" s="1323"/>
      <c r="AC751" s="1331"/>
      <c r="AD751" s="1332"/>
      <c r="AE751" s="1332"/>
      <c r="AF751" s="1332"/>
      <c r="AG751" s="1333"/>
      <c r="AH751" s="1324" t="str">
        <f t="shared" si="38"/>
        <v/>
      </c>
      <c r="AI751" s="1325"/>
      <c r="AJ751" s="1326"/>
      <c r="AK751" s="1318" t="s">
        <v>820</v>
      </c>
      <c r="AL751" s="1319"/>
      <c r="AM751" s="1319"/>
      <c r="AN751" s="1319"/>
      <c r="AO751" s="1320"/>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4">
        <f t="shared" si="39"/>
        <v>0</v>
      </c>
      <c r="CH751" s="1306"/>
      <c r="CI751" s="1304">
        <f t="shared" si="40"/>
        <v>0</v>
      </c>
      <c r="CJ751" s="1306"/>
      <c r="CK751" s="1304">
        <f t="shared" si="18"/>
        <v>0</v>
      </c>
      <c r="CL751" s="1306"/>
      <c r="CM751" s="1304">
        <f t="shared" si="19"/>
        <v>0</v>
      </c>
      <c r="CN751" s="1306"/>
      <c r="CP751" s="1301">
        <f t="shared" si="20"/>
        <v>0</v>
      </c>
      <c r="CQ751" s="1302"/>
      <c r="CR751" s="1302"/>
      <c r="CS751" s="1302"/>
      <c r="CT751" s="1303"/>
      <c r="CU751" s="1317">
        <f t="shared" si="21"/>
        <v>0</v>
      </c>
      <c r="CV751" s="1317"/>
      <c r="CW751" s="1317"/>
      <c r="CX751" s="1317"/>
      <c r="CY751" s="1317"/>
      <c r="CZ751" s="1317">
        <f t="shared" si="22"/>
        <v>0</v>
      </c>
      <c r="DA751" s="1317"/>
      <c r="DB751" s="1317"/>
      <c r="DC751" s="1317"/>
      <c r="DD751" s="1317"/>
      <c r="DE751" s="1317">
        <f t="shared" si="23"/>
        <v>0</v>
      </c>
      <c r="DF751" s="1317"/>
      <c r="DG751" s="1317"/>
      <c r="DH751" s="1317"/>
      <c r="DI751" s="1317"/>
      <c r="DJ751" s="1317">
        <f t="shared" si="24"/>
        <v>0</v>
      </c>
      <c r="DK751" s="1317"/>
      <c r="DL751" s="1317"/>
      <c r="DM751" s="1317"/>
      <c r="DN751" s="1317"/>
      <c r="DO751" s="1317">
        <f t="shared" si="25"/>
        <v>0</v>
      </c>
      <c r="DP751" s="1317"/>
      <c r="DQ751" s="1317"/>
      <c r="DR751" s="1317"/>
      <c r="DS751" s="1317"/>
      <c r="DT751" s="257"/>
      <c r="DU751" s="1338">
        <f t="shared" si="26"/>
        <v>0</v>
      </c>
      <c r="DV751" s="1338"/>
      <c r="DW751" s="1338"/>
      <c r="DX751" s="1338"/>
      <c r="DY751" s="1338"/>
      <c r="DZ751" s="1338">
        <f t="shared" si="27"/>
        <v>0</v>
      </c>
      <c r="EA751" s="1338"/>
      <c r="EB751" s="1338"/>
      <c r="EC751" s="1338"/>
      <c r="ED751" s="1338"/>
      <c r="EE751" s="1338">
        <f t="shared" si="28"/>
        <v>0</v>
      </c>
      <c r="EF751" s="1338"/>
      <c r="EG751" s="1338"/>
      <c r="EH751" s="1338"/>
      <c r="EI751" s="1338"/>
      <c r="EJ751" s="1338">
        <f t="shared" si="29"/>
        <v>0</v>
      </c>
      <c r="EK751" s="1338"/>
      <c r="EL751" s="1338"/>
      <c r="EM751" s="1338"/>
      <c r="EN751" s="1338"/>
      <c r="EO751" s="1338">
        <f t="shared" si="30"/>
        <v>0</v>
      </c>
      <c r="EP751" s="1338"/>
      <c r="EQ751" s="1338"/>
      <c r="ER751" s="1338"/>
      <c r="ES751" s="1338"/>
      <c r="ET751" s="1338">
        <f t="shared" si="31"/>
        <v>0</v>
      </c>
      <c r="EU751" s="1338"/>
      <c r="EV751" s="1338"/>
      <c r="EW751" s="1338"/>
      <c r="EX751" s="1338"/>
      <c r="EY751"/>
      <c r="EZ751" s="1304" t="str">
        <f t="shared" si="32"/>
        <v/>
      </c>
      <c r="FA751" s="1305"/>
      <c r="FB751" s="1305"/>
      <c r="FC751" s="1305"/>
      <c r="FD751" s="1306"/>
      <c r="FE751" s="1304" t="str">
        <f t="shared" si="33"/>
        <v/>
      </c>
      <c r="FF751" s="1305"/>
      <c r="FG751" s="1305"/>
      <c r="FH751" s="1305"/>
      <c r="FI751" s="1306"/>
      <c r="FJ751" s="1304" t="str">
        <f t="shared" si="34"/>
        <v/>
      </c>
      <c r="FK751" s="1305"/>
      <c r="FL751" s="1305"/>
      <c r="FM751" s="1305"/>
      <c r="FN751" s="1306"/>
      <c r="FO751" s="1304" t="str">
        <f t="shared" si="35"/>
        <v/>
      </c>
      <c r="FP751" s="1305"/>
      <c r="FQ751" s="1305"/>
      <c r="FR751" s="1305"/>
      <c r="FS751" s="1306"/>
      <c r="FT751" s="1304" t="str">
        <f t="shared" si="36"/>
        <v/>
      </c>
      <c r="FU751" s="1305"/>
      <c r="FV751" s="1305"/>
      <c r="FW751" s="1305"/>
      <c r="FX751" s="1306"/>
      <c r="FY751" s="1304" t="str">
        <f t="shared" si="37"/>
        <v/>
      </c>
      <c r="FZ751" s="1305"/>
      <c r="GA751" s="1305"/>
      <c r="GB751" s="1305"/>
      <c r="GC751" s="1306"/>
    </row>
    <row r="752" spans="1:185" ht="12.9" customHeight="1">
      <c r="B752" s="1318"/>
      <c r="C752" s="1319"/>
      <c r="D752" s="1319"/>
      <c r="E752" s="1319"/>
      <c r="F752" s="1320"/>
      <c r="G752" s="1327"/>
      <c r="H752" s="1328"/>
      <c r="I752" s="1328"/>
      <c r="J752" s="1329"/>
      <c r="K752" s="1460"/>
      <c r="L752" s="1461"/>
      <c r="M752" s="1461"/>
      <c r="N752" s="1462"/>
      <c r="O752" s="1334"/>
      <c r="P752" s="1335"/>
      <c r="Q752" s="1335"/>
      <c r="R752" s="1335"/>
      <c r="S752" s="1336"/>
      <c r="T752" s="1334"/>
      <c r="U752" s="1335"/>
      <c r="V752" s="1335"/>
      <c r="W752" s="1336"/>
      <c r="X752" s="1321">
        <f t="shared" si="41"/>
        <v>0</v>
      </c>
      <c r="Y752" s="1322"/>
      <c r="Z752" s="1322"/>
      <c r="AA752" s="1322"/>
      <c r="AB752" s="1323"/>
      <c r="AC752" s="1331"/>
      <c r="AD752" s="1332"/>
      <c r="AE752" s="1332"/>
      <c r="AF752" s="1332"/>
      <c r="AG752" s="1333"/>
      <c r="AH752" s="1324" t="str">
        <f t="shared" si="38"/>
        <v/>
      </c>
      <c r="AI752" s="1325"/>
      <c r="AJ752" s="1326"/>
      <c r="AK752" s="1318" t="s">
        <v>820</v>
      </c>
      <c r="AL752" s="1319"/>
      <c r="AM752" s="1319"/>
      <c r="AN752" s="1319"/>
      <c r="AO752" s="1320"/>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4">
        <f t="shared" si="39"/>
        <v>0</v>
      </c>
      <c r="CH752" s="1306"/>
      <c r="CI752" s="1304">
        <f t="shared" si="40"/>
        <v>0</v>
      </c>
      <c r="CJ752" s="1306"/>
      <c r="CK752" s="1304">
        <f t="shared" si="18"/>
        <v>0</v>
      </c>
      <c r="CL752" s="1306"/>
      <c r="CM752" s="1304">
        <f t="shared" si="19"/>
        <v>0</v>
      </c>
      <c r="CN752" s="1306"/>
      <c r="CO752" s="3"/>
      <c r="CP752" s="1301">
        <f t="shared" si="20"/>
        <v>0</v>
      </c>
      <c r="CQ752" s="1302"/>
      <c r="CR752" s="1302"/>
      <c r="CS752" s="1302"/>
      <c r="CT752" s="1303"/>
      <c r="CU752" s="1317">
        <f t="shared" si="21"/>
        <v>0</v>
      </c>
      <c r="CV752" s="1317"/>
      <c r="CW752" s="1317"/>
      <c r="CX752" s="1317"/>
      <c r="CY752" s="1317"/>
      <c r="CZ752" s="1317">
        <f t="shared" si="22"/>
        <v>0</v>
      </c>
      <c r="DA752" s="1317"/>
      <c r="DB752" s="1317"/>
      <c r="DC752" s="1317"/>
      <c r="DD752" s="1317"/>
      <c r="DE752" s="1317">
        <f t="shared" si="23"/>
        <v>0</v>
      </c>
      <c r="DF752" s="1317"/>
      <c r="DG752" s="1317"/>
      <c r="DH752" s="1317"/>
      <c r="DI752" s="1317"/>
      <c r="DJ752" s="1317">
        <f t="shared" si="24"/>
        <v>0</v>
      </c>
      <c r="DK752" s="1317"/>
      <c r="DL752" s="1317"/>
      <c r="DM752" s="1317"/>
      <c r="DN752" s="1317"/>
      <c r="DO752" s="1317">
        <f t="shared" si="25"/>
        <v>0</v>
      </c>
      <c r="DP752" s="1317"/>
      <c r="DQ752" s="1317"/>
      <c r="DR752" s="1317"/>
      <c r="DS752" s="1317"/>
      <c r="DT752" s="257"/>
      <c r="DU752" s="1338">
        <f t="shared" si="26"/>
        <v>0</v>
      </c>
      <c r="DV752" s="1338"/>
      <c r="DW752" s="1338"/>
      <c r="DX752" s="1338"/>
      <c r="DY752" s="1338"/>
      <c r="DZ752" s="1338">
        <f t="shared" si="27"/>
        <v>0</v>
      </c>
      <c r="EA752" s="1338"/>
      <c r="EB752" s="1338"/>
      <c r="EC752" s="1338"/>
      <c r="ED752" s="1338"/>
      <c r="EE752" s="1338">
        <f t="shared" si="28"/>
        <v>0</v>
      </c>
      <c r="EF752" s="1338"/>
      <c r="EG752" s="1338"/>
      <c r="EH752" s="1338"/>
      <c r="EI752" s="1338"/>
      <c r="EJ752" s="1338">
        <f t="shared" si="29"/>
        <v>0</v>
      </c>
      <c r="EK752" s="1338"/>
      <c r="EL752" s="1338"/>
      <c r="EM752" s="1338"/>
      <c r="EN752" s="1338"/>
      <c r="EO752" s="1338">
        <f t="shared" si="30"/>
        <v>0</v>
      </c>
      <c r="EP752" s="1338"/>
      <c r="EQ752" s="1338"/>
      <c r="ER752" s="1338"/>
      <c r="ES752" s="1338"/>
      <c r="ET752" s="1338">
        <f t="shared" si="31"/>
        <v>0</v>
      </c>
      <c r="EU752" s="1338"/>
      <c r="EV752" s="1338"/>
      <c r="EW752" s="1338"/>
      <c r="EX752" s="1338"/>
      <c r="EZ752" s="1304" t="str">
        <f t="shared" si="32"/>
        <v/>
      </c>
      <c r="FA752" s="1305"/>
      <c r="FB752" s="1305"/>
      <c r="FC752" s="1305"/>
      <c r="FD752" s="1306"/>
      <c r="FE752" s="1304" t="str">
        <f t="shared" si="33"/>
        <v/>
      </c>
      <c r="FF752" s="1305"/>
      <c r="FG752" s="1305"/>
      <c r="FH752" s="1305"/>
      <c r="FI752" s="1306"/>
      <c r="FJ752" s="1304" t="str">
        <f t="shared" si="34"/>
        <v/>
      </c>
      <c r="FK752" s="1305"/>
      <c r="FL752" s="1305"/>
      <c r="FM752" s="1305"/>
      <c r="FN752" s="1306"/>
      <c r="FO752" s="1304" t="str">
        <f t="shared" si="35"/>
        <v/>
      </c>
      <c r="FP752" s="1305"/>
      <c r="FQ752" s="1305"/>
      <c r="FR752" s="1305"/>
      <c r="FS752" s="1306"/>
      <c r="FT752" s="1304" t="str">
        <f t="shared" si="36"/>
        <v/>
      </c>
      <c r="FU752" s="1305"/>
      <c r="FV752" s="1305"/>
      <c r="FW752" s="1305"/>
      <c r="FX752" s="1306"/>
      <c r="FY752" s="1304" t="str">
        <f t="shared" si="37"/>
        <v/>
      </c>
      <c r="FZ752" s="1305"/>
      <c r="GA752" s="1305"/>
      <c r="GB752" s="1305"/>
      <c r="GC752" s="1306"/>
    </row>
    <row r="753" spans="1:185" ht="12.9" customHeight="1">
      <c r="B753" s="1318"/>
      <c r="C753" s="1319"/>
      <c r="D753" s="1319"/>
      <c r="E753" s="1319"/>
      <c r="F753" s="1320"/>
      <c r="G753" s="1327"/>
      <c r="H753" s="1328"/>
      <c r="I753" s="1328"/>
      <c r="J753" s="1329"/>
      <c r="K753" s="1460"/>
      <c r="L753" s="1461"/>
      <c r="M753" s="1461"/>
      <c r="N753" s="1462"/>
      <c r="O753" s="1334"/>
      <c r="P753" s="1335"/>
      <c r="Q753" s="1335"/>
      <c r="R753" s="1335"/>
      <c r="S753" s="1336"/>
      <c r="T753" s="1334"/>
      <c r="U753" s="1335"/>
      <c r="V753" s="1335"/>
      <c r="W753" s="1336"/>
      <c r="X753" s="1321">
        <f t="shared" si="41"/>
        <v>0</v>
      </c>
      <c r="Y753" s="1322"/>
      <c r="Z753" s="1322"/>
      <c r="AA753" s="1322"/>
      <c r="AB753" s="1323"/>
      <c r="AC753" s="1331"/>
      <c r="AD753" s="1332"/>
      <c r="AE753" s="1332"/>
      <c r="AF753" s="1332"/>
      <c r="AG753" s="1333"/>
      <c r="AH753" s="1324" t="str">
        <f t="shared" si="38"/>
        <v/>
      </c>
      <c r="AI753" s="1325"/>
      <c r="AJ753" s="1326"/>
      <c r="AK753" s="1318" t="s">
        <v>820</v>
      </c>
      <c r="AL753" s="1319"/>
      <c r="AM753" s="1319"/>
      <c r="AN753" s="1319"/>
      <c r="AO753" s="1320"/>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4">
        <f t="shared" si="39"/>
        <v>0</v>
      </c>
      <c r="CH753" s="1306"/>
      <c r="CI753" s="1304">
        <f t="shared" si="40"/>
        <v>0</v>
      </c>
      <c r="CJ753" s="1306"/>
      <c r="CK753" s="1304">
        <f t="shared" si="18"/>
        <v>0</v>
      </c>
      <c r="CL753" s="1306"/>
      <c r="CM753" s="1304">
        <f t="shared" si="19"/>
        <v>0</v>
      </c>
      <c r="CN753" s="1306"/>
      <c r="CO753" s="3"/>
      <c r="CP753" s="1301">
        <f t="shared" si="20"/>
        <v>0</v>
      </c>
      <c r="CQ753" s="1302"/>
      <c r="CR753" s="1302"/>
      <c r="CS753" s="1302"/>
      <c r="CT753" s="1303"/>
      <c r="CU753" s="1317">
        <f t="shared" si="21"/>
        <v>0</v>
      </c>
      <c r="CV753" s="1317"/>
      <c r="CW753" s="1317"/>
      <c r="CX753" s="1317"/>
      <c r="CY753" s="1317"/>
      <c r="CZ753" s="1317">
        <f t="shared" si="22"/>
        <v>0</v>
      </c>
      <c r="DA753" s="1317"/>
      <c r="DB753" s="1317"/>
      <c r="DC753" s="1317"/>
      <c r="DD753" s="1317"/>
      <c r="DE753" s="1317">
        <f t="shared" si="23"/>
        <v>0</v>
      </c>
      <c r="DF753" s="1317"/>
      <c r="DG753" s="1317"/>
      <c r="DH753" s="1317"/>
      <c r="DI753" s="1317"/>
      <c r="DJ753" s="1317">
        <f t="shared" si="24"/>
        <v>0</v>
      </c>
      <c r="DK753" s="1317"/>
      <c r="DL753" s="1317"/>
      <c r="DM753" s="1317"/>
      <c r="DN753" s="1317"/>
      <c r="DO753" s="1317">
        <f t="shared" si="25"/>
        <v>0</v>
      </c>
      <c r="DP753" s="1317"/>
      <c r="DQ753" s="1317"/>
      <c r="DR753" s="1317"/>
      <c r="DS753" s="1317"/>
      <c r="DT753" s="257"/>
      <c r="DU753" s="1338">
        <f t="shared" si="26"/>
        <v>0</v>
      </c>
      <c r="DV753" s="1338"/>
      <c r="DW753" s="1338"/>
      <c r="DX753" s="1338"/>
      <c r="DY753" s="1338"/>
      <c r="DZ753" s="1338">
        <f t="shared" si="27"/>
        <v>0</v>
      </c>
      <c r="EA753" s="1338"/>
      <c r="EB753" s="1338"/>
      <c r="EC753" s="1338"/>
      <c r="ED753" s="1338"/>
      <c r="EE753" s="1338">
        <f t="shared" si="28"/>
        <v>0</v>
      </c>
      <c r="EF753" s="1338"/>
      <c r="EG753" s="1338"/>
      <c r="EH753" s="1338"/>
      <c r="EI753" s="1338"/>
      <c r="EJ753" s="1338">
        <f t="shared" si="29"/>
        <v>0</v>
      </c>
      <c r="EK753" s="1338"/>
      <c r="EL753" s="1338"/>
      <c r="EM753" s="1338"/>
      <c r="EN753" s="1338"/>
      <c r="EO753" s="1338">
        <f t="shared" si="30"/>
        <v>0</v>
      </c>
      <c r="EP753" s="1338"/>
      <c r="EQ753" s="1338"/>
      <c r="ER753" s="1338"/>
      <c r="ES753" s="1338"/>
      <c r="ET753" s="1338">
        <f t="shared" si="31"/>
        <v>0</v>
      </c>
      <c r="EU753" s="1338"/>
      <c r="EV753" s="1338"/>
      <c r="EW753" s="1338"/>
      <c r="EX753" s="1338"/>
      <c r="EZ753" s="1304" t="str">
        <f t="shared" si="32"/>
        <v/>
      </c>
      <c r="FA753" s="1305"/>
      <c r="FB753" s="1305"/>
      <c r="FC753" s="1305"/>
      <c r="FD753" s="1306"/>
      <c r="FE753" s="1304" t="str">
        <f t="shared" si="33"/>
        <v/>
      </c>
      <c r="FF753" s="1305"/>
      <c r="FG753" s="1305"/>
      <c r="FH753" s="1305"/>
      <c r="FI753" s="1306"/>
      <c r="FJ753" s="1304" t="str">
        <f t="shared" si="34"/>
        <v/>
      </c>
      <c r="FK753" s="1305"/>
      <c r="FL753" s="1305"/>
      <c r="FM753" s="1305"/>
      <c r="FN753" s="1306"/>
      <c r="FO753" s="1304" t="str">
        <f t="shared" si="35"/>
        <v/>
      </c>
      <c r="FP753" s="1305"/>
      <c r="FQ753" s="1305"/>
      <c r="FR753" s="1305"/>
      <c r="FS753" s="1306"/>
      <c r="FT753" s="1304" t="str">
        <f t="shared" si="36"/>
        <v/>
      </c>
      <c r="FU753" s="1305"/>
      <c r="FV753" s="1305"/>
      <c r="FW753" s="1305"/>
      <c r="FX753" s="1306"/>
      <c r="FY753" s="1304" t="str">
        <f t="shared" si="37"/>
        <v/>
      </c>
      <c r="FZ753" s="1305"/>
      <c r="GA753" s="1305"/>
      <c r="GB753" s="1305"/>
      <c r="GC753" s="1306"/>
    </row>
    <row r="754" spans="1:185" ht="12.9" customHeight="1">
      <c r="B754" s="1318"/>
      <c r="C754" s="1319"/>
      <c r="D754" s="1319"/>
      <c r="E754" s="1319"/>
      <c r="F754" s="1320"/>
      <c r="G754" s="1327"/>
      <c r="H754" s="1328"/>
      <c r="I754" s="1328"/>
      <c r="J754" s="1329"/>
      <c r="K754" s="1460"/>
      <c r="L754" s="1461"/>
      <c r="M754" s="1461"/>
      <c r="N754" s="1462"/>
      <c r="O754" s="1334"/>
      <c r="P754" s="1335"/>
      <c r="Q754" s="1335"/>
      <c r="R754" s="1335"/>
      <c r="S754" s="1336"/>
      <c r="T754" s="1334"/>
      <c r="U754" s="1335"/>
      <c r="V754" s="1335"/>
      <c r="W754" s="1336"/>
      <c r="X754" s="1321">
        <f t="shared" si="41"/>
        <v>0</v>
      </c>
      <c r="Y754" s="1322"/>
      <c r="Z754" s="1322"/>
      <c r="AA754" s="1322"/>
      <c r="AB754" s="1323"/>
      <c r="AC754" s="1331"/>
      <c r="AD754" s="1332"/>
      <c r="AE754" s="1332"/>
      <c r="AF754" s="1332"/>
      <c r="AG754" s="1333"/>
      <c r="AH754" s="1324" t="str">
        <f t="shared" si="38"/>
        <v/>
      </c>
      <c r="AI754" s="1325"/>
      <c r="AJ754" s="1326"/>
      <c r="AK754" s="1318" t="s">
        <v>820</v>
      </c>
      <c r="AL754" s="1319"/>
      <c r="AM754" s="1319"/>
      <c r="AN754" s="1319"/>
      <c r="AO754" s="1320"/>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4">
        <f t="shared" si="39"/>
        <v>0</v>
      </c>
      <c r="CH754" s="1306"/>
      <c r="CI754" s="1304">
        <f t="shared" si="40"/>
        <v>0</v>
      </c>
      <c r="CJ754" s="1306"/>
      <c r="CK754" s="1304">
        <f t="shared" si="18"/>
        <v>0</v>
      </c>
      <c r="CL754" s="1306"/>
      <c r="CM754" s="1304">
        <f t="shared" si="19"/>
        <v>0</v>
      </c>
      <c r="CN754" s="1306"/>
      <c r="CO754" s="3"/>
      <c r="CP754" s="1301">
        <f t="shared" si="20"/>
        <v>0</v>
      </c>
      <c r="CQ754" s="1302"/>
      <c r="CR754" s="1302"/>
      <c r="CS754" s="1302"/>
      <c r="CT754" s="1303"/>
      <c r="CU754" s="1317">
        <f t="shared" si="21"/>
        <v>0</v>
      </c>
      <c r="CV754" s="1317"/>
      <c r="CW754" s="1317"/>
      <c r="CX754" s="1317"/>
      <c r="CY754" s="1317"/>
      <c r="CZ754" s="1317">
        <f t="shared" si="22"/>
        <v>0</v>
      </c>
      <c r="DA754" s="1317"/>
      <c r="DB754" s="1317"/>
      <c r="DC754" s="1317"/>
      <c r="DD754" s="1317"/>
      <c r="DE754" s="1317">
        <f t="shared" si="23"/>
        <v>0</v>
      </c>
      <c r="DF754" s="1317"/>
      <c r="DG754" s="1317"/>
      <c r="DH754" s="1317"/>
      <c r="DI754" s="1317"/>
      <c r="DJ754" s="1317">
        <f t="shared" si="24"/>
        <v>0</v>
      </c>
      <c r="DK754" s="1317"/>
      <c r="DL754" s="1317"/>
      <c r="DM754" s="1317"/>
      <c r="DN754" s="1317"/>
      <c r="DO754" s="1317">
        <f t="shared" si="25"/>
        <v>0</v>
      </c>
      <c r="DP754" s="1317"/>
      <c r="DQ754" s="1317"/>
      <c r="DR754" s="1317"/>
      <c r="DS754" s="1317"/>
      <c r="DT754" s="257"/>
      <c r="DU754" s="1338">
        <f t="shared" si="26"/>
        <v>0</v>
      </c>
      <c r="DV754" s="1338"/>
      <c r="DW754" s="1338"/>
      <c r="DX754" s="1338"/>
      <c r="DY754" s="1338"/>
      <c r="DZ754" s="1338">
        <f t="shared" si="27"/>
        <v>0</v>
      </c>
      <c r="EA754" s="1338"/>
      <c r="EB754" s="1338"/>
      <c r="EC754" s="1338"/>
      <c r="ED754" s="1338"/>
      <c r="EE754" s="1338">
        <f t="shared" si="28"/>
        <v>0</v>
      </c>
      <c r="EF754" s="1338"/>
      <c r="EG754" s="1338"/>
      <c r="EH754" s="1338"/>
      <c r="EI754" s="1338"/>
      <c r="EJ754" s="1338">
        <f t="shared" si="29"/>
        <v>0</v>
      </c>
      <c r="EK754" s="1338"/>
      <c r="EL754" s="1338"/>
      <c r="EM754" s="1338"/>
      <c r="EN754" s="1338"/>
      <c r="EO754" s="1338">
        <f t="shared" si="30"/>
        <v>0</v>
      </c>
      <c r="EP754" s="1338"/>
      <c r="EQ754" s="1338"/>
      <c r="ER754" s="1338"/>
      <c r="ES754" s="1338"/>
      <c r="ET754" s="1338">
        <f t="shared" si="31"/>
        <v>0</v>
      </c>
      <c r="EU754" s="1338"/>
      <c r="EV754" s="1338"/>
      <c r="EW754" s="1338"/>
      <c r="EX754" s="1338"/>
      <c r="EZ754" s="1304" t="str">
        <f t="shared" si="32"/>
        <v/>
      </c>
      <c r="FA754" s="1305"/>
      <c r="FB754" s="1305"/>
      <c r="FC754" s="1305"/>
      <c r="FD754" s="1306"/>
      <c r="FE754" s="1304" t="str">
        <f t="shared" si="33"/>
        <v/>
      </c>
      <c r="FF754" s="1305"/>
      <c r="FG754" s="1305"/>
      <c r="FH754" s="1305"/>
      <c r="FI754" s="1306"/>
      <c r="FJ754" s="1304" t="str">
        <f t="shared" si="34"/>
        <v/>
      </c>
      <c r="FK754" s="1305"/>
      <c r="FL754" s="1305"/>
      <c r="FM754" s="1305"/>
      <c r="FN754" s="1306"/>
      <c r="FO754" s="1304" t="str">
        <f t="shared" si="35"/>
        <v/>
      </c>
      <c r="FP754" s="1305"/>
      <c r="FQ754" s="1305"/>
      <c r="FR754" s="1305"/>
      <c r="FS754" s="1306"/>
      <c r="FT754" s="1304" t="str">
        <f t="shared" si="36"/>
        <v/>
      </c>
      <c r="FU754" s="1305"/>
      <c r="FV754" s="1305"/>
      <c r="FW754" s="1305"/>
      <c r="FX754" s="1306"/>
      <c r="FY754" s="1304" t="str">
        <f t="shared" si="37"/>
        <v/>
      </c>
      <c r="FZ754" s="1305"/>
      <c r="GA754" s="1305"/>
      <c r="GB754" s="1305"/>
      <c r="GC754" s="1306"/>
    </row>
    <row r="755" spans="1:185" ht="12.9" customHeight="1">
      <c r="B755" s="1318"/>
      <c r="C755" s="1319"/>
      <c r="D755" s="1319"/>
      <c r="E755" s="1319"/>
      <c r="F755" s="1320"/>
      <c r="G755" s="1327"/>
      <c r="H755" s="1328"/>
      <c r="I755" s="1328"/>
      <c r="J755" s="1329"/>
      <c r="K755" s="1460"/>
      <c r="L755" s="1461"/>
      <c r="M755" s="1461"/>
      <c r="N755" s="1462"/>
      <c r="O755" s="1334"/>
      <c r="P755" s="1335"/>
      <c r="Q755" s="1335"/>
      <c r="R755" s="1335"/>
      <c r="S755" s="1336"/>
      <c r="T755" s="1334"/>
      <c r="U755" s="1335"/>
      <c r="V755" s="1335"/>
      <c r="W755" s="1336"/>
      <c r="X755" s="1321">
        <f t="shared" si="41"/>
        <v>0</v>
      </c>
      <c r="Y755" s="1322"/>
      <c r="Z755" s="1322"/>
      <c r="AA755" s="1322"/>
      <c r="AB755" s="1323"/>
      <c r="AC755" s="1331"/>
      <c r="AD755" s="1332"/>
      <c r="AE755" s="1332"/>
      <c r="AF755" s="1332"/>
      <c r="AG755" s="1333"/>
      <c r="AH755" s="1324" t="str">
        <f t="shared" si="38"/>
        <v/>
      </c>
      <c r="AI755" s="1325"/>
      <c r="AJ755" s="1326"/>
      <c r="AK755" s="1318" t="s">
        <v>820</v>
      </c>
      <c r="AL755" s="1319"/>
      <c r="AM755" s="1319"/>
      <c r="AN755" s="1319"/>
      <c r="AO755" s="1320"/>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4">
        <f t="shared" si="39"/>
        <v>0</v>
      </c>
      <c r="CH755" s="1306"/>
      <c r="CI755" s="1304">
        <f t="shared" si="40"/>
        <v>0</v>
      </c>
      <c r="CJ755" s="1306"/>
      <c r="CK755" s="1304">
        <f t="shared" si="18"/>
        <v>0</v>
      </c>
      <c r="CL755" s="1306"/>
      <c r="CM755" s="1304">
        <f t="shared" si="19"/>
        <v>0</v>
      </c>
      <c r="CN755" s="1306"/>
      <c r="CO755" s="3"/>
      <c r="CP755" s="1301">
        <f t="shared" si="20"/>
        <v>0</v>
      </c>
      <c r="CQ755" s="1302"/>
      <c r="CR755" s="1302"/>
      <c r="CS755" s="1302"/>
      <c r="CT755" s="1303"/>
      <c r="CU755" s="1317">
        <f t="shared" si="21"/>
        <v>0</v>
      </c>
      <c r="CV755" s="1317"/>
      <c r="CW755" s="1317"/>
      <c r="CX755" s="1317"/>
      <c r="CY755" s="1317"/>
      <c r="CZ755" s="1317">
        <f t="shared" si="22"/>
        <v>0</v>
      </c>
      <c r="DA755" s="1317"/>
      <c r="DB755" s="1317"/>
      <c r="DC755" s="1317"/>
      <c r="DD755" s="1317"/>
      <c r="DE755" s="1317">
        <f t="shared" si="23"/>
        <v>0</v>
      </c>
      <c r="DF755" s="1317"/>
      <c r="DG755" s="1317"/>
      <c r="DH755" s="1317"/>
      <c r="DI755" s="1317"/>
      <c r="DJ755" s="1317">
        <f t="shared" si="24"/>
        <v>0</v>
      </c>
      <c r="DK755" s="1317"/>
      <c r="DL755" s="1317"/>
      <c r="DM755" s="1317"/>
      <c r="DN755" s="1317"/>
      <c r="DO755" s="1317">
        <f t="shared" si="25"/>
        <v>0</v>
      </c>
      <c r="DP755" s="1317"/>
      <c r="DQ755" s="1317"/>
      <c r="DR755" s="1317"/>
      <c r="DS755" s="1317"/>
      <c r="DT755" s="257"/>
      <c r="DU755" s="1338">
        <f t="shared" si="26"/>
        <v>0</v>
      </c>
      <c r="DV755" s="1338"/>
      <c r="DW755" s="1338"/>
      <c r="DX755" s="1338"/>
      <c r="DY755" s="1338"/>
      <c r="DZ755" s="1338">
        <f t="shared" si="27"/>
        <v>0</v>
      </c>
      <c r="EA755" s="1338"/>
      <c r="EB755" s="1338"/>
      <c r="EC755" s="1338"/>
      <c r="ED755" s="1338"/>
      <c r="EE755" s="1338">
        <f t="shared" si="28"/>
        <v>0</v>
      </c>
      <c r="EF755" s="1338"/>
      <c r="EG755" s="1338"/>
      <c r="EH755" s="1338"/>
      <c r="EI755" s="1338"/>
      <c r="EJ755" s="1338">
        <f t="shared" si="29"/>
        <v>0</v>
      </c>
      <c r="EK755" s="1338"/>
      <c r="EL755" s="1338"/>
      <c r="EM755" s="1338"/>
      <c r="EN755" s="1338"/>
      <c r="EO755" s="1338">
        <f t="shared" si="30"/>
        <v>0</v>
      </c>
      <c r="EP755" s="1338"/>
      <c r="EQ755" s="1338"/>
      <c r="ER755" s="1338"/>
      <c r="ES755" s="1338"/>
      <c r="ET755" s="1338">
        <f t="shared" si="31"/>
        <v>0</v>
      </c>
      <c r="EU755" s="1338"/>
      <c r="EV755" s="1338"/>
      <c r="EW755" s="1338"/>
      <c r="EX755" s="1338"/>
      <c r="EZ755" s="1304" t="str">
        <f t="shared" si="32"/>
        <v/>
      </c>
      <c r="FA755" s="1305"/>
      <c r="FB755" s="1305"/>
      <c r="FC755" s="1305"/>
      <c r="FD755" s="1306"/>
      <c r="FE755" s="1304" t="str">
        <f t="shared" si="33"/>
        <v/>
      </c>
      <c r="FF755" s="1305"/>
      <c r="FG755" s="1305"/>
      <c r="FH755" s="1305"/>
      <c r="FI755" s="1306"/>
      <c r="FJ755" s="1304" t="str">
        <f t="shared" si="34"/>
        <v/>
      </c>
      <c r="FK755" s="1305"/>
      <c r="FL755" s="1305"/>
      <c r="FM755" s="1305"/>
      <c r="FN755" s="1306"/>
      <c r="FO755" s="1304" t="str">
        <f t="shared" si="35"/>
        <v/>
      </c>
      <c r="FP755" s="1305"/>
      <c r="FQ755" s="1305"/>
      <c r="FR755" s="1305"/>
      <c r="FS755" s="1306"/>
      <c r="FT755" s="1304" t="str">
        <f t="shared" si="36"/>
        <v/>
      </c>
      <c r="FU755" s="1305"/>
      <c r="FV755" s="1305"/>
      <c r="FW755" s="1305"/>
      <c r="FX755" s="1306"/>
      <c r="FY755" s="1304" t="str">
        <f t="shared" si="37"/>
        <v/>
      </c>
      <c r="FZ755" s="1305"/>
      <c r="GA755" s="1305"/>
      <c r="GB755" s="1305"/>
      <c r="GC755" s="1306"/>
    </row>
    <row r="756" spans="1:185" s="3" customFormat="1" ht="12.9" customHeight="1">
      <c r="A756"/>
      <c r="B756" s="1318"/>
      <c r="C756" s="1319"/>
      <c r="D756" s="1319"/>
      <c r="E756" s="1319"/>
      <c r="F756" s="1320"/>
      <c r="G756" s="1327"/>
      <c r="H756" s="1328"/>
      <c r="I756" s="1328"/>
      <c r="J756" s="1329"/>
      <c r="K756" s="1460"/>
      <c r="L756" s="1461"/>
      <c r="M756" s="1461"/>
      <c r="N756" s="1462"/>
      <c r="O756" s="1334"/>
      <c r="P756" s="1335"/>
      <c r="Q756" s="1335"/>
      <c r="R756" s="1335"/>
      <c r="S756" s="1336"/>
      <c r="T756" s="1334"/>
      <c r="U756" s="1335"/>
      <c r="V756" s="1335"/>
      <c r="W756" s="1336"/>
      <c r="X756" s="1321">
        <f t="shared" si="41"/>
        <v>0</v>
      </c>
      <c r="Y756" s="1322"/>
      <c r="Z756" s="1322"/>
      <c r="AA756" s="1322"/>
      <c r="AB756" s="1323"/>
      <c r="AC756" s="1331"/>
      <c r="AD756" s="1332"/>
      <c r="AE756" s="1332"/>
      <c r="AF756" s="1332"/>
      <c r="AG756" s="1333"/>
      <c r="AH756" s="1324" t="str">
        <f t="shared" si="38"/>
        <v/>
      </c>
      <c r="AI756" s="1325"/>
      <c r="AJ756" s="1326"/>
      <c r="AK756" s="1318" t="s">
        <v>820</v>
      </c>
      <c r="AL756" s="1319"/>
      <c r="AM756" s="1319"/>
      <c r="AN756" s="1319"/>
      <c r="AO756" s="1320"/>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4">
        <f t="shared" si="39"/>
        <v>0</v>
      </c>
      <c r="CH756" s="1306"/>
      <c r="CI756" s="1304">
        <f t="shared" si="40"/>
        <v>0</v>
      </c>
      <c r="CJ756" s="1306"/>
      <c r="CK756" s="1304">
        <f t="shared" si="18"/>
        <v>0</v>
      </c>
      <c r="CL756" s="1306"/>
      <c r="CM756" s="1304">
        <f t="shared" si="19"/>
        <v>0</v>
      </c>
      <c r="CN756" s="1306"/>
      <c r="CP756" s="1301">
        <f t="shared" si="20"/>
        <v>0</v>
      </c>
      <c r="CQ756" s="1302"/>
      <c r="CR756" s="1302"/>
      <c r="CS756" s="1302"/>
      <c r="CT756" s="1303"/>
      <c r="CU756" s="1317">
        <f t="shared" si="21"/>
        <v>0</v>
      </c>
      <c r="CV756" s="1317"/>
      <c r="CW756" s="1317"/>
      <c r="CX756" s="1317"/>
      <c r="CY756" s="1317"/>
      <c r="CZ756" s="1317">
        <f t="shared" si="22"/>
        <v>0</v>
      </c>
      <c r="DA756" s="1317"/>
      <c r="DB756" s="1317"/>
      <c r="DC756" s="1317"/>
      <c r="DD756" s="1317"/>
      <c r="DE756" s="1317">
        <f t="shared" si="23"/>
        <v>0</v>
      </c>
      <c r="DF756" s="1317"/>
      <c r="DG756" s="1317"/>
      <c r="DH756" s="1317"/>
      <c r="DI756" s="1317"/>
      <c r="DJ756" s="1317">
        <f t="shared" si="24"/>
        <v>0</v>
      </c>
      <c r="DK756" s="1317"/>
      <c r="DL756" s="1317"/>
      <c r="DM756" s="1317"/>
      <c r="DN756" s="1317"/>
      <c r="DO756" s="1317">
        <f t="shared" si="25"/>
        <v>0</v>
      </c>
      <c r="DP756" s="1317"/>
      <c r="DQ756" s="1317"/>
      <c r="DR756" s="1317"/>
      <c r="DS756" s="1317"/>
      <c r="DT756" s="257"/>
      <c r="DU756" s="1338">
        <f t="shared" si="26"/>
        <v>0</v>
      </c>
      <c r="DV756" s="1338"/>
      <c r="DW756" s="1338"/>
      <c r="DX756" s="1338"/>
      <c r="DY756" s="1338"/>
      <c r="DZ756" s="1338">
        <f t="shared" si="27"/>
        <v>0</v>
      </c>
      <c r="EA756" s="1338"/>
      <c r="EB756" s="1338"/>
      <c r="EC756" s="1338"/>
      <c r="ED756" s="1338"/>
      <c r="EE756" s="1338">
        <f t="shared" si="28"/>
        <v>0</v>
      </c>
      <c r="EF756" s="1338"/>
      <c r="EG756" s="1338"/>
      <c r="EH756" s="1338"/>
      <c r="EI756" s="1338"/>
      <c r="EJ756" s="1338">
        <f t="shared" si="29"/>
        <v>0</v>
      </c>
      <c r="EK756" s="1338"/>
      <c r="EL756" s="1338"/>
      <c r="EM756" s="1338"/>
      <c r="EN756" s="1338"/>
      <c r="EO756" s="1338">
        <f t="shared" si="30"/>
        <v>0</v>
      </c>
      <c r="EP756" s="1338"/>
      <c r="EQ756" s="1338"/>
      <c r="ER756" s="1338"/>
      <c r="ES756" s="1338"/>
      <c r="ET756" s="1338">
        <f t="shared" si="31"/>
        <v>0</v>
      </c>
      <c r="EU756" s="1338"/>
      <c r="EV756" s="1338"/>
      <c r="EW756" s="1338"/>
      <c r="EX756" s="1338"/>
      <c r="EY756"/>
      <c r="EZ756" s="1304" t="str">
        <f t="shared" si="32"/>
        <v/>
      </c>
      <c r="FA756" s="1305"/>
      <c r="FB756" s="1305"/>
      <c r="FC756" s="1305"/>
      <c r="FD756" s="1306"/>
      <c r="FE756" s="1304" t="str">
        <f t="shared" si="33"/>
        <v/>
      </c>
      <c r="FF756" s="1305"/>
      <c r="FG756" s="1305"/>
      <c r="FH756" s="1305"/>
      <c r="FI756" s="1306"/>
      <c r="FJ756" s="1304" t="str">
        <f t="shared" si="34"/>
        <v/>
      </c>
      <c r="FK756" s="1305"/>
      <c r="FL756" s="1305"/>
      <c r="FM756" s="1305"/>
      <c r="FN756" s="1306"/>
      <c r="FO756" s="1304" t="str">
        <f t="shared" si="35"/>
        <v/>
      </c>
      <c r="FP756" s="1305"/>
      <c r="FQ756" s="1305"/>
      <c r="FR756" s="1305"/>
      <c r="FS756" s="1306"/>
      <c r="FT756" s="1304" t="str">
        <f t="shared" si="36"/>
        <v/>
      </c>
      <c r="FU756" s="1305"/>
      <c r="FV756" s="1305"/>
      <c r="FW756" s="1305"/>
      <c r="FX756" s="1306"/>
      <c r="FY756" s="1304" t="str">
        <f t="shared" si="37"/>
        <v/>
      </c>
      <c r="FZ756" s="1305"/>
      <c r="GA756" s="1305"/>
      <c r="GB756" s="1305"/>
      <c r="GC756" s="1306"/>
    </row>
    <row r="757" spans="1:185" s="3" customFormat="1" ht="12.9" customHeight="1">
      <c r="A757"/>
      <c r="B757" s="1318"/>
      <c r="C757" s="1319"/>
      <c r="D757" s="1319"/>
      <c r="E757" s="1319"/>
      <c r="F757" s="1320"/>
      <c r="G757" s="1327"/>
      <c r="H757" s="1328"/>
      <c r="I757" s="1328"/>
      <c r="J757" s="1329"/>
      <c r="K757" s="1460"/>
      <c r="L757" s="1461"/>
      <c r="M757" s="1461"/>
      <c r="N757" s="1462"/>
      <c r="O757" s="1334"/>
      <c r="P757" s="1335"/>
      <c r="Q757" s="1335"/>
      <c r="R757" s="1335"/>
      <c r="S757" s="1336"/>
      <c r="T757" s="1334"/>
      <c r="U757" s="1335"/>
      <c r="V757" s="1335"/>
      <c r="W757" s="1336"/>
      <c r="X757" s="1321">
        <f t="shared" si="41"/>
        <v>0</v>
      </c>
      <c r="Y757" s="1322"/>
      <c r="Z757" s="1322"/>
      <c r="AA757" s="1322"/>
      <c r="AB757" s="1323"/>
      <c r="AC757" s="1331"/>
      <c r="AD757" s="1332"/>
      <c r="AE757" s="1332"/>
      <c r="AF757" s="1332"/>
      <c r="AG757" s="1333"/>
      <c r="AH757" s="1324" t="str">
        <f t="shared" si="38"/>
        <v/>
      </c>
      <c r="AI757" s="1325"/>
      <c r="AJ757" s="1326"/>
      <c r="AK757" s="1318" t="s">
        <v>820</v>
      </c>
      <c r="AL757" s="1319"/>
      <c r="AM757" s="1319"/>
      <c r="AN757" s="1319"/>
      <c r="AO757" s="1320"/>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4">
        <f t="shared" si="39"/>
        <v>0</v>
      </c>
      <c r="CH757" s="1306"/>
      <c r="CI757" s="1304">
        <f t="shared" si="40"/>
        <v>0</v>
      </c>
      <c r="CJ757" s="1306"/>
      <c r="CK757" s="1304">
        <f t="shared" si="18"/>
        <v>0</v>
      </c>
      <c r="CL757" s="1306"/>
      <c r="CM757" s="1304">
        <f t="shared" si="19"/>
        <v>0</v>
      </c>
      <c r="CN757" s="1306"/>
      <c r="CP757" s="1301">
        <f t="shared" si="20"/>
        <v>0</v>
      </c>
      <c r="CQ757" s="1302"/>
      <c r="CR757" s="1302"/>
      <c r="CS757" s="1302"/>
      <c r="CT757" s="1303"/>
      <c r="CU757" s="1317">
        <f t="shared" si="21"/>
        <v>0</v>
      </c>
      <c r="CV757" s="1317"/>
      <c r="CW757" s="1317"/>
      <c r="CX757" s="1317"/>
      <c r="CY757" s="1317"/>
      <c r="CZ757" s="1317">
        <f t="shared" si="22"/>
        <v>0</v>
      </c>
      <c r="DA757" s="1317"/>
      <c r="DB757" s="1317"/>
      <c r="DC757" s="1317"/>
      <c r="DD757" s="1317"/>
      <c r="DE757" s="1317">
        <f t="shared" si="23"/>
        <v>0</v>
      </c>
      <c r="DF757" s="1317"/>
      <c r="DG757" s="1317"/>
      <c r="DH757" s="1317"/>
      <c r="DI757" s="1317"/>
      <c r="DJ757" s="1317">
        <f t="shared" si="24"/>
        <v>0</v>
      </c>
      <c r="DK757" s="1317"/>
      <c r="DL757" s="1317"/>
      <c r="DM757" s="1317"/>
      <c r="DN757" s="1317"/>
      <c r="DO757" s="1317">
        <f t="shared" si="25"/>
        <v>0</v>
      </c>
      <c r="DP757" s="1317"/>
      <c r="DQ757" s="1317"/>
      <c r="DR757" s="1317"/>
      <c r="DS757" s="1317"/>
      <c r="DT757" s="257"/>
      <c r="DU757" s="1338">
        <f t="shared" si="26"/>
        <v>0</v>
      </c>
      <c r="DV757" s="1338"/>
      <c r="DW757" s="1338"/>
      <c r="DX757" s="1338"/>
      <c r="DY757" s="1338"/>
      <c r="DZ757" s="1338">
        <f t="shared" si="27"/>
        <v>0</v>
      </c>
      <c r="EA757" s="1338"/>
      <c r="EB757" s="1338"/>
      <c r="EC757" s="1338"/>
      <c r="ED757" s="1338"/>
      <c r="EE757" s="1338">
        <f t="shared" si="28"/>
        <v>0</v>
      </c>
      <c r="EF757" s="1338"/>
      <c r="EG757" s="1338"/>
      <c r="EH757" s="1338"/>
      <c r="EI757" s="1338"/>
      <c r="EJ757" s="1338">
        <f t="shared" si="29"/>
        <v>0</v>
      </c>
      <c r="EK757" s="1338"/>
      <c r="EL757" s="1338"/>
      <c r="EM757" s="1338"/>
      <c r="EN757" s="1338"/>
      <c r="EO757" s="1338">
        <f t="shared" si="30"/>
        <v>0</v>
      </c>
      <c r="EP757" s="1338"/>
      <c r="EQ757" s="1338"/>
      <c r="ER757" s="1338"/>
      <c r="ES757" s="1338"/>
      <c r="ET757" s="1338">
        <f t="shared" si="31"/>
        <v>0</v>
      </c>
      <c r="EU757" s="1338"/>
      <c r="EV757" s="1338"/>
      <c r="EW757" s="1338"/>
      <c r="EX757" s="1338"/>
      <c r="EY757"/>
      <c r="EZ757" s="1304" t="str">
        <f t="shared" si="32"/>
        <v/>
      </c>
      <c r="FA757" s="1305"/>
      <c r="FB757" s="1305"/>
      <c r="FC757" s="1305"/>
      <c r="FD757" s="1306"/>
      <c r="FE757" s="1304" t="str">
        <f t="shared" si="33"/>
        <v/>
      </c>
      <c r="FF757" s="1305"/>
      <c r="FG757" s="1305"/>
      <c r="FH757" s="1305"/>
      <c r="FI757" s="1306"/>
      <c r="FJ757" s="1304" t="str">
        <f t="shared" si="34"/>
        <v/>
      </c>
      <c r="FK757" s="1305"/>
      <c r="FL757" s="1305"/>
      <c r="FM757" s="1305"/>
      <c r="FN757" s="1306"/>
      <c r="FO757" s="1304" t="str">
        <f t="shared" si="35"/>
        <v/>
      </c>
      <c r="FP757" s="1305"/>
      <c r="FQ757" s="1305"/>
      <c r="FR757" s="1305"/>
      <c r="FS757" s="1306"/>
      <c r="FT757" s="1304" t="str">
        <f t="shared" si="36"/>
        <v/>
      </c>
      <c r="FU757" s="1305"/>
      <c r="FV757" s="1305"/>
      <c r="FW757" s="1305"/>
      <c r="FX757" s="1306"/>
      <c r="FY757" s="1304" t="str">
        <f t="shared" si="37"/>
        <v/>
      </c>
      <c r="FZ757" s="1305"/>
      <c r="GA757" s="1305"/>
      <c r="GB757" s="1305"/>
      <c r="GC757" s="1306"/>
    </row>
    <row r="758" spans="1:185" s="3" customFormat="1" ht="12.9" customHeight="1">
      <c r="A758"/>
      <c r="B758" s="1318"/>
      <c r="C758" s="1319"/>
      <c r="D758" s="1319"/>
      <c r="E758" s="1319"/>
      <c r="F758" s="1320"/>
      <c r="G758" s="1327"/>
      <c r="H758" s="1328"/>
      <c r="I758" s="1328"/>
      <c r="J758" s="1329"/>
      <c r="K758" s="1460"/>
      <c r="L758" s="1461"/>
      <c r="M758" s="1461"/>
      <c r="N758" s="1462"/>
      <c r="O758" s="1334"/>
      <c r="P758" s="1335"/>
      <c r="Q758" s="1335"/>
      <c r="R758" s="1335"/>
      <c r="S758" s="1336"/>
      <c r="T758" s="1334"/>
      <c r="U758" s="1335"/>
      <c r="V758" s="1335"/>
      <c r="W758" s="1336"/>
      <c r="X758" s="1321">
        <f t="shared" si="41"/>
        <v>0</v>
      </c>
      <c r="Y758" s="1322"/>
      <c r="Z758" s="1322"/>
      <c r="AA758" s="1322"/>
      <c r="AB758" s="1323"/>
      <c r="AC758" s="1331"/>
      <c r="AD758" s="1332"/>
      <c r="AE758" s="1332"/>
      <c r="AF758" s="1332"/>
      <c r="AG758" s="1333"/>
      <c r="AH758" s="1324" t="str">
        <f t="shared" si="38"/>
        <v/>
      </c>
      <c r="AI758" s="1325"/>
      <c r="AJ758" s="1326"/>
      <c r="AK758" s="1318" t="s">
        <v>820</v>
      </c>
      <c r="AL758" s="1319"/>
      <c r="AM758" s="1319"/>
      <c r="AN758" s="1319"/>
      <c r="AO758" s="1320"/>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4">
        <f t="shared" si="39"/>
        <v>0</v>
      </c>
      <c r="CH758" s="1306"/>
      <c r="CI758" s="1304">
        <f t="shared" si="40"/>
        <v>0</v>
      </c>
      <c r="CJ758" s="1306"/>
      <c r="CK758" s="1304">
        <f t="shared" si="18"/>
        <v>0</v>
      </c>
      <c r="CL758" s="1306"/>
      <c r="CM758" s="1304">
        <f t="shared" si="19"/>
        <v>0</v>
      </c>
      <c r="CN758" s="1306"/>
      <c r="CP758" s="1301">
        <f t="shared" si="20"/>
        <v>0</v>
      </c>
      <c r="CQ758" s="1302"/>
      <c r="CR758" s="1302"/>
      <c r="CS758" s="1302"/>
      <c r="CT758" s="1303"/>
      <c r="CU758" s="1317">
        <f t="shared" si="21"/>
        <v>0</v>
      </c>
      <c r="CV758" s="1317"/>
      <c r="CW758" s="1317"/>
      <c r="CX758" s="1317"/>
      <c r="CY758" s="1317"/>
      <c r="CZ758" s="1317">
        <f t="shared" si="22"/>
        <v>0</v>
      </c>
      <c r="DA758" s="1317"/>
      <c r="DB758" s="1317"/>
      <c r="DC758" s="1317"/>
      <c r="DD758" s="1317"/>
      <c r="DE758" s="1317">
        <f t="shared" si="23"/>
        <v>0</v>
      </c>
      <c r="DF758" s="1317"/>
      <c r="DG758" s="1317"/>
      <c r="DH758" s="1317"/>
      <c r="DI758" s="1317"/>
      <c r="DJ758" s="1317">
        <f t="shared" si="24"/>
        <v>0</v>
      </c>
      <c r="DK758" s="1317"/>
      <c r="DL758" s="1317"/>
      <c r="DM758" s="1317"/>
      <c r="DN758" s="1317"/>
      <c r="DO758" s="1317">
        <f t="shared" si="25"/>
        <v>0</v>
      </c>
      <c r="DP758" s="1317"/>
      <c r="DQ758" s="1317"/>
      <c r="DR758" s="1317"/>
      <c r="DS758" s="1317"/>
      <c r="DT758" s="257"/>
      <c r="DU758" s="1338">
        <f t="shared" si="26"/>
        <v>0</v>
      </c>
      <c r="DV758" s="1338"/>
      <c r="DW758" s="1338"/>
      <c r="DX758" s="1338"/>
      <c r="DY758" s="1338"/>
      <c r="DZ758" s="1338">
        <f t="shared" si="27"/>
        <v>0</v>
      </c>
      <c r="EA758" s="1338"/>
      <c r="EB758" s="1338"/>
      <c r="EC758" s="1338"/>
      <c r="ED758" s="1338"/>
      <c r="EE758" s="1338">
        <f t="shared" si="28"/>
        <v>0</v>
      </c>
      <c r="EF758" s="1338"/>
      <c r="EG758" s="1338"/>
      <c r="EH758" s="1338"/>
      <c r="EI758" s="1338"/>
      <c r="EJ758" s="1338">
        <f t="shared" si="29"/>
        <v>0</v>
      </c>
      <c r="EK758" s="1338"/>
      <c r="EL758" s="1338"/>
      <c r="EM758" s="1338"/>
      <c r="EN758" s="1338"/>
      <c r="EO758" s="1338">
        <f t="shared" si="30"/>
        <v>0</v>
      </c>
      <c r="EP758" s="1338"/>
      <c r="EQ758" s="1338"/>
      <c r="ER758" s="1338"/>
      <c r="ES758" s="1338"/>
      <c r="ET758" s="1338">
        <f t="shared" si="31"/>
        <v>0</v>
      </c>
      <c r="EU758" s="1338"/>
      <c r="EV758" s="1338"/>
      <c r="EW758" s="1338"/>
      <c r="EX758" s="1338"/>
      <c r="EY758"/>
      <c r="EZ758" s="1304" t="str">
        <f t="shared" si="32"/>
        <v/>
      </c>
      <c r="FA758" s="1305"/>
      <c r="FB758" s="1305"/>
      <c r="FC758" s="1305"/>
      <c r="FD758" s="1306"/>
      <c r="FE758" s="1304" t="str">
        <f t="shared" si="33"/>
        <v/>
      </c>
      <c r="FF758" s="1305"/>
      <c r="FG758" s="1305"/>
      <c r="FH758" s="1305"/>
      <c r="FI758" s="1306"/>
      <c r="FJ758" s="1304" t="str">
        <f t="shared" si="34"/>
        <v/>
      </c>
      <c r="FK758" s="1305"/>
      <c r="FL758" s="1305"/>
      <c r="FM758" s="1305"/>
      <c r="FN758" s="1306"/>
      <c r="FO758" s="1304" t="str">
        <f t="shared" si="35"/>
        <v/>
      </c>
      <c r="FP758" s="1305"/>
      <c r="FQ758" s="1305"/>
      <c r="FR758" s="1305"/>
      <c r="FS758" s="1306"/>
      <c r="FT758" s="1304" t="str">
        <f t="shared" si="36"/>
        <v/>
      </c>
      <c r="FU758" s="1305"/>
      <c r="FV758" s="1305"/>
      <c r="FW758" s="1305"/>
      <c r="FX758" s="1306"/>
      <c r="FY758" s="1304" t="str">
        <f t="shared" si="37"/>
        <v/>
      </c>
      <c r="FZ758" s="1305"/>
      <c r="GA758" s="1305"/>
      <c r="GB758" s="1305"/>
      <c r="GC758" s="1306"/>
    </row>
    <row r="759" spans="1:185" s="3" customFormat="1" ht="12.9" customHeight="1">
      <c r="A759"/>
      <c r="B759" s="1318"/>
      <c r="C759" s="1319"/>
      <c r="D759" s="1319"/>
      <c r="E759" s="1319"/>
      <c r="F759" s="1320"/>
      <c r="G759" s="1327"/>
      <c r="H759" s="1328"/>
      <c r="I759" s="1328"/>
      <c r="J759" s="1329"/>
      <c r="K759" s="1460"/>
      <c r="L759" s="1461"/>
      <c r="M759" s="1461"/>
      <c r="N759" s="1462"/>
      <c r="O759" s="1334"/>
      <c r="P759" s="1335"/>
      <c r="Q759" s="1335"/>
      <c r="R759" s="1335"/>
      <c r="S759" s="1336"/>
      <c r="T759" s="1334"/>
      <c r="U759" s="1335"/>
      <c r="V759" s="1335"/>
      <c r="W759" s="1336"/>
      <c r="X759" s="1321">
        <f t="shared" si="41"/>
        <v>0</v>
      </c>
      <c r="Y759" s="1322"/>
      <c r="Z759" s="1322"/>
      <c r="AA759" s="1322"/>
      <c r="AB759" s="1323"/>
      <c r="AC759" s="1331"/>
      <c r="AD759" s="1332"/>
      <c r="AE759" s="1332"/>
      <c r="AF759" s="1332"/>
      <c r="AG759" s="1333"/>
      <c r="AH759" s="1324" t="str">
        <f t="shared" si="38"/>
        <v/>
      </c>
      <c r="AI759" s="1325"/>
      <c r="AJ759" s="1326"/>
      <c r="AK759" s="1318" t="s">
        <v>820</v>
      </c>
      <c r="AL759" s="1319"/>
      <c r="AM759" s="1319"/>
      <c r="AN759" s="1319"/>
      <c r="AO759" s="1320"/>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4">
        <f t="shared" si="39"/>
        <v>0</v>
      </c>
      <c r="CH759" s="1306"/>
      <c r="CI759" s="1304">
        <f t="shared" si="40"/>
        <v>0</v>
      </c>
      <c r="CJ759" s="1306"/>
      <c r="CK759" s="1304">
        <f t="shared" si="18"/>
        <v>0</v>
      </c>
      <c r="CL759" s="1306"/>
      <c r="CM759" s="1304">
        <f t="shared" si="19"/>
        <v>0</v>
      </c>
      <c r="CN759" s="1306"/>
      <c r="CP759" s="1301">
        <f t="shared" si="20"/>
        <v>0</v>
      </c>
      <c r="CQ759" s="1302"/>
      <c r="CR759" s="1302"/>
      <c r="CS759" s="1302"/>
      <c r="CT759" s="1303"/>
      <c r="CU759" s="1317">
        <f t="shared" si="21"/>
        <v>0</v>
      </c>
      <c r="CV759" s="1317"/>
      <c r="CW759" s="1317"/>
      <c r="CX759" s="1317"/>
      <c r="CY759" s="1317"/>
      <c r="CZ759" s="1317">
        <f t="shared" si="22"/>
        <v>0</v>
      </c>
      <c r="DA759" s="1317"/>
      <c r="DB759" s="1317"/>
      <c r="DC759" s="1317"/>
      <c r="DD759" s="1317"/>
      <c r="DE759" s="1317">
        <f t="shared" si="23"/>
        <v>0</v>
      </c>
      <c r="DF759" s="1317"/>
      <c r="DG759" s="1317"/>
      <c r="DH759" s="1317"/>
      <c r="DI759" s="1317"/>
      <c r="DJ759" s="1317">
        <f t="shared" si="24"/>
        <v>0</v>
      </c>
      <c r="DK759" s="1317"/>
      <c r="DL759" s="1317"/>
      <c r="DM759" s="1317"/>
      <c r="DN759" s="1317"/>
      <c r="DO759" s="1317">
        <f t="shared" si="25"/>
        <v>0</v>
      </c>
      <c r="DP759" s="1317"/>
      <c r="DQ759" s="1317"/>
      <c r="DR759" s="1317"/>
      <c r="DS759" s="1317"/>
      <c r="DT759" s="257"/>
      <c r="DU759" s="1338">
        <f t="shared" si="26"/>
        <v>0</v>
      </c>
      <c r="DV759" s="1338"/>
      <c r="DW759" s="1338"/>
      <c r="DX759" s="1338"/>
      <c r="DY759" s="1338"/>
      <c r="DZ759" s="1338">
        <f t="shared" si="27"/>
        <v>0</v>
      </c>
      <c r="EA759" s="1338"/>
      <c r="EB759" s="1338"/>
      <c r="EC759" s="1338"/>
      <c r="ED759" s="1338"/>
      <c r="EE759" s="1338">
        <f t="shared" si="28"/>
        <v>0</v>
      </c>
      <c r="EF759" s="1338"/>
      <c r="EG759" s="1338"/>
      <c r="EH759" s="1338"/>
      <c r="EI759" s="1338"/>
      <c r="EJ759" s="1338">
        <f t="shared" si="29"/>
        <v>0</v>
      </c>
      <c r="EK759" s="1338"/>
      <c r="EL759" s="1338"/>
      <c r="EM759" s="1338"/>
      <c r="EN759" s="1338"/>
      <c r="EO759" s="1338">
        <f t="shared" si="30"/>
        <v>0</v>
      </c>
      <c r="EP759" s="1338"/>
      <c r="EQ759" s="1338"/>
      <c r="ER759" s="1338"/>
      <c r="ES759" s="1338"/>
      <c r="ET759" s="1338">
        <f t="shared" si="31"/>
        <v>0</v>
      </c>
      <c r="EU759" s="1338"/>
      <c r="EV759" s="1338"/>
      <c r="EW759" s="1338"/>
      <c r="EX759" s="1338"/>
      <c r="EY759"/>
      <c r="EZ759" s="1304" t="str">
        <f t="shared" si="32"/>
        <v/>
      </c>
      <c r="FA759" s="1305"/>
      <c r="FB759" s="1305"/>
      <c r="FC759" s="1305"/>
      <c r="FD759" s="1306"/>
      <c r="FE759" s="1304" t="str">
        <f t="shared" si="33"/>
        <v/>
      </c>
      <c r="FF759" s="1305"/>
      <c r="FG759" s="1305"/>
      <c r="FH759" s="1305"/>
      <c r="FI759" s="1306"/>
      <c r="FJ759" s="1304" t="str">
        <f t="shared" si="34"/>
        <v/>
      </c>
      <c r="FK759" s="1305"/>
      <c r="FL759" s="1305"/>
      <c r="FM759" s="1305"/>
      <c r="FN759" s="1306"/>
      <c r="FO759" s="1304" t="str">
        <f t="shared" si="35"/>
        <v/>
      </c>
      <c r="FP759" s="1305"/>
      <c r="FQ759" s="1305"/>
      <c r="FR759" s="1305"/>
      <c r="FS759" s="1306"/>
      <c r="FT759" s="1304" t="str">
        <f t="shared" si="36"/>
        <v/>
      </c>
      <c r="FU759" s="1305"/>
      <c r="FV759" s="1305"/>
      <c r="FW759" s="1305"/>
      <c r="FX759" s="1306"/>
      <c r="FY759" s="1304" t="str">
        <f t="shared" si="37"/>
        <v/>
      </c>
      <c r="FZ759" s="1305"/>
      <c r="GA759" s="1305"/>
      <c r="GB759" s="1305"/>
      <c r="GC759" s="1306"/>
    </row>
    <row r="760" spans="1:185" s="3" customFormat="1" ht="12.9" customHeight="1">
      <c r="A760"/>
      <c r="B760" s="1318"/>
      <c r="C760" s="1319"/>
      <c r="D760" s="1319"/>
      <c r="E760" s="1319"/>
      <c r="F760" s="1320"/>
      <c r="G760" s="1327"/>
      <c r="H760" s="1328"/>
      <c r="I760" s="1328"/>
      <c r="J760" s="1329"/>
      <c r="K760" s="1460"/>
      <c r="L760" s="1461"/>
      <c r="M760" s="1461"/>
      <c r="N760" s="1462"/>
      <c r="O760" s="1334"/>
      <c r="P760" s="1335"/>
      <c r="Q760" s="1335"/>
      <c r="R760" s="1335"/>
      <c r="S760" s="1336"/>
      <c r="T760" s="1334"/>
      <c r="U760" s="1335"/>
      <c r="V760" s="1335"/>
      <c r="W760" s="1336"/>
      <c r="X760" s="1321">
        <f>O760+T760</f>
        <v>0</v>
      </c>
      <c r="Y760" s="1322"/>
      <c r="Z760" s="1322"/>
      <c r="AA760" s="1322"/>
      <c r="AB760" s="1323"/>
      <c r="AC760" s="1331"/>
      <c r="AD760" s="1332"/>
      <c r="AE760" s="1332"/>
      <c r="AF760" s="1332"/>
      <c r="AG760" s="1333"/>
      <c r="AH760" s="1324" t="str">
        <f t="shared" si="38"/>
        <v/>
      </c>
      <c r="AI760" s="1325"/>
      <c r="AJ760" s="1326"/>
      <c r="AK760" s="1318" t="s">
        <v>820</v>
      </c>
      <c r="AL760" s="1319"/>
      <c r="AM760" s="1319"/>
      <c r="AN760" s="1319"/>
      <c r="AO760" s="1320"/>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4">
        <f t="shared" si="39"/>
        <v>0</v>
      </c>
      <c r="CH760" s="1306"/>
      <c r="CI760" s="1304">
        <f t="shared" si="40"/>
        <v>0</v>
      </c>
      <c r="CJ760" s="1306"/>
      <c r="CK760" s="1304">
        <f t="shared" si="18"/>
        <v>0</v>
      </c>
      <c r="CL760" s="1306"/>
      <c r="CM760" s="1304">
        <f t="shared" si="19"/>
        <v>0</v>
      </c>
      <c r="CN760" s="1306"/>
      <c r="CP760" s="1301">
        <f t="shared" si="20"/>
        <v>0</v>
      </c>
      <c r="CQ760" s="1302"/>
      <c r="CR760" s="1302"/>
      <c r="CS760" s="1302"/>
      <c r="CT760" s="1303"/>
      <c r="CU760" s="1317">
        <f t="shared" si="21"/>
        <v>0</v>
      </c>
      <c r="CV760" s="1317"/>
      <c r="CW760" s="1317"/>
      <c r="CX760" s="1317"/>
      <c r="CY760" s="1317"/>
      <c r="CZ760" s="1317">
        <f t="shared" si="22"/>
        <v>0</v>
      </c>
      <c r="DA760" s="1317"/>
      <c r="DB760" s="1317"/>
      <c r="DC760" s="1317"/>
      <c r="DD760" s="1317"/>
      <c r="DE760" s="1317">
        <f t="shared" si="23"/>
        <v>0</v>
      </c>
      <c r="DF760" s="1317"/>
      <c r="DG760" s="1317"/>
      <c r="DH760" s="1317"/>
      <c r="DI760" s="1317"/>
      <c r="DJ760" s="1317">
        <f t="shared" si="24"/>
        <v>0</v>
      </c>
      <c r="DK760" s="1317"/>
      <c r="DL760" s="1317"/>
      <c r="DM760" s="1317"/>
      <c r="DN760" s="1317"/>
      <c r="DO760" s="1317">
        <f t="shared" si="25"/>
        <v>0</v>
      </c>
      <c r="DP760" s="1317"/>
      <c r="DQ760" s="1317"/>
      <c r="DR760" s="1317"/>
      <c r="DS760" s="1317"/>
      <c r="DT760" s="257"/>
      <c r="DU760" s="1338">
        <f t="shared" si="26"/>
        <v>0</v>
      </c>
      <c r="DV760" s="1338"/>
      <c r="DW760" s="1338"/>
      <c r="DX760" s="1338"/>
      <c r="DY760" s="1338"/>
      <c r="DZ760" s="1338">
        <f t="shared" si="27"/>
        <v>0</v>
      </c>
      <c r="EA760" s="1338"/>
      <c r="EB760" s="1338"/>
      <c r="EC760" s="1338"/>
      <c r="ED760" s="1338"/>
      <c r="EE760" s="1338">
        <f t="shared" si="28"/>
        <v>0</v>
      </c>
      <c r="EF760" s="1338"/>
      <c r="EG760" s="1338"/>
      <c r="EH760" s="1338"/>
      <c r="EI760" s="1338"/>
      <c r="EJ760" s="1338">
        <f t="shared" si="29"/>
        <v>0</v>
      </c>
      <c r="EK760" s="1338"/>
      <c r="EL760" s="1338"/>
      <c r="EM760" s="1338"/>
      <c r="EN760" s="1338"/>
      <c r="EO760" s="1338">
        <f t="shared" si="30"/>
        <v>0</v>
      </c>
      <c r="EP760" s="1338"/>
      <c r="EQ760" s="1338"/>
      <c r="ER760" s="1338"/>
      <c r="ES760" s="1338"/>
      <c r="ET760" s="1338">
        <f t="shared" si="31"/>
        <v>0</v>
      </c>
      <c r="EU760" s="1338"/>
      <c r="EV760" s="1338"/>
      <c r="EW760" s="1338"/>
      <c r="EX760" s="1338"/>
      <c r="EY760"/>
      <c r="EZ760" s="1304" t="str">
        <f t="shared" si="32"/>
        <v/>
      </c>
      <c r="FA760" s="1305"/>
      <c r="FB760" s="1305"/>
      <c r="FC760" s="1305"/>
      <c r="FD760" s="1306"/>
      <c r="FE760" s="1304" t="str">
        <f t="shared" si="33"/>
        <v/>
      </c>
      <c r="FF760" s="1305"/>
      <c r="FG760" s="1305"/>
      <c r="FH760" s="1305"/>
      <c r="FI760" s="1306"/>
      <c r="FJ760" s="1304" t="str">
        <f t="shared" si="34"/>
        <v/>
      </c>
      <c r="FK760" s="1305"/>
      <c r="FL760" s="1305"/>
      <c r="FM760" s="1305"/>
      <c r="FN760" s="1306"/>
      <c r="FO760" s="1304" t="str">
        <f t="shared" si="35"/>
        <v/>
      </c>
      <c r="FP760" s="1305"/>
      <c r="FQ760" s="1305"/>
      <c r="FR760" s="1305"/>
      <c r="FS760" s="1306"/>
      <c r="FT760" s="1304" t="str">
        <f t="shared" si="36"/>
        <v/>
      </c>
      <c r="FU760" s="1305"/>
      <c r="FV760" s="1305"/>
      <c r="FW760" s="1305"/>
      <c r="FX760" s="1306"/>
      <c r="FY760" s="1304" t="str">
        <f t="shared" si="37"/>
        <v/>
      </c>
      <c r="FZ760" s="1305"/>
      <c r="GA760" s="1305"/>
      <c r="GB760" s="1305"/>
      <c r="GC760" s="1306"/>
    </row>
    <row r="761" spans="1:185" s="3" customFormat="1" ht="12.9" customHeight="1">
      <c r="A761"/>
      <c r="B761" s="1373" t="s">
        <v>1488</v>
      </c>
      <c r="C761" s="1374"/>
      <c r="D761" s="1374"/>
      <c r="E761" s="1374"/>
      <c r="F761" s="1376"/>
      <c r="G761" s="1656">
        <f>SUM(G726:G760)</f>
        <v>90</v>
      </c>
      <c r="H761" s="1657"/>
      <c r="I761" s="1657"/>
      <c r="J761" s="1658"/>
      <c r="K761" s="794" t="s">
        <v>1489</v>
      </c>
      <c r="L761" s="5"/>
      <c r="M761" s="5"/>
      <c r="N761" s="38"/>
      <c r="O761" s="1321">
        <f>SUMPRODUCT(G726:G760,O726:O760)</f>
        <v>136305</v>
      </c>
      <c r="P761" s="1322"/>
      <c r="Q761" s="1322"/>
      <c r="R761" s="1322"/>
      <c r="S761" s="1323"/>
      <c r="T761"/>
      <c r="U761"/>
      <c r="V761"/>
      <c r="W761"/>
      <c r="X761" s="796" t="s">
        <v>1490</v>
      </c>
      <c r="Y761" s="795"/>
      <c r="Z761" s="795"/>
      <c r="AA761" s="795"/>
      <c r="AB761" s="797"/>
      <c r="AC761" s="1559">
        <f>BH761</f>
        <v>0.40666666666666668</v>
      </c>
      <c r="AD761" s="1560"/>
      <c r="AE761" s="1560"/>
      <c r="AF761" s="1560"/>
      <c r="AG761" s="1561"/>
      <c r="AH761" s="1559">
        <f>IFERROR(BU761,"")</f>
        <v>0.40662513396036332</v>
      </c>
      <c r="AI761" s="1560"/>
      <c r="AJ761" s="1561"/>
      <c r="AK761"/>
      <c r="AL761"/>
      <c r="AM761"/>
      <c r="AN761"/>
      <c r="AO761"/>
      <c r="AP761" s="137"/>
      <c r="AQ761" s="137"/>
      <c r="AR761" s="137"/>
      <c r="AS761" s="137"/>
      <c r="AT761"/>
      <c r="AU761"/>
      <c r="AV761"/>
      <c r="AW761"/>
      <c r="AX761"/>
      <c r="AY761"/>
      <c r="BE761" s="200" t="s">
        <v>1491</v>
      </c>
      <c r="BF761" s="208">
        <f>SUM(BF726:BF760)</f>
        <v>90</v>
      </c>
      <c r="BG761" s="209">
        <f>SUM(BG726:BG760)</f>
        <v>1</v>
      </c>
      <c r="BH761" s="209">
        <f>SUM(BH726:BH760)</f>
        <v>0.40666666666666668</v>
      </c>
      <c r="BI761"/>
      <c r="BJ761"/>
      <c r="BK761"/>
      <c r="BL761"/>
      <c r="BO761"/>
      <c r="BP761"/>
      <c r="BQ761"/>
      <c r="BR761"/>
      <c r="BS761" s="754">
        <f>SUM(BS726:BS760)</f>
        <v>90</v>
      </c>
      <c r="BT761" s="209">
        <f>SUM(BT726:BT760)</f>
        <v>1</v>
      </c>
      <c r="BU761" s="209">
        <f>SUM(BU726:BU760)</f>
        <v>0.40662513396036332</v>
      </c>
      <c r="CI761" s="1304">
        <f>SUM(CI726:CJ760)</f>
        <v>39</v>
      </c>
      <c r="CJ761" s="1306"/>
      <c r="CM761" s="1304">
        <f>SUM(CM726:CN760)</f>
        <v>45</v>
      </c>
      <c r="CN761" s="1306"/>
      <c r="CP761" s="1304">
        <f>SUM(CP726:CT760)</f>
        <v>1</v>
      </c>
      <c r="CQ761" s="1305"/>
      <c r="CR761" s="1305"/>
      <c r="CS761" s="1305"/>
      <c r="CT761" s="1306"/>
      <c r="CU761" s="1337">
        <f>SUM(CU726:CY760)</f>
        <v>32</v>
      </c>
      <c r="CV761" s="1337"/>
      <c r="CW761" s="1337"/>
      <c r="CX761" s="1337"/>
      <c r="CY761" s="1337"/>
      <c r="CZ761" s="1337">
        <f>SUM(CZ726:DD760)</f>
        <v>55</v>
      </c>
      <c r="DA761" s="1337"/>
      <c r="DB761" s="1337"/>
      <c r="DC761" s="1337"/>
      <c r="DD761" s="1337"/>
      <c r="DE761" s="1337">
        <f>SUM(DE726:DI760)</f>
        <v>2</v>
      </c>
      <c r="DF761" s="1337"/>
      <c r="DG761" s="1337"/>
      <c r="DH761" s="1337"/>
      <c r="DI761" s="1337"/>
      <c r="DJ761" s="1337">
        <f>SUM(DJ726:DN760)</f>
        <v>0</v>
      </c>
      <c r="DK761" s="1337"/>
      <c r="DL761" s="1337"/>
      <c r="DM761" s="1337"/>
      <c r="DN761" s="1337"/>
      <c r="DO761" s="1337">
        <f>SUM(DO726:DS760)</f>
        <v>0</v>
      </c>
      <c r="DP761" s="1337"/>
      <c r="DQ761" s="1337"/>
      <c r="DR761" s="1337"/>
      <c r="DS761" s="1337"/>
      <c r="DT761" s="257"/>
      <c r="DU761" s="1337">
        <f>SUM(DU726:DY760)</f>
        <v>0</v>
      </c>
      <c r="DV761" s="1337"/>
      <c r="DW761" s="1337"/>
      <c r="DX761" s="1337"/>
      <c r="DY761" s="1337"/>
      <c r="DZ761" s="1337">
        <f>SUM(DZ726:ED760)</f>
        <v>9</v>
      </c>
      <c r="EA761" s="1337"/>
      <c r="EB761" s="1337"/>
      <c r="EC761" s="1337"/>
      <c r="ED761" s="1337"/>
      <c r="EE761" s="1337">
        <f>SUM(EE726:EI760)</f>
        <v>36</v>
      </c>
      <c r="EF761" s="1337"/>
      <c r="EG761" s="1337"/>
      <c r="EH761" s="1337"/>
      <c r="EI761" s="1337"/>
      <c r="EJ761" s="1337">
        <f>SUM(EJ726:EN760)</f>
        <v>0</v>
      </c>
      <c r="EK761" s="1337"/>
      <c r="EL761" s="1337"/>
      <c r="EM761" s="1337"/>
      <c r="EN761" s="1337"/>
      <c r="EO761" s="1337">
        <f>SUM(EO726:ES760)</f>
        <v>0</v>
      </c>
      <c r="EP761" s="1337"/>
      <c r="EQ761" s="1337"/>
      <c r="ER761" s="1337"/>
      <c r="ES761" s="1337"/>
      <c r="ET761" s="1337">
        <f>SUM(ET726:EX760)</f>
        <v>0</v>
      </c>
      <c r="EU761" s="1337"/>
      <c r="EV761" s="1337"/>
      <c r="EW761" s="1337"/>
      <c r="EX761" s="1337"/>
      <c r="EY761"/>
      <c r="EZ761" s="1337">
        <f>SUM(EZ726:FD760)</f>
        <v>1934</v>
      </c>
      <c r="FA761" s="1337"/>
      <c r="FB761" s="1337"/>
      <c r="FC761" s="1337"/>
      <c r="FD761" s="1337"/>
      <c r="FE761" s="1337">
        <f>SUM(FE726:FI760)</f>
        <v>4705</v>
      </c>
      <c r="FF761" s="1337"/>
      <c r="FG761" s="1337"/>
      <c r="FH761" s="1337"/>
      <c r="FI761" s="1337"/>
      <c r="FJ761" s="1337">
        <f>SUM(FJ726:FN760)</f>
        <v>3191</v>
      </c>
      <c r="FK761" s="1337"/>
      <c r="FL761" s="1337"/>
      <c r="FM761" s="1337"/>
      <c r="FN761" s="1337"/>
      <c r="FO761" s="1337">
        <f>SUM(FO726:FS760)</f>
        <v>2342</v>
      </c>
      <c r="FP761" s="1337"/>
      <c r="FQ761" s="1337"/>
      <c r="FR761" s="1337"/>
      <c r="FS761" s="1337"/>
      <c r="FT761" s="1337">
        <f>SUM(FT726:FX760)</f>
        <v>0</v>
      </c>
      <c r="FU761" s="1337"/>
      <c r="FV761" s="1337"/>
      <c r="FW761" s="1337"/>
      <c r="FX761" s="1337"/>
      <c r="FY761" s="1337">
        <f>SUM(FY726:GC760)</f>
        <v>0</v>
      </c>
      <c r="FZ761" s="1337"/>
      <c r="GA761" s="1337"/>
      <c r="GB761" s="1337"/>
      <c r="GC761" s="1337"/>
    </row>
    <row r="762" spans="1:185" s="3" customFormat="1" ht="12.9" customHeight="1">
      <c r="A762"/>
      <c r="B762" s="1767" t="s">
        <v>1492</v>
      </c>
      <c r="C762" s="1767"/>
      <c r="D762" s="1767"/>
      <c r="E762" s="1767"/>
      <c r="F762" s="1767"/>
      <c r="G762" s="1767"/>
      <c r="H762" s="1767"/>
      <c r="I762" s="1767"/>
      <c r="J762" s="1767"/>
      <c r="K762" s="1767"/>
      <c r="L762" s="1767"/>
      <c r="M762" s="1767"/>
      <c r="N762" s="1767"/>
      <c r="O762" s="1767"/>
      <c r="P762" s="1767"/>
      <c r="Q762" s="1767"/>
      <c r="R762" s="1767"/>
      <c r="S762" s="1767"/>
      <c r="T762" s="1767"/>
      <c r="U762" s="1767"/>
      <c r="V762" s="1767"/>
      <c r="W762" s="1767"/>
      <c r="X762" s="1767"/>
      <c r="Y762" s="1767"/>
      <c r="Z762" s="1767"/>
      <c r="AA762" s="1767"/>
      <c r="AB762" s="1767"/>
      <c r="AC762" s="1767"/>
      <c r="AD762" s="1767"/>
      <c r="AE762" s="1767"/>
      <c r="AF762" s="1767"/>
      <c r="AG762" s="1767"/>
      <c r="AH762" s="1767"/>
      <c r="AI762"/>
      <c r="AJ762"/>
      <c r="AK762"/>
      <c r="AT762"/>
      <c r="AU762"/>
      <c r="AV762"/>
      <c r="AW762"/>
      <c r="AX762"/>
      <c r="AY762"/>
      <c r="CD762"/>
      <c r="DN762" s="48" t="s">
        <v>1493</v>
      </c>
      <c r="DO762" s="1304">
        <f>CP761+CU761+CZ761+DE761+DJ761+DO761</f>
        <v>90</v>
      </c>
      <c r="DP762" s="1305"/>
      <c r="DQ762" s="1305"/>
      <c r="DR762" s="1305"/>
      <c r="DS762" s="1306"/>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767"/>
      <c r="C763" s="1767"/>
      <c r="D763" s="1767"/>
      <c r="E763" s="1767"/>
      <c r="F763" s="1767"/>
      <c r="G763" s="1767"/>
      <c r="H763" s="1767"/>
      <c r="I763" s="1767"/>
      <c r="J763" s="1767"/>
      <c r="K763" s="1767"/>
      <c r="L763" s="1767"/>
      <c r="M763" s="1767"/>
      <c r="N763" s="1767"/>
      <c r="O763" s="1767"/>
      <c r="P763" s="1767"/>
      <c r="Q763" s="1767"/>
      <c r="R763" s="1767"/>
      <c r="S763" s="1767"/>
      <c r="T763" s="1767"/>
      <c r="U763" s="1767"/>
      <c r="V763" s="1767"/>
      <c r="W763" s="1767"/>
      <c r="X763" s="1767"/>
      <c r="Y763" s="1767"/>
      <c r="Z763" s="1767"/>
      <c r="AA763" s="1767"/>
      <c r="AB763" s="1767"/>
      <c r="AC763" s="1767"/>
      <c r="AD763" s="1767"/>
      <c r="AE763" s="1767"/>
      <c r="AF763" s="1767"/>
      <c r="AG763" s="1767"/>
      <c r="AH763" s="176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1</v>
      </c>
      <c r="CU763" s="3"/>
      <c r="CV763" s="3"/>
      <c r="CW763" s="3"/>
      <c r="CX763" s="3"/>
      <c r="CY763" s="756">
        <f>CU761*1</f>
        <v>32</v>
      </c>
      <c r="CZ763" s="3"/>
      <c r="DA763" s="3"/>
      <c r="DB763" s="3"/>
      <c r="DC763" s="3"/>
      <c r="DD763" s="756">
        <f>CZ761*2</f>
        <v>110</v>
      </c>
      <c r="DE763" s="3"/>
      <c r="DF763" s="3"/>
      <c r="DG763" s="3"/>
      <c r="DH763" s="3"/>
      <c r="DI763" s="756">
        <f>DE761*3</f>
        <v>6</v>
      </c>
      <c r="DJ763" s="3"/>
      <c r="DK763" s="3"/>
      <c r="DL763" s="3"/>
      <c r="DM763" s="3"/>
      <c r="DN763" s="756">
        <f>DJ761*4</f>
        <v>0</v>
      </c>
      <c r="DO763" s="3"/>
      <c r="DP763" s="3"/>
      <c r="DQ763" s="3"/>
      <c r="DR763" s="3"/>
      <c r="DS763" s="756">
        <f>DO761*5</f>
        <v>0</v>
      </c>
      <c r="DU763" s="756">
        <f>CT763+CY763+DD763+DI763+DN763+DS763</f>
        <v>149</v>
      </c>
      <c r="DV763" s="49" t="s">
        <v>1494</v>
      </c>
      <c r="DW763" s="3"/>
      <c r="DX763" s="3"/>
      <c r="DY763" s="3"/>
      <c r="DZ763" s="3"/>
      <c r="EA763" s="3"/>
      <c r="EB763" s="3"/>
      <c r="EC763" s="3"/>
      <c r="ED763" s="3"/>
      <c r="EE763" s="3"/>
      <c r="EF763" s="3"/>
      <c r="EG763" s="3"/>
      <c r="EH763" s="3"/>
    </row>
    <row r="764" spans="1:185" ht="12.9" customHeight="1">
      <c r="A764" s="3"/>
      <c r="B764" s="3"/>
      <c r="C764" s="84" t="s">
        <v>1495</v>
      </c>
      <c r="D764" s="918"/>
      <c r="E764" s="918"/>
      <c r="F764" s="918"/>
      <c r="G764" s="919"/>
      <c r="H764" s="919"/>
      <c r="I764" s="919"/>
      <c r="J764" s="919"/>
      <c r="K764" s="918"/>
      <c r="L764" s="918"/>
      <c r="M764" s="918"/>
      <c r="N764" s="918"/>
      <c r="O764" s="1337">
        <f>DU763</f>
        <v>149</v>
      </c>
      <c r="P764" s="1337"/>
      <c r="Q764" s="1337"/>
      <c r="R764" s="1337"/>
      <c r="S764" s="859"/>
      <c r="T764" s="859"/>
      <c r="U764" s="84" t="s">
        <v>1496</v>
      </c>
      <c r="V764" s="918"/>
      <c r="W764" s="918"/>
      <c r="X764" s="918"/>
      <c r="Y764" s="919"/>
      <c r="Z764" s="919"/>
      <c r="AA764" s="919"/>
      <c r="AB764" s="919"/>
      <c r="AC764" s="918"/>
      <c r="AD764" s="918"/>
      <c r="AE764" s="918"/>
      <c r="AF764" s="918"/>
      <c r="AG764" s="1768"/>
      <c r="AH764" s="1768"/>
      <c r="AI764" s="1768"/>
      <c r="AJ764" s="1768"/>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 customHeight="1">
      <c r="B765" s="49"/>
      <c r="C765" s="1797" t="str">
        <f>IF(G761&lt;&gt;AG449,"! Total Low-Income Units in the Unit Mix Table above does not match the number of Total Low-Income Units on row #"&amp;TEXT(ROW(D449),"#"),"")</f>
        <v/>
      </c>
      <c r="D765" s="1797"/>
      <c r="E765" s="1797"/>
      <c r="F765" s="1797"/>
      <c r="G765" s="1797"/>
      <c r="H765" s="1797"/>
      <c r="I765" s="1797"/>
      <c r="J765" s="1797"/>
      <c r="K765" s="1797"/>
      <c r="L765" s="1797"/>
      <c r="M765" s="1797"/>
      <c r="N765" s="1797"/>
      <c r="O765" s="1797"/>
      <c r="P765" s="1797"/>
      <c r="Q765" s="1797"/>
      <c r="R765" s="1797"/>
      <c r="S765" s="1797"/>
      <c r="T765" s="1797"/>
      <c r="U765" s="1797"/>
      <c r="V765" s="1797"/>
      <c r="W765" s="1797"/>
      <c r="X765" s="1797"/>
      <c r="Y765" s="1797"/>
      <c r="Z765" s="1797"/>
      <c r="AA765" s="1797"/>
      <c r="AB765" s="1797"/>
      <c r="AC765" s="1797"/>
      <c r="AD765" s="1797"/>
      <c r="AE765" s="1797"/>
      <c r="AF765" s="1797"/>
      <c r="AG765" s="1797"/>
      <c r="AH765" s="1797"/>
      <c r="AI765" s="1797"/>
      <c r="AJ765" s="1797"/>
      <c r="AK765" s="1797"/>
      <c r="AL765" s="1797"/>
      <c r="AM765" s="1797"/>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49"/>
      <c r="C766" s="1797"/>
      <c r="D766" s="1797"/>
      <c r="E766" s="1797"/>
      <c r="F766" s="1797"/>
      <c r="G766" s="1797"/>
      <c r="H766" s="1797"/>
      <c r="I766" s="1797"/>
      <c r="J766" s="1797"/>
      <c r="K766" s="1797"/>
      <c r="L766" s="1797"/>
      <c r="M766" s="1797"/>
      <c r="N766" s="1797"/>
      <c r="O766" s="1797"/>
      <c r="P766" s="1797"/>
      <c r="Q766" s="1797"/>
      <c r="R766" s="1797"/>
      <c r="S766" s="1797"/>
      <c r="T766" s="1797"/>
      <c r="U766" s="1797"/>
      <c r="V766" s="1797"/>
      <c r="W766" s="1797"/>
      <c r="X766" s="1797"/>
      <c r="Y766" s="1797"/>
      <c r="Z766" s="1797"/>
      <c r="AA766" s="1797"/>
      <c r="AB766" s="1797"/>
      <c r="AC766" s="1797"/>
      <c r="AD766" s="1797"/>
      <c r="AE766" s="1797"/>
      <c r="AF766" s="1797"/>
      <c r="AG766" s="1797"/>
      <c r="AH766" s="1797"/>
      <c r="AI766" s="1797"/>
      <c r="AJ766" s="1797"/>
      <c r="AK766" s="1797"/>
      <c r="AL766" s="1797"/>
      <c r="AM766" s="1797"/>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84" t="s">
        <v>1497</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63" t="s">
        <v>820</v>
      </c>
      <c r="AE767" s="1663"/>
      <c r="AF767" s="1663"/>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921" t="s">
        <v>1498</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922</v>
      </c>
      <c r="B769" s="48"/>
      <c r="C769" s="49" t="s">
        <v>1499</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918"/>
      <c r="C770" s="84" t="s">
        <v>1500</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918"/>
      <c r="C771" s="1234" t="s">
        <v>1501</v>
      </c>
      <c r="D771" s="1234"/>
      <c r="E771" s="1234"/>
      <c r="F771" s="1234"/>
      <c r="G771" s="1234"/>
      <c r="H771" s="1234"/>
      <c r="I771" s="1234"/>
      <c r="J771" s="1234"/>
      <c r="K771" s="1234"/>
      <c r="L771" s="1234"/>
      <c r="M771" s="1234"/>
      <c r="N771" s="1234"/>
      <c r="O771" s="1234"/>
      <c r="P771" s="1234"/>
      <c r="Q771" s="1234"/>
      <c r="R771" s="1234"/>
      <c r="S771" s="1234"/>
      <c r="T771" s="1234"/>
      <c r="U771" s="1234"/>
      <c r="V771" s="1234"/>
      <c r="W771" s="1234"/>
      <c r="X771" s="1234"/>
      <c r="Y771" s="1234"/>
      <c r="Z771" s="1234"/>
      <c r="AA771" s="1234"/>
      <c r="AB771" s="1234"/>
      <c r="AC771" s="1234"/>
      <c r="AD771" s="1234"/>
      <c r="AE771" s="1234"/>
      <c r="AF771" s="1234"/>
      <c r="AG771" s="1234"/>
      <c r="AH771" s="1234"/>
      <c r="AI771" s="1234"/>
      <c r="AJ771" s="1234"/>
      <c r="AK771" s="1234"/>
      <c r="AL771" s="1234"/>
      <c r="AM771" s="1234"/>
      <c r="AN771" s="1234"/>
      <c r="AO771" s="1234"/>
      <c r="AP771" s="1234"/>
      <c r="AQ771" s="1234"/>
      <c r="AR771" s="123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918"/>
      <c r="C772" s="1234"/>
      <c r="D772" s="1234"/>
      <c r="E772" s="1234"/>
      <c r="F772" s="1234"/>
      <c r="G772" s="1234"/>
      <c r="H772" s="1234"/>
      <c r="I772" s="1234"/>
      <c r="J772" s="1234"/>
      <c r="K772" s="1234"/>
      <c r="L772" s="1234"/>
      <c r="M772" s="1234"/>
      <c r="N772" s="1234"/>
      <c r="O772" s="1234"/>
      <c r="P772" s="1234"/>
      <c r="Q772" s="1234"/>
      <c r="R772" s="1234"/>
      <c r="S772" s="1234"/>
      <c r="T772" s="1234"/>
      <c r="U772" s="1234"/>
      <c r="V772" s="1234"/>
      <c r="W772" s="1234"/>
      <c r="X772" s="1234"/>
      <c r="Y772" s="1234"/>
      <c r="Z772" s="1234"/>
      <c r="AA772" s="1234"/>
      <c r="AB772" s="1234"/>
      <c r="AC772" s="1234"/>
      <c r="AD772" s="1234"/>
      <c r="AE772" s="1234"/>
      <c r="AF772" s="1234"/>
      <c r="AG772" s="1234"/>
      <c r="AH772" s="1234"/>
      <c r="AI772" s="1234"/>
      <c r="AJ772" s="1234"/>
      <c r="AK772" s="1234"/>
      <c r="AL772" s="1234"/>
      <c r="AM772" s="1234"/>
      <c r="AN772" s="1234"/>
      <c r="AO772" s="1234"/>
      <c r="AP772" s="1234"/>
      <c r="AQ772" s="1234"/>
      <c r="AR772" s="123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918"/>
      <c r="C773" s="1234"/>
      <c r="D773" s="1234"/>
      <c r="E773" s="1234"/>
      <c r="F773" s="1234"/>
      <c r="G773" s="1234"/>
      <c r="H773" s="1234"/>
      <c r="I773" s="1234"/>
      <c r="J773" s="1234"/>
      <c r="K773" s="1234"/>
      <c r="L773" s="1234"/>
      <c r="M773" s="1234"/>
      <c r="N773" s="1234"/>
      <c r="O773" s="1234"/>
      <c r="P773" s="1234"/>
      <c r="Q773" s="1234"/>
      <c r="R773" s="1234"/>
      <c r="S773" s="1234"/>
      <c r="T773" s="1234"/>
      <c r="U773" s="1234"/>
      <c r="V773" s="1234"/>
      <c r="W773" s="1234"/>
      <c r="X773" s="1234"/>
      <c r="Y773" s="1234"/>
      <c r="Z773" s="1234"/>
      <c r="AA773" s="1234"/>
      <c r="AB773" s="1234"/>
      <c r="AC773" s="1234"/>
      <c r="AD773" s="1234"/>
      <c r="AE773" s="1234"/>
      <c r="AF773" s="1234"/>
      <c r="AG773" s="1234"/>
      <c r="AH773" s="1234"/>
      <c r="AI773" s="1234"/>
      <c r="AJ773" s="1234"/>
      <c r="AK773" s="1234"/>
      <c r="AL773" s="1234"/>
      <c r="AM773" s="1234"/>
      <c r="AN773" s="1234"/>
      <c r="AO773" s="1234"/>
      <c r="AP773" s="1234"/>
      <c r="AQ773" s="1234"/>
      <c r="AR773" s="123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918"/>
      <c r="C774" s="1234" t="s">
        <v>1502</v>
      </c>
      <c r="D774" s="1234"/>
      <c r="E774" s="1234"/>
      <c r="F774" s="1234"/>
      <c r="G774" s="1234"/>
      <c r="H774" s="1234"/>
      <c r="I774" s="1234"/>
      <c r="J774" s="1234"/>
      <c r="K774" s="1234"/>
      <c r="L774" s="1234"/>
      <c r="M774" s="1234"/>
      <c r="N774" s="1234"/>
      <c r="O774" s="1234"/>
      <c r="P774" s="1234"/>
      <c r="Q774" s="1234"/>
      <c r="R774" s="1234"/>
      <c r="S774" s="1234"/>
      <c r="T774" s="1234"/>
      <c r="U774" s="1234"/>
      <c r="V774" s="1234"/>
      <c r="W774" s="1234"/>
      <c r="X774" s="1234"/>
      <c r="Y774" s="1234"/>
      <c r="Z774" s="1234"/>
      <c r="AA774" s="1234"/>
      <c r="AB774" s="1234"/>
      <c r="AC774" s="1234"/>
      <c r="AD774" s="1234"/>
      <c r="AE774" s="1234"/>
      <c r="AF774" s="1234"/>
      <c r="AG774" s="1234"/>
      <c r="AH774" s="1234"/>
      <c r="AI774" s="1234"/>
      <c r="AJ774" s="1234"/>
      <c r="AK774" s="1234"/>
      <c r="AL774" s="1234"/>
      <c r="AM774" s="1234"/>
      <c r="AN774" s="1234"/>
      <c r="AO774" s="1234"/>
      <c r="AP774" s="1234"/>
      <c r="AQ774" s="1234"/>
      <c r="AR774" s="123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 customHeight="1">
      <c r="A775" s="3"/>
      <c r="B775" s="918"/>
      <c r="C775" s="1234"/>
      <c r="D775" s="1234"/>
      <c r="E775" s="1234"/>
      <c r="F775" s="1234"/>
      <c r="G775" s="1234"/>
      <c r="H775" s="1234"/>
      <c r="I775" s="1234"/>
      <c r="J775" s="1234"/>
      <c r="K775" s="1234"/>
      <c r="L775" s="1234"/>
      <c r="M775" s="1234"/>
      <c r="N775" s="1234"/>
      <c r="O775" s="1234"/>
      <c r="P775" s="1234"/>
      <c r="Q775" s="1234"/>
      <c r="R775" s="1234"/>
      <c r="S775" s="1234"/>
      <c r="T775" s="1234"/>
      <c r="U775" s="1234"/>
      <c r="V775" s="1234"/>
      <c r="W775" s="1234"/>
      <c r="X775" s="1234"/>
      <c r="Y775" s="1234"/>
      <c r="Z775" s="1234"/>
      <c r="AA775" s="1234"/>
      <c r="AB775" s="1234"/>
      <c r="AC775" s="1234"/>
      <c r="AD775" s="1234"/>
      <c r="AE775" s="1234"/>
      <c r="AF775" s="1234"/>
      <c r="AG775" s="1234"/>
      <c r="AH775" s="1234"/>
      <c r="AI775" s="1234"/>
      <c r="AJ775" s="1234"/>
      <c r="AK775" s="1234"/>
      <c r="AL775" s="1234"/>
      <c r="AM775" s="1234"/>
      <c r="AN775" s="1234"/>
      <c r="AO775" s="1234"/>
      <c r="AP775" s="1234"/>
      <c r="AQ775" s="1234"/>
      <c r="AR775" s="123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918"/>
      <c r="C776" s="1234"/>
      <c r="D776" s="1234"/>
      <c r="E776" s="1234"/>
      <c r="F776" s="1234"/>
      <c r="G776" s="1234"/>
      <c r="H776" s="1234"/>
      <c r="I776" s="1234"/>
      <c r="J776" s="1234"/>
      <c r="K776" s="1234"/>
      <c r="L776" s="1234"/>
      <c r="M776" s="1234"/>
      <c r="N776" s="1234"/>
      <c r="O776" s="1234"/>
      <c r="P776" s="1234"/>
      <c r="Q776" s="1234"/>
      <c r="R776" s="1234"/>
      <c r="S776" s="1234"/>
      <c r="T776" s="1234"/>
      <c r="U776" s="1234"/>
      <c r="V776" s="1234"/>
      <c r="W776" s="1234"/>
      <c r="X776" s="1234"/>
      <c r="Y776" s="1234"/>
      <c r="Z776" s="1234"/>
      <c r="AA776" s="1234"/>
      <c r="AB776" s="1234"/>
      <c r="AC776" s="1234"/>
      <c r="AD776" s="1234"/>
      <c r="AE776" s="1234"/>
      <c r="AF776" s="1234"/>
      <c r="AG776" s="1234"/>
      <c r="AH776" s="1234"/>
      <c r="AI776" s="1234"/>
      <c r="AJ776" s="1234"/>
      <c r="AK776" s="1234"/>
      <c r="AL776" s="1234"/>
      <c r="AM776" s="1234"/>
      <c r="AN776" s="1234"/>
      <c r="AO776" s="1234"/>
      <c r="AP776" s="1234"/>
      <c r="AQ776" s="1234"/>
      <c r="AR776" s="123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451" t="s">
        <v>1468</v>
      </c>
      <c r="K777" s="1452"/>
      <c r="L777" s="1452"/>
      <c r="M777" s="1452"/>
      <c r="N777" s="1453"/>
      <c r="O777" s="1553" t="s">
        <v>1469</v>
      </c>
      <c r="P777" s="1553"/>
      <c r="Q777" s="1553"/>
      <c r="R777" s="1553"/>
      <c r="S777" s="1553"/>
      <c r="T777" s="1473" t="s">
        <v>1470</v>
      </c>
      <c r="U777" s="1474"/>
      <c r="V777" s="1474"/>
      <c r="W777" s="1475"/>
      <c r="X777" s="1451" t="s">
        <v>1471</v>
      </c>
      <c r="Y777" s="1452"/>
      <c r="Z777" s="1452"/>
      <c r="AA777" s="1452"/>
      <c r="AB777" s="1453"/>
      <c r="AC777" s="1451" t="s">
        <v>1503</v>
      </c>
      <c r="AD777" s="1452"/>
      <c r="AE777" s="1452"/>
      <c r="AF777" s="1452"/>
      <c r="AG777" s="1453"/>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454"/>
      <c r="K778" s="1455"/>
      <c r="L778" s="1455"/>
      <c r="M778" s="1455"/>
      <c r="N778" s="1456"/>
      <c r="O778" s="1553"/>
      <c r="P778" s="1553"/>
      <c r="Q778" s="1553"/>
      <c r="R778" s="1553"/>
      <c r="S778" s="1553"/>
      <c r="T778" s="1476"/>
      <c r="U778" s="1477"/>
      <c r="V778" s="1477"/>
      <c r="W778" s="1478"/>
      <c r="X778" s="1454"/>
      <c r="Y778" s="1455"/>
      <c r="Z778" s="1455"/>
      <c r="AA778" s="1455"/>
      <c r="AB778" s="1456"/>
      <c r="AC778" s="1454"/>
      <c r="AD778" s="1455"/>
      <c r="AE778" s="1455"/>
      <c r="AF778" s="1455"/>
      <c r="AG778" s="1456"/>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454"/>
      <c r="K779" s="1455"/>
      <c r="L779" s="1455"/>
      <c r="M779" s="1455"/>
      <c r="N779" s="1456"/>
      <c r="O779" s="1553"/>
      <c r="P779" s="1553"/>
      <c r="Q779" s="1553"/>
      <c r="R779" s="1553"/>
      <c r="S779" s="1553"/>
      <c r="T779" s="1476"/>
      <c r="U779" s="1477"/>
      <c r="V779" s="1477"/>
      <c r="W779" s="1478"/>
      <c r="X779" s="1454"/>
      <c r="Y779" s="1455"/>
      <c r="Z779" s="1455"/>
      <c r="AA779" s="1455"/>
      <c r="AB779" s="1456"/>
      <c r="AC779" s="1454"/>
      <c r="AD779" s="1455"/>
      <c r="AE779" s="1455"/>
      <c r="AF779" s="1455"/>
      <c r="AG779" s="1456"/>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457"/>
      <c r="K780" s="1458"/>
      <c r="L780" s="1458"/>
      <c r="M780" s="1458"/>
      <c r="N780" s="1459"/>
      <c r="O780" s="1553"/>
      <c r="P780" s="1553"/>
      <c r="Q780" s="1553"/>
      <c r="R780" s="1553"/>
      <c r="S780" s="1553"/>
      <c r="T780" s="1547"/>
      <c r="U780" s="1548"/>
      <c r="V780" s="1548"/>
      <c r="W780" s="1549"/>
      <c r="X780" s="1457"/>
      <c r="Y780" s="1458"/>
      <c r="Z780" s="1458"/>
      <c r="AA780" s="1458"/>
      <c r="AB780" s="1459"/>
      <c r="AC780" s="1457"/>
      <c r="AD780" s="1458"/>
      <c r="AE780" s="1458"/>
      <c r="AF780" s="1458"/>
      <c r="AG780" s="1459"/>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1504</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 customHeight="1">
      <c r="J781" s="1318" t="s">
        <v>843</v>
      </c>
      <c r="K781" s="1319"/>
      <c r="L781" s="1319"/>
      <c r="M781" s="1319"/>
      <c r="N781" s="1320"/>
      <c r="O781" s="1429">
        <v>1</v>
      </c>
      <c r="P781" s="1429"/>
      <c r="Q781" s="1429"/>
      <c r="R781" s="1429"/>
      <c r="S781" s="1429"/>
      <c r="T781" s="1460">
        <v>920</v>
      </c>
      <c r="U781" s="1461"/>
      <c r="V781" s="1461"/>
      <c r="W781" s="1462"/>
      <c r="X781" s="1334">
        <v>0</v>
      </c>
      <c r="Y781" s="1335"/>
      <c r="Z781" s="1335"/>
      <c r="AA781" s="1335"/>
      <c r="AB781" s="1336"/>
      <c r="AC781" s="1321">
        <f>X781*O781</f>
        <v>0</v>
      </c>
      <c r="AD781" s="1322"/>
      <c r="AE781" s="1322"/>
      <c r="AF781" s="1322"/>
      <c r="AG781" s="1323"/>
      <c r="AH781" s="1077"/>
      <c r="AI781" s="85"/>
      <c r="AJ781" s="85"/>
      <c r="AK781" s="1077"/>
      <c r="AL781" s="107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1">
        <f>IF(J781="SRO/Studio",O781,0)</f>
        <v>0</v>
      </c>
      <c r="CQ781" s="1302"/>
      <c r="CR781" s="1302"/>
      <c r="CS781" s="1302"/>
      <c r="CT781" s="1303"/>
      <c r="CU781" s="1317">
        <f>IF(J781="1 Bedroom",O781,0)</f>
        <v>0</v>
      </c>
      <c r="CV781" s="1317"/>
      <c r="CW781" s="1317"/>
      <c r="CX781" s="1317"/>
      <c r="CY781" s="1317"/>
      <c r="CZ781" s="1317">
        <f>IF(J781="2 Bedrooms",O781,0)</f>
        <v>0</v>
      </c>
      <c r="DA781" s="1317"/>
      <c r="DB781" s="1317"/>
      <c r="DC781" s="1317"/>
      <c r="DD781" s="1317"/>
      <c r="DE781" s="1317">
        <f>IF(J781="3 Bedrooms",O781,0)</f>
        <v>1</v>
      </c>
      <c r="DF781" s="1317"/>
      <c r="DG781" s="1317"/>
      <c r="DH781" s="1317"/>
      <c r="DI781" s="1317"/>
      <c r="DJ781" s="1317">
        <f>IF(J781="4 Bedrooms",O781,0)</f>
        <v>0</v>
      </c>
      <c r="DK781" s="1317"/>
      <c r="DL781" s="1317"/>
      <c r="DM781" s="1317"/>
      <c r="DN781" s="1317"/>
      <c r="DO781" s="1317">
        <f>IF(J781="5 Bedrooms",O781,0)</f>
        <v>0</v>
      </c>
      <c r="DP781" s="1317"/>
      <c r="DQ781" s="1317"/>
      <c r="DR781" s="1317"/>
      <c r="DS781" s="1317"/>
      <c r="DT781" s="257"/>
      <c r="DU781" s="3"/>
      <c r="DV781" s="3"/>
    </row>
    <row r="782" spans="1:159" ht="12.9" customHeight="1">
      <c r="J782" s="1318"/>
      <c r="K782" s="1319"/>
      <c r="L782" s="1319"/>
      <c r="M782" s="1319"/>
      <c r="N782" s="1320"/>
      <c r="O782" s="1429"/>
      <c r="P782" s="1429"/>
      <c r="Q782" s="1429"/>
      <c r="R782" s="1429"/>
      <c r="S782" s="1429"/>
      <c r="T782" s="1460"/>
      <c r="U782" s="1461"/>
      <c r="V782" s="1461"/>
      <c r="W782" s="1462"/>
      <c r="X782" s="1334"/>
      <c r="Y782" s="1335"/>
      <c r="Z782" s="1335"/>
      <c r="AA782" s="1335"/>
      <c r="AB782" s="1336"/>
      <c r="AC782" s="1321">
        <f>X782*O782</f>
        <v>0</v>
      </c>
      <c r="AD782" s="1322"/>
      <c r="AE782" s="1322"/>
      <c r="AF782" s="1322"/>
      <c r="AG782" s="1323"/>
      <c r="AH782" s="1077"/>
      <c r="AI782" s="1077"/>
      <c r="AJ782" s="1077"/>
      <c r="AK782" s="1077"/>
      <c r="AL782" s="107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1">
        <f>IF(J782="SRO/Studio",O782,0)</f>
        <v>0</v>
      </c>
      <c r="CQ782" s="1302"/>
      <c r="CR782" s="1302"/>
      <c r="CS782" s="1302"/>
      <c r="CT782" s="1303"/>
      <c r="CU782" s="1317">
        <f>IF(J782="1 Bedroom",O782,0)</f>
        <v>0</v>
      </c>
      <c r="CV782" s="1317"/>
      <c r="CW782" s="1317"/>
      <c r="CX782" s="1317"/>
      <c r="CY782" s="1317"/>
      <c r="CZ782" s="1317">
        <f>IF(J782="2 Bedrooms",O782,0)</f>
        <v>0</v>
      </c>
      <c r="DA782" s="1317"/>
      <c r="DB782" s="1317"/>
      <c r="DC782" s="1317"/>
      <c r="DD782" s="1317"/>
      <c r="DE782" s="1317">
        <f>IF(J782="3 Bedrooms",O782,0)</f>
        <v>0</v>
      </c>
      <c r="DF782" s="1317"/>
      <c r="DG782" s="1317"/>
      <c r="DH782" s="1317"/>
      <c r="DI782" s="1317"/>
      <c r="DJ782" s="1317">
        <f>IF(J782="4 Bedrooms",O782,0)</f>
        <v>0</v>
      </c>
      <c r="DK782" s="1317"/>
      <c r="DL782" s="1317"/>
      <c r="DM782" s="1317"/>
      <c r="DN782" s="1317"/>
      <c r="DO782" s="1317">
        <f>IF(J782="5 Bedrooms",O782,0)</f>
        <v>0</v>
      </c>
      <c r="DP782" s="1317"/>
      <c r="DQ782" s="1317"/>
      <c r="DR782" s="1317"/>
      <c r="DS782" s="1317"/>
      <c r="DT782" s="257"/>
      <c r="DU782" s="3"/>
      <c r="DV782" s="3"/>
    </row>
    <row r="783" spans="1:159" ht="12.9" customHeight="1">
      <c r="J783" s="1318"/>
      <c r="K783" s="1319"/>
      <c r="L783" s="1319"/>
      <c r="M783" s="1319"/>
      <c r="N783" s="1320"/>
      <c r="O783" s="1429"/>
      <c r="P783" s="1429"/>
      <c r="Q783" s="1429"/>
      <c r="R783" s="1429"/>
      <c r="S783" s="1429"/>
      <c r="T783" s="1460"/>
      <c r="U783" s="1461"/>
      <c r="V783" s="1461"/>
      <c r="W783" s="1462"/>
      <c r="X783" s="1334"/>
      <c r="Y783" s="1335"/>
      <c r="Z783" s="1335"/>
      <c r="AA783" s="1335"/>
      <c r="AB783" s="1336"/>
      <c r="AC783" s="1321">
        <f>X783*O783</f>
        <v>0</v>
      </c>
      <c r="AD783" s="1322"/>
      <c r="AE783" s="1322"/>
      <c r="AF783" s="1322"/>
      <c r="AG783" s="1323"/>
      <c r="AH783" s="1077"/>
      <c r="AI783" s="1077"/>
      <c r="AJ783" s="1077"/>
      <c r="AK783" s="1077"/>
      <c r="AL783" s="10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1">
        <f>IF(J783="SRO/Studio",O783,0)</f>
        <v>0</v>
      </c>
      <c r="CQ783" s="1302"/>
      <c r="CR783" s="1302"/>
      <c r="CS783" s="1302"/>
      <c r="CT783" s="1303"/>
      <c r="CU783" s="1317">
        <f>IF(J783="1 Bedroom",O783,0)</f>
        <v>0</v>
      </c>
      <c r="CV783" s="1317"/>
      <c r="CW783" s="1317"/>
      <c r="CX783" s="1317"/>
      <c r="CY783" s="1317"/>
      <c r="CZ783" s="1317">
        <f>IF(J783="2 Bedrooms",O783,0)</f>
        <v>0</v>
      </c>
      <c r="DA783" s="1317"/>
      <c r="DB783" s="1317"/>
      <c r="DC783" s="1317"/>
      <c r="DD783" s="1317"/>
      <c r="DE783" s="1317">
        <f>IF(J783="3 Bedrooms",O783,0)</f>
        <v>0</v>
      </c>
      <c r="DF783" s="1317"/>
      <c r="DG783" s="1317"/>
      <c r="DH783" s="1317"/>
      <c r="DI783" s="1317"/>
      <c r="DJ783" s="1317">
        <f>IF(J783="4 Bedrooms",O783,0)</f>
        <v>0</v>
      </c>
      <c r="DK783" s="1317"/>
      <c r="DL783" s="1317"/>
      <c r="DM783" s="1317"/>
      <c r="DN783" s="1317"/>
      <c r="DO783" s="1317">
        <f>IF(J783="5 Bedrooms",O783,0)</f>
        <v>0</v>
      </c>
      <c r="DP783" s="1317"/>
      <c r="DQ783" s="1317"/>
      <c r="DR783" s="1317"/>
      <c r="DS783" s="1317"/>
      <c r="DT783" s="257"/>
    </row>
    <row r="784" spans="1:159" ht="12.9" customHeight="1">
      <c r="J784" s="1318"/>
      <c r="K784" s="1319"/>
      <c r="L784" s="1319"/>
      <c r="M784" s="1319"/>
      <c r="N784" s="1320"/>
      <c r="O784" s="1429"/>
      <c r="P784" s="1429"/>
      <c r="Q784" s="1429"/>
      <c r="R784" s="1429"/>
      <c r="S784" s="1429"/>
      <c r="T784" s="1460"/>
      <c r="U784" s="1461"/>
      <c r="V784" s="1461"/>
      <c r="W784" s="1462"/>
      <c r="X784" s="1334"/>
      <c r="Y784" s="1335"/>
      <c r="Z784" s="1335"/>
      <c r="AA784" s="1335"/>
      <c r="AB784" s="1336"/>
      <c r="AC784" s="1321">
        <f>X784*O784</f>
        <v>0</v>
      </c>
      <c r="AD784" s="1322"/>
      <c r="AE784" s="1322"/>
      <c r="AF784" s="1322"/>
      <c r="AG784" s="1323"/>
      <c r="AH784" s="1077"/>
      <c r="AI784" s="1077"/>
      <c r="AJ784" s="1077"/>
      <c r="AK784" s="1077"/>
      <c r="AL784" s="10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1">
        <f>IF(J784="SRO/Studio",O784,0)</f>
        <v>0</v>
      </c>
      <c r="CQ784" s="1302"/>
      <c r="CR784" s="1302"/>
      <c r="CS784" s="1302"/>
      <c r="CT784" s="1303"/>
      <c r="CU784" s="1317">
        <f>IF(J784="1 Bedroom",O784,0)</f>
        <v>0</v>
      </c>
      <c r="CV784" s="1317"/>
      <c r="CW784" s="1317"/>
      <c r="CX784" s="1317"/>
      <c r="CY784" s="1317"/>
      <c r="CZ784" s="1317">
        <f>IF(J784="2 Bedrooms",O784,0)</f>
        <v>0</v>
      </c>
      <c r="DA784" s="1317"/>
      <c r="DB784" s="1317"/>
      <c r="DC784" s="1317"/>
      <c r="DD784" s="1317"/>
      <c r="DE784" s="1317">
        <f>IF(J784="3 Bedrooms",O784,0)</f>
        <v>0</v>
      </c>
      <c r="DF784" s="1317"/>
      <c r="DG784" s="1317"/>
      <c r="DH784" s="1317"/>
      <c r="DI784" s="1317"/>
      <c r="DJ784" s="1317">
        <f>IF(J784="4 Bedrooms",O784,0)</f>
        <v>0</v>
      </c>
      <c r="DK784" s="1317"/>
      <c r="DL784" s="1317"/>
      <c r="DM784" s="1317"/>
      <c r="DN784" s="1317"/>
      <c r="DO784" s="1317">
        <f>IF(J784="5 Bedrooms",O784,0)</f>
        <v>0</v>
      </c>
      <c r="DP784" s="1317"/>
      <c r="DQ784" s="1317"/>
      <c r="DR784" s="1317"/>
      <c r="DS784" s="1317"/>
    </row>
    <row r="785" spans="1:154" ht="12.9" customHeight="1">
      <c r="J785" s="1373" t="s">
        <v>1488</v>
      </c>
      <c r="K785" s="1374"/>
      <c r="L785" s="1374"/>
      <c r="M785" s="1374"/>
      <c r="N785" s="1376"/>
      <c r="O785" s="1304">
        <f>SUM(O781:S784)</f>
        <v>1</v>
      </c>
      <c r="P785" s="1305"/>
      <c r="Q785" s="1305"/>
      <c r="R785" s="1305"/>
      <c r="S785" s="1306"/>
      <c r="X785" s="1373" t="s">
        <v>1489</v>
      </c>
      <c r="Y785" s="1374"/>
      <c r="Z785" s="1374"/>
      <c r="AA785" s="1374"/>
      <c r="AB785" s="1376"/>
      <c r="AC785" s="1321">
        <f>SUM(AC781:AG784)</f>
        <v>0</v>
      </c>
      <c r="AD785" s="1322"/>
      <c r="AE785" s="1322"/>
      <c r="AF785" s="1322"/>
      <c r="AG785" s="1323"/>
      <c r="AI785" s="1077"/>
      <c r="AJ785" s="10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4">
        <f>SUM(CP781:CT784)</f>
        <v>0</v>
      </c>
      <c r="CQ785" s="1305"/>
      <c r="CR785" s="1305"/>
      <c r="CS785" s="1305"/>
      <c r="CT785" s="1306"/>
      <c r="CU785" s="1304">
        <f>SUM(CU781:CY784)</f>
        <v>0</v>
      </c>
      <c r="CV785" s="1305"/>
      <c r="CW785" s="1305"/>
      <c r="CX785" s="1305"/>
      <c r="CY785" s="1306"/>
      <c r="CZ785" s="1304">
        <f>SUM(CZ781:DD784)</f>
        <v>0</v>
      </c>
      <c r="DA785" s="1305"/>
      <c r="DB785" s="1305"/>
      <c r="DC785" s="1305"/>
      <c r="DD785" s="1306"/>
      <c r="DE785" s="1304">
        <f>SUM(DE781:DI784)</f>
        <v>1</v>
      </c>
      <c r="DF785" s="1305"/>
      <c r="DG785" s="1305"/>
      <c r="DH785" s="1305"/>
      <c r="DI785" s="1306"/>
      <c r="DJ785" s="1304">
        <f>SUM(DJ781:DN784)</f>
        <v>0</v>
      </c>
      <c r="DK785" s="1305"/>
      <c r="DL785" s="1305"/>
      <c r="DM785" s="1305"/>
      <c r="DN785" s="1306"/>
      <c r="DO785" s="1304">
        <f>SUM(DO781:DS784)</f>
        <v>0</v>
      </c>
      <c r="DP785" s="1305"/>
      <c r="DQ785" s="1305"/>
      <c r="DR785" s="1305"/>
      <c r="DS785" s="1306"/>
      <c r="DU785" s="756">
        <f>CP785+CU785+CZ785+DE785+DJ785+DO785</f>
        <v>1</v>
      </c>
      <c r="DV785" s="49" t="s">
        <v>1505</v>
      </c>
    </row>
    <row r="786" spans="1:154" ht="12.9"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1506</v>
      </c>
    </row>
    <row r="787" spans="1:154" ht="12.9" customHeight="1">
      <c r="B787" s="48"/>
      <c r="C787" s="48"/>
      <c r="D787" s="48"/>
      <c r="E787" s="48"/>
      <c r="F787" s="48"/>
      <c r="G787" s="257"/>
      <c r="H787" s="257"/>
      <c r="I787" s="257"/>
      <c r="J787" s="1330" t="s">
        <v>698</v>
      </c>
      <c r="K787" s="1330"/>
      <c r="L787" s="48"/>
      <c r="M787" s="84" t="s">
        <v>1507</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48"/>
      <c r="C788" s="48"/>
      <c r="D788" s="48"/>
      <c r="E788" s="48"/>
      <c r="F788" s="48"/>
      <c r="G788" s="257"/>
      <c r="H788" s="257"/>
      <c r="I788" s="257"/>
      <c r="J788" s="257"/>
      <c r="K788" s="257"/>
      <c r="L788" s="48"/>
      <c r="M788" s="84" t="s">
        <v>1508</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998</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451" t="s">
        <v>1468</v>
      </c>
      <c r="K791" s="1452"/>
      <c r="L791" s="1452"/>
      <c r="M791" s="1452"/>
      <c r="N791" s="1453"/>
      <c r="O791" s="1553" t="s">
        <v>1469</v>
      </c>
      <c r="P791" s="1553"/>
      <c r="Q791" s="1553"/>
      <c r="R791" s="1553"/>
      <c r="S791" s="1553"/>
      <c r="T791" s="1473" t="s">
        <v>1470</v>
      </c>
      <c r="U791" s="1474"/>
      <c r="V791" s="1474"/>
      <c r="W791" s="1475"/>
      <c r="X791" s="1451" t="s">
        <v>1471</v>
      </c>
      <c r="Y791" s="1452"/>
      <c r="Z791" s="1452"/>
      <c r="AA791" s="1452"/>
      <c r="AB791" s="1453"/>
      <c r="AC791" s="1451" t="s">
        <v>1503</v>
      </c>
      <c r="AD791" s="1452"/>
      <c r="AE791" s="1452"/>
      <c r="AF791" s="1452"/>
      <c r="AG791" s="145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454"/>
      <c r="K792" s="1455"/>
      <c r="L792" s="1455"/>
      <c r="M792" s="1455"/>
      <c r="N792" s="1456"/>
      <c r="O792" s="1553"/>
      <c r="P792" s="1553"/>
      <c r="Q792" s="1553"/>
      <c r="R792" s="1553"/>
      <c r="S792" s="1553"/>
      <c r="T792" s="1476"/>
      <c r="U792" s="1477"/>
      <c r="V792" s="1477"/>
      <c r="W792" s="1478"/>
      <c r="X792" s="1454"/>
      <c r="Y792" s="1455"/>
      <c r="Z792" s="1455"/>
      <c r="AA792" s="1455"/>
      <c r="AB792" s="1456"/>
      <c r="AC792" s="1454"/>
      <c r="AD792" s="1455"/>
      <c r="AE792" s="1455"/>
      <c r="AF792" s="1455"/>
      <c r="AG792" s="145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454"/>
      <c r="K793" s="1455"/>
      <c r="L793" s="1455"/>
      <c r="M793" s="1455"/>
      <c r="N793" s="1456"/>
      <c r="O793" s="1553"/>
      <c r="P793" s="1553"/>
      <c r="Q793" s="1553"/>
      <c r="R793" s="1553"/>
      <c r="S793" s="1553"/>
      <c r="T793" s="1476"/>
      <c r="U793" s="1477"/>
      <c r="V793" s="1477"/>
      <c r="W793" s="1478"/>
      <c r="X793" s="1454"/>
      <c r="Y793" s="1455"/>
      <c r="Z793" s="1455"/>
      <c r="AA793" s="1455"/>
      <c r="AB793" s="1456"/>
      <c r="AC793" s="1454"/>
      <c r="AD793" s="1455"/>
      <c r="AE793" s="1455"/>
      <c r="AF793" s="1455"/>
      <c r="AG793" s="145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457"/>
      <c r="K794" s="1458"/>
      <c r="L794" s="1458"/>
      <c r="M794" s="1458"/>
      <c r="N794" s="1459"/>
      <c r="O794" s="1553"/>
      <c r="P794" s="1553"/>
      <c r="Q794" s="1553"/>
      <c r="R794" s="1553"/>
      <c r="S794" s="1553"/>
      <c r="T794" s="1547"/>
      <c r="U794" s="1548"/>
      <c r="V794" s="1548"/>
      <c r="W794" s="1549"/>
      <c r="X794" s="1457"/>
      <c r="Y794" s="1458"/>
      <c r="Z794" s="1458"/>
      <c r="AA794" s="1458"/>
      <c r="AB794" s="1459"/>
      <c r="AC794" s="1457"/>
      <c r="AD794" s="1458"/>
      <c r="AE794" s="1458"/>
      <c r="AF794" s="1458"/>
      <c r="AG794" s="145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1509</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1510</v>
      </c>
      <c r="DV794" s="3"/>
      <c r="DW794" s="3"/>
      <c r="DX794" s="3"/>
      <c r="DY794" s="3"/>
      <c r="DZ794" s="3"/>
      <c r="EA794" s="3"/>
      <c r="EB794" s="3"/>
      <c r="EC794" s="3"/>
      <c r="ED794" s="3"/>
      <c r="EE794" s="3"/>
      <c r="EF794" s="3"/>
      <c r="EG794" s="3"/>
      <c r="EH794" s="3"/>
    </row>
    <row r="795" spans="1:154" ht="12.9" customHeight="1">
      <c r="J795" s="1318"/>
      <c r="K795" s="1319"/>
      <c r="L795" s="1319"/>
      <c r="M795" s="1319"/>
      <c r="N795" s="1320"/>
      <c r="O795" s="1429"/>
      <c r="P795" s="1429"/>
      <c r="Q795" s="1429"/>
      <c r="R795" s="1429"/>
      <c r="S795" s="1429"/>
      <c r="T795" s="1460"/>
      <c r="U795" s="1461"/>
      <c r="V795" s="1461"/>
      <c r="W795" s="1462"/>
      <c r="X795" s="1334"/>
      <c r="Y795" s="1335"/>
      <c r="Z795" s="1335"/>
      <c r="AA795" s="1335"/>
      <c r="AB795" s="1336"/>
      <c r="AC795" s="1321">
        <f t="shared" ref="AC795:AC804" si="42">X795*O795</f>
        <v>0</v>
      </c>
      <c r="AD795" s="1322"/>
      <c r="AE795" s="1322"/>
      <c r="AF795" s="1322"/>
      <c r="AG795" s="132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1">
        <f t="shared" ref="CP795:CP804" si="43">IF(J795="SRO/Studio",O795,0)</f>
        <v>0</v>
      </c>
      <c r="CQ795" s="1302"/>
      <c r="CR795" s="1302"/>
      <c r="CS795" s="1302"/>
      <c r="CT795" s="1303"/>
      <c r="CU795" s="1301">
        <f t="shared" ref="CU795:CU804" si="44">IF(J795="1 Bedroom",O795,0)</f>
        <v>0</v>
      </c>
      <c r="CV795" s="1302"/>
      <c r="CW795" s="1302"/>
      <c r="CX795" s="1302"/>
      <c r="CY795" s="1303"/>
      <c r="CZ795" s="1301">
        <f t="shared" ref="CZ795:CZ804" si="45">IF(J795="2 Bedrooms",O795,0)</f>
        <v>0</v>
      </c>
      <c r="DA795" s="1302"/>
      <c r="DB795" s="1302"/>
      <c r="DC795" s="1302"/>
      <c r="DD795" s="1303"/>
      <c r="DE795" s="1301">
        <f t="shared" ref="DE795:DE804" si="46">IF(J795="3 Bedrooms",O795,0)</f>
        <v>0</v>
      </c>
      <c r="DF795" s="1302"/>
      <c r="DG795" s="1302"/>
      <c r="DH795" s="1302"/>
      <c r="DI795" s="1303"/>
      <c r="DJ795" s="1301">
        <f t="shared" ref="DJ795:DJ804" si="47">IF(J795="4 Bedrooms",O795,0)</f>
        <v>0</v>
      </c>
      <c r="DK795" s="1302"/>
      <c r="DL795" s="1302"/>
      <c r="DM795" s="1302"/>
      <c r="DN795" s="1303"/>
      <c r="DO795" s="1301">
        <f t="shared" ref="DO795:DO804" si="48">IF(J795="5 Bedrooms",O795,0)</f>
        <v>0</v>
      </c>
      <c r="DP795" s="1302"/>
      <c r="DQ795" s="1302"/>
      <c r="DR795" s="1302"/>
      <c r="DS795" s="1303"/>
      <c r="DT795" s="257"/>
      <c r="DU795" s="1301">
        <f t="shared" ref="DU795:DU804" si="49">IF(AND(CP795&gt;=1,AH795&gt;=0.1,AH795&lt;=1),O795,0)</f>
        <v>0</v>
      </c>
      <c r="DV795" s="1302"/>
      <c r="DW795" s="1302"/>
      <c r="DX795" s="1302"/>
      <c r="DY795" s="1303"/>
      <c r="DZ795" s="1301">
        <f t="shared" ref="DZ795:DZ804" si="50">IF(AND(CU795&gt;=1,AH795&gt;=0.1,AH795&lt;=1),O795,0)</f>
        <v>0</v>
      </c>
      <c r="EA795" s="1302"/>
      <c r="EB795" s="1302"/>
      <c r="EC795" s="1302"/>
      <c r="ED795" s="1303"/>
      <c r="EE795" s="1301">
        <f t="shared" ref="EE795:EE804" si="51">IF(AND(CZ795&gt;=1,AH795&gt;=0.1,AH795&lt;=1),O795,0)</f>
        <v>0</v>
      </c>
      <c r="EF795" s="1302"/>
      <c r="EG795" s="1302"/>
      <c r="EH795" s="1302"/>
      <c r="EI795" s="1303"/>
      <c r="EJ795" s="1301">
        <f t="shared" ref="EJ795:EJ804" si="52">IF(AND(DE795&gt;=1,AH795&gt;=0.1,AH795&lt;=1),O795,0)</f>
        <v>0</v>
      </c>
      <c r="EK795" s="1302"/>
      <c r="EL795" s="1302"/>
      <c r="EM795" s="1302"/>
      <c r="EN795" s="1303"/>
      <c r="EO795" s="1301">
        <f t="shared" ref="EO795:EO804" si="53">IF(AND(DJ795&gt;=1,AH795&gt;=0.1,AH795&lt;=1),O795,0)</f>
        <v>0</v>
      </c>
      <c r="EP795" s="1302"/>
      <c r="EQ795" s="1302"/>
      <c r="ER795" s="1302"/>
      <c r="ES795" s="1303"/>
      <c r="ET795" s="1301">
        <f t="shared" ref="ET795:ET804" si="54">IF(AND(DO795&gt;=1,AH795&gt;=0.1,AH795&lt;=1),O795,0)</f>
        <v>0</v>
      </c>
      <c r="EU795" s="1302"/>
      <c r="EV795" s="1302"/>
      <c r="EW795" s="1302"/>
      <c r="EX795" s="1303"/>
    </row>
    <row r="796" spans="1:154" s="13" customFormat="1" ht="12.9" customHeight="1">
      <c r="A796"/>
      <c r="B796"/>
      <c r="C796"/>
      <c r="D796"/>
      <c r="E796"/>
      <c r="F796"/>
      <c r="G796"/>
      <c r="H796"/>
      <c r="I796"/>
      <c r="J796" s="1318"/>
      <c r="K796" s="1319"/>
      <c r="L796" s="1319"/>
      <c r="M796" s="1319"/>
      <c r="N796" s="1320"/>
      <c r="O796" s="1429"/>
      <c r="P796" s="1429"/>
      <c r="Q796" s="1429"/>
      <c r="R796" s="1429"/>
      <c r="S796" s="1429"/>
      <c r="T796" s="1460"/>
      <c r="U796" s="1461"/>
      <c r="V796" s="1461"/>
      <c r="W796" s="1462"/>
      <c r="X796" s="1334"/>
      <c r="Y796" s="1335"/>
      <c r="Z796" s="1335"/>
      <c r="AA796" s="1335"/>
      <c r="AB796" s="1336"/>
      <c r="AC796" s="1321">
        <f t="shared" si="42"/>
        <v>0</v>
      </c>
      <c r="AD796" s="1322"/>
      <c r="AE796" s="1322"/>
      <c r="AF796" s="1322"/>
      <c r="AG796" s="132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1">
        <f t="shared" si="43"/>
        <v>0</v>
      </c>
      <c r="CQ796" s="1302"/>
      <c r="CR796" s="1302"/>
      <c r="CS796" s="1302"/>
      <c r="CT796" s="1303"/>
      <c r="CU796" s="1301">
        <f t="shared" si="44"/>
        <v>0</v>
      </c>
      <c r="CV796" s="1302"/>
      <c r="CW796" s="1302"/>
      <c r="CX796" s="1302"/>
      <c r="CY796" s="1303"/>
      <c r="CZ796" s="1301">
        <f t="shared" si="45"/>
        <v>0</v>
      </c>
      <c r="DA796" s="1302"/>
      <c r="DB796" s="1302"/>
      <c r="DC796" s="1302"/>
      <c r="DD796" s="1303"/>
      <c r="DE796" s="1301">
        <f t="shared" si="46"/>
        <v>0</v>
      </c>
      <c r="DF796" s="1302"/>
      <c r="DG796" s="1302"/>
      <c r="DH796" s="1302"/>
      <c r="DI796" s="1303"/>
      <c r="DJ796" s="1301">
        <f t="shared" si="47"/>
        <v>0</v>
      </c>
      <c r="DK796" s="1302"/>
      <c r="DL796" s="1302"/>
      <c r="DM796" s="1302"/>
      <c r="DN796" s="1303"/>
      <c r="DO796" s="1301">
        <f t="shared" si="48"/>
        <v>0</v>
      </c>
      <c r="DP796" s="1302"/>
      <c r="DQ796" s="1302"/>
      <c r="DR796" s="1302"/>
      <c r="DS796" s="1303"/>
      <c r="DT796" s="257"/>
      <c r="DU796" s="1301">
        <f t="shared" si="49"/>
        <v>0</v>
      </c>
      <c r="DV796" s="1302"/>
      <c r="DW796" s="1302"/>
      <c r="DX796" s="1302"/>
      <c r="DY796" s="1303"/>
      <c r="DZ796" s="1301">
        <f t="shared" si="50"/>
        <v>0</v>
      </c>
      <c r="EA796" s="1302"/>
      <c r="EB796" s="1302"/>
      <c r="EC796" s="1302"/>
      <c r="ED796" s="1303"/>
      <c r="EE796" s="1301">
        <f t="shared" si="51"/>
        <v>0</v>
      </c>
      <c r="EF796" s="1302"/>
      <c r="EG796" s="1302"/>
      <c r="EH796" s="1302"/>
      <c r="EI796" s="1303"/>
      <c r="EJ796" s="1301">
        <f t="shared" si="52"/>
        <v>0</v>
      </c>
      <c r="EK796" s="1302"/>
      <c r="EL796" s="1302"/>
      <c r="EM796" s="1302"/>
      <c r="EN796" s="1303"/>
      <c r="EO796" s="1301">
        <f t="shared" si="53"/>
        <v>0</v>
      </c>
      <c r="EP796" s="1302"/>
      <c r="EQ796" s="1302"/>
      <c r="ER796" s="1302"/>
      <c r="ES796" s="1303"/>
      <c r="ET796" s="1301">
        <f t="shared" si="54"/>
        <v>0</v>
      </c>
      <c r="EU796" s="1302"/>
      <c r="EV796" s="1302"/>
      <c r="EW796" s="1302"/>
      <c r="EX796" s="1303"/>
    </row>
    <row r="797" spans="1:154" s="13" customFormat="1" ht="12.9" customHeight="1">
      <c r="A797"/>
      <c r="B797"/>
      <c r="C797"/>
      <c r="D797"/>
      <c r="E797"/>
      <c r="F797"/>
      <c r="G797"/>
      <c r="H797"/>
      <c r="I797"/>
      <c r="J797" s="1318"/>
      <c r="K797" s="1319"/>
      <c r="L797" s="1319"/>
      <c r="M797" s="1319"/>
      <c r="N797" s="1320"/>
      <c r="O797" s="1429"/>
      <c r="P797" s="1429"/>
      <c r="Q797" s="1429"/>
      <c r="R797" s="1429"/>
      <c r="S797" s="1429"/>
      <c r="T797" s="1460"/>
      <c r="U797" s="1461"/>
      <c r="V797" s="1461"/>
      <c r="W797" s="1462"/>
      <c r="X797" s="1334"/>
      <c r="Y797" s="1335"/>
      <c r="Z797" s="1335"/>
      <c r="AA797" s="1335"/>
      <c r="AB797" s="1336"/>
      <c r="AC797" s="1321">
        <f t="shared" si="42"/>
        <v>0</v>
      </c>
      <c r="AD797" s="1322"/>
      <c r="AE797" s="1322"/>
      <c r="AF797" s="1322"/>
      <c r="AG797" s="132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1">
        <f t="shared" si="43"/>
        <v>0</v>
      </c>
      <c r="CQ797" s="1302"/>
      <c r="CR797" s="1302"/>
      <c r="CS797" s="1302"/>
      <c r="CT797" s="1303"/>
      <c r="CU797" s="1301">
        <f t="shared" si="44"/>
        <v>0</v>
      </c>
      <c r="CV797" s="1302"/>
      <c r="CW797" s="1302"/>
      <c r="CX797" s="1302"/>
      <c r="CY797" s="1303"/>
      <c r="CZ797" s="1301">
        <f t="shared" si="45"/>
        <v>0</v>
      </c>
      <c r="DA797" s="1302"/>
      <c r="DB797" s="1302"/>
      <c r="DC797" s="1302"/>
      <c r="DD797" s="1303"/>
      <c r="DE797" s="1301">
        <f t="shared" si="46"/>
        <v>0</v>
      </c>
      <c r="DF797" s="1302"/>
      <c r="DG797" s="1302"/>
      <c r="DH797" s="1302"/>
      <c r="DI797" s="1303"/>
      <c r="DJ797" s="1301">
        <f t="shared" si="47"/>
        <v>0</v>
      </c>
      <c r="DK797" s="1302"/>
      <c r="DL797" s="1302"/>
      <c r="DM797" s="1302"/>
      <c r="DN797" s="1303"/>
      <c r="DO797" s="1301">
        <f t="shared" si="48"/>
        <v>0</v>
      </c>
      <c r="DP797" s="1302"/>
      <c r="DQ797" s="1302"/>
      <c r="DR797" s="1302"/>
      <c r="DS797" s="1303"/>
      <c r="DT797" s="257"/>
      <c r="DU797" s="1301">
        <f t="shared" si="49"/>
        <v>0</v>
      </c>
      <c r="DV797" s="1302"/>
      <c r="DW797" s="1302"/>
      <c r="DX797" s="1302"/>
      <c r="DY797" s="1303"/>
      <c r="DZ797" s="1301">
        <f t="shared" si="50"/>
        <v>0</v>
      </c>
      <c r="EA797" s="1302"/>
      <c r="EB797" s="1302"/>
      <c r="EC797" s="1302"/>
      <c r="ED797" s="1303"/>
      <c r="EE797" s="1301">
        <f t="shared" si="51"/>
        <v>0</v>
      </c>
      <c r="EF797" s="1302"/>
      <c r="EG797" s="1302"/>
      <c r="EH797" s="1302"/>
      <c r="EI797" s="1303"/>
      <c r="EJ797" s="1301">
        <f t="shared" si="52"/>
        <v>0</v>
      </c>
      <c r="EK797" s="1302"/>
      <c r="EL797" s="1302"/>
      <c r="EM797" s="1302"/>
      <c r="EN797" s="1303"/>
      <c r="EO797" s="1301">
        <f t="shared" si="53"/>
        <v>0</v>
      </c>
      <c r="EP797" s="1302"/>
      <c r="EQ797" s="1302"/>
      <c r="ER797" s="1302"/>
      <c r="ES797" s="1303"/>
      <c r="ET797" s="1301">
        <f t="shared" si="54"/>
        <v>0</v>
      </c>
      <c r="EU797" s="1302"/>
      <c r="EV797" s="1302"/>
      <c r="EW797" s="1302"/>
      <c r="EX797" s="1303"/>
    </row>
    <row r="798" spans="1:154" s="13" customFormat="1" ht="12.9" customHeight="1">
      <c r="A798"/>
      <c r="B798"/>
      <c r="C798"/>
      <c r="D798"/>
      <c r="E798"/>
      <c r="F798"/>
      <c r="G798"/>
      <c r="H798"/>
      <c r="I798"/>
      <c r="J798" s="1318"/>
      <c r="K798" s="1319"/>
      <c r="L798" s="1319"/>
      <c r="M798" s="1319"/>
      <c r="N798" s="1320"/>
      <c r="O798" s="1429"/>
      <c r="P798" s="1429"/>
      <c r="Q798" s="1429"/>
      <c r="R798" s="1429"/>
      <c r="S798" s="1429"/>
      <c r="T798" s="1460"/>
      <c r="U798" s="1461"/>
      <c r="V798" s="1461"/>
      <c r="W798" s="1462"/>
      <c r="X798" s="1334"/>
      <c r="Y798" s="1335"/>
      <c r="Z798" s="1335"/>
      <c r="AA798" s="1335"/>
      <c r="AB798" s="1336"/>
      <c r="AC798" s="1321">
        <f t="shared" si="42"/>
        <v>0</v>
      </c>
      <c r="AD798" s="1322"/>
      <c r="AE798" s="1322"/>
      <c r="AF798" s="1322"/>
      <c r="AG798" s="132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1">
        <f t="shared" si="43"/>
        <v>0</v>
      </c>
      <c r="CQ798" s="1302"/>
      <c r="CR798" s="1302"/>
      <c r="CS798" s="1302"/>
      <c r="CT798" s="1303"/>
      <c r="CU798" s="1301">
        <f t="shared" si="44"/>
        <v>0</v>
      </c>
      <c r="CV798" s="1302"/>
      <c r="CW798" s="1302"/>
      <c r="CX798" s="1302"/>
      <c r="CY798" s="1303"/>
      <c r="CZ798" s="1301">
        <f t="shared" si="45"/>
        <v>0</v>
      </c>
      <c r="DA798" s="1302"/>
      <c r="DB798" s="1302"/>
      <c r="DC798" s="1302"/>
      <c r="DD798" s="1303"/>
      <c r="DE798" s="1301">
        <f t="shared" si="46"/>
        <v>0</v>
      </c>
      <c r="DF798" s="1302"/>
      <c r="DG798" s="1302"/>
      <c r="DH798" s="1302"/>
      <c r="DI798" s="1303"/>
      <c r="DJ798" s="1301">
        <f t="shared" si="47"/>
        <v>0</v>
      </c>
      <c r="DK798" s="1302"/>
      <c r="DL798" s="1302"/>
      <c r="DM798" s="1302"/>
      <c r="DN798" s="1303"/>
      <c r="DO798" s="1301">
        <f t="shared" si="48"/>
        <v>0</v>
      </c>
      <c r="DP798" s="1302"/>
      <c r="DQ798" s="1302"/>
      <c r="DR798" s="1302"/>
      <c r="DS798" s="1303"/>
      <c r="DT798" s="257"/>
      <c r="DU798" s="1301">
        <f t="shared" si="49"/>
        <v>0</v>
      </c>
      <c r="DV798" s="1302"/>
      <c r="DW798" s="1302"/>
      <c r="DX798" s="1302"/>
      <c r="DY798" s="1303"/>
      <c r="DZ798" s="1301">
        <f t="shared" si="50"/>
        <v>0</v>
      </c>
      <c r="EA798" s="1302"/>
      <c r="EB798" s="1302"/>
      <c r="EC798" s="1302"/>
      <c r="ED798" s="1303"/>
      <c r="EE798" s="1301">
        <f t="shared" si="51"/>
        <v>0</v>
      </c>
      <c r="EF798" s="1302"/>
      <c r="EG798" s="1302"/>
      <c r="EH798" s="1302"/>
      <c r="EI798" s="1303"/>
      <c r="EJ798" s="1301">
        <f t="shared" si="52"/>
        <v>0</v>
      </c>
      <c r="EK798" s="1302"/>
      <c r="EL798" s="1302"/>
      <c r="EM798" s="1302"/>
      <c r="EN798" s="1303"/>
      <c r="EO798" s="1301">
        <f t="shared" si="53"/>
        <v>0</v>
      </c>
      <c r="EP798" s="1302"/>
      <c r="EQ798" s="1302"/>
      <c r="ER798" s="1302"/>
      <c r="ES798" s="1303"/>
      <c r="ET798" s="1301">
        <f t="shared" si="54"/>
        <v>0</v>
      </c>
      <c r="EU798" s="1302"/>
      <c r="EV798" s="1302"/>
      <c r="EW798" s="1302"/>
      <c r="EX798" s="1303"/>
    </row>
    <row r="799" spans="1:154" s="13" customFormat="1" ht="12.9" customHeight="1">
      <c r="A799"/>
      <c r="B799"/>
      <c r="C799"/>
      <c r="D799"/>
      <c r="E799"/>
      <c r="F799"/>
      <c r="G799"/>
      <c r="H799"/>
      <c r="I799"/>
      <c r="J799" s="1318"/>
      <c r="K799" s="1319"/>
      <c r="L799" s="1319"/>
      <c r="M799" s="1319"/>
      <c r="N799" s="1320"/>
      <c r="O799" s="1429"/>
      <c r="P799" s="1429"/>
      <c r="Q799" s="1429"/>
      <c r="R799" s="1429"/>
      <c r="S799" s="1429"/>
      <c r="T799" s="1460"/>
      <c r="U799" s="1461"/>
      <c r="V799" s="1461"/>
      <c r="W799" s="1462"/>
      <c r="X799" s="1334"/>
      <c r="Y799" s="1335"/>
      <c r="Z799" s="1335"/>
      <c r="AA799" s="1335"/>
      <c r="AB799" s="1336"/>
      <c r="AC799" s="1321">
        <f t="shared" si="42"/>
        <v>0</v>
      </c>
      <c r="AD799" s="1322"/>
      <c r="AE799" s="1322"/>
      <c r="AF799" s="1322"/>
      <c r="AG799" s="132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1">
        <f t="shared" si="43"/>
        <v>0</v>
      </c>
      <c r="CQ799" s="1302"/>
      <c r="CR799" s="1302"/>
      <c r="CS799" s="1302"/>
      <c r="CT799" s="1303"/>
      <c r="CU799" s="1301">
        <f t="shared" si="44"/>
        <v>0</v>
      </c>
      <c r="CV799" s="1302"/>
      <c r="CW799" s="1302"/>
      <c r="CX799" s="1302"/>
      <c r="CY799" s="1303"/>
      <c r="CZ799" s="1301">
        <f t="shared" si="45"/>
        <v>0</v>
      </c>
      <c r="DA799" s="1302"/>
      <c r="DB799" s="1302"/>
      <c r="DC799" s="1302"/>
      <c r="DD799" s="1303"/>
      <c r="DE799" s="1301">
        <f t="shared" si="46"/>
        <v>0</v>
      </c>
      <c r="DF799" s="1302"/>
      <c r="DG799" s="1302"/>
      <c r="DH799" s="1302"/>
      <c r="DI799" s="1303"/>
      <c r="DJ799" s="1301">
        <f t="shared" si="47"/>
        <v>0</v>
      </c>
      <c r="DK799" s="1302"/>
      <c r="DL799" s="1302"/>
      <c r="DM799" s="1302"/>
      <c r="DN799" s="1303"/>
      <c r="DO799" s="1301">
        <f t="shared" si="48"/>
        <v>0</v>
      </c>
      <c r="DP799" s="1302"/>
      <c r="DQ799" s="1302"/>
      <c r="DR799" s="1302"/>
      <c r="DS799" s="1303"/>
      <c r="DT799" s="257"/>
      <c r="DU799" s="1301">
        <f t="shared" si="49"/>
        <v>0</v>
      </c>
      <c r="DV799" s="1302"/>
      <c r="DW799" s="1302"/>
      <c r="DX799" s="1302"/>
      <c r="DY799" s="1303"/>
      <c r="DZ799" s="1301">
        <f t="shared" si="50"/>
        <v>0</v>
      </c>
      <c r="EA799" s="1302"/>
      <c r="EB799" s="1302"/>
      <c r="EC799" s="1302"/>
      <c r="ED799" s="1303"/>
      <c r="EE799" s="1301">
        <f t="shared" si="51"/>
        <v>0</v>
      </c>
      <c r="EF799" s="1302"/>
      <c r="EG799" s="1302"/>
      <c r="EH799" s="1302"/>
      <c r="EI799" s="1303"/>
      <c r="EJ799" s="1301">
        <f t="shared" si="52"/>
        <v>0</v>
      </c>
      <c r="EK799" s="1302"/>
      <c r="EL799" s="1302"/>
      <c r="EM799" s="1302"/>
      <c r="EN799" s="1303"/>
      <c r="EO799" s="1301">
        <f t="shared" si="53"/>
        <v>0</v>
      </c>
      <c r="EP799" s="1302"/>
      <c r="EQ799" s="1302"/>
      <c r="ER799" s="1302"/>
      <c r="ES799" s="1303"/>
      <c r="ET799" s="1301">
        <f t="shared" si="54"/>
        <v>0</v>
      </c>
      <c r="EU799" s="1302"/>
      <c r="EV799" s="1302"/>
      <c r="EW799" s="1302"/>
      <c r="EX799" s="1303"/>
    </row>
    <row r="800" spans="1:154" s="13" customFormat="1" ht="12.9" customHeight="1">
      <c r="A800"/>
      <c r="B800"/>
      <c r="C800"/>
      <c r="D800"/>
      <c r="E800"/>
      <c r="F800"/>
      <c r="G800"/>
      <c r="H800"/>
      <c r="I800"/>
      <c r="J800" s="1318"/>
      <c r="K800" s="1319"/>
      <c r="L800" s="1319"/>
      <c r="M800" s="1319"/>
      <c r="N800" s="1320"/>
      <c r="O800" s="1429"/>
      <c r="P800" s="1429"/>
      <c r="Q800" s="1429"/>
      <c r="R800" s="1429"/>
      <c r="S800" s="1429"/>
      <c r="T800" s="1460"/>
      <c r="U800" s="1461"/>
      <c r="V800" s="1461"/>
      <c r="W800" s="1462"/>
      <c r="X800" s="1334"/>
      <c r="Y800" s="1335"/>
      <c r="Z800" s="1335"/>
      <c r="AA800" s="1335"/>
      <c r="AB800" s="1336"/>
      <c r="AC800" s="1321">
        <f t="shared" si="42"/>
        <v>0</v>
      </c>
      <c r="AD800" s="1322"/>
      <c r="AE800" s="1322"/>
      <c r="AF800" s="1322"/>
      <c r="AG800" s="132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1">
        <f t="shared" si="43"/>
        <v>0</v>
      </c>
      <c r="CQ800" s="1302"/>
      <c r="CR800" s="1302"/>
      <c r="CS800" s="1302"/>
      <c r="CT800" s="1303"/>
      <c r="CU800" s="1301">
        <f t="shared" si="44"/>
        <v>0</v>
      </c>
      <c r="CV800" s="1302"/>
      <c r="CW800" s="1302"/>
      <c r="CX800" s="1302"/>
      <c r="CY800" s="1303"/>
      <c r="CZ800" s="1301">
        <f t="shared" si="45"/>
        <v>0</v>
      </c>
      <c r="DA800" s="1302"/>
      <c r="DB800" s="1302"/>
      <c r="DC800" s="1302"/>
      <c r="DD800" s="1303"/>
      <c r="DE800" s="1301">
        <f t="shared" si="46"/>
        <v>0</v>
      </c>
      <c r="DF800" s="1302"/>
      <c r="DG800" s="1302"/>
      <c r="DH800" s="1302"/>
      <c r="DI800" s="1303"/>
      <c r="DJ800" s="1301">
        <f t="shared" si="47"/>
        <v>0</v>
      </c>
      <c r="DK800" s="1302"/>
      <c r="DL800" s="1302"/>
      <c r="DM800" s="1302"/>
      <c r="DN800" s="1303"/>
      <c r="DO800" s="1301">
        <f t="shared" si="48"/>
        <v>0</v>
      </c>
      <c r="DP800" s="1302"/>
      <c r="DQ800" s="1302"/>
      <c r="DR800" s="1302"/>
      <c r="DS800" s="1303"/>
      <c r="DT800" s="257"/>
      <c r="DU800" s="1301">
        <f t="shared" si="49"/>
        <v>0</v>
      </c>
      <c r="DV800" s="1302"/>
      <c r="DW800" s="1302"/>
      <c r="DX800" s="1302"/>
      <c r="DY800" s="1303"/>
      <c r="DZ800" s="1301">
        <f t="shared" si="50"/>
        <v>0</v>
      </c>
      <c r="EA800" s="1302"/>
      <c r="EB800" s="1302"/>
      <c r="EC800" s="1302"/>
      <c r="ED800" s="1303"/>
      <c r="EE800" s="1301">
        <f t="shared" si="51"/>
        <v>0</v>
      </c>
      <c r="EF800" s="1302"/>
      <c r="EG800" s="1302"/>
      <c r="EH800" s="1302"/>
      <c r="EI800" s="1303"/>
      <c r="EJ800" s="1301">
        <f t="shared" si="52"/>
        <v>0</v>
      </c>
      <c r="EK800" s="1302"/>
      <c r="EL800" s="1302"/>
      <c r="EM800" s="1302"/>
      <c r="EN800" s="1303"/>
      <c r="EO800" s="1301">
        <f t="shared" si="53"/>
        <v>0</v>
      </c>
      <c r="EP800" s="1302"/>
      <c r="EQ800" s="1302"/>
      <c r="ER800" s="1302"/>
      <c r="ES800" s="1303"/>
      <c r="ET800" s="1301">
        <f t="shared" si="54"/>
        <v>0</v>
      </c>
      <c r="EU800" s="1302"/>
      <c r="EV800" s="1302"/>
      <c r="EW800" s="1302"/>
      <c r="EX800" s="1303"/>
    </row>
    <row r="801" spans="1:154" s="13" customFormat="1" ht="12.9" customHeight="1">
      <c r="A801"/>
      <c r="B801"/>
      <c r="C801"/>
      <c r="D801"/>
      <c r="E801"/>
      <c r="F801"/>
      <c r="G801"/>
      <c r="H801"/>
      <c r="I801"/>
      <c r="J801" s="1318"/>
      <c r="K801" s="1319"/>
      <c r="L801" s="1319"/>
      <c r="M801" s="1319"/>
      <c r="N801" s="1320"/>
      <c r="O801" s="1429"/>
      <c r="P801" s="1429"/>
      <c r="Q801" s="1429"/>
      <c r="R801" s="1429"/>
      <c r="S801" s="1429"/>
      <c r="T801" s="1460"/>
      <c r="U801" s="1461"/>
      <c r="V801" s="1461"/>
      <c r="W801" s="1462"/>
      <c r="X801" s="1334"/>
      <c r="Y801" s="1335"/>
      <c r="Z801" s="1335"/>
      <c r="AA801" s="1335"/>
      <c r="AB801" s="1336"/>
      <c r="AC801" s="1321">
        <f t="shared" si="42"/>
        <v>0</v>
      </c>
      <c r="AD801" s="1322"/>
      <c r="AE801" s="1322"/>
      <c r="AF801" s="1322"/>
      <c r="AG801" s="132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1">
        <f t="shared" si="43"/>
        <v>0</v>
      </c>
      <c r="CQ801" s="1302"/>
      <c r="CR801" s="1302"/>
      <c r="CS801" s="1302"/>
      <c r="CT801" s="1303"/>
      <c r="CU801" s="1301">
        <f t="shared" si="44"/>
        <v>0</v>
      </c>
      <c r="CV801" s="1302"/>
      <c r="CW801" s="1302"/>
      <c r="CX801" s="1302"/>
      <c r="CY801" s="1303"/>
      <c r="CZ801" s="1301">
        <f t="shared" si="45"/>
        <v>0</v>
      </c>
      <c r="DA801" s="1302"/>
      <c r="DB801" s="1302"/>
      <c r="DC801" s="1302"/>
      <c r="DD801" s="1303"/>
      <c r="DE801" s="1301">
        <f t="shared" si="46"/>
        <v>0</v>
      </c>
      <c r="DF801" s="1302"/>
      <c r="DG801" s="1302"/>
      <c r="DH801" s="1302"/>
      <c r="DI801" s="1303"/>
      <c r="DJ801" s="1301">
        <f t="shared" si="47"/>
        <v>0</v>
      </c>
      <c r="DK801" s="1302"/>
      <c r="DL801" s="1302"/>
      <c r="DM801" s="1302"/>
      <c r="DN801" s="1303"/>
      <c r="DO801" s="1301">
        <f t="shared" si="48"/>
        <v>0</v>
      </c>
      <c r="DP801" s="1302"/>
      <c r="DQ801" s="1302"/>
      <c r="DR801" s="1302"/>
      <c r="DS801" s="1303"/>
      <c r="DT801" s="257"/>
      <c r="DU801" s="1301">
        <f t="shared" si="49"/>
        <v>0</v>
      </c>
      <c r="DV801" s="1302"/>
      <c r="DW801" s="1302"/>
      <c r="DX801" s="1302"/>
      <c r="DY801" s="1303"/>
      <c r="DZ801" s="1301">
        <f t="shared" si="50"/>
        <v>0</v>
      </c>
      <c r="EA801" s="1302"/>
      <c r="EB801" s="1302"/>
      <c r="EC801" s="1302"/>
      <c r="ED801" s="1303"/>
      <c r="EE801" s="1301">
        <f t="shared" si="51"/>
        <v>0</v>
      </c>
      <c r="EF801" s="1302"/>
      <c r="EG801" s="1302"/>
      <c r="EH801" s="1302"/>
      <c r="EI801" s="1303"/>
      <c r="EJ801" s="1301">
        <f t="shared" si="52"/>
        <v>0</v>
      </c>
      <c r="EK801" s="1302"/>
      <c r="EL801" s="1302"/>
      <c r="EM801" s="1302"/>
      <c r="EN801" s="1303"/>
      <c r="EO801" s="1301">
        <f t="shared" si="53"/>
        <v>0</v>
      </c>
      <c r="EP801" s="1302"/>
      <c r="EQ801" s="1302"/>
      <c r="ER801" s="1302"/>
      <c r="ES801" s="1303"/>
      <c r="ET801" s="1301">
        <f t="shared" si="54"/>
        <v>0</v>
      </c>
      <c r="EU801" s="1302"/>
      <c r="EV801" s="1302"/>
      <c r="EW801" s="1302"/>
      <c r="EX801" s="1303"/>
    </row>
    <row r="802" spans="1:154" s="13" customFormat="1" ht="12.9" customHeight="1">
      <c r="A802"/>
      <c r="B802"/>
      <c r="C802"/>
      <c r="D802"/>
      <c r="E802"/>
      <c r="F802"/>
      <c r="G802"/>
      <c r="H802"/>
      <c r="I802"/>
      <c r="J802" s="1318"/>
      <c r="K802" s="1319"/>
      <c r="L802" s="1319"/>
      <c r="M802" s="1319"/>
      <c r="N802" s="1320"/>
      <c r="O802" s="1429"/>
      <c r="P802" s="1429"/>
      <c r="Q802" s="1429"/>
      <c r="R802" s="1429"/>
      <c r="S802" s="1429"/>
      <c r="T802" s="1460"/>
      <c r="U802" s="1461"/>
      <c r="V802" s="1461"/>
      <c r="W802" s="1462"/>
      <c r="X802" s="1334"/>
      <c r="Y802" s="1335"/>
      <c r="Z802" s="1335"/>
      <c r="AA802" s="1335"/>
      <c r="AB802" s="1336"/>
      <c r="AC802" s="1321">
        <f t="shared" si="42"/>
        <v>0</v>
      </c>
      <c r="AD802" s="1322"/>
      <c r="AE802" s="1322"/>
      <c r="AF802" s="1322"/>
      <c r="AG802" s="132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1">
        <f t="shared" si="43"/>
        <v>0</v>
      </c>
      <c r="CQ802" s="1302"/>
      <c r="CR802" s="1302"/>
      <c r="CS802" s="1302"/>
      <c r="CT802" s="1303"/>
      <c r="CU802" s="1301">
        <f t="shared" si="44"/>
        <v>0</v>
      </c>
      <c r="CV802" s="1302"/>
      <c r="CW802" s="1302"/>
      <c r="CX802" s="1302"/>
      <c r="CY802" s="1303"/>
      <c r="CZ802" s="1301">
        <f t="shared" si="45"/>
        <v>0</v>
      </c>
      <c r="DA802" s="1302"/>
      <c r="DB802" s="1302"/>
      <c r="DC802" s="1302"/>
      <c r="DD802" s="1303"/>
      <c r="DE802" s="1301">
        <f t="shared" si="46"/>
        <v>0</v>
      </c>
      <c r="DF802" s="1302"/>
      <c r="DG802" s="1302"/>
      <c r="DH802" s="1302"/>
      <c r="DI802" s="1303"/>
      <c r="DJ802" s="1301">
        <f t="shared" si="47"/>
        <v>0</v>
      </c>
      <c r="DK802" s="1302"/>
      <c r="DL802" s="1302"/>
      <c r="DM802" s="1302"/>
      <c r="DN802" s="1303"/>
      <c r="DO802" s="1301">
        <f t="shared" si="48"/>
        <v>0</v>
      </c>
      <c r="DP802" s="1302"/>
      <c r="DQ802" s="1302"/>
      <c r="DR802" s="1302"/>
      <c r="DS802" s="1303"/>
      <c r="DT802" s="257"/>
      <c r="DU802" s="1301">
        <f t="shared" si="49"/>
        <v>0</v>
      </c>
      <c r="DV802" s="1302"/>
      <c r="DW802" s="1302"/>
      <c r="DX802" s="1302"/>
      <c r="DY802" s="1303"/>
      <c r="DZ802" s="1301">
        <f t="shared" si="50"/>
        <v>0</v>
      </c>
      <c r="EA802" s="1302"/>
      <c r="EB802" s="1302"/>
      <c r="EC802" s="1302"/>
      <c r="ED802" s="1303"/>
      <c r="EE802" s="1301">
        <f t="shared" si="51"/>
        <v>0</v>
      </c>
      <c r="EF802" s="1302"/>
      <c r="EG802" s="1302"/>
      <c r="EH802" s="1302"/>
      <c r="EI802" s="1303"/>
      <c r="EJ802" s="1301">
        <f t="shared" si="52"/>
        <v>0</v>
      </c>
      <c r="EK802" s="1302"/>
      <c r="EL802" s="1302"/>
      <c r="EM802" s="1302"/>
      <c r="EN802" s="1303"/>
      <c r="EO802" s="1301">
        <f t="shared" si="53"/>
        <v>0</v>
      </c>
      <c r="EP802" s="1302"/>
      <c r="EQ802" s="1302"/>
      <c r="ER802" s="1302"/>
      <c r="ES802" s="1303"/>
      <c r="ET802" s="1301">
        <f t="shared" si="54"/>
        <v>0</v>
      </c>
      <c r="EU802" s="1302"/>
      <c r="EV802" s="1302"/>
      <c r="EW802" s="1302"/>
      <c r="EX802" s="1303"/>
    </row>
    <row r="803" spans="1:154" s="13" customFormat="1" ht="12.9" customHeight="1">
      <c r="A803"/>
      <c r="B803"/>
      <c r="C803"/>
      <c r="D803"/>
      <c r="E803"/>
      <c r="F803"/>
      <c r="G803"/>
      <c r="H803"/>
      <c r="I803"/>
      <c r="J803" s="1318"/>
      <c r="K803" s="1319"/>
      <c r="L803" s="1319"/>
      <c r="M803" s="1319"/>
      <c r="N803" s="1320"/>
      <c r="O803" s="1429"/>
      <c r="P803" s="1429"/>
      <c r="Q803" s="1429"/>
      <c r="R803" s="1429"/>
      <c r="S803" s="1429"/>
      <c r="T803" s="1460"/>
      <c r="U803" s="1461"/>
      <c r="V803" s="1461"/>
      <c r="W803" s="1462"/>
      <c r="X803" s="1334"/>
      <c r="Y803" s="1335"/>
      <c r="Z803" s="1335"/>
      <c r="AA803" s="1335"/>
      <c r="AB803" s="1336"/>
      <c r="AC803" s="1321">
        <f t="shared" si="42"/>
        <v>0</v>
      </c>
      <c r="AD803" s="1322"/>
      <c r="AE803" s="1322"/>
      <c r="AF803" s="1322"/>
      <c r="AG803" s="132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1">
        <f t="shared" si="43"/>
        <v>0</v>
      </c>
      <c r="CQ803" s="1302"/>
      <c r="CR803" s="1302"/>
      <c r="CS803" s="1302"/>
      <c r="CT803" s="1303"/>
      <c r="CU803" s="1301">
        <f t="shared" si="44"/>
        <v>0</v>
      </c>
      <c r="CV803" s="1302"/>
      <c r="CW803" s="1302"/>
      <c r="CX803" s="1302"/>
      <c r="CY803" s="1303"/>
      <c r="CZ803" s="1301">
        <f t="shared" si="45"/>
        <v>0</v>
      </c>
      <c r="DA803" s="1302"/>
      <c r="DB803" s="1302"/>
      <c r="DC803" s="1302"/>
      <c r="DD803" s="1303"/>
      <c r="DE803" s="1301">
        <f t="shared" si="46"/>
        <v>0</v>
      </c>
      <c r="DF803" s="1302"/>
      <c r="DG803" s="1302"/>
      <c r="DH803" s="1302"/>
      <c r="DI803" s="1303"/>
      <c r="DJ803" s="1301">
        <f t="shared" si="47"/>
        <v>0</v>
      </c>
      <c r="DK803" s="1302"/>
      <c r="DL803" s="1302"/>
      <c r="DM803" s="1302"/>
      <c r="DN803" s="1303"/>
      <c r="DO803" s="1301">
        <f t="shared" si="48"/>
        <v>0</v>
      </c>
      <c r="DP803" s="1302"/>
      <c r="DQ803" s="1302"/>
      <c r="DR803" s="1302"/>
      <c r="DS803" s="1303"/>
      <c r="DT803" s="257"/>
      <c r="DU803" s="1301">
        <f t="shared" si="49"/>
        <v>0</v>
      </c>
      <c r="DV803" s="1302"/>
      <c r="DW803" s="1302"/>
      <c r="DX803" s="1302"/>
      <c r="DY803" s="1303"/>
      <c r="DZ803" s="1301">
        <f t="shared" si="50"/>
        <v>0</v>
      </c>
      <c r="EA803" s="1302"/>
      <c r="EB803" s="1302"/>
      <c r="EC803" s="1302"/>
      <c r="ED803" s="1303"/>
      <c r="EE803" s="1301">
        <f t="shared" si="51"/>
        <v>0</v>
      </c>
      <c r="EF803" s="1302"/>
      <c r="EG803" s="1302"/>
      <c r="EH803" s="1302"/>
      <c r="EI803" s="1303"/>
      <c r="EJ803" s="1301">
        <f t="shared" si="52"/>
        <v>0</v>
      </c>
      <c r="EK803" s="1302"/>
      <c r="EL803" s="1302"/>
      <c r="EM803" s="1302"/>
      <c r="EN803" s="1303"/>
      <c r="EO803" s="1301">
        <f t="shared" si="53"/>
        <v>0</v>
      </c>
      <c r="EP803" s="1302"/>
      <c r="EQ803" s="1302"/>
      <c r="ER803" s="1302"/>
      <c r="ES803" s="1303"/>
      <c r="ET803" s="1301">
        <f t="shared" si="54"/>
        <v>0</v>
      </c>
      <c r="EU803" s="1302"/>
      <c r="EV803" s="1302"/>
      <c r="EW803" s="1302"/>
      <c r="EX803" s="1303"/>
    </row>
    <row r="804" spans="1:154" s="4" customFormat="1" ht="12.9" customHeight="1">
      <c r="A804"/>
      <c r="B804"/>
      <c r="C804"/>
      <c r="D804"/>
      <c r="E804"/>
      <c r="F804"/>
      <c r="G804"/>
      <c r="H804"/>
      <c r="I804"/>
      <c r="J804" s="1318"/>
      <c r="K804" s="1319"/>
      <c r="L804" s="1319"/>
      <c r="M804" s="1319"/>
      <c r="N804" s="1320"/>
      <c r="O804" s="1429"/>
      <c r="P804" s="1429"/>
      <c r="Q804" s="1429"/>
      <c r="R804" s="1429"/>
      <c r="S804" s="1429"/>
      <c r="T804" s="1460"/>
      <c r="U804" s="1461"/>
      <c r="V804" s="1461"/>
      <c r="W804" s="1462"/>
      <c r="X804" s="1334"/>
      <c r="Y804" s="1335"/>
      <c r="Z804" s="1335"/>
      <c r="AA804" s="1335"/>
      <c r="AB804" s="1336"/>
      <c r="AC804" s="1321">
        <f t="shared" si="42"/>
        <v>0</v>
      </c>
      <c r="AD804" s="1322"/>
      <c r="AE804" s="1322"/>
      <c r="AF804" s="1322"/>
      <c r="AG804" s="1323"/>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1">
        <f t="shared" si="43"/>
        <v>0</v>
      </c>
      <c r="CQ804" s="1302"/>
      <c r="CR804" s="1302"/>
      <c r="CS804" s="1302"/>
      <c r="CT804" s="1303"/>
      <c r="CU804" s="1301">
        <f t="shared" si="44"/>
        <v>0</v>
      </c>
      <c r="CV804" s="1302"/>
      <c r="CW804" s="1302"/>
      <c r="CX804" s="1302"/>
      <c r="CY804" s="1303"/>
      <c r="CZ804" s="1301">
        <f t="shared" si="45"/>
        <v>0</v>
      </c>
      <c r="DA804" s="1302"/>
      <c r="DB804" s="1302"/>
      <c r="DC804" s="1302"/>
      <c r="DD804" s="1303"/>
      <c r="DE804" s="1301">
        <f t="shared" si="46"/>
        <v>0</v>
      </c>
      <c r="DF804" s="1302"/>
      <c r="DG804" s="1302"/>
      <c r="DH804" s="1302"/>
      <c r="DI804" s="1303"/>
      <c r="DJ804" s="1301">
        <f t="shared" si="47"/>
        <v>0</v>
      </c>
      <c r="DK804" s="1302"/>
      <c r="DL804" s="1302"/>
      <c r="DM804" s="1302"/>
      <c r="DN804" s="1303"/>
      <c r="DO804" s="1301">
        <f t="shared" si="48"/>
        <v>0</v>
      </c>
      <c r="DP804" s="1302"/>
      <c r="DQ804" s="1302"/>
      <c r="DR804" s="1302"/>
      <c r="DS804" s="1303"/>
      <c r="DT804" s="257"/>
      <c r="DU804" s="1301">
        <f t="shared" si="49"/>
        <v>0</v>
      </c>
      <c r="DV804" s="1302"/>
      <c r="DW804" s="1302"/>
      <c r="DX804" s="1302"/>
      <c r="DY804" s="1303"/>
      <c r="DZ804" s="1301">
        <f t="shared" si="50"/>
        <v>0</v>
      </c>
      <c r="EA804" s="1302"/>
      <c r="EB804" s="1302"/>
      <c r="EC804" s="1302"/>
      <c r="ED804" s="1303"/>
      <c r="EE804" s="1301">
        <f t="shared" si="51"/>
        <v>0</v>
      </c>
      <c r="EF804" s="1302"/>
      <c r="EG804" s="1302"/>
      <c r="EH804" s="1302"/>
      <c r="EI804" s="1303"/>
      <c r="EJ804" s="1301">
        <f t="shared" si="52"/>
        <v>0</v>
      </c>
      <c r="EK804" s="1302"/>
      <c r="EL804" s="1302"/>
      <c r="EM804" s="1302"/>
      <c r="EN804" s="1303"/>
      <c r="EO804" s="1301">
        <f t="shared" si="53"/>
        <v>0</v>
      </c>
      <c r="EP804" s="1302"/>
      <c r="EQ804" s="1302"/>
      <c r="ER804" s="1302"/>
      <c r="ES804" s="1303"/>
      <c r="ET804" s="1301">
        <f t="shared" si="54"/>
        <v>0</v>
      </c>
      <c r="EU804" s="1302"/>
      <c r="EV804" s="1302"/>
      <c r="EW804" s="1302"/>
      <c r="EX804" s="1303"/>
    </row>
    <row r="805" spans="1:154" s="4" customFormat="1" ht="12.9" customHeight="1">
      <c r="A805"/>
      <c r="B805"/>
      <c r="C805"/>
      <c r="D805"/>
      <c r="E805"/>
      <c r="F805"/>
      <c r="G805"/>
      <c r="H805"/>
      <c r="I805"/>
      <c r="J805" s="1373" t="s">
        <v>1488</v>
      </c>
      <c r="K805" s="1374"/>
      <c r="L805" s="1374"/>
      <c r="M805" s="1374"/>
      <c r="N805" s="1376"/>
      <c r="O805" s="1337">
        <f>SUM(O795:S804)</f>
        <v>0</v>
      </c>
      <c r="P805" s="1337"/>
      <c r="Q805" s="1337"/>
      <c r="R805" s="1337"/>
      <c r="S805" s="1337"/>
      <c r="T805"/>
      <c r="U805"/>
      <c r="V805"/>
      <c r="W805"/>
      <c r="X805" s="794" t="s">
        <v>1489</v>
      </c>
      <c r="Y805" s="10"/>
      <c r="Z805" s="10"/>
      <c r="AA805" s="10"/>
      <c r="AB805" s="801"/>
      <c r="AC805" s="1321">
        <f>SUM(AC795:AG804)</f>
        <v>0</v>
      </c>
      <c r="AD805" s="1322"/>
      <c r="AE805" s="1322"/>
      <c r="AF805" s="1322"/>
      <c r="AG805" s="1323"/>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4">
        <f>SUM(CP795:CT804)</f>
        <v>0</v>
      </c>
      <c r="CQ805" s="1305"/>
      <c r="CR805" s="1305"/>
      <c r="CS805" s="1305"/>
      <c r="CT805" s="1306"/>
      <c r="CU805" s="1304">
        <f>SUM(CU795:CY804)</f>
        <v>0</v>
      </c>
      <c r="CV805" s="1305"/>
      <c r="CW805" s="1305"/>
      <c r="CX805" s="1305"/>
      <c r="CY805" s="1306"/>
      <c r="CZ805" s="1304">
        <f>SUM(CZ795:DD804)</f>
        <v>0</v>
      </c>
      <c r="DA805" s="1305"/>
      <c r="DB805" s="1305"/>
      <c r="DC805" s="1305"/>
      <c r="DD805" s="1306"/>
      <c r="DE805" s="1304">
        <f>SUM(DE795:DI804)</f>
        <v>0</v>
      </c>
      <c r="DF805" s="1305"/>
      <c r="DG805" s="1305"/>
      <c r="DH805" s="1305"/>
      <c r="DI805" s="1306"/>
      <c r="DJ805" s="1304">
        <f>SUM(DJ795:DN804)</f>
        <v>0</v>
      </c>
      <c r="DK805" s="1305"/>
      <c r="DL805" s="1305"/>
      <c r="DM805" s="1305"/>
      <c r="DN805" s="1306"/>
      <c r="DO805" s="1304">
        <f>SUM(DO795:DS804)</f>
        <v>0</v>
      </c>
      <c r="DP805" s="1305"/>
      <c r="DQ805" s="1305"/>
      <c r="DR805" s="1305"/>
      <c r="DS805" s="1306"/>
      <c r="DT805" s="257"/>
      <c r="DU805" s="1304">
        <f>SUM(DU795:DY804)</f>
        <v>0</v>
      </c>
      <c r="DV805" s="1305"/>
      <c r="DW805" s="1305"/>
      <c r="DX805" s="1305"/>
      <c r="DY805" s="1306"/>
      <c r="DZ805" s="1304">
        <f>SUM(DZ795:ED804)</f>
        <v>0</v>
      </c>
      <c r="EA805" s="1305"/>
      <c r="EB805" s="1305"/>
      <c r="EC805" s="1305"/>
      <c r="ED805" s="1306"/>
      <c r="EE805" s="1304">
        <f>SUM(EE795:EI804)</f>
        <v>0</v>
      </c>
      <c r="EF805" s="1305"/>
      <c r="EG805" s="1305"/>
      <c r="EH805" s="1305"/>
      <c r="EI805" s="1306"/>
      <c r="EJ805" s="1304">
        <f>SUM(EJ795:EN804)</f>
        <v>0</v>
      </c>
      <c r="EK805" s="1305"/>
      <c r="EL805" s="1305"/>
      <c r="EM805" s="1305"/>
      <c r="EN805" s="1306"/>
      <c r="EO805" s="1304">
        <f>SUM(EO795:ES804)</f>
        <v>0</v>
      </c>
      <c r="EP805" s="1305"/>
      <c r="EQ805" s="1305"/>
      <c r="ER805" s="1305"/>
      <c r="ES805" s="1306"/>
      <c r="ET805" s="1304">
        <f>SUM(ET795:EX804)</f>
        <v>0</v>
      </c>
      <c r="EU805" s="1305"/>
      <c r="EV805" s="1305"/>
      <c r="EW805" s="1305"/>
      <c r="EX805" s="1306"/>
    </row>
    <row r="806" spans="1:154" s="4" customFormat="1" ht="12.9" customHeight="1">
      <c r="A806"/>
      <c r="B806"/>
      <c r="C806" s="1551" t="str">
        <f>IF(O805&lt;&gt;AG447,"! Total market rate units in the Unit Mix Table above does not match the number of  market rate units on row #"&amp;TEXT(ROW(D447),"#"),"")</f>
        <v/>
      </c>
      <c r="D806" s="1551"/>
      <c r="E806" s="1551"/>
      <c r="F806" s="1551"/>
      <c r="G806" s="1551"/>
      <c r="H806" s="1551"/>
      <c r="I806" s="1551"/>
      <c r="J806" s="1551"/>
      <c r="K806" s="1551"/>
      <c r="L806" s="1551"/>
      <c r="M806" s="1551"/>
      <c r="N806" s="1551"/>
      <c r="O806" s="1551"/>
      <c r="P806" s="1551"/>
      <c r="Q806" s="1551"/>
      <c r="R806" s="1551"/>
      <c r="S806" s="1551"/>
      <c r="T806" s="1551"/>
      <c r="U806" s="1551"/>
      <c r="V806" s="1551"/>
      <c r="W806" s="1551"/>
      <c r="X806" s="1551"/>
      <c r="Y806" s="1551"/>
      <c r="Z806" s="1551"/>
      <c r="AA806" s="1551"/>
      <c r="AB806" s="1551"/>
      <c r="AC806" s="1551"/>
      <c r="AD806" s="1551"/>
      <c r="AE806" s="1551"/>
      <c r="AF806" s="1551"/>
      <c r="AG806" s="1551"/>
      <c r="AH806" s="1551"/>
      <c r="AI806" s="1551"/>
      <c r="AJ806" s="1551"/>
      <c r="AK806" s="1551"/>
      <c r="AL806" s="1551"/>
      <c r="AM806" s="1551"/>
      <c r="AN806" s="1551"/>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551"/>
      <c r="D807" s="1551"/>
      <c r="E807" s="1551"/>
      <c r="F807" s="1551"/>
      <c r="G807" s="1551"/>
      <c r="H807" s="1551"/>
      <c r="I807" s="1551"/>
      <c r="J807" s="1551"/>
      <c r="K807" s="1551"/>
      <c r="L807" s="1551"/>
      <c r="M807" s="1551"/>
      <c r="N807" s="1551"/>
      <c r="O807" s="1551"/>
      <c r="P807" s="1551"/>
      <c r="Q807" s="1551"/>
      <c r="R807" s="1551"/>
      <c r="S807" s="1551"/>
      <c r="T807" s="1551"/>
      <c r="U807" s="1551"/>
      <c r="V807" s="1551"/>
      <c r="W807" s="1551"/>
      <c r="X807" s="1551"/>
      <c r="Y807" s="1551"/>
      <c r="Z807" s="1551"/>
      <c r="AA807" s="1551"/>
      <c r="AB807" s="1551"/>
      <c r="AC807" s="1551"/>
      <c r="AD807" s="1551"/>
      <c r="AE807" s="1551"/>
      <c r="AF807" s="1551"/>
      <c r="AG807" s="1551"/>
      <c r="AH807" s="1551"/>
      <c r="AI807" s="1551"/>
      <c r="AJ807" s="1551"/>
      <c r="AK807" s="1551"/>
      <c r="AL807" s="1551"/>
      <c r="AM807" s="1551"/>
      <c r="AN807" s="1551"/>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1511</v>
      </c>
      <c r="DW807" s="3"/>
      <c r="DX807" s="3"/>
      <c r="DY807" s="3"/>
      <c r="DZ807" s="3"/>
      <c r="EA807" s="3"/>
      <c r="EB807" s="3"/>
      <c r="EC807" s="3"/>
      <c r="ED807" s="3"/>
      <c r="EE807" s="3"/>
      <c r="EF807" s="3"/>
      <c r="EG807" s="3"/>
      <c r="EH807" s="3"/>
      <c r="EI807"/>
      <c r="EJ807"/>
      <c r="EK807"/>
      <c r="EL807"/>
      <c r="EM807"/>
      <c r="EN807"/>
      <c r="EO807"/>
      <c r="EP807"/>
      <c r="EQ807"/>
      <c r="ER807"/>
      <c r="ES807" s="48" t="s">
        <v>1512</v>
      </c>
      <c r="ET807" s="1314">
        <f>SUM(DU805:EX805)</f>
        <v>0</v>
      </c>
      <c r="EU807" s="1315"/>
      <c r="EV807" s="1315"/>
      <c r="EW807" s="1315"/>
      <c r="EX807" s="1316"/>
    </row>
    <row r="808" spans="1:154" s="4" customFormat="1" ht="12.9" customHeight="1">
      <c r="A808"/>
      <c r="B808"/>
      <c r="C808"/>
      <c r="D808"/>
      <c r="E808"/>
      <c r="F808"/>
      <c r="G808"/>
      <c r="H808"/>
      <c r="I808"/>
      <c r="J808" s="37"/>
      <c r="K808" s="5"/>
      <c r="L808" s="5"/>
      <c r="M808" s="5"/>
      <c r="N808" s="5"/>
      <c r="O808" s="5"/>
      <c r="P808" s="5"/>
      <c r="Q808" s="5"/>
      <c r="R808" s="5"/>
      <c r="S808" s="5"/>
      <c r="T808" s="5"/>
      <c r="U808" s="5"/>
      <c r="V808" s="5"/>
      <c r="W808" s="5"/>
      <c r="X808" s="46" t="s">
        <v>1513</v>
      </c>
      <c r="Y808" s="1552">
        <f>O761+AC785+AC805</f>
        <v>136305</v>
      </c>
      <c r="Z808" s="1552"/>
      <c r="AA808" s="1552"/>
      <c r="AB808" s="1552"/>
      <c r="AC808" s="1552"/>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1514</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39"/>
      <c r="K809" s="40"/>
      <c r="L809" s="40"/>
      <c r="M809" s="40"/>
      <c r="N809" s="40"/>
      <c r="O809" s="40"/>
      <c r="P809" s="40"/>
      <c r="Q809" s="40"/>
      <c r="R809" s="40"/>
      <c r="S809" s="40"/>
      <c r="T809" s="40"/>
      <c r="U809" s="40"/>
      <c r="V809" s="40"/>
      <c r="W809" s="40"/>
      <c r="X809" s="69" t="s">
        <v>1515</v>
      </c>
      <c r="Y809" s="1552">
        <f>(O761+AC785+AC805)*12</f>
        <v>1635660</v>
      </c>
      <c r="Z809" s="1552"/>
      <c r="AA809" s="1552"/>
      <c r="AB809" s="1552"/>
      <c r="AC809" s="1552"/>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1516</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4">
        <f>CP761+CP785+CP805</f>
        <v>1</v>
      </c>
      <c r="CQ810" s="1305"/>
      <c r="CR810" s="1305"/>
      <c r="CS810" s="1305"/>
      <c r="CT810" s="1306"/>
      <c r="CU810" s="1304">
        <f>CU761+CU785+CU805</f>
        <v>32</v>
      </c>
      <c r="CV810" s="1305"/>
      <c r="CW810" s="1305"/>
      <c r="CX810" s="1305"/>
      <c r="CY810" s="1306"/>
      <c r="CZ810" s="1304">
        <f>CZ761+CZ785+CZ805</f>
        <v>55</v>
      </c>
      <c r="DA810" s="1305"/>
      <c r="DB810" s="1305"/>
      <c r="DC810" s="1305"/>
      <c r="DD810" s="1306"/>
      <c r="DE810" s="1304">
        <f>DE761+DE785+DE805</f>
        <v>3</v>
      </c>
      <c r="DF810" s="1305"/>
      <c r="DG810" s="1305"/>
      <c r="DH810" s="1305"/>
      <c r="DI810" s="1306"/>
      <c r="DJ810" s="1304">
        <f>DJ761+DJ785+DJ805</f>
        <v>0</v>
      </c>
      <c r="DK810" s="1305"/>
      <c r="DL810" s="1305"/>
      <c r="DM810" s="1305"/>
      <c r="DN810" s="1306"/>
      <c r="DO810" s="1304">
        <f>DO805+DO785+DO761</f>
        <v>0</v>
      </c>
      <c r="DP810" s="1305"/>
      <c r="DQ810" s="1305"/>
      <c r="DR810" s="1305"/>
      <c r="DS810" s="1306"/>
      <c r="DT810" s="3"/>
      <c r="DU810" s="756">
        <f>DU763+DU808</f>
        <v>149</v>
      </c>
      <c r="DV810" s="49" t="s">
        <v>1517</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 customHeight="1">
      <c r="A811" s="2" t="s">
        <v>1016</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 customHeight="1">
      <c r="A812" s="2"/>
      <c r="B812" s="2"/>
      <c r="C812" s="2" t="s">
        <v>1518</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 customHeight="1">
      <c r="A814"/>
      <c r="B814"/>
      <c r="C814"/>
      <c r="D814"/>
      <c r="E814"/>
      <c r="F814"/>
      <c r="G814"/>
      <c r="H814" s="37" t="s">
        <v>1519</v>
      </c>
      <c r="I814" s="5"/>
      <c r="J814" s="5"/>
      <c r="K814" s="5"/>
      <c r="L814" s="5"/>
      <c r="M814" s="5"/>
      <c r="N814" s="5"/>
      <c r="O814" s="5"/>
      <c r="P814" s="5"/>
      <c r="Q814" s="5"/>
      <c r="R814" s="5"/>
      <c r="S814" s="5"/>
      <c r="T814" s="5"/>
      <c r="U814" s="5"/>
      <c r="V814" s="5"/>
      <c r="W814" s="5"/>
      <c r="X814" s="5"/>
      <c r="Y814" s="5"/>
      <c r="Z814" s="1554">
        <v>84</v>
      </c>
      <c r="AA814" s="1555"/>
      <c r="AB814" s="1555"/>
      <c r="AC814" s="1555"/>
      <c r="AD814" s="1555"/>
      <c r="AE814" s="1556"/>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 customHeight="1">
      <c r="A815"/>
      <c r="B815"/>
      <c r="C815"/>
      <c r="D815"/>
      <c r="E815"/>
      <c r="F815"/>
      <c r="G815"/>
      <c r="H815" s="37" t="s">
        <v>1520</v>
      </c>
      <c r="I815" s="5"/>
      <c r="J815" s="5"/>
      <c r="K815" s="5"/>
      <c r="L815" s="5"/>
      <c r="M815" s="5"/>
      <c r="N815" s="5"/>
      <c r="O815" s="5"/>
      <c r="P815" s="5"/>
      <c r="Q815" s="5"/>
      <c r="R815" s="5"/>
      <c r="S815" s="5"/>
      <c r="T815" s="5"/>
      <c r="U815" s="5"/>
      <c r="V815" s="5"/>
      <c r="W815" s="5"/>
      <c r="X815" s="5"/>
      <c r="Y815" s="5"/>
      <c r="Z815" s="1567">
        <v>20</v>
      </c>
      <c r="AA815" s="1555"/>
      <c r="AB815" s="1555"/>
      <c r="AC815" s="1555"/>
      <c r="AD815" s="1555"/>
      <c r="AE815" s="1556"/>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 customHeight="1">
      <c r="A816"/>
      <c r="B816"/>
      <c r="C816"/>
      <c r="D816"/>
      <c r="E816"/>
      <c r="F816"/>
      <c r="G816"/>
      <c r="H816" s="37" t="s">
        <v>1521</v>
      </c>
      <c r="I816" s="5"/>
      <c r="J816" s="5"/>
      <c r="K816" s="5"/>
      <c r="L816" s="5"/>
      <c r="M816" s="5"/>
      <c r="N816" s="5"/>
      <c r="O816" s="5"/>
      <c r="P816" s="5"/>
      <c r="Q816" s="5"/>
      <c r="R816" s="5"/>
      <c r="S816" s="5"/>
      <c r="T816" s="5"/>
      <c r="U816" s="5"/>
      <c r="V816" s="5"/>
      <c r="W816" s="5"/>
      <c r="X816" s="5"/>
      <c r="Y816" s="5"/>
      <c r="Z816" s="1562">
        <v>46296</v>
      </c>
      <c r="AA816" s="1482"/>
      <c r="AB816" s="1482"/>
      <c r="AC816" s="1482"/>
      <c r="AD816" s="1482"/>
      <c r="AE816" s="1563"/>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 customHeight="1">
      <c r="A817"/>
      <c r="B817"/>
      <c r="C817"/>
      <c r="D817"/>
      <c r="E817"/>
      <c r="F817"/>
      <c r="G817"/>
      <c r="H817" s="37"/>
      <c r="I817" s="5"/>
      <c r="J817" s="5"/>
      <c r="K817" s="5"/>
      <c r="L817" s="5"/>
      <c r="M817" s="5"/>
      <c r="N817" s="5"/>
      <c r="O817" s="5"/>
      <c r="P817" s="5"/>
      <c r="Q817" s="5"/>
      <c r="R817" s="5"/>
      <c r="S817" s="5"/>
      <c r="T817" s="5"/>
      <c r="U817" s="5"/>
      <c r="V817" s="5"/>
      <c r="W817" s="5"/>
      <c r="X817" s="5"/>
      <c r="Y817" s="45" t="s">
        <v>1522</v>
      </c>
      <c r="Z817" s="1434">
        <f>'Subsidy Contract Calculation'!J40</f>
        <v>3187368</v>
      </c>
      <c r="AA817" s="1435"/>
      <c r="AB817" s="1435"/>
      <c r="AC817" s="1435"/>
      <c r="AD817" s="1435"/>
      <c r="AE817" s="1436"/>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 customHeight="1">
      <c r="A819" s="2" t="s">
        <v>1028</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 customHeight="1">
      <c r="A821"/>
      <c r="B821"/>
      <c r="C821"/>
      <c r="D821"/>
      <c r="E821"/>
      <c r="F821"/>
      <c r="G821"/>
      <c r="H821" s="37" t="s">
        <v>1523</v>
      </c>
      <c r="I821" s="5"/>
      <c r="J821" s="5"/>
      <c r="K821" s="5"/>
      <c r="L821" s="5"/>
      <c r="M821" s="5"/>
      <c r="N821" s="5"/>
      <c r="O821" s="5"/>
      <c r="P821" s="5"/>
      <c r="Q821" s="5"/>
      <c r="R821" s="5"/>
      <c r="S821" s="5"/>
      <c r="T821" s="5"/>
      <c r="U821" s="5"/>
      <c r="V821" s="5"/>
      <c r="W821" s="5"/>
      <c r="X821" s="5"/>
      <c r="Y821" s="5"/>
      <c r="Z821" s="1437">
        <v>6000</v>
      </c>
      <c r="AA821" s="1307"/>
      <c r="AB821" s="1307"/>
      <c r="AC821" s="1307"/>
      <c r="AD821" s="1307"/>
      <c r="AE821" s="1308"/>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 customHeight="1">
      <c r="A822"/>
      <c r="B822"/>
      <c r="C822"/>
      <c r="D822"/>
      <c r="E822"/>
      <c r="F822"/>
      <c r="G822"/>
      <c r="H822" s="37" t="s">
        <v>1524</v>
      </c>
      <c r="I822" s="5"/>
      <c r="J822" s="5"/>
      <c r="K822" s="5"/>
      <c r="L822" s="5"/>
      <c r="M822" s="5"/>
      <c r="N822" s="5"/>
      <c r="O822" s="5"/>
      <c r="P822" s="5"/>
      <c r="Q822" s="5"/>
      <c r="R822" s="5"/>
      <c r="S822" s="5"/>
      <c r="T822" s="5"/>
      <c r="U822" s="5"/>
      <c r="V822" s="5"/>
      <c r="W822" s="5"/>
      <c r="X822" s="5"/>
      <c r="Y822" s="5"/>
      <c r="Z822" s="1437">
        <v>4000</v>
      </c>
      <c r="AA822" s="1307"/>
      <c r="AB822" s="1307"/>
      <c r="AC822" s="1307"/>
      <c r="AD822" s="1307"/>
      <c r="AE822" s="1308"/>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 customHeight="1">
      <c r="A823"/>
      <c r="B823"/>
      <c r="C823"/>
      <c r="D823"/>
      <c r="E823"/>
      <c r="F823"/>
      <c r="G823"/>
      <c r="H823" s="37" t="s">
        <v>1525</v>
      </c>
      <c r="I823" s="5"/>
      <c r="J823" s="5"/>
      <c r="K823" s="5"/>
      <c r="L823" s="5"/>
      <c r="M823" s="5"/>
      <c r="N823" s="5"/>
      <c r="O823" s="5"/>
      <c r="P823" s="5"/>
      <c r="Q823" s="5"/>
      <c r="R823" s="5"/>
      <c r="S823" s="5"/>
      <c r="T823" s="5"/>
      <c r="U823" s="5"/>
      <c r="V823" s="5"/>
      <c r="W823" s="5"/>
      <c r="X823" s="5"/>
      <c r="Y823" s="5"/>
      <c r="Z823" s="1437"/>
      <c r="AA823" s="1307"/>
      <c r="AB823" s="1307"/>
      <c r="AC823" s="1307"/>
      <c r="AD823" s="1307"/>
      <c r="AE823" s="1308"/>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 customHeight="1">
      <c r="A824"/>
      <c r="B824"/>
      <c r="C824"/>
      <c r="D824"/>
      <c r="E824"/>
      <c r="F824"/>
      <c r="G824"/>
      <c r="H824" s="37" t="s">
        <v>1526</v>
      </c>
      <c r="I824" s="5"/>
      <c r="J824" s="5"/>
      <c r="K824" s="5"/>
      <c r="L824" s="5"/>
      <c r="M824" s="5"/>
      <c r="N824" s="5"/>
      <c r="O824" s="5"/>
      <c r="P824" s="1564" t="s">
        <v>1354</v>
      </c>
      <c r="Q824" s="1565"/>
      <c r="R824" s="1565"/>
      <c r="S824" s="1565"/>
      <c r="T824" s="1565"/>
      <c r="U824" s="1565"/>
      <c r="V824" s="1565"/>
      <c r="W824" s="1565"/>
      <c r="X824" s="1565"/>
      <c r="Y824" s="1566"/>
      <c r="Z824" s="1437"/>
      <c r="AA824" s="1307"/>
      <c r="AB824" s="1307"/>
      <c r="AC824" s="1307"/>
      <c r="AD824" s="1307"/>
      <c r="AE824" s="1308"/>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 customHeight="1">
      <c r="A825"/>
      <c r="B825"/>
      <c r="C825"/>
      <c r="D825"/>
      <c r="E825"/>
      <c r="F825"/>
      <c r="G825"/>
      <c r="H825" s="37"/>
      <c r="I825" s="5"/>
      <c r="J825" s="5"/>
      <c r="K825" s="5"/>
      <c r="L825" s="5"/>
      <c r="M825" s="5"/>
      <c r="N825" s="5"/>
      <c r="O825" s="5"/>
      <c r="P825" s="5"/>
      <c r="Q825" s="5"/>
      <c r="R825" s="5"/>
      <c r="S825" s="5"/>
      <c r="T825" s="5"/>
      <c r="U825" s="5"/>
      <c r="V825" s="5"/>
      <c r="W825" s="5"/>
      <c r="X825" s="5"/>
      <c r="Y825" s="45" t="s">
        <v>1527</v>
      </c>
      <c r="Z825" s="1434">
        <f>SUM(Z821:AE824)</f>
        <v>10000</v>
      </c>
      <c r="AA825" s="1435"/>
      <c r="AB825" s="1435"/>
      <c r="AC825" s="1435"/>
      <c r="AD825" s="1435"/>
      <c r="AE825" s="1436"/>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 customHeight="1">
      <c r="A826"/>
      <c r="B826"/>
      <c r="C826"/>
      <c r="D826"/>
      <c r="E826"/>
      <c r="F826"/>
      <c r="G826"/>
      <c r="H826" s="37"/>
      <c r="I826" s="5"/>
      <c r="J826" s="5"/>
      <c r="K826" s="5"/>
      <c r="L826" s="5"/>
      <c r="M826" s="5"/>
      <c r="N826" s="5"/>
      <c r="O826" s="5"/>
      <c r="P826" s="5"/>
      <c r="Q826" s="5"/>
      <c r="R826" s="5"/>
      <c r="S826" s="5"/>
      <c r="T826" s="5"/>
      <c r="U826" s="5"/>
      <c r="V826" s="5"/>
      <c r="W826" s="5"/>
      <c r="X826" s="5"/>
      <c r="Y826" s="45" t="s">
        <v>1528</v>
      </c>
      <c r="Z826" s="1434">
        <f>Z825+Y809+Z817</f>
        <v>4833028</v>
      </c>
      <c r="AA826" s="1435"/>
      <c r="AB826" s="1435"/>
      <c r="AC826" s="1435"/>
      <c r="AD826" s="1435"/>
      <c r="AE826" s="1436"/>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 customHeight="1">
      <c r="A828" s="2" t="s">
        <v>1055</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 customHeight="1">
      <c r="A829"/>
      <c r="B829"/>
      <c r="C829" s="19" t="s">
        <v>1529</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 customHeight="1">
      <c r="A831"/>
      <c r="B831"/>
      <c r="C831" s="33"/>
      <c r="D831" s="34"/>
      <c r="E831" s="34"/>
      <c r="F831" s="34"/>
      <c r="G831" s="34"/>
      <c r="H831" s="34"/>
      <c r="I831" s="34"/>
      <c r="J831" s="34"/>
      <c r="K831" s="34"/>
      <c r="L831" s="50"/>
      <c r="M831" s="1659" t="s">
        <v>1530</v>
      </c>
      <c r="N831" s="1659"/>
      <c r="O831" s="1659"/>
      <c r="P831" s="1660"/>
      <c r="Q831" s="1629" t="s">
        <v>1531</v>
      </c>
      <c r="R831" s="1629"/>
      <c r="S831" s="1629"/>
      <c r="T831" s="1629"/>
      <c r="U831" s="1629" t="s">
        <v>1532</v>
      </c>
      <c r="V831" s="1629"/>
      <c r="W831" s="1629"/>
      <c r="X831" s="1629"/>
      <c r="Y831" s="1629" t="s">
        <v>1533</v>
      </c>
      <c r="Z831" s="1629"/>
      <c r="AA831" s="1629"/>
      <c r="AB831" s="1629"/>
      <c r="AC831" s="1629" t="s">
        <v>1534</v>
      </c>
      <c r="AD831" s="1629"/>
      <c r="AE831" s="1629"/>
      <c r="AF831" s="1629"/>
      <c r="AG831" s="1558" t="s">
        <v>1535</v>
      </c>
      <c r="AH831" s="1558"/>
      <c r="AI831" s="1558"/>
      <c r="AJ831" s="1558"/>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 customHeight="1">
      <c r="A832"/>
      <c r="B832"/>
      <c r="C832" s="39"/>
      <c r="D832" s="40"/>
      <c r="E832" s="40"/>
      <c r="F832" s="40"/>
      <c r="G832" s="40"/>
      <c r="H832" s="40"/>
      <c r="I832" s="40"/>
      <c r="J832" s="40"/>
      <c r="K832" s="40"/>
      <c r="L832" s="41"/>
      <c r="M832" s="1661"/>
      <c r="N832" s="1661"/>
      <c r="O832" s="1661"/>
      <c r="P832" s="1662"/>
      <c r="Q832" s="1629"/>
      <c r="R832" s="1629"/>
      <c r="S832" s="1629"/>
      <c r="T832" s="1629"/>
      <c r="U832" s="1629"/>
      <c r="V832" s="1629"/>
      <c r="W832" s="1629"/>
      <c r="X832" s="1629"/>
      <c r="Y832" s="1629"/>
      <c r="Z832" s="1629"/>
      <c r="AA832" s="1629"/>
      <c r="AB832" s="1629"/>
      <c r="AC832" s="1629"/>
      <c r="AD832" s="1629"/>
      <c r="AE832" s="1629"/>
      <c r="AF832" s="1629"/>
      <c r="AG832" s="1558"/>
      <c r="AH832" s="1558"/>
      <c r="AI832" s="1558"/>
      <c r="AJ832" s="1558"/>
      <c r="AK832"/>
      <c r="AL832" s="3"/>
      <c r="AM832" s="3"/>
      <c r="AN832" s="3"/>
      <c r="AO832" s="3"/>
      <c r="AP832" s="3"/>
      <c r="AQ832" s="3"/>
      <c r="AR832" s="3"/>
      <c r="AS832" s="3"/>
      <c r="AT832" s="3"/>
      <c r="AU832"/>
      <c r="AV832" s="3"/>
      <c r="AW832" s="3"/>
      <c r="AX832" s="3"/>
      <c r="AY832" s="3"/>
      <c r="AZ832" s="25"/>
      <c r="BA832" s="25"/>
    </row>
    <row r="833" spans="1:53" s="13" customFormat="1" ht="12.9" customHeight="1">
      <c r="A833"/>
      <c r="B833"/>
      <c r="C833" s="1557" t="s">
        <v>1536</v>
      </c>
      <c r="D833" s="1445"/>
      <c r="E833" s="1445"/>
      <c r="F833" s="1445"/>
      <c r="G833" s="1445"/>
      <c r="H833" s="1445"/>
      <c r="I833" s="40"/>
      <c r="J833" s="40"/>
      <c r="K833" s="40"/>
      <c r="L833" s="41"/>
      <c r="M833" s="1550"/>
      <c r="N833" s="1550"/>
      <c r="O833" s="1550"/>
      <c r="P833" s="1550"/>
      <c r="Q833" s="1550"/>
      <c r="R833" s="1550"/>
      <c r="S833" s="1550"/>
      <c r="T833" s="1550"/>
      <c r="U833" s="1550"/>
      <c r="V833" s="1550"/>
      <c r="W833" s="1550"/>
      <c r="X833" s="1550"/>
      <c r="Y833" s="1550"/>
      <c r="Z833" s="1550"/>
      <c r="AA833" s="1550"/>
      <c r="AB833" s="1550"/>
      <c r="AC833" s="1470"/>
      <c r="AD833" s="1471"/>
      <c r="AE833" s="1471"/>
      <c r="AF833" s="1472"/>
      <c r="AG833" s="1470"/>
      <c r="AH833" s="1471"/>
      <c r="AI833" s="1471"/>
      <c r="AJ833" s="1472"/>
      <c r="AK833"/>
      <c r="AL833" s="3"/>
      <c r="AM833" s="3"/>
      <c r="AN833" s="3"/>
      <c r="AO833" s="3"/>
      <c r="AP833" s="3"/>
      <c r="AQ833" s="3"/>
      <c r="AR833" s="3"/>
      <c r="AS833" s="3"/>
      <c r="AT833" s="3"/>
      <c r="AU833"/>
      <c r="AV833" s="3"/>
      <c r="AW833" s="3"/>
      <c r="AX833" s="3"/>
      <c r="AY833" s="3"/>
      <c r="AZ833" s="25"/>
      <c r="BA833" s="25"/>
    </row>
    <row r="834" spans="1:53" s="13" customFormat="1" ht="12.9" customHeight="1">
      <c r="A834"/>
      <c r="B834"/>
      <c r="C834" s="1464" t="s">
        <v>1537</v>
      </c>
      <c r="D834" s="1406"/>
      <c r="E834" s="1406"/>
      <c r="F834" s="1406"/>
      <c r="G834" s="1406"/>
      <c r="H834" s="1406"/>
      <c r="I834" s="5"/>
      <c r="J834" s="5"/>
      <c r="K834" s="5"/>
      <c r="L834" s="38"/>
      <c r="M834" s="1550"/>
      <c r="N834" s="1550"/>
      <c r="O834" s="1550"/>
      <c r="P834" s="1550"/>
      <c r="Q834" s="1550"/>
      <c r="R834" s="1550"/>
      <c r="S834" s="1550"/>
      <c r="T834" s="1550"/>
      <c r="U834" s="1550"/>
      <c r="V834" s="1550"/>
      <c r="W834" s="1550"/>
      <c r="X834" s="1550"/>
      <c r="Y834" s="1550"/>
      <c r="Z834" s="1550"/>
      <c r="AA834" s="1550"/>
      <c r="AB834" s="1550"/>
      <c r="AC834" s="1470"/>
      <c r="AD834" s="1471"/>
      <c r="AE834" s="1471"/>
      <c r="AF834" s="1472"/>
      <c r="AG834" s="1470"/>
      <c r="AH834" s="1471"/>
      <c r="AI834" s="1471"/>
      <c r="AJ834" s="1472"/>
      <c r="AK834"/>
      <c r="AL834" s="3"/>
      <c r="AM834" s="3"/>
      <c r="AN834" s="3"/>
      <c r="AO834" s="3"/>
      <c r="AP834" s="3"/>
      <c r="AQ834" s="3"/>
      <c r="AR834" s="3"/>
      <c r="AS834" s="3"/>
      <c r="AT834" s="3"/>
      <c r="AU834"/>
      <c r="AV834" s="3"/>
      <c r="AW834" s="3"/>
      <c r="AX834" s="3"/>
      <c r="AY834" s="3"/>
      <c r="AZ834" s="25"/>
      <c r="BA834" s="25"/>
    </row>
    <row r="835" spans="1:53" s="13" customFormat="1" ht="12.9" customHeight="1">
      <c r="A835"/>
      <c r="B835"/>
      <c r="C835" s="1464" t="s">
        <v>1538</v>
      </c>
      <c r="D835" s="1406"/>
      <c r="E835" s="1406"/>
      <c r="F835" s="1406"/>
      <c r="G835" s="1406"/>
      <c r="H835" s="1406"/>
      <c r="I835" s="52"/>
      <c r="J835" s="52"/>
      <c r="K835" s="52"/>
      <c r="L835" s="53"/>
      <c r="M835" s="1550">
        <v>27</v>
      </c>
      <c r="N835" s="1550"/>
      <c r="O835" s="1550"/>
      <c r="P835" s="1550"/>
      <c r="Q835" s="1550">
        <v>32</v>
      </c>
      <c r="R835" s="1550"/>
      <c r="S835" s="1550"/>
      <c r="T835" s="1550"/>
      <c r="U835" s="1550">
        <v>36</v>
      </c>
      <c r="V835" s="1550"/>
      <c r="W835" s="1550"/>
      <c r="X835" s="1550"/>
      <c r="Y835" s="1550">
        <v>40</v>
      </c>
      <c r="Z835" s="1550"/>
      <c r="AA835" s="1550"/>
      <c r="AB835" s="1550"/>
      <c r="AC835" s="1470"/>
      <c r="AD835" s="1471"/>
      <c r="AE835" s="1471"/>
      <c r="AF835" s="1472"/>
      <c r="AG835" s="1470"/>
      <c r="AH835" s="1471"/>
      <c r="AI835" s="1471"/>
      <c r="AJ835" s="1472"/>
      <c r="AK835"/>
      <c r="AL835" s="3"/>
      <c r="AM835" s="3"/>
      <c r="AN835" s="3"/>
      <c r="AO835" s="3"/>
      <c r="AP835" s="3"/>
      <c r="AQ835" s="3"/>
      <c r="AR835" s="3"/>
      <c r="AS835" s="3"/>
      <c r="AT835" s="3"/>
      <c r="AU835"/>
      <c r="AV835" s="3"/>
      <c r="AW835" s="3"/>
      <c r="AX835" s="3"/>
      <c r="AY835" s="3"/>
      <c r="AZ835" s="25"/>
      <c r="BA835" s="25"/>
    </row>
    <row r="836" spans="1:53" s="13" customFormat="1" ht="12.9" customHeight="1">
      <c r="A836"/>
      <c r="B836"/>
      <c r="C836" s="1464" t="s">
        <v>1539</v>
      </c>
      <c r="D836" s="1406"/>
      <c r="E836" s="1406"/>
      <c r="F836" s="1406"/>
      <c r="G836" s="1406"/>
      <c r="H836" s="1406"/>
      <c r="I836" s="52"/>
      <c r="J836" s="52"/>
      <c r="K836" s="52"/>
      <c r="L836" s="53"/>
      <c r="M836" s="1550"/>
      <c r="N836" s="1550"/>
      <c r="O836" s="1550"/>
      <c r="P836" s="1550"/>
      <c r="Q836" s="1550"/>
      <c r="R836" s="1550"/>
      <c r="S836" s="1550"/>
      <c r="T836" s="1550"/>
      <c r="U836" s="1550"/>
      <c r="V836" s="1550"/>
      <c r="W836" s="1550"/>
      <c r="X836" s="1550"/>
      <c r="Y836" s="1550"/>
      <c r="Z836" s="1550"/>
      <c r="AA836" s="1550"/>
      <c r="AB836" s="1550"/>
      <c r="AC836" s="1470"/>
      <c r="AD836" s="1471"/>
      <c r="AE836" s="1471"/>
      <c r="AF836" s="1472"/>
      <c r="AG836" s="1470"/>
      <c r="AH836" s="1471"/>
      <c r="AI836" s="1471"/>
      <c r="AJ836" s="1472"/>
      <c r="AK836"/>
      <c r="AL836" s="3"/>
      <c r="AM836" s="3"/>
      <c r="AN836" s="3"/>
      <c r="AO836" s="3"/>
      <c r="AP836" s="3"/>
      <c r="AQ836" s="3"/>
      <c r="AR836" s="3"/>
      <c r="AS836" s="3"/>
      <c r="AT836" s="3"/>
      <c r="AU836"/>
      <c r="AV836" s="3"/>
      <c r="AW836" s="3"/>
      <c r="AX836" s="3"/>
      <c r="AY836" s="3"/>
      <c r="AZ836" s="25"/>
      <c r="BA836" s="25"/>
    </row>
    <row r="837" spans="1:53" s="13" customFormat="1" ht="12.9" customHeight="1">
      <c r="A837"/>
      <c r="B837"/>
      <c r="C837" s="1464" t="s">
        <v>1540</v>
      </c>
      <c r="D837" s="1406"/>
      <c r="E837" s="1406"/>
      <c r="F837" s="1406"/>
      <c r="G837" s="1406"/>
      <c r="H837" s="1406"/>
      <c r="I837" s="52"/>
      <c r="J837" s="52"/>
      <c r="K837" s="52"/>
      <c r="L837" s="53"/>
      <c r="M837" s="1550">
        <v>70</v>
      </c>
      <c r="N837" s="1550"/>
      <c r="O837" s="1550"/>
      <c r="P837" s="1550"/>
      <c r="Q837" s="1550">
        <v>92</v>
      </c>
      <c r="R837" s="1550"/>
      <c r="S837" s="1550"/>
      <c r="T837" s="1550"/>
      <c r="U837" s="1550">
        <v>109</v>
      </c>
      <c r="V837" s="1550"/>
      <c r="W837" s="1550"/>
      <c r="X837" s="1550"/>
      <c r="Y837" s="1550">
        <v>132</v>
      </c>
      <c r="Z837" s="1550"/>
      <c r="AA837" s="1550"/>
      <c r="AB837" s="1550"/>
      <c r="AC837" s="1470"/>
      <c r="AD837" s="1471"/>
      <c r="AE837" s="1471"/>
      <c r="AF837" s="1472"/>
      <c r="AG837" s="1470"/>
      <c r="AH837" s="1471"/>
      <c r="AI837" s="1471"/>
      <c r="AJ837" s="1472"/>
      <c r="AK837"/>
      <c r="AL837" s="3"/>
      <c r="AM837" s="3"/>
      <c r="AN837" s="3"/>
      <c r="AO837" s="3"/>
      <c r="AP837" s="3"/>
      <c r="AQ837" s="3"/>
      <c r="AR837" s="3"/>
      <c r="AS837" s="3"/>
      <c r="AT837" s="3"/>
      <c r="AU837"/>
      <c r="AV837" s="3"/>
      <c r="AW837" s="3"/>
      <c r="AX837" s="3"/>
      <c r="AY837" s="3"/>
      <c r="AZ837" s="25"/>
      <c r="BA837" s="25"/>
    </row>
    <row r="838" spans="1:53" s="13" customFormat="1" ht="12.9" customHeight="1">
      <c r="A838"/>
      <c r="B838"/>
      <c r="C838" s="1385" t="s">
        <v>1541</v>
      </c>
      <c r="D838" s="1406"/>
      <c r="E838" s="1406"/>
      <c r="F838" s="1406"/>
      <c r="G838" s="1406"/>
      <c r="H838" s="1406"/>
      <c r="I838" s="52"/>
      <c r="J838" s="52"/>
      <c r="K838" s="52"/>
      <c r="L838" s="53"/>
      <c r="M838" s="1550"/>
      <c r="N838" s="1550"/>
      <c r="O838" s="1550"/>
      <c r="P838" s="1550"/>
      <c r="Q838" s="1550"/>
      <c r="R838" s="1550"/>
      <c r="S838" s="1550"/>
      <c r="T838" s="1550"/>
      <c r="U838" s="1550"/>
      <c r="V838" s="1550"/>
      <c r="W838" s="1550"/>
      <c r="X838" s="1550"/>
      <c r="Y838" s="1550"/>
      <c r="Z838" s="1550"/>
      <c r="AA838" s="1550"/>
      <c r="AB838" s="1550"/>
      <c r="AC838" s="1470"/>
      <c r="AD838" s="1471"/>
      <c r="AE838" s="1471"/>
      <c r="AF838" s="1472"/>
      <c r="AG838" s="1470"/>
      <c r="AH838" s="1471"/>
      <c r="AI838" s="1471"/>
      <c r="AJ838" s="1472"/>
      <c r="AK838"/>
      <c r="AL838" s="3"/>
      <c r="AM838" s="3"/>
      <c r="AN838" s="3"/>
      <c r="AO838" s="3"/>
      <c r="AP838" s="3"/>
      <c r="AQ838" s="3"/>
      <c r="AR838" s="3"/>
      <c r="AS838" s="3"/>
      <c r="AT838" s="3"/>
      <c r="AU838"/>
      <c r="AV838" s="3"/>
      <c r="AW838" s="3"/>
      <c r="AX838" s="3"/>
      <c r="AY838" s="3"/>
      <c r="AZ838" s="25"/>
      <c r="BA838" s="25"/>
    </row>
    <row r="839" spans="1:53" s="13" customFormat="1" ht="12.9" customHeight="1">
      <c r="A839"/>
      <c r="B839"/>
      <c r="C839" s="51" t="s">
        <v>1542</v>
      </c>
      <c r="D839" s="52"/>
      <c r="E839" s="52"/>
      <c r="F839" s="1564" t="s">
        <v>1354</v>
      </c>
      <c r="G839" s="1565"/>
      <c r="H839" s="1565"/>
      <c r="I839" s="1565"/>
      <c r="J839" s="1565"/>
      <c r="K839" s="1565"/>
      <c r="L839" s="1565"/>
      <c r="M839" s="1550"/>
      <c r="N839" s="1550"/>
      <c r="O839" s="1550"/>
      <c r="P839" s="1550"/>
      <c r="Q839" s="1550"/>
      <c r="R839" s="1550"/>
      <c r="S839" s="1550"/>
      <c r="T839" s="1550"/>
      <c r="U839" s="1550"/>
      <c r="V839" s="1550"/>
      <c r="W839" s="1550"/>
      <c r="X839" s="1550"/>
      <c r="Y839" s="1550"/>
      <c r="Z839" s="1550"/>
      <c r="AA839" s="1550"/>
      <c r="AB839" s="1550"/>
      <c r="AC839" s="1470"/>
      <c r="AD839" s="1471"/>
      <c r="AE839" s="1471"/>
      <c r="AF839" s="1472"/>
      <c r="AG839" s="1470"/>
      <c r="AH839" s="1471"/>
      <c r="AI839" s="1471"/>
      <c r="AJ839" s="1472"/>
      <c r="AK839"/>
      <c r="AL839" s="3"/>
      <c r="AM839" s="3"/>
      <c r="AN839" s="3"/>
      <c r="AO839" s="3"/>
      <c r="AP839" s="3"/>
      <c r="AQ839" s="3"/>
      <c r="AR839" s="3"/>
      <c r="AS839" s="3"/>
      <c r="AT839" s="3"/>
      <c r="AU839"/>
      <c r="AV839" s="3"/>
      <c r="AW839" s="3"/>
      <c r="AX839" s="3"/>
      <c r="AY839" s="3"/>
      <c r="AZ839" s="25"/>
      <c r="BA839" s="25"/>
    </row>
    <row r="840" spans="1:53" s="13" customFormat="1" ht="12.9" customHeight="1">
      <c r="A840"/>
      <c r="B840"/>
      <c r="C840" s="1373" t="s">
        <v>1489</v>
      </c>
      <c r="D840" s="1374"/>
      <c r="E840" s="1374"/>
      <c r="F840" s="1374"/>
      <c r="G840" s="1374"/>
      <c r="H840" s="1374"/>
      <c r="I840" s="1374"/>
      <c r="J840" s="1374"/>
      <c r="K840" s="1374"/>
      <c r="L840" s="1376"/>
      <c r="M840" s="1569">
        <f>SUM(M833:P839)</f>
        <v>97</v>
      </c>
      <c r="N840" s="1569"/>
      <c r="O840" s="1569"/>
      <c r="P840" s="1569"/>
      <c r="Q840" s="1569">
        <f>SUM(Q833:T839)</f>
        <v>124</v>
      </c>
      <c r="R840" s="1569"/>
      <c r="S840" s="1569"/>
      <c r="T840" s="1569"/>
      <c r="U840" s="1569">
        <f>SUM(U833:X839)</f>
        <v>145</v>
      </c>
      <c r="V840" s="1569"/>
      <c r="W840" s="1569"/>
      <c r="X840" s="1569"/>
      <c r="Y840" s="1569">
        <f>SUM(Y833:AB839)</f>
        <v>172</v>
      </c>
      <c r="Z840" s="1569"/>
      <c r="AA840" s="1569"/>
      <c r="AB840" s="1569"/>
      <c r="AC840" s="1569">
        <f>SUM(AC833:AF839)</f>
        <v>0</v>
      </c>
      <c r="AD840" s="1569"/>
      <c r="AE840" s="1569"/>
      <c r="AF840" s="1569"/>
      <c r="AG840" s="1569">
        <f>SUM(AG833:AJ839)</f>
        <v>0</v>
      </c>
      <c r="AH840" s="1569"/>
      <c r="AI840" s="1569"/>
      <c r="AJ840" s="1569"/>
      <c r="AK840"/>
      <c r="AL840" s="3"/>
      <c r="AM840" s="3"/>
      <c r="AN840" s="3"/>
      <c r="AO840" s="3"/>
      <c r="AP840" s="3"/>
      <c r="AQ840" s="3"/>
      <c r="AR840" s="3"/>
      <c r="AS840" s="3"/>
      <c r="AT840" s="3"/>
      <c r="AU840"/>
      <c r="AV840" s="3"/>
      <c r="AW840" s="3"/>
      <c r="AX840" s="3"/>
      <c r="AY840" s="3"/>
      <c r="AZ840" s="25"/>
      <c r="BA840" s="25"/>
    </row>
    <row r="841" spans="1:53" s="13" customFormat="1" ht="12.9" customHeight="1">
      <c r="A841"/>
      <c r="B841"/>
      <c r="C841" s="49" t="s">
        <v>1543</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 customHeight="1">
      <c r="A842"/>
      <c r="B842"/>
      <c r="C842" s="49" t="s">
        <v>1544</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 customHeight="1">
      <c r="A844"/>
      <c r="B844"/>
      <c r="C844" s="2" t="s">
        <v>1545</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 customHeight="1">
      <c r="A845"/>
      <c r="B845"/>
      <c r="C845" s="1582" t="s">
        <v>1546</v>
      </c>
      <c r="D845" s="1583"/>
      <c r="E845" s="1583"/>
      <c r="F845" s="1583"/>
      <c r="G845" s="1583"/>
      <c r="H845" s="1583"/>
      <c r="I845" s="1583"/>
      <c r="J845" s="1583"/>
      <c r="K845" s="1583"/>
      <c r="L845" s="1583"/>
      <c r="M845" s="1583"/>
      <c r="N845" s="1583"/>
      <c r="O845" s="1583"/>
      <c r="P845" s="1583"/>
      <c r="Q845" s="1583"/>
      <c r="R845" s="1583"/>
      <c r="S845" s="1583"/>
      <c r="T845" s="1583"/>
      <c r="U845" s="1583"/>
      <c r="V845" s="1583"/>
      <c r="W845" s="1583"/>
      <c r="X845" s="1583"/>
      <c r="Y845" s="1583"/>
      <c r="Z845" s="1583"/>
      <c r="AA845" s="1583"/>
      <c r="AB845" s="1583"/>
      <c r="AC845" s="1583"/>
      <c r="AD845" s="1583"/>
      <c r="AE845" s="1583"/>
      <c r="AF845" s="1583"/>
      <c r="AG845" s="1583"/>
      <c r="AH845" s="1583"/>
      <c r="AI845" s="1583"/>
      <c r="AJ845" s="1584"/>
      <c r="AK845"/>
      <c r="AL845" s="3"/>
      <c r="AM845" s="3"/>
      <c r="AN845" s="3"/>
      <c r="AO845" s="3"/>
      <c r="AP845" s="3"/>
      <c r="AQ845" s="3"/>
      <c r="AR845" s="3"/>
      <c r="AS845" s="3"/>
      <c r="AT845" s="3"/>
      <c r="AU845"/>
      <c r="AV845"/>
      <c r="AW845"/>
      <c r="AX845"/>
      <c r="AY845"/>
      <c r="AZ845" s="25"/>
      <c r="BA845" s="25"/>
    </row>
    <row r="846" spans="1:53" s="13" customFormat="1" ht="12.9" customHeight="1">
      <c r="A846"/>
      <c r="B846" s="3"/>
      <c r="C846" s="3" t="s">
        <v>1547</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 customHeight="1">
      <c r="A848" s="2" t="s">
        <v>1120</v>
      </c>
      <c r="B848"/>
      <c r="C848" s="2" t="s">
        <v>1548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91"/>
      <c r="BJ849" s="1591"/>
      <c r="BK849" s="1591"/>
      <c r="BL849" s="1591"/>
    </row>
    <row r="850" spans="1:64" s="13" customFormat="1" ht="12.9" customHeight="1">
      <c r="A850"/>
      <c r="B850"/>
      <c r="C850" s="2" t="s">
        <v>1549</v>
      </c>
      <c r="D850"/>
      <c r="E850"/>
      <c r="F850"/>
      <c r="G850"/>
      <c r="H850"/>
      <c r="I850"/>
      <c r="J850" s="37" t="s">
        <v>1550</v>
      </c>
      <c r="K850" s="5"/>
      <c r="L850" s="5"/>
      <c r="M850" s="5"/>
      <c r="N850" s="5"/>
      <c r="O850" s="5"/>
      <c r="P850" s="5"/>
      <c r="Q850" s="5"/>
      <c r="R850" s="5"/>
      <c r="S850" s="5"/>
      <c r="T850" s="5"/>
      <c r="U850" s="5"/>
      <c r="V850" s="38"/>
      <c r="W850" s="1570">
        <v>100000</v>
      </c>
      <c r="X850" s="1570"/>
      <c r="Y850" s="1570"/>
      <c r="Z850" s="1570"/>
      <c r="AA850" s="1570"/>
      <c r="AB850" s="1570"/>
      <c r="AC850" s="1570"/>
      <c r="AD850"/>
      <c r="AE850"/>
      <c r="AF850"/>
      <c r="AG850"/>
      <c r="AH850"/>
      <c r="AI850"/>
      <c r="AJ850"/>
      <c r="AK850"/>
      <c r="AL850"/>
      <c r="AM850"/>
      <c r="AN850"/>
      <c r="AO850"/>
      <c r="AP850"/>
      <c r="AQ850"/>
      <c r="AR850"/>
      <c r="AS850"/>
      <c r="AT850"/>
      <c r="AU850"/>
      <c r="AV850"/>
      <c r="AW850"/>
      <c r="AX850"/>
      <c r="AY850"/>
      <c r="AZ850" s="25"/>
      <c r="BA850" s="25"/>
    </row>
    <row r="851" spans="1:64" s="13" customFormat="1" ht="12.9" customHeight="1">
      <c r="A851"/>
      <c r="B851"/>
      <c r="C851"/>
      <c r="D851"/>
      <c r="E851"/>
      <c r="F851"/>
      <c r="G851"/>
      <c r="H851"/>
      <c r="I851"/>
      <c r="J851" s="37" t="s">
        <v>1551</v>
      </c>
      <c r="K851" s="5"/>
      <c r="L851" s="5"/>
      <c r="M851" s="5"/>
      <c r="N851" s="5"/>
      <c r="O851" s="5"/>
      <c r="P851" s="5"/>
      <c r="Q851" s="5"/>
      <c r="R851" s="5"/>
      <c r="S851" s="5"/>
      <c r="T851" s="5"/>
      <c r="U851" s="5"/>
      <c r="V851" s="38"/>
      <c r="W851" s="1570"/>
      <c r="X851" s="1570"/>
      <c r="Y851" s="1570"/>
      <c r="Z851" s="1570"/>
      <c r="AA851" s="1570"/>
      <c r="AB851" s="1570"/>
      <c r="AC851" s="1570"/>
      <c r="AD851"/>
      <c r="AE851"/>
      <c r="AF851"/>
      <c r="AG851"/>
      <c r="AH851"/>
      <c r="AI851"/>
      <c r="AJ851"/>
      <c r="AK851"/>
      <c r="AL851"/>
      <c r="AM851"/>
      <c r="AN851"/>
      <c r="AO851"/>
      <c r="AP851"/>
      <c r="AQ851"/>
      <c r="AR851"/>
      <c r="AS851"/>
      <c r="AT851"/>
      <c r="AU851"/>
      <c r="AV851"/>
      <c r="AW851"/>
      <c r="AX851"/>
      <c r="AY851"/>
      <c r="AZ851" s="25"/>
      <c r="BA851" s="25"/>
    </row>
    <row r="852" spans="1:64" ht="12.9" customHeight="1">
      <c r="J852" s="37" t="s">
        <v>1552</v>
      </c>
      <c r="K852" s="5"/>
      <c r="L852" s="5"/>
      <c r="M852" s="5"/>
      <c r="N852" s="5"/>
      <c r="O852" s="5"/>
      <c r="P852" s="5"/>
      <c r="Q852" s="5"/>
      <c r="R852" s="5"/>
      <c r="S852" s="5"/>
      <c r="T852" s="5"/>
      <c r="U852" s="5"/>
      <c r="V852" s="38"/>
      <c r="W852" s="1570"/>
      <c r="X852" s="1570"/>
      <c r="Y852" s="1570"/>
      <c r="Z852" s="1570"/>
      <c r="AA852" s="1570"/>
      <c r="AB852" s="1570"/>
      <c r="AC852" s="1570"/>
      <c r="AZ852" s="25"/>
      <c r="BA852" s="25"/>
      <c r="BB852" s="13"/>
      <c r="BC852" s="13"/>
      <c r="BD852" s="13"/>
      <c r="BE852" s="13"/>
      <c r="BF852" s="13"/>
      <c r="BG852" s="13"/>
      <c r="BH852" s="13"/>
      <c r="BI852" s="13"/>
      <c r="BJ852" s="13"/>
      <c r="BK852" s="13"/>
      <c r="BL852" s="13"/>
    </row>
    <row r="853" spans="1:64" ht="12.9" customHeight="1">
      <c r="J853" s="37" t="s">
        <v>1553</v>
      </c>
      <c r="K853" s="5"/>
      <c r="L853" s="5"/>
      <c r="M853" s="5"/>
      <c r="N853" s="5"/>
      <c r="O853" s="5"/>
      <c r="P853" s="5"/>
      <c r="Q853" s="5"/>
      <c r="R853" s="5"/>
      <c r="S853" s="5"/>
      <c r="T853" s="5"/>
      <c r="U853" s="5"/>
      <c r="V853" s="38"/>
      <c r="W853" s="1570"/>
      <c r="X853" s="1570"/>
      <c r="Y853" s="1570"/>
      <c r="Z853" s="1570"/>
      <c r="AA853" s="1570"/>
      <c r="AB853" s="1570"/>
      <c r="AC853" s="1570"/>
      <c r="AZ853" s="25"/>
      <c r="BA853" s="25"/>
      <c r="BB853" s="13"/>
      <c r="BC853" s="13"/>
      <c r="BD853" s="13"/>
      <c r="BE853" s="13"/>
      <c r="BF853" s="13"/>
      <c r="BG853" s="13"/>
      <c r="BH853" s="13"/>
      <c r="BI853" s="13"/>
      <c r="BJ853" s="13"/>
      <c r="BK853" s="13"/>
      <c r="BL853" s="13"/>
    </row>
    <row r="854" spans="1:64" ht="12.9" customHeight="1">
      <c r="J854" s="37" t="s">
        <v>233</v>
      </c>
      <c r="K854" s="5"/>
      <c r="L854" s="5"/>
      <c r="M854" s="1564" t="s">
        <v>1354</v>
      </c>
      <c r="N854" s="1565"/>
      <c r="O854" s="1565"/>
      <c r="P854" s="1565"/>
      <c r="Q854" s="1565"/>
      <c r="R854" s="1565"/>
      <c r="S854" s="1565"/>
      <c r="T854" s="1565"/>
      <c r="U854" s="1565"/>
      <c r="V854" s="1566"/>
      <c r="W854" s="1570"/>
      <c r="X854" s="1570"/>
      <c r="Y854" s="1570"/>
      <c r="Z854" s="1570"/>
      <c r="AA854" s="1570"/>
      <c r="AB854" s="1570"/>
      <c r="AC854" s="1570"/>
      <c r="AZ854" s="25"/>
      <c r="BA854" s="25"/>
      <c r="BB854" s="13"/>
      <c r="BC854" s="13"/>
      <c r="BD854" s="13"/>
      <c r="BE854" s="13"/>
      <c r="BF854" s="13"/>
      <c r="BG854" s="13"/>
      <c r="BH854" s="13"/>
      <c r="BI854" s="13"/>
      <c r="BJ854" s="13"/>
      <c r="BK854" s="13"/>
      <c r="BL854" s="13"/>
    </row>
    <row r="855" spans="1:64" ht="12.9" customHeight="1">
      <c r="J855" s="37"/>
      <c r="K855" s="5"/>
      <c r="L855" s="5"/>
      <c r="M855" s="5"/>
      <c r="N855" s="5"/>
      <c r="O855" s="5"/>
      <c r="P855" s="5"/>
      <c r="Q855" s="5"/>
      <c r="R855" s="5"/>
      <c r="S855" s="5"/>
      <c r="T855" s="5"/>
      <c r="U855" s="5"/>
      <c r="V855" s="46" t="s">
        <v>1554</v>
      </c>
      <c r="W855" s="1434">
        <f>SUM(W850:W854)</f>
        <v>100000</v>
      </c>
      <c r="X855" s="1435"/>
      <c r="Y855" s="1435"/>
      <c r="Z855" s="1435"/>
      <c r="AA855" s="1435"/>
      <c r="AB855" s="1435"/>
      <c r="AC855" s="1436"/>
      <c r="AZ855" s="25"/>
      <c r="BA855" s="25"/>
      <c r="BB855" s="13"/>
      <c r="BC855" s="13"/>
      <c r="BD855" s="13"/>
      <c r="BE855" s="13"/>
      <c r="BF855" s="13"/>
      <c r="BG855" s="13"/>
      <c r="BH855" s="13"/>
      <c r="BI855" s="13"/>
      <c r="BJ855" s="13"/>
      <c r="BK855" s="13"/>
      <c r="BL855" s="13"/>
    </row>
    <row r="856" spans="1:64" ht="12.9" customHeight="1">
      <c r="AZ856" s="25"/>
      <c r="BA856" s="25"/>
      <c r="BB856" s="13"/>
      <c r="BC856" s="13"/>
      <c r="BD856" s="13"/>
      <c r="BE856" s="13"/>
      <c r="BF856" s="13"/>
      <c r="BG856" s="1594"/>
      <c r="BH856" s="1594"/>
      <c r="BI856" s="1594"/>
      <c r="BJ856" s="1594"/>
      <c r="BK856" s="1594"/>
      <c r="BL856" s="1594"/>
    </row>
    <row r="857" spans="1:64" ht="12.9" customHeight="1">
      <c r="C857" s="2" t="s">
        <v>1555</v>
      </c>
      <c r="J857" s="1373" t="s">
        <v>1556</v>
      </c>
      <c r="K857" s="1374"/>
      <c r="L857" s="1374"/>
      <c r="M857" s="1374"/>
      <c r="N857" s="1374"/>
      <c r="O857" s="1374"/>
      <c r="P857" s="1374"/>
      <c r="Q857" s="1374"/>
      <c r="R857" s="1374"/>
      <c r="S857" s="1374"/>
      <c r="T857" s="1374"/>
      <c r="U857" s="1374"/>
      <c r="V857" s="1376"/>
      <c r="W857" s="1437">
        <v>100100</v>
      </c>
      <c r="X857" s="1307"/>
      <c r="Y857" s="1307"/>
      <c r="Z857" s="1307"/>
      <c r="AA857" s="1307"/>
      <c r="AB857" s="1307"/>
      <c r="AC857" s="1308"/>
      <c r="AD857" s="433"/>
      <c r="AZ857" s="25"/>
      <c r="BA857" s="25"/>
      <c r="BB857" s="13"/>
      <c r="BC857" s="13"/>
    </row>
    <row r="858" spans="1:64" ht="12.9" customHeight="1">
      <c r="AD858" s="433"/>
      <c r="AZ858" s="25"/>
      <c r="BA858" s="25"/>
      <c r="BB858" s="13"/>
      <c r="BC858" s="13"/>
    </row>
    <row r="859" spans="1:64" ht="12.9" customHeight="1">
      <c r="C859" s="2" t="s">
        <v>230</v>
      </c>
      <c r="J859" s="37" t="s">
        <v>1557</v>
      </c>
      <c r="K859" s="5"/>
      <c r="L859" s="5"/>
      <c r="M859" s="5"/>
      <c r="N859" s="5"/>
      <c r="O859" s="5"/>
      <c r="P859" s="5"/>
      <c r="Q859" s="5"/>
      <c r="R859" s="5"/>
      <c r="S859" s="5"/>
      <c r="T859" s="5"/>
      <c r="U859" s="5"/>
      <c r="V859" s="38"/>
      <c r="W859" s="1568">
        <v>373500</v>
      </c>
      <c r="X859" s="1568"/>
      <c r="Y859" s="1568"/>
      <c r="Z859" s="1568"/>
      <c r="AA859" s="1568"/>
      <c r="AB859" s="1568"/>
      <c r="AC859" s="1568"/>
      <c r="AZ859" s="1580"/>
      <c r="BA859" s="1580"/>
      <c r="BB859" s="13"/>
      <c r="BC859" s="13"/>
    </row>
    <row r="860" spans="1:64" ht="12.9" customHeight="1">
      <c r="J860" s="37" t="s">
        <v>1558</v>
      </c>
      <c r="K860" s="5"/>
      <c r="L860" s="5"/>
      <c r="M860" s="5"/>
      <c r="N860" s="5"/>
      <c r="O860" s="5"/>
      <c r="P860" s="5"/>
      <c r="Q860" s="5"/>
      <c r="R860" s="5"/>
      <c r="S860" s="5"/>
      <c r="T860" s="5"/>
      <c r="U860" s="5"/>
      <c r="V860" s="38"/>
      <c r="W860" s="1568"/>
      <c r="X860" s="1568"/>
      <c r="Y860" s="1568"/>
      <c r="Z860" s="1568"/>
      <c r="AA860" s="1568"/>
      <c r="AB860" s="1568"/>
      <c r="AC860" s="1568"/>
      <c r="AZ860" s="25"/>
      <c r="BA860" s="25"/>
      <c r="BB860" s="13"/>
      <c r="BC860" s="13"/>
    </row>
    <row r="861" spans="1:64" ht="12.9" customHeight="1">
      <c r="J861" s="37" t="s">
        <v>1540</v>
      </c>
      <c r="K861" s="5"/>
      <c r="L861" s="5"/>
      <c r="M861" s="5"/>
      <c r="N861" s="5"/>
      <c r="O861" s="5"/>
      <c r="P861" s="5"/>
      <c r="Q861" s="5"/>
      <c r="R861" s="5"/>
      <c r="S861" s="5"/>
      <c r="T861" s="5"/>
      <c r="U861" s="5"/>
      <c r="V861" s="38"/>
      <c r="W861" s="1568"/>
      <c r="X861" s="1568"/>
      <c r="Y861" s="1568"/>
      <c r="Z861" s="1568"/>
      <c r="AA861" s="1568"/>
      <c r="AB861" s="1568"/>
      <c r="AC861" s="1568"/>
      <c r="AZ861" s="25"/>
      <c r="BA861" s="25"/>
      <c r="BB861" s="13"/>
      <c r="BC861" s="13"/>
    </row>
    <row r="862" spans="1:64" ht="12.9" customHeight="1">
      <c r="J862" s="1179" t="s">
        <v>1559</v>
      </c>
      <c r="K862" s="5"/>
      <c r="L862" s="5"/>
      <c r="M862" s="5"/>
      <c r="N862" s="5"/>
      <c r="O862" s="5"/>
      <c r="P862" s="5"/>
      <c r="Q862" s="5"/>
      <c r="R862" s="5"/>
      <c r="S862" s="5"/>
      <c r="T862" s="5"/>
      <c r="U862" s="5"/>
      <c r="V862" s="38"/>
      <c r="W862" s="1568"/>
      <c r="X862" s="1568"/>
      <c r="Y862" s="1568"/>
      <c r="Z862" s="1568"/>
      <c r="AA862" s="1568"/>
      <c r="AB862" s="1568"/>
      <c r="AC862" s="1568"/>
      <c r="AZ862" s="3"/>
      <c r="BA862" s="3"/>
      <c r="BB862" s="3"/>
      <c r="BC862" s="3"/>
    </row>
    <row r="863" spans="1:64" ht="12.9" customHeight="1">
      <c r="J863" s="54"/>
      <c r="K863" s="40"/>
      <c r="L863" s="40"/>
      <c r="M863" s="40"/>
      <c r="N863" s="40"/>
      <c r="O863" s="40"/>
      <c r="P863" s="40"/>
      <c r="Q863" s="40"/>
      <c r="R863" s="40"/>
      <c r="S863" s="40"/>
      <c r="T863" s="40"/>
      <c r="U863" s="40"/>
      <c r="V863" s="46" t="s">
        <v>1560</v>
      </c>
      <c r="W863" s="1581">
        <f>SUM(W859:W862)</f>
        <v>373500</v>
      </c>
      <c r="X863" s="1581"/>
      <c r="Y863" s="1581"/>
      <c r="Z863" s="1581"/>
      <c r="AA863" s="1581"/>
      <c r="AB863" s="1581"/>
      <c r="AC863" s="1581"/>
      <c r="AZ863" s="3"/>
      <c r="BA863" s="3"/>
      <c r="BB863" s="3"/>
      <c r="BC863" s="3"/>
    </row>
    <row r="864" spans="1:64" ht="12.9" customHeight="1">
      <c r="AZ864" s="3"/>
      <c r="BA864" s="3"/>
      <c r="BB864" s="3"/>
      <c r="BC864" s="3"/>
    </row>
    <row r="865" spans="3:55" ht="12.9" customHeight="1">
      <c r="C865" s="2" t="s">
        <v>1561</v>
      </c>
      <c r="J865" s="37" t="s">
        <v>1562</v>
      </c>
      <c r="K865" s="5"/>
      <c r="L865" s="5"/>
      <c r="M865" s="5"/>
      <c r="N865" s="5"/>
      <c r="O865" s="5"/>
      <c r="P865" s="5"/>
      <c r="Q865" s="5"/>
      <c r="R865" s="5"/>
      <c r="S865" s="5"/>
      <c r="T865" s="5"/>
      <c r="U865" s="5"/>
      <c r="V865" s="38"/>
      <c r="W865" s="1571">
        <v>300000</v>
      </c>
      <c r="X865" s="1572"/>
      <c r="Y865" s="1572"/>
      <c r="Z865" s="1572"/>
      <c r="AA865" s="1572"/>
      <c r="AB865" s="1572"/>
      <c r="AC865" s="1573"/>
      <c r="AD865" s="428"/>
      <c r="AZ865" s="3"/>
      <c r="BA865" s="3"/>
      <c r="BB865" s="3"/>
      <c r="BC865" s="3"/>
    </row>
    <row r="866" spans="3:55" ht="12.9" customHeight="1">
      <c r="C866" s="2" t="s">
        <v>1563</v>
      </c>
      <c r="J866" s="87" t="s">
        <v>1564</v>
      </c>
      <c r="K866" s="5"/>
      <c r="L866" s="5"/>
      <c r="M866" s="5"/>
      <c r="N866" s="5"/>
      <c r="O866" s="5"/>
      <c r="P866" s="5"/>
      <c r="Q866" s="5"/>
      <c r="R866" s="5"/>
      <c r="S866" s="5"/>
      <c r="T866" s="1585"/>
      <c r="U866" s="1586"/>
      <c r="V866" s="1587"/>
      <c r="W866" s="769"/>
      <c r="X866" s="770"/>
      <c r="Y866" s="770"/>
      <c r="Z866" s="770"/>
      <c r="AA866" s="770"/>
      <c r="AB866" s="770"/>
      <c r="AC866" s="771"/>
      <c r="AD866" s="428"/>
      <c r="AZ866" s="3"/>
      <c r="BA866" s="3"/>
      <c r="BB866" s="3"/>
      <c r="BC866" s="3"/>
    </row>
    <row r="867" spans="3:55" ht="12.9" customHeight="1">
      <c r="C867" s="2"/>
      <c r="J867" s="37" t="s">
        <v>1565</v>
      </c>
      <c r="K867" s="5"/>
      <c r="L867" s="5"/>
      <c r="M867" s="5"/>
      <c r="N867" s="5"/>
      <c r="O867" s="5"/>
      <c r="P867" s="5"/>
      <c r="Q867" s="5"/>
      <c r="R867" s="5"/>
      <c r="S867" s="5"/>
      <c r="T867" s="5"/>
      <c r="U867" s="5"/>
      <c r="V867" s="38"/>
      <c r="W867" s="1571"/>
      <c r="X867" s="1572"/>
      <c r="Y867" s="1572"/>
      <c r="Z867" s="1572"/>
      <c r="AA867" s="1572"/>
      <c r="AB867" s="1572"/>
      <c r="AC867" s="1573"/>
      <c r="AD867" s="433"/>
      <c r="AZ867" s="3"/>
      <c r="BA867" s="3"/>
      <c r="BB867" s="3"/>
      <c r="BC867" s="3"/>
    </row>
    <row r="868" spans="3:55" ht="12.9" customHeight="1">
      <c r="C868" s="2"/>
      <c r="J868" s="87" t="s">
        <v>1566</v>
      </c>
      <c r="K868" s="5"/>
      <c r="L868" s="5"/>
      <c r="M868" s="5"/>
      <c r="N868" s="5"/>
      <c r="O868" s="5"/>
      <c r="P868" s="5"/>
      <c r="Q868" s="5"/>
      <c r="R868" s="5"/>
      <c r="S868" s="5"/>
      <c r="T868" s="1585"/>
      <c r="U868" s="1586"/>
      <c r="V868" s="1587"/>
      <c r="W868" s="769"/>
      <c r="X868" s="770"/>
      <c r="Y868" s="770"/>
      <c r="Z868" s="770"/>
      <c r="AA868" s="770"/>
      <c r="AB868" s="770"/>
      <c r="AC868" s="771"/>
      <c r="AD868" s="433"/>
      <c r="AZ868" s="3"/>
      <c r="BA868" s="3"/>
      <c r="BB868" s="3"/>
      <c r="BC868" s="3"/>
    </row>
    <row r="869" spans="3:55" ht="12.9" customHeight="1">
      <c r="J869" s="37" t="s">
        <v>233</v>
      </c>
      <c r="K869" s="5"/>
      <c r="L869" s="5"/>
      <c r="M869" s="1564" t="s">
        <v>1354</v>
      </c>
      <c r="N869" s="1565"/>
      <c r="O869" s="1565"/>
      <c r="P869" s="1565"/>
      <c r="Q869" s="1565"/>
      <c r="R869" s="1565"/>
      <c r="S869" s="1565"/>
      <c r="T869" s="1565"/>
      <c r="U869" s="1565"/>
      <c r="V869" s="1566"/>
      <c r="W869" s="1571"/>
      <c r="X869" s="1572"/>
      <c r="Y869" s="1572"/>
      <c r="Z869" s="1572"/>
      <c r="AA869" s="1572"/>
      <c r="AB869" s="1572"/>
      <c r="AC869" s="1573"/>
      <c r="AD869" s="428"/>
      <c r="AU869" s="13"/>
      <c r="AZ869" s="3"/>
      <c r="BA869" s="3"/>
      <c r="BB869" s="3"/>
      <c r="BC869" s="3"/>
    </row>
    <row r="870" spans="3:55" ht="12.9" customHeight="1">
      <c r="J870" s="37"/>
      <c r="K870" s="5"/>
      <c r="L870" s="5"/>
      <c r="M870" s="5"/>
      <c r="N870" s="5"/>
      <c r="O870" s="5"/>
      <c r="P870" s="5"/>
      <c r="Q870" s="5"/>
      <c r="R870" s="5"/>
      <c r="S870" s="5"/>
      <c r="T870" s="5"/>
      <c r="U870" s="5"/>
      <c r="V870" s="46" t="s">
        <v>1567</v>
      </c>
      <c r="W870" s="1588">
        <f>SUM(W865:W869)</f>
        <v>300000</v>
      </c>
      <c r="X870" s="1589"/>
      <c r="Y870" s="1589"/>
      <c r="Z870" s="1589"/>
      <c r="AA870" s="1589"/>
      <c r="AB870" s="1589"/>
      <c r="AC870" s="1590"/>
      <c r="AD870" s="433"/>
      <c r="AU870" s="13"/>
      <c r="AZ870" s="3"/>
      <c r="BA870" s="3"/>
      <c r="BB870" s="3"/>
      <c r="BC870" s="3"/>
    </row>
    <row r="871" spans="3:55" ht="12.9" customHeight="1">
      <c r="AU871" s="13"/>
      <c r="AZ871" s="3"/>
      <c r="BA871" s="3"/>
      <c r="BB871" s="3"/>
      <c r="BC871" s="3"/>
    </row>
    <row r="872" spans="3:55" ht="12.9" customHeight="1">
      <c r="C872" s="2" t="s">
        <v>1568</v>
      </c>
      <c r="J872" s="37"/>
      <c r="K872" s="5"/>
      <c r="L872" s="5"/>
      <c r="M872" s="5"/>
      <c r="N872" s="5"/>
      <c r="O872" s="5"/>
      <c r="P872" s="5"/>
      <c r="Q872" s="5"/>
      <c r="R872" s="5"/>
      <c r="S872" s="5"/>
      <c r="T872" s="5"/>
      <c r="U872" s="5"/>
      <c r="V872" s="46" t="s">
        <v>1569</v>
      </c>
      <c r="W872" s="1571">
        <v>100000</v>
      </c>
      <c r="X872" s="1572"/>
      <c r="Y872" s="1572"/>
      <c r="Z872" s="1572"/>
      <c r="AA872" s="1572"/>
      <c r="AB872" s="1572"/>
      <c r="AC872" s="1573"/>
      <c r="AU872" s="13"/>
      <c r="AZ872" s="3"/>
      <c r="BA872" s="3"/>
      <c r="BB872" s="3"/>
      <c r="BC872" s="3"/>
    </row>
    <row r="873" spans="3:55" ht="12.9" customHeight="1">
      <c r="J873" s="412"/>
      <c r="AU873" s="13"/>
      <c r="AZ873" s="3"/>
      <c r="BA873" s="3"/>
      <c r="BB873" s="3"/>
      <c r="BC873" s="3"/>
    </row>
    <row r="874" spans="3:55" ht="12.9" customHeight="1">
      <c r="C874" s="2" t="s">
        <v>232</v>
      </c>
      <c r="J874" s="37" t="s">
        <v>1570</v>
      </c>
      <c r="K874" s="5"/>
      <c r="L874" s="5"/>
      <c r="M874" s="5"/>
      <c r="N874" s="5"/>
      <c r="O874" s="5"/>
      <c r="P874" s="5"/>
      <c r="Q874" s="5"/>
      <c r="R874" s="5"/>
      <c r="S874" s="5"/>
      <c r="T874" s="5"/>
      <c r="U874" s="5"/>
      <c r="V874" s="38"/>
      <c r="W874" s="1570">
        <v>100000</v>
      </c>
      <c r="X874" s="1570"/>
      <c r="Y874" s="1570"/>
      <c r="Z874" s="1570"/>
      <c r="AA874" s="1570"/>
      <c r="AB874" s="1570"/>
      <c r="AC874" s="1570"/>
      <c r="AU874" s="13"/>
      <c r="AZ874" s="3"/>
      <c r="BA874" s="3"/>
      <c r="BB874" s="3"/>
      <c r="BC874" s="3"/>
    </row>
    <row r="875" spans="3:55" ht="12.9" customHeight="1">
      <c r="J875" s="37" t="s">
        <v>1571</v>
      </c>
      <c r="K875" s="5"/>
      <c r="L875" s="5"/>
      <c r="M875" s="5"/>
      <c r="N875" s="5"/>
      <c r="O875" s="5"/>
      <c r="P875" s="5"/>
      <c r="Q875" s="5"/>
      <c r="R875" s="5"/>
      <c r="S875" s="5"/>
      <c r="T875" s="5"/>
      <c r="U875" s="5"/>
      <c r="V875" s="38"/>
      <c r="W875" s="1570"/>
      <c r="X875" s="1570"/>
      <c r="Y875" s="1570"/>
      <c r="Z875" s="1570"/>
      <c r="AA875" s="1570"/>
      <c r="AB875" s="1570"/>
      <c r="AC875" s="1570"/>
      <c r="AU875" s="3"/>
      <c r="AZ875" s="3"/>
      <c r="BA875" s="3"/>
      <c r="BB875" s="3"/>
      <c r="BC875" s="3"/>
    </row>
    <row r="876" spans="3:55" ht="12.9" customHeight="1">
      <c r="J876" s="37" t="s">
        <v>1572</v>
      </c>
      <c r="K876" s="5"/>
      <c r="L876" s="5"/>
      <c r="M876" s="5"/>
      <c r="N876" s="5"/>
      <c r="O876" s="5"/>
      <c r="P876" s="5"/>
      <c r="Q876" s="5"/>
      <c r="R876" s="5"/>
      <c r="S876" s="5"/>
      <c r="T876" s="5"/>
      <c r="U876" s="5"/>
      <c r="V876" s="38"/>
      <c r="W876" s="1570"/>
      <c r="X876" s="1570"/>
      <c r="Y876" s="1570"/>
      <c r="Z876" s="1570"/>
      <c r="AA876" s="1570"/>
      <c r="AB876" s="1570"/>
      <c r="AC876" s="1570"/>
      <c r="AU876" s="3"/>
      <c r="AZ876" s="3"/>
      <c r="BA876" s="3"/>
      <c r="BB876" s="3"/>
      <c r="BC876" s="3"/>
    </row>
    <row r="877" spans="3:55" ht="12.9" customHeight="1">
      <c r="J877" s="37" t="s">
        <v>1573</v>
      </c>
      <c r="K877" s="5"/>
      <c r="L877" s="5"/>
      <c r="M877" s="5"/>
      <c r="N877" s="5"/>
      <c r="O877" s="5"/>
      <c r="P877" s="5"/>
      <c r="Q877" s="5"/>
      <c r="R877" s="5"/>
      <c r="S877" s="5"/>
      <c r="T877" s="5"/>
      <c r="U877" s="5"/>
      <c r="V877" s="38"/>
      <c r="W877" s="1570"/>
      <c r="X877" s="1570"/>
      <c r="Y877" s="1570"/>
      <c r="Z877" s="1570"/>
      <c r="AA877" s="1570"/>
      <c r="AB877" s="1570"/>
      <c r="AC877" s="1570"/>
      <c r="AU877" s="3"/>
      <c r="AZ877" s="3"/>
      <c r="BA877" s="3"/>
      <c r="BB877" s="3"/>
      <c r="BC877" s="3"/>
    </row>
    <row r="878" spans="3:55" ht="12.9" customHeight="1">
      <c r="J878" s="37" t="s">
        <v>1574</v>
      </c>
      <c r="K878" s="5"/>
      <c r="L878" s="5"/>
      <c r="M878" s="5"/>
      <c r="N878" s="5"/>
      <c r="O878" s="5"/>
      <c r="P878" s="5"/>
      <c r="Q878" s="5"/>
      <c r="R878" s="5"/>
      <c r="S878" s="5"/>
      <c r="T878" s="5"/>
      <c r="U878" s="5"/>
      <c r="V878" s="38"/>
      <c r="W878" s="1570"/>
      <c r="X878" s="1570"/>
      <c r="Y878" s="1570"/>
      <c r="Z878" s="1570"/>
      <c r="AA878" s="1570"/>
      <c r="AB878" s="1570"/>
      <c r="AC878" s="1570"/>
      <c r="AU878" s="3"/>
      <c r="AZ878" s="3"/>
      <c r="BA878" s="3"/>
      <c r="BB878" s="3"/>
      <c r="BC878" s="3"/>
    </row>
    <row r="879" spans="3:55" ht="12.9" customHeight="1">
      <c r="J879" s="37" t="s">
        <v>1575</v>
      </c>
      <c r="K879" s="5"/>
      <c r="L879" s="5"/>
      <c r="M879" s="5"/>
      <c r="N879" s="5"/>
      <c r="O879" s="5"/>
      <c r="P879" s="5"/>
      <c r="Q879" s="5"/>
      <c r="R879" s="5"/>
      <c r="S879" s="5"/>
      <c r="T879" s="5"/>
      <c r="U879" s="5"/>
      <c r="V879" s="38"/>
      <c r="W879" s="1570"/>
      <c r="X879" s="1570"/>
      <c r="Y879" s="1570"/>
      <c r="Z879" s="1570"/>
      <c r="AA879" s="1570"/>
      <c r="AB879" s="1570"/>
      <c r="AC879" s="1570"/>
      <c r="AU879" s="3"/>
      <c r="AZ879" s="3"/>
      <c r="BA879" s="3"/>
      <c r="BB879" s="3"/>
      <c r="BC879" s="3"/>
    </row>
    <row r="880" spans="3:55" ht="12.9" customHeight="1">
      <c r="J880" s="37" t="s">
        <v>233</v>
      </c>
      <c r="K880" s="5"/>
      <c r="L880" s="5"/>
      <c r="M880" s="1564" t="s">
        <v>1354</v>
      </c>
      <c r="N880" s="1565"/>
      <c r="O880" s="1565"/>
      <c r="P880" s="1565"/>
      <c r="Q880" s="1565"/>
      <c r="R880" s="1565"/>
      <c r="S880" s="1565"/>
      <c r="T880" s="1565"/>
      <c r="U880" s="1565"/>
      <c r="V880" s="1566"/>
      <c r="W880" s="1570"/>
      <c r="X880" s="1570"/>
      <c r="Y880" s="1570"/>
      <c r="Z880" s="1570"/>
      <c r="AA880" s="1570"/>
      <c r="AB880" s="1570"/>
      <c r="AC880" s="1570"/>
      <c r="AD880" s="433"/>
      <c r="AU880" s="3"/>
      <c r="AV880" s="13"/>
      <c r="AW880" s="13"/>
      <c r="AX880" s="13"/>
      <c r="AY880" s="13"/>
      <c r="AZ880" s="3"/>
      <c r="BA880" s="3"/>
      <c r="BB880" s="3"/>
      <c r="BC880" s="3"/>
    </row>
    <row r="881" spans="3:55" ht="12.9" customHeight="1">
      <c r="J881" s="37"/>
      <c r="K881" s="5"/>
      <c r="L881" s="5"/>
      <c r="M881" s="5"/>
      <c r="N881" s="5"/>
      <c r="O881" s="5"/>
      <c r="P881" s="5"/>
      <c r="Q881" s="5"/>
      <c r="R881" s="5"/>
      <c r="S881" s="5"/>
      <c r="T881" s="5"/>
      <c r="U881" s="5"/>
      <c r="V881" s="46" t="s">
        <v>1576</v>
      </c>
      <c r="W881" s="1552">
        <f>SUM(W874:W880)</f>
        <v>100000</v>
      </c>
      <c r="X881" s="1552"/>
      <c r="Y881" s="1552"/>
      <c r="Z881" s="1552"/>
      <c r="AA881" s="1552"/>
      <c r="AB881" s="1552"/>
      <c r="AC881" s="1552"/>
      <c r="AU881" s="3"/>
      <c r="AV881" s="13"/>
      <c r="AW881" s="13"/>
      <c r="AX881" s="13"/>
      <c r="AY881" s="13"/>
      <c r="AZ881" s="3"/>
      <c r="BA881" s="3"/>
      <c r="BB881" s="3"/>
      <c r="BC881" s="3"/>
    </row>
    <row r="882" spans="3:55" ht="12.9" customHeight="1">
      <c r="AU882" s="3"/>
      <c r="AV882" s="13"/>
      <c r="AW882" s="13"/>
      <c r="AX882" s="13"/>
      <c r="AY882" s="13"/>
      <c r="AZ882" s="3"/>
      <c r="BA882" s="3"/>
      <c r="BB882" s="3"/>
      <c r="BC882" s="3"/>
    </row>
    <row r="883" spans="3:55" ht="12.9" customHeight="1">
      <c r="C883" s="2" t="s">
        <v>1577</v>
      </c>
      <c r="J883" s="37" t="s">
        <v>233</v>
      </c>
      <c r="K883" s="5"/>
      <c r="L883" s="5"/>
      <c r="M883" s="1564" t="s">
        <v>1354</v>
      </c>
      <c r="N883" s="1565"/>
      <c r="O883" s="1565"/>
      <c r="P883" s="1565"/>
      <c r="Q883" s="1565"/>
      <c r="R883" s="1565"/>
      <c r="S883" s="1565"/>
      <c r="T883" s="1565"/>
      <c r="U883" s="1565"/>
      <c r="V883" s="1566"/>
      <c r="W883" s="1437"/>
      <c r="X883" s="1307"/>
      <c r="Y883" s="1307"/>
      <c r="Z883" s="1307"/>
      <c r="AA883" s="1307"/>
      <c r="AB883" s="1307"/>
      <c r="AC883" s="1308"/>
      <c r="AD883" s="433"/>
      <c r="AV883" s="13"/>
      <c r="AW883" s="13"/>
      <c r="AX883" s="13"/>
      <c r="AY883" s="13"/>
      <c r="AZ883" s="3"/>
      <c r="BA883" s="3"/>
      <c r="BB883" s="3"/>
      <c r="BC883" s="3"/>
    </row>
    <row r="884" spans="3:55" ht="12.9" customHeight="1">
      <c r="C884" s="2" t="s">
        <v>1578</v>
      </c>
      <c r="J884" s="37" t="s">
        <v>233</v>
      </c>
      <c r="K884" s="5"/>
      <c r="L884" s="5"/>
      <c r="M884" s="1564" t="s">
        <v>1354</v>
      </c>
      <c r="N884" s="1565"/>
      <c r="O884" s="1565"/>
      <c r="P884" s="1565"/>
      <c r="Q884" s="1565"/>
      <c r="R884" s="1565"/>
      <c r="S884" s="1565"/>
      <c r="T884" s="1565"/>
      <c r="U884" s="1565"/>
      <c r="V884" s="1566"/>
      <c r="W884" s="1437"/>
      <c r="X884" s="1307"/>
      <c r="Y884" s="1307"/>
      <c r="Z884" s="1307"/>
      <c r="AA884" s="1307"/>
      <c r="AB884" s="1307"/>
      <c r="AC884" s="1308"/>
      <c r="AD884" s="433"/>
      <c r="AV884" s="13"/>
      <c r="AW884" s="13"/>
      <c r="AX884" s="13"/>
      <c r="AY884" s="13"/>
      <c r="AZ884" s="3"/>
      <c r="BA884" s="3"/>
      <c r="BB884" s="3"/>
      <c r="BC884" s="3"/>
    </row>
    <row r="885" spans="3:55" ht="12.9" customHeight="1">
      <c r="J885" s="37" t="s">
        <v>233</v>
      </c>
      <c r="K885" s="5"/>
      <c r="L885" s="5"/>
      <c r="M885" s="1564" t="s">
        <v>1354</v>
      </c>
      <c r="N885" s="1565"/>
      <c r="O885" s="1565"/>
      <c r="P885" s="1565"/>
      <c r="Q885" s="1565"/>
      <c r="R885" s="1565"/>
      <c r="S885" s="1565"/>
      <c r="T885" s="1565"/>
      <c r="U885" s="1565"/>
      <c r="V885" s="1566"/>
      <c r="W885" s="1437"/>
      <c r="X885" s="1307"/>
      <c r="Y885" s="1307"/>
      <c r="Z885" s="1307"/>
      <c r="AA885" s="1307"/>
      <c r="AB885" s="1307"/>
      <c r="AC885" s="1308"/>
      <c r="AL885" s="13"/>
      <c r="AM885" s="13"/>
      <c r="AN885" s="13"/>
      <c r="AO885" s="13"/>
      <c r="AP885" s="13"/>
      <c r="AQ885" s="13"/>
      <c r="AR885" s="13"/>
      <c r="AS885" s="13"/>
      <c r="AT885" s="13"/>
      <c r="AV885" s="3"/>
      <c r="AW885" s="3"/>
      <c r="AX885" s="3"/>
      <c r="AY885" s="3"/>
      <c r="AZ885" s="3"/>
      <c r="BA885" s="3"/>
      <c r="BB885" s="3"/>
      <c r="BC885" s="3"/>
    </row>
    <row r="886" spans="3:55" ht="12.9" customHeight="1">
      <c r="J886" s="37" t="s">
        <v>233</v>
      </c>
      <c r="K886" s="5"/>
      <c r="L886" s="5"/>
      <c r="M886" s="1564" t="s">
        <v>1354</v>
      </c>
      <c r="N886" s="1565"/>
      <c r="O886" s="1565"/>
      <c r="P886" s="1565"/>
      <c r="Q886" s="1565"/>
      <c r="R886" s="1565"/>
      <c r="S886" s="1565"/>
      <c r="T886" s="1565"/>
      <c r="U886" s="1565"/>
      <c r="V886" s="1566"/>
      <c r="W886" s="1437"/>
      <c r="X886" s="1307"/>
      <c r="Y886" s="1307"/>
      <c r="Z886" s="1307"/>
      <c r="AA886" s="1307"/>
      <c r="AB886" s="1307"/>
      <c r="AC886" s="1308"/>
      <c r="AL886" s="13"/>
      <c r="AM886" s="13"/>
      <c r="AN886" s="13"/>
      <c r="AO886" s="13"/>
      <c r="AP886" s="13"/>
      <c r="AQ886" s="13"/>
      <c r="AR886" s="13"/>
      <c r="AS886" s="13"/>
      <c r="AT886" s="13"/>
      <c r="AV886" s="3"/>
      <c r="AW886" s="3"/>
      <c r="AX886" s="3"/>
      <c r="AY886" s="3"/>
      <c r="AZ886" s="3"/>
      <c r="BA886" s="3"/>
      <c r="BB886" s="3"/>
      <c r="BC886" s="3"/>
    </row>
    <row r="887" spans="3:55" ht="12.9" customHeight="1">
      <c r="J887" s="37" t="s">
        <v>233</v>
      </c>
      <c r="K887" s="5"/>
      <c r="L887" s="5"/>
      <c r="M887" s="1564" t="s">
        <v>1354</v>
      </c>
      <c r="N887" s="1565"/>
      <c r="O887" s="1565"/>
      <c r="P887" s="1565"/>
      <c r="Q887" s="1565"/>
      <c r="R887" s="1565"/>
      <c r="S887" s="1565"/>
      <c r="T887" s="1565"/>
      <c r="U887" s="1565"/>
      <c r="V887" s="1566"/>
      <c r="W887" s="1437"/>
      <c r="X887" s="1307"/>
      <c r="Y887" s="1307"/>
      <c r="Z887" s="1307"/>
      <c r="AA887" s="1307"/>
      <c r="AB887" s="1307"/>
      <c r="AC887" s="1308"/>
      <c r="AL887" s="13"/>
      <c r="AM887" s="13"/>
      <c r="AN887" s="13"/>
      <c r="AO887" s="13"/>
      <c r="AP887" s="13"/>
      <c r="AQ887" s="13"/>
      <c r="AR887" s="13"/>
      <c r="AS887" s="13"/>
      <c r="AT887" s="13"/>
      <c r="AV887" s="3"/>
      <c r="AW887" s="3"/>
      <c r="AX887" s="3"/>
      <c r="AY887" s="3"/>
      <c r="AZ887" s="3"/>
      <c r="BA887" s="3"/>
      <c r="BB887" s="3"/>
      <c r="BC887" s="3"/>
    </row>
    <row r="888" spans="3:55" ht="12.9" customHeight="1">
      <c r="J888" s="37"/>
      <c r="K888" s="5"/>
      <c r="L888" s="5"/>
      <c r="M888" s="5"/>
      <c r="N888" s="5"/>
      <c r="O888" s="5"/>
      <c r="P888" s="5"/>
      <c r="Q888" s="5"/>
      <c r="R888" s="5"/>
      <c r="S888" s="5"/>
      <c r="T888" s="5"/>
      <c r="U888" s="5"/>
      <c r="V888" s="46" t="s">
        <v>1579</v>
      </c>
      <c r="W888" s="1434">
        <f>SUM(W883:W887)</f>
        <v>0</v>
      </c>
      <c r="X888" s="1435"/>
      <c r="Y888" s="1435"/>
      <c r="Z888" s="1435"/>
      <c r="AA888" s="1435"/>
      <c r="AB888" s="1435"/>
      <c r="AC888" s="1436"/>
      <c r="AL888" s="13"/>
      <c r="AM888" s="13"/>
      <c r="AN888" s="13"/>
      <c r="AO888" s="13"/>
      <c r="AP888" s="13"/>
      <c r="AQ888" s="13"/>
      <c r="AR888" s="13"/>
      <c r="AS888" s="13"/>
      <c r="AT888" s="13"/>
      <c r="AV888" s="3"/>
      <c r="AW888" s="3"/>
      <c r="AX888" s="3"/>
      <c r="AY888" s="3"/>
      <c r="AZ888" s="3"/>
      <c r="BA888" s="3"/>
      <c r="BB888" s="3"/>
      <c r="BC888" s="3"/>
    </row>
    <row r="889" spans="3:55" ht="12.9"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 customHeight="1">
      <c r="C890" s="2" t="s">
        <v>1580</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1581</v>
      </c>
      <c r="AC892" s="1435">
        <f>W855+W863+W870+W872+W881+W888+W857</f>
        <v>1073600</v>
      </c>
      <c r="AD892" s="1435"/>
      <c r="AE892" s="1435"/>
      <c r="AF892" s="1435"/>
      <c r="AG892" s="1435"/>
      <c r="AH892" s="1436"/>
      <c r="AL892" s="3"/>
      <c r="AM892" s="3"/>
      <c r="AN892" s="3"/>
      <c r="AO892" s="3"/>
      <c r="AP892" s="3"/>
      <c r="AQ892" s="3"/>
      <c r="AR892" s="3"/>
      <c r="AS892" s="3"/>
      <c r="AT892" s="3"/>
      <c r="AV892" s="3"/>
      <c r="AW892" s="3"/>
      <c r="AX892" s="3"/>
      <c r="AY892" s="3"/>
      <c r="AZ892" s="3"/>
      <c r="BA892" s="3"/>
      <c r="BB892" s="3"/>
      <c r="BC892" s="3"/>
    </row>
    <row r="893" spans="3:55" ht="12.9"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1582</v>
      </c>
      <c r="AC893" s="1638">
        <f>O805+O785+G761</f>
        <v>91</v>
      </c>
      <c r="AD893" s="1638"/>
      <c r="AE893" s="1638"/>
      <c r="AF893" s="1638"/>
      <c r="AG893" s="1638"/>
      <c r="AH893" s="1639"/>
      <c r="AL893" s="3"/>
      <c r="AM893" s="3"/>
      <c r="AN893" s="3"/>
      <c r="AO893" s="3"/>
      <c r="AP893" s="3"/>
      <c r="AQ893" s="3"/>
      <c r="AR893" s="3"/>
      <c r="AS893" s="3"/>
      <c r="AT893" s="3"/>
      <c r="AZ893" s="3"/>
      <c r="BA893" s="3"/>
      <c r="BB893" s="3"/>
      <c r="BC893" s="3"/>
    </row>
    <row r="894" spans="3:55" ht="12.9" customHeight="1">
      <c r="C894" s="33"/>
      <c r="D894" s="34"/>
      <c r="E894" s="1645" t="s">
        <v>1583</v>
      </c>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552">
        <f>IF(ISERROR((ROUNDDOWN(AC892/AC893,0))),0,(ROUNDDOWN(AC892/AC893,0)))</f>
        <v>11797</v>
      </c>
      <c r="AD894" s="1552"/>
      <c r="AE894" s="1552"/>
      <c r="AF894" s="1552"/>
      <c r="AG894" s="1552"/>
      <c r="AH894" s="1552"/>
      <c r="AL894" s="3"/>
      <c r="AM894" s="3"/>
      <c r="AN894" s="3"/>
      <c r="AO894" s="3"/>
      <c r="AP894" s="3"/>
      <c r="AQ894" s="3"/>
      <c r="AR894" s="3"/>
      <c r="AS894" s="3"/>
      <c r="AT894" s="3"/>
      <c r="AZ894" s="3"/>
      <c r="BA894" s="3"/>
      <c r="BB894" s="3"/>
      <c r="BC894" s="3"/>
    </row>
    <row r="895" spans="3:55" ht="12.9"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1584</v>
      </c>
      <c r="AC895" s="1640">
        <v>2326745</v>
      </c>
      <c r="AD895" s="1641"/>
      <c r="AE895" s="1641"/>
      <c r="AF895" s="1641"/>
      <c r="AG895" s="1641"/>
      <c r="AH895" s="1641"/>
      <c r="AL895" s="3"/>
      <c r="AM895" s="3"/>
      <c r="AN895" s="3"/>
      <c r="AO895" s="3"/>
      <c r="AP895" s="3"/>
      <c r="AQ895" s="3"/>
      <c r="AR895" s="3"/>
      <c r="AS895" s="3"/>
      <c r="AT895" s="3"/>
      <c r="AZ895" s="3"/>
      <c r="BA895" s="3"/>
      <c r="BB895" s="3"/>
      <c r="BC895" s="3"/>
    </row>
    <row r="896" spans="3:55" ht="12.9"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1585</v>
      </c>
      <c r="AC896" s="1308"/>
      <c r="AD896" s="1570"/>
      <c r="AE896" s="1570"/>
      <c r="AF896" s="1570"/>
      <c r="AG896" s="1570"/>
      <c r="AH896" s="1570"/>
      <c r="AL896" s="3"/>
      <c r="AM896" s="3"/>
      <c r="AN896" s="3"/>
      <c r="AO896" s="3"/>
      <c r="AP896" s="3"/>
      <c r="AQ896" s="3"/>
      <c r="AR896" s="3"/>
      <c r="AS896" s="3"/>
      <c r="AT896" s="3"/>
      <c r="AZ896" s="3"/>
      <c r="BA896" s="3"/>
      <c r="BB896" s="3"/>
      <c r="BC896" s="3"/>
    </row>
    <row r="897" spans="1:58" ht="12.9"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1586</v>
      </c>
      <c r="AC897" s="1307">
        <v>95000</v>
      </c>
      <c r="AD897" s="1307"/>
      <c r="AE897" s="1307"/>
      <c r="AF897" s="1307"/>
      <c r="AG897" s="1307"/>
      <c r="AH897" s="1308"/>
      <c r="AL897" s="3"/>
      <c r="AM897" s="3"/>
      <c r="AN897" s="3"/>
      <c r="AO897" s="3"/>
      <c r="AP897" s="3"/>
      <c r="AQ897" s="3"/>
      <c r="AR897" s="3"/>
      <c r="AS897" s="3"/>
      <c r="AT897" s="3"/>
      <c r="AZ897" s="3"/>
      <c r="BA897" s="3"/>
      <c r="BB897" s="3"/>
      <c r="BC897" s="3"/>
    </row>
    <row r="898" spans="1:58" ht="12.9"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1587</v>
      </c>
      <c r="AC898" s="1307">
        <v>45500</v>
      </c>
      <c r="AD898" s="1307"/>
      <c r="AE898" s="1307"/>
      <c r="AF898" s="1307"/>
      <c r="AG898" s="1307"/>
      <c r="AH898" s="1308"/>
      <c r="AZ898" s="3"/>
      <c r="BA898" s="3"/>
      <c r="BB898" s="3"/>
      <c r="BC898" s="3"/>
    </row>
    <row r="899" spans="1:58" ht="12.9"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1588</v>
      </c>
      <c r="AC899" s="1470">
        <v>33750</v>
      </c>
      <c r="AD899" s="1471"/>
      <c r="AE899" s="1471"/>
      <c r="AF899" s="1471"/>
      <c r="AG899" s="1471"/>
      <c r="AH899" s="1472"/>
      <c r="AZ899" s="3"/>
      <c r="BA899" s="3"/>
      <c r="BB899" s="3"/>
      <c r="BC899" s="3"/>
    </row>
    <row r="900" spans="1:58" ht="12.9"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1589</v>
      </c>
      <c r="AC900" s="1307">
        <v>37000</v>
      </c>
      <c r="AD900" s="1307"/>
      <c r="AE900" s="1307"/>
      <c r="AF900" s="1307"/>
      <c r="AG900" s="1307"/>
      <c r="AH900" s="1308"/>
      <c r="AZ900" s="3"/>
      <c r="BA900" s="3"/>
      <c r="BB900" s="3"/>
      <c r="BC900" s="3"/>
    </row>
    <row r="901" spans="1:58" ht="12.9" hidden="1" customHeight="1">
      <c r="C901" s="1373" t="s">
        <v>1590</v>
      </c>
      <c r="D901" s="1374"/>
      <c r="E901" s="1374"/>
      <c r="F901" s="1374"/>
      <c r="G901" s="1374"/>
      <c r="H901" s="1374"/>
      <c r="I901" s="1374"/>
      <c r="J901" s="1374"/>
      <c r="K901" s="1374"/>
      <c r="L901" s="1374"/>
      <c r="M901" s="1374"/>
      <c r="N901" s="1374"/>
      <c r="O901" s="1374"/>
      <c r="P901" s="1374"/>
      <c r="Q901" s="1374"/>
      <c r="R901" s="1374"/>
      <c r="S901" s="1374"/>
      <c r="T901" s="1374"/>
      <c r="U901" s="1374"/>
      <c r="V901" s="1374"/>
      <c r="W901" s="1374"/>
      <c r="X901" s="1374"/>
      <c r="Y901" s="1374"/>
      <c r="Z901" s="1374"/>
      <c r="AA901" s="1374"/>
      <c r="AB901" s="1376"/>
      <c r="AC901" s="1307"/>
      <c r="AD901" s="1307"/>
      <c r="AE901" s="1307"/>
      <c r="AF901" s="1307"/>
      <c r="AG901" s="1307"/>
      <c r="AH901" s="1308"/>
      <c r="AZ901" s="3"/>
      <c r="BA901" s="3"/>
      <c r="BB901" s="3"/>
      <c r="BC901" s="3"/>
    </row>
    <row r="902" spans="1:58" ht="12.9"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1591</v>
      </c>
      <c r="AC902" s="1307"/>
      <c r="AD902" s="1307"/>
      <c r="AE902" s="1307"/>
      <c r="AF902" s="1307"/>
      <c r="AG902" s="1307"/>
      <c r="AH902" s="1308"/>
      <c r="AZ902" s="3"/>
      <c r="BA902" s="3"/>
      <c r="BB902" s="3"/>
      <c r="BC902" s="3"/>
    </row>
    <row r="903" spans="1:58" ht="12.9" customHeight="1">
      <c r="C903" s="1642" t="s">
        <v>1592</v>
      </c>
      <c r="D903" s="1643"/>
      <c r="E903" s="1643"/>
      <c r="F903" s="1643"/>
      <c r="G903" s="1643"/>
      <c r="H903" s="1643"/>
      <c r="I903" s="1643"/>
      <c r="J903" s="1643"/>
      <c r="K903" s="1643"/>
      <c r="L903" s="1643"/>
      <c r="M903" s="1643"/>
      <c r="N903" s="1643"/>
      <c r="O903" s="1643"/>
      <c r="P903" s="1643"/>
      <c r="Q903" s="1643"/>
      <c r="R903" s="1643"/>
      <c r="S903" s="1643"/>
      <c r="T903" s="1643"/>
      <c r="U903" s="1643"/>
      <c r="V903" s="1643"/>
      <c r="W903" s="1643"/>
      <c r="X903" s="1643"/>
      <c r="Y903" s="1643"/>
      <c r="Z903" s="1643"/>
      <c r="AA903" s="1643"/>
      <c r="AB903" s="1644"/>
      <c r="AC903" s="1570"/>
      <c r="AD903" s="1570"/>
      <c r="AE903" s="1570"/>
      <c r="AF903" s="1570"/>
      <c r="AG903" s="1570"/>
      <c r="AH903" s="1570"/>
      <c r="AZ903" s="3"/>
      <c r="BA903" s="3"/>
      <c r="BB903" s="3"/>
      <c r="BC903" s="3"/>
    </row>
    <row r="904" spans="1:58" ht="12.9" customHeight="1">
      <c r="C904" s="1642" t="s">
        <v>1592</v>
      </c>
      <c r="D904" s="1643"/>
      <c r="E904" s="1643"/>
      <c r="F904" s="1643"/>
      <c r="G904" s="1643"/>
      <c r="H904" s="1643"/>
      <c r="I904" s="1643"/>
      <c r="J904" s="1643"/>
      <c r="K904" s="1643"/>
      <c r="L904" s="1643"/>
      <c r="M904" s="1643"/>
      <c r="N904" s="1643"/>
      <c r="O904" s="1643"/>
      <c r="P904" s="1643"/>
      <c r="Q904" s="1643"/>
      <c r="R904" s="1643"/>
      <c r="S904" s="1643"/>
      <c r="T904" s="1643"/>
      <c r="U904" s="1643"/>
      <c r="V904" s="1643"/>
      <c r="W904" s="1643"/>
      <c r="X904" s="1643"/>
      <c r="Y904" s="1643"/>
      <c r="Z904" s="1643"/>
      <c r="AA904" s="1643"/>
      <c r="AB904" s="1644"/>
      <c r="AC904" s="1570"/>
      <c r="AD904" s="1570"/>
      <c r="AE904" s="1570"/>
      <c r="AF904" s="1570"/>
      <c r="AG904" s="1570"/>
      <c r="AH904" s="1570"/>
      <c r="AU904" s="70"/>
      <c r="AZ904" s="3"/>
      <c r="BA904" s="3"/>
      <c r="BB904" s="3"/>
      <c r="BC904" s="3"/>
    </row>
    <row r="905" spans="1:58" ht="12.9" customHeight="1">
      <c r="E905" s="412"/>
      <c r="AB905" s="48"/>
      <c r="AC905" s="89"/>
      <c r="AD905" s="89"/>
      <c r="AE905" s="89"/>
      <c r="AF905" s="89"/>
      <c r="AG905" s="89"/>
      <c r="AH905" s="89"/>
      <c r="AU905" s="70"/>
      <c r="AZ905" s="3"/>
      <c r="BA905" s="3"/>
      <c r="BB905" s="3"/>
      <c r="BC905" s="3"/>
    </row>
    <row r="906" spans="1:58" ht="12.9" customHeight="1">
      <c r="A906" s="2" t="s">
        <v>1309</v>
      </c>
      <c r="C906" s="2" t="s">
        <v>1593</v>
      </c>
      <c r="X906" s="11"/>
      <c r="Y906" s="11"/>
      <c r="Z906" s="11"/>
      <c r="AA906" s="11"/>
      <c r="AB906" s="11"/>
      <c r="AC906" s="11"/>
      <c r="AD906" s="11"/>
      <c r="AU906" s="70"/>
      <c r="AZ906" s="3"/>
      <c r="BB906" s="25"/>
      <c r="BC906" s="25"/>
    </row>
    <row r="907" spans="1:58" ht="12.9" customHeight="1">
      <c r="X907" s="11"/>
      <c r="Y907" s="11"/>
      <c r="Z907" s="11"/>
      <c r="AA907" s="11"/>
      <c r="AB907" s="11"/>
      <c r="AC907" s="11"/>
      <c r="AD907" s="11"/>
      <c r="AF907" s="433"/>
      <c r="AG907" s="924"/>
      <c r="AH907" s="924"/>
      <c r="AI907" s="924"/>
      <c r="AU907" s="70"/>
      <c r="AZ907" s="3"/>
      <c r="BB907" s="25"/>
      <c r="BC907" s="25"/>
      <c r="BD907" s="13"/>
      <c r="BE907" s="13"/>
      <c r="BF907" s="13"/>
    </row>
    <row r="908" spans="1:58" ht="12.9" customHeight="1">
      <c r="B908" s="2"/>
      <c r="H908" s="87" t="s">
        <v>1594</v>
      </c>
      <c r="I908" s="5"/>
      <c r="J908" s="5"/>
      <c r="K908" s="5"/>
      <c r="L908" s="5"/>
      <c r="M908" s="5"/>
      <c r="N908" s="5"/>
      <c r="O908" s="5"/>
      <c r="P908" s="5"/>
      <c r="Q908" s="5"/>
      <c r="R908" s="5"/>
      <c r="S908" s="5"/>
      <c r="T908" s="5"/>
      <c r="U908" s="5"/>
      <c r="V908" s="5"/>
      <c r="W908" s="5"/>
      <c r="X908" s="5"/>
      <c r="Y908" s="38"/>
      <c r="Z908" s="1437">
        <v>945000</v>
      </c>
      <c r="AA908" s="1307"/>
      <c r="AB908" s="1307"/>
      <c r="AC908" s="1307"/>
      <c r="AD908" s="1307"/>
      <c r="AE908" s="1308"/>
      <c r="AF908" s="433"/>
      <c r="AZ908" s="3"/>
      <c r="BB908" s="25"/>
      <c r="BC908" s="712"/>
      <c r="BD908" s="1593"/>
      <c r="BE908" s="1593"/>
      <c r="BF908" s="13"/>
    </row>
    <row r="909" spans="1:58" ht="12.9" customHeight="1">
      <c r="H909" s="87" t="s">
        <v>1595</v>
      </c>
      <c r="I909" s="5"/>
      <c r="J909" s="5"/>
      <c r="K909" s="5"/>
      <c r="L909" s="5"/>
      <c r="M909" s="5"/>
      <c r="N909" s="5"/>
      <c r="O909" s="5"/>
      <c r="P909" s="5"/>
      <c r="Q909" s="5"/>
      <c r="R909" s="5"/>
      <c r="S909" s="5"/>
      <c r="T909" s="5"/>
      <c r="U909" s="5"/>
      <c r="V909" s="5"/>
      <c r="W909" s="5"/>
      <c r="X909" s="5"/>
      <c r="Y909" s="5"/>
      <c r="Z909" s="1437">
        <v>41531</v>
      </c>
      <c r="AA909" s="1307"/>
      <c r="AB909" s="1307"/>
      <c r="AC909" s="1307"/>
      <c r="AD909" s="1307"/>
      <c r="AE909" s="1308"/>
      <c r="AZ909" s="3"/>
      <c r="BB909" s="25"/>
      <c r="BC909" s="712"/>
      <c r="BD909" s="1593"/>
      <c r="BE909" s="1593"/>
      <c r="BF909" s="13"/>
    </row>
    <row r="910" spans="1:58" ht="12.9" customHeight="1">
      <c r="H910" s="87" t="s">
        <v>1596</v>
      </c>
      <c r="I910" s="5"/>
      <c r="J910" s="5"/>
      <c r="K910" s="5"/>
      <c r="L910" s="5"/>
      <c r="M910" s="5"/>
      <c r="N910" s="5"/>
      <c r="O910" s="5"/>
      <c r="P910" s="5"/>
      <c r="Q910" s="5"/>
      <c r="R910" s="5"/>
      <c r="S910" s="5"/>
      <c r="T910" s="5"/>
      <c r="U910" s="5"/>
      <c r="V910" s="5"/>
      <c r="W910" s="5"/>
      <c r="X910" s="5"/>
      <c r="Y910" s="5"/>
      <c r="Z910" s="1437"/>
      <c r="AA910" s="1307"/>
      <c r="AB910" s="1307"/>
      <c r="AC910" s="1307"/>
      <c r="AD910" s="1307"/>
      <c r="AE910" s="1308"/>
      <c r="AZ910" s="3"/>
      <c r="BB910" s="25"/>
      <c r="BC910" s="712"/>
      <c r="BD910" s="1594"/>
      <c r="BE910" s="1594"/>
      <c r="BF910" s="13"/>
    </row>
    <row r="911" spans="1:58" ht="12.9" customHeight="1">
      <c r="H911" s="37"/>
      <c r="I911" s="5"/>
      <c r="J911" s="5"/>
      <c r="K911" s="5"/>
      <c r="L911" s="5"/>
      <c r="M911" s="5"/>
      <c r="N911" s="5"/>
      <c r="O911" s="5"/>
      <c r="P911" s="5"/>
      <c r="Q911" s="5"/>
      <c r="R911" s="5"/>
      <c r="S911" s="5"/>
      <c r="T911" s="5"/>
      <c r="U911" s="5"/>
      <c r="V911" s="5"/>
      <c r="W911" s="5"/>
      <c r="X911" s="5"/>
      <c r="Y911" s="125" t="s">
        <v>1597</v>
      </c>
      <c r="Z911" s="1434">
        <f>Z908-(Z909+Z910)</f>
        <v>903469</v>
      </c>
      <c r="AA911" s="1435"/>
      <c r="AB911" s="1435"/>
      <c r="AC911" s="1435"/>
      <c r="AD911" s="1435"/>
      <c r="AE911" s="1436"/>
      <c r="AZ911" s="3"/>
      <c r="BB911" s="25"/>
      <c r="BC911" s="712"/>
      <c r="BD911" s="1594"/>
      <c r="BE911" s="1594"/>
      <c r="BF911" s="13"/>
    </row>
    <row r="912" spans="1:58" ht="12.9"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94"/>
      <c r="BE912" s="1594"/>
      <c r="BF912" s="13"/>
    </row>
    <row r="913" spans="1:58" ht="12.9" customHeight="1">
      <c r="C913" t="s">
        <v>1598</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93"/>
      <c r="BE913" s="1594"/>
      <c r="BF913" s="13"/>
    </row>
    <row r="914" spans="1:58" ht="12.9" customHeight="1">
      <c r="C914" s="126" t="s">
        <v>1599</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92"/>
      <c r="BE914" s="1592"/>
      <c r="BF914" s="1592"/>
    </row>
    <row r="915" spans="1:58" ht="12.9" customHeight="1">
      <c r="C915" s="126" t="s">
        <v>1600</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91"/>
      <c r="BE915" s="1591"/>
      <c r="BF915" s="1591"/>
    </row>
    <row r="916" spans="1:58" ht="12.9" customHeight="1">
      <c r="C916" s="243" t="s">
        <v>1601</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94"/>
      <c r="BE916" s="1594"/>
      <c r="BF916" s="13"/>
    </row>
    <row r="917" spans="1:58" ht="12.9"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93"/>
      <c r="BE917" s="1594"/>
      <c r="BF917" s="13"/>
    </row>
    <row r="918" spans="1:58" ht="12.9" customHeight="1">
      <c r="AZ918" s="3"/>
      <c r="BB918" s="25"/>
      <c r="BC918" s="712"/>
    </row>
    <row r="919" spans="1:58" ht="12.9" customHeight="1">
      <c r="A919" s="1494" t="s">
        <v>1602</v>
      </c>
      <c r="B919" s="1494"/>
      <c r="C919" s="1494"/>
      <c r="D919" s="1494"/>
      <c r="E919" s="1494"/>
      <c r="F919" s="1494"/>
      <c r="G919" s="1494"/>
      <c r="H919" s="1494"/>
      <c r="I919" s="1494"/>
      <c r="J919" s="1494"/>
      <c r="K919" s="1494"/>
      <c r="L919" s="1494"/>
      <c r="M919" s="1494"/>
      <c r="N919" s="1494"/>
      <c r="O919" s="1494"/>
      <c r="P919" s="1494"/>
      <c r="Q919" s="1494"/>
      <c r="R919" s="1494"/>
      <c r="S919" s="1494"/>
      <c r="T919" s="1494"/>
      <c r="U919" s="1494"/>
      <c r="V919" s="1494"/>
      <c r="W919" s="1494"/>
      <c r="X919" s="1494"/>
      <c r="Y919" s="1494"/>
      <c r="Z919" s="1494"/>
      <c r="AA919" s="1494"/>
      <c r="AB919" s="1494"/>
      <c r="AC919" s="1494"/>
      <c r="AD919" s="1494"/>
      <c r="AE919" s="1494"/>
      <c r="AF919" s="1494"/>
      <c r="AG919" s="1494"/>
      <c r="AH919" s="1494"/>
      <c r="AI919" s="1494"/>
      <c r="AJ919" s="1494"/>
      <c r="AK919" s="1494"/>
      <c r="AL919" s="1494"/>
      <c r="AM919" s="1494"/>
      <c r="AN919" s="1494"/>
      <c r="AO919" s="1494"/>
      <c r="AP919" s="1494"/>
      <c r="AQ919" s="1494"/>
      <c r="AR919" s="1494"/>
      <c r="AS919" s="1494"/>
      <c r="AT919" s="1494"/>
      <c r="AZ919" s="3"/>
      <c r="BA919" s="3"/>
      <c r="BB919" s="25"/>
      <c r="BC919" s="25"/>
      <c r="BD919" s="1593"/>
      <c r="BE919" s="1594"/>
      <c r="BF919" s="803"/>
    </row>
    <row r="920" spans="1:58" ht="12.9" customHeight="1">
      <c r="A920" s="1494"/>
      <c r="B920" s="1494"/>
      <c r="C920" s="1494"/>
      <c r="D920" s="1494"/>
      <c r="E920" s="1494"/>
      <c r="F920" s="1494"/>
      <c r="G920" s="1494"/>
      <c r="H920" s="1494"/>
      <c r="I920" s="1494"/>
      <c r="J920" s="1494"/>
      <c r="K920" s="1494"/>
      <c r="L920" s="1494"/>
      <c r="M920" s="1494"/>
      <c r="N920" s="1494"/>
      <c r="O920" s="1494"/>
      <c r="P920" s="1494"/>
      <c r="Q920" s="1494"/>
      <c r="R920" s="1494"/>
      <c r="S920" s="1494"/>
      <c r="T920" s="1494"/>
      <c r="U920" s="1494"/>
      <c r="V920" s="1494"/>
      <c r="W920" s="1494"/>
      <c r="X920" s="1494"/>
      <c r="Y920" s="1494"/>
      <c r="Z920" s="1494"/>
      <c r="AA920" s="1494"/>
      <c r="AB920" s="1494"/>
      <c r="AC920" s="1494"/>
      <c r="AD920" s="1494"/>
      <c r="AE920" s="1494"/>
      <c r="AF920" s="1494"/>
      <c r="AG920" s="1494"/>
      <c r="AH920" s="1494"/>
      <c r="AI920" s="1494"/>
      <c r="AJ920" s="1494"/>
      <c r="AK920" s="1494"/>
      <c r="AL920" s="1494"/>
      <c r="AM920" s="1494"/>
      <c r="AN920" s="1494"/>
      <c r="AO920" s="1494"/>
      <c r="AP920" s="1494"/>
      <c r="AQ920" s="1494"/>
      <c r="AR920" s="1494"/>
      <c r="AS920" s="1494"/>
      <c r="AT920" s="1494"/>
      <c r="AZ920" s="3"/>
      <c r="BA920" s="3"/>
      <c r="BB920" s="3"/>
      <c r="BC920" s="3"/>
      <c r="BD920" s="3"/>
      <c r="BE920" s="3"/>
      <c r="BF920" s="3"/>
    </row>
    <row r="921" spans="1:58" ht="12.9"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 customHeight="1">
      <c r="A922" s="2" t="s">
        <v>881</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 customHeight="1">
      <c r="AZ923" s="3"/>
      <c r="BA923" s="3"/>
      <c r="BB923" s="3"/>
      <c r="BC923" s="3"/>
    </row>
    <row r="924" spans="1:58" ht="12.9" customHeight="1">
      <c r="F924" s="1633" t="s">
        <v>1603</v>
      </c>
      <c r="G924" s="1634"/>
      <c r="H924" s="1634"/>
      <c r="I924" s="1634"/>
      <c r="J924" s="1634"/>
      <c r="K924" s="1634"/>
      <c r="L924" s="1634"/>
      <c r="M924" s="1634"/>
      <c r="N924" s="1634"/>
      <c r="O924" s="1634"/>
      <c r="P924" s="1634"/>
      <c r="Q924" s="1634"/>
      <c r="R924" s="1634"/>
      <c r="S924" s="1634"/>
      <c r="T924" s="1635"/>
      <c r="U924" s="1735" t="s">
        <v>1604</v>
      </c>
      <c r="V924" s="1659"/>
      <c r="W924" s="1659"/>
      <c r="X924" s="1659"/>
      <c r="Y924" s="1659"/>
      <c r="Z924" s="1659"/>
      <c r="AA924" s="35"/>
      <c r="AB924" s="216"/>
      <c r="AC924" s="216"/>
      <c r="AD924" s="216"/>
      <c r="AE924" s="216"/>
      <c r="AF924" s="1180"/>
      <c r="AZ924" s="3"/>
      <c r="BA924" s="3"/>
      <c r="BB924" s="3"/>
      <c r="BC924" s="3"/>
    </row>
    <row r="925" spans="1:58" ht="12.9" customHeight="1">
      <c r="B925" s="2"/>
      <c r="F925" s="1686" t="s">
        <v>1605</v>
      </c>
      <c r="G925" s="1687"/>
      <c r="H925" s="1687"/>
      <c r="I925" s="1687"/>
      <c r="J925" s="1687"/>
      <c r="K925" s="1687"/>
      <c r="L925" s="1687"/>
      <c r="M925" s="1687"/>
      <c r="N925" s="1687"/>
      <c r="O925" s="1687"/>
      <c r="P925" s="1687"/>
      <c r="Q925" s="1687"/>
      <c r="R925" s="1687"/>
      <c r="S925" s="1687"/>
      <c r="T925" s="1688"/>
      <c r="U925" s="1686"/>
      <c r="V925" s="1687"/>
      <c r="W925" s="1687"/>
      <c r="X925" s="1687"/>
      <c r="Y925" s="1687"/>
      <c r="Z925" s="1687"/>
      <c r="AA925" s="36"/>
      <c r="AB925" s="3"/>
      <c r="AC925" s="3"/>
      <c r="AD925" s="3"/>
      <c r="AE925" s="3"/>
      <c r="AF925" s="1181"/>
      <c r="AZ925" s="3"/>
      <c r="BA925" s="3"/>
      <c r="BB925" s="3"/>
      <c r="BC925" s="3"/>
    </row>
    <row r="926" spans="1:58" ht="12.9" customHeight="1">
      <c r="B926" s="2"/>
      <c r="F926" s="1689"/>
      <c r="G926" s="1661"/>
      <c r="H926" s="1661"/>
      <c r="I926" s="1661"/>
      <c r="J926" s="1661"/>
      <c r="K926" s="1661"/>
      <c r="L926" s="1661"/>
      <c r="M926" s="1661"/>
      <c r="N926" s="1661"/>
      <c r="O926" s="1661"/>
      <c r="P926" s="1661"/>
      <c r="Q926" s="1661"/>
      <c r="R926" s="1661"/>
      <c r="S926" s="1661"/>
      <c r="T926" s="1662"/>
      <c r="U926" s="1689"/>
      <c r="V926" s="1661"/>
      <c r="W926" s="1661"/>
      <c r="X926" s="1661"/>
      <c r="Y926" s="1661"/>
      <c r="Z926" s="1661"/>
      <c r="AA926" s="789"/>
      <c r="AB926" s="1381" t="s">
        <v>1606</v>
      </c>
      <c r="AC926" s="1381"/>
      <c r="AD926" s="1381"/>
      <c r="AE926" s="1381"/>
      <c r="AF926" s="1182"/>
      <c r="AZ926" s="3"/>
      <c r="BA926" s="3"/>
      <c r="BB926" s="3"/>
      <c r="BC926" s="3"/>
    </row>
    <row r="927" spans="1:58" ht="12.9" customHeight="1">
      <c r="B927" s="2"/>
      <c r="F927" s="37" t="s">
        <v>1607</v>
      </c>
      <c r="G927" s="40"/>
      <c r="H927" s="40"/>
      <c r="I927" s="40"/>
      <c r="J927" s="40"/>
      <c r="K927" s="40"/>
      <c r="L927" s="40"/>
      <c r="M927" s="40"/>
      <c r="N927" s="40"/>
      <c r="O927" s="40"/>
      <c r="P927" s="40"/>
      <c r="Q927" s="40"/>
      <c r="R927" s="40"/>
      <c r="S927" s="40"/>
      <c r="T927" s="41"/>
      <c r="U927" s="1577" t="s">
        <v>856</v>
      </c>
      <c r="V927" s="1394"/>
      <c r="W927" s="1394"/>
      <c r="X927" s="1394"/>
      <c r="Y927" s="1394"/>
      <c r="Z927" s="1395"/>
      <c r="AA927" s="1578">
        <v>22306185</v>
      </c>
      <c r="AB927" s="1486"/>
      <c r="AC927" s="1486"/>
      <c r="AD927" s="1486"/>
      <c r="AE927" s="1486"/>
      <c r="AF927" s="1579"/>
      <c r="AG927" s="1079" t="str">
        <f>IF(NOT(AA927=AW927),"!","")</f>
        <v/>
      </c>
      <c r="AH927" s="3"/>
      <c r="AW927" s="1370">
        <f>SUMIF($M$562:$M$573,"Loan, Tax-Exempt",$AM$562:$AM$573)</f>
        <v>22306185</v>
      </c>
      <c r="AX927" s="1370"/>
      <c r="AY927" s="1370"/>
      <c r="AZ927" s="3" t="s">
        <v>1608</v>
      </c>
      <c r="BA927" s="3"/>
      <c r="BB927" s="3"/>
      <c r="BC927" s="3"/>
    </row>
    <row r="928" spans="1:58" ht="12.9" customHeight="1">
      <c r="B928" s="2"/>
      <c r="F928" s="87" t="s">
        <v>1609</v>
      </c>
      <c r="G928" s="40"/>
      <c r="H928" s="40"/>
      <c r="I928" s="40"/>
      <c r="J928" s="40"/>
      <c r="K928" s="40"/>
      <c r="L928" s="40"/>
      <c r="M928" s="40"/>
      <c r="N928" s="40"/>
      <c r="O928" s="40"/>
      <c r="P928" s="40"/>
      <c r="Q928" s="40"/>
      <c r="R928" s="40"/>
      <c r="S928" s="40"/>
      <c r="T928" s="41"/>
      <c r="U928" s="1577" t="s">
        <v>856</v>
      </c>
      <c r="V928" s="1394"/>
      <c r="W928" s="1394"/>
      <c r="X928" s="1394"/>
      <c r="Y928" s="1394"/>
      <c r="Z928" s="1395"/>
      <c r="AA928" s="1578">
        <v>28500000</v>
      </c>
      <c r="AB928" s="1486"/>
      <c r="AC928" s="1486"/>
      <c r="AD928" s="1486"/>
      <c r="AE928" s="1486"/>
      <c r="AF928" s="1579"/>
      <c r="AZ928" s="3"/>
      <c r="BA928" s="3"/>
      <c r="BB928" s="3"/>
      <c r="BC928" s="3"/>
    </row>
    <row r="929" spans="6:55" ht="12.9" customHeight="1">
      <c r="F929" s="37" t="s">
        <v>1610</v>
      </c>
      <c r="G929" s="5"/>
      <c r="H929" s="5"/>
      <c r="I929" s="5"/>
      <c r="J929" s="5"/>
      <c r="K929" s="5"/>
      <c r="L929" s="5"/>
      <c r="M929" s="5"/>
      <c r="N929" s="5"/>
      <c r="O929" s="5"/>
      <c r="P929" s="5"/>
      <c r="Q929" s="5"/>
      <c r="R929" s="5"/>
      <c r="S929" s="5"/>
      <c r="T929" s="38"/>
      <c r="U929" s="1577" t="s">
        <v>820</v>
      </c>
      <c r="V929" s="1394"/>
      <c r="W929" s="1394"/>
      <c r="X929" s="1394"/>
      <c r="Y929" s="1394"/>
      <c r="Z929" s="1395"/>
      <c r="AA929" s="1578"/>
      <c r="AB929" s="1486"/>
      <c r="AC929" s="1486"/>
      <c r="AD929" s="1486"/>
      <c r="AE929" s="1486"/>
      <c r="AF929" s="1579"/>
      <c r="AZ929" s="3"/>
      <c r="BA929" s="3"/>
      <c r="BB929" s="3"/>
      <c r="BC929" s="3"/>
    </row>
    <row r="930" spans="6:55" ht="12.9" customHeight="1">
      <c r="F930" s="37" t="s">
        <v>1611</v>
      </c>
      <c r="G930" s="5"/>
      <c r="H930" s="5"/>
      <c r="I930" s="5"/>
      <c r="J930" s="5"/>
      <c r="K930" s="5"/>
      <c r="L930" s="5"/>
      <c r="M930" s="5"/>
      <c r="N930" s="5"/>
      <c r="O930" s="5"/>
      <c r="P930" s="5"/>
      <c r="Q930" s="5"/>
      <c r="R930" s="5"/>
      <c r="S930" s="5"/>
      <c r="T930" s="38"/>
      <c r="U930" s="1577" t="s">
        <v>820</v>
      </c>
      <c r="V930" s="1394"/>
      <c r="W930" s="1394"/>
      <c r="X930" s="1394"/>
      <c r="Y930" s="1394"/>
      <c r="Z930" s="1395"/>
      <c r="AA930" s="1578"/>
      <c r="AB930" s="1486"/>
      <c r="AC930" s="1486"/>
      <c r="AD930" s="1486"/>
      <c r="AE930" s="1486"/>
      <c r="AF930" s="1579"/>
      <c r="AZ930" s="3"/>
      <c r="BA930" s="3"/>
      <c r="BB930" s="3"/>
      <c r="BC930" s="3"/>
    </row>
    <row r="931" spans="6:55" ht="12.9" customHeight="1">
      <c r="F931" s="87" t="s">
        <v>1612</v>
      </c>
      <c r="G931" s="5"/>
      <c r="H931" s="5"/>
      <c r="I931" s="5"/>
      <c r="J931" s="5"/>
      <c r="K931" s="5"/>
      <c r="L931" s="5"/>
      <c r="M931" s="5"/>
      <c r="N931" s="5"/>
      <c r="O931" s="5"/>
      <c r="P931" s="5"/>
      <c r="Q931" s="5"/>
      <c r="R931" s="5"/>
      <c r="S931" s="5"/>
      <c r="T931" s="38"/>
      <c r="U931" s="1577" t="s">
        <v>820</v>
      </c>
      <c r="V931" s="1394"/>
      <c r="W931" s="1394"/>
      <c r="X931" s="1394"/>
      <c r="Y931" s="1394"/>
      <c r="Z931" s="1395"/>
      <c r="AA931" s="1578"/>
      <c r="AB931" s="1486"/>
      <c r="AC931" s="1486"/>
      <c r="AD931" s="1486"/>
      <c r="AE931" s="1486"/>
      <c r="AF931" s="1579"/>
      <c r="AZ931" s="3"/>
      <c r="BA931" s="3"/>
      <c r="BB931" s="3"/>
      <c r="BC931" s="3"/>
    </row>
    <row r="932" spans="6:55" ht="12.9" customHeight="1">
      <c r="F932" s="87" t="s">
        <v>1613</v>
      </c>
      <c r="G932" s="5"/>
      <c r="H932" s="5"/>
      <c r="I932" s="5"/>
      <c r="J932" s="5"/>
      <c r="K932" s="5"/>
      <c r="L932" s="5"/>
      <c r="M932" s="5"/>
      <c r="N932" s="5"/>
      <c r="O932" s="5"/>
      <c r="P932" s="5"/>
      <c r="Q932" s="5"/>
      <c r="R932" s="5"/>
      <c r="S932" s="5"/>
      <c r="T932" s="38"/>
      <c r="U932" s="1577" t="s">
        <v>820</v>
      </c>
      <c r="V932" s="1394"/>
      <c r="W932" s="1394"/>
      <c r="X932" s="1394"/>
      <c r="Y932" s="1394"/>
      <c r="Z932" s="1395"/>
      <c r="AA932" s="1578"/>
      <c r="AB932" s="1486"/>
      <c r="AC932" s="1486"/>
      <c r="AD932" s="1486"/>
      <c r="AE932" s="1486"/>
      <c r="AF932" s="1579"/>
      <c r="AZ932" s="3"/>
      <c r="BA932" s="3"/>
      <c r="BB932" s="3"/>
      <c r="BC932" s="3"/>
    </row>
    <row r="933" spans="6:55" ht="12.9" customHeight="1">
      <c r="F933" s="87" t="s">
        <v>1614</v>
      </c>
      <c r="G933" s="5"/>
      <c r="H933" s="5"/>
      <c r="I933" s="5"/>
      <c r="J933" s="5"/>
      <c r="K933" s="5"/>
      <c r="L933" s="5"/>
      <c r="M933" s="5"/>
      <c r="N933" s="5"/>
      <c r="O933" s="5"/>
      <c r="P933" s="5"/>
      <c r="Q933" s="5"/>
      <c r="R933" s="5"/>
      <c r="S933" s="5"/>
      <c r="T933" s="38"/>
      <c r="U933" s="1577" t="s">
        <v>820</v>
      </c>
      <c r="V933" s="1394"/>
      <c r="W933" s="1394"/>
      <c r="X933" s="1394"/>
      <c r="Y933" s="1394"/>
      <c r="Z933" s="1395"/>
      <c r="AA933" s="1578"/>
      <c r="AB933" s="1486"/>
      <c r="AC933" s="1486"/>
      <c r="AD933" s="1486"/>
      <c r="AE933" s="1486"/>
      <c r="AF933" s="1579"/>
      <c r="AZ933" s="3"/>
      <c r="BA933" s="3"/>
      <c r="BB933" s="3"/>
      <c r="BC933" s="3"/>
    </row>
    <row r="934" spans="6:55" ht="12.9" customHeight="1">
      <c r="F934" s="37" t="s">
        <v>1615</v>
      </c>
      <c r="G934" s="5"/>
      <c r="H934" s="5"/>
      <c r="I934" s="5"/>
      <c r="J934" s="5"/>
      <c r="K934" s="5"/>
      <c r="L934" s="5"/>
      <c r="M934" s="5"/>
      <c r="N934" s="5"/>
      <c r="O934" s="5"/>
      <c r="P934" s="5"/>
      <c r="Q934" s="5"/>
      <c r="R934" s="5"/>
      <c r="S934" s="5"/>
      <c r="T934" s="38"/>
      <c r="U934" s="1577" t="s">
        <v>820</v>
      </c>
      <c r="V934" s="1394"/>
      <c r="W934" s="1394"/>
      <c r="X934" s="1394"/>
      <c r="Y934" s="1394"/>
      <c r="Z934" s="1395"/>
      <c r="AA934" s="1578"/>
      <c r="AB934" s="1486"/>
      <c r="AC934" s="1486"/>
      <c r="AD934" s="1486"/>
      <c r="AE934" s="1486"/>
      <c r="AF934" s="1579"/>
      <c r="AZ934" s="3"/>
      <c r="BA934" s="3"/>
      <c r="BB934" s="3"/>
      <c r="BC934" s="3"/>
    </row>
    <row r="935" spans="6:55" ht="12.9" customHeight="1">
      <c r="F935" s="1595" t="s">
        <v>1616</v>
      </c>
      <c r="G935" s="1596"/>
      <c r="H935" s="1596"/>
      <c r="I935" s="1596"/>
      <c r="J935" s="1596"/>
      <c r="K935" s="1596"/>
      <c r="L935" s="1596"/>
      <c r="M935" s="1596"/>
      <c r="N935" s="1596"/>
      <c r="O935" s="1596"/>
      <c r="P935" s="1596"/>
      <c r="Q935" s="1596"/>
      <c r="R935" s="1596"/>
      <c r="S935" s="1596"/>
      <c r="T935" s="1597"/>
      <c r="U935" s="1577" t="s">
        <v>820</v>
      </c>
      <c r="V935" s="1394"/>
      <c r="W935" s="1394"/>
      <c r="X935" s="1394"/>
      <c r="Y935" s="1394"/>
      <c r="Z935" s="1395"/>
      <c r="AA935" s="1578"/>
      <c r="AB935" s="1486"/>
      <c r="AC935" s="1486"/>
      <c r="AD935" s="1486"/>
      <c r="AE935" s="1486"/>
      <c r="AF935" s="1579"/>
      <c r="AZ935" s="3"/>
      <c r="BA935" s="3"/>
      <c r="BB935" s="3"/>
      <c r="BC935" s="3"/>
    </row>
    <row r="936" spans="6:55" ht="12.9" customHeight="1">
      <c r="F936" s="1595" t="s">
        <v>1617</v>
      </c>
      <c r="G936" s="1596"/>
      <c r="H936" s="1596"/>
      <c r="I936" s="1596"/>
      <c r="J936" s="1596"/>
      <c r="K936" s="1596"/>
      <c r="L936" s="1596"/>
      <c r="M936" s="1596"/>
      <c r="N936" s="1596"/>
      <c r="O936" s="1596"/>
      <c r="P936" s="1596"/>
      <c r="Q936" s="1596"/>
      <c r="R936" s="1596"/>
      <c r="S936" s="1596"/>
      <c r="T936" s="1597"/>
      <c r="U936" s="1577" t="s">
        <v>820</v>
      </c>
      <c r="V936" s="1394"/>
      <c r="W936" s="1394"/>
      <c r="X936" s="1394"/>
      <c r="Y936" s="1394"/>
      <c r="Z936" s="1395"/>
      <c r="AA936" s="1578"/>
      <c r="AB936" s="1486"/>
      <c r="AC936" s="1486"/>
      <c r="AD936" s="1486"/>
      <c r="AE936" s="1486"/>
      <c r="AF936" s="1579"/>
      <c r="AU936" s="2"/>
      <c r="AZ936" s="3"/>
      <c r="BA936" s="3"/>
      <c r="BB936" s="3"/>
      <c r="BC936" s="3"/>
    </row>
    <row r="937" spans="6:55" ht="12.9" customHeight="1">
      <c r="F937" s="1595" t="s">
        <v>1618</v>
      </c>
      <c r="G937" s="1596"/>
      <c r="H937" s="1596"/>
      <c r="I937" s="1596"/>
      <c r="J937" s="1596"/>
      <c r="K937" s="1596"/>
      <c r="L937" s="1596"/>
      <c r="M937" s="1596"/>
      <c r="N937" s="1596"/>
      <c r="O937" s="1596"/>
      <c r="P937" s="1596"/>
      <c r="Q937" s="1596"/>
      <c r="R937" s="1596"/>
      <c r="S937" s="1596"/>
      <c r="T937" s="1597"/>
      <c r="U937" s="1577" t="s">
        <v>820</v>
      </c>
      <c r="V937" s="1394"/>
      <c r="W937" s="1394"/>
      <c r="X937" s="1394"/>
      <c r="Y937" s="1394"/>
      <c r="Z937" s="1395"/>
      <c r="AA937" s="1578"/>
      <c r="AB937" s="1486"/>
      <c r="AC937" s="1486"/>
      <c r="AD937" s="1486"/>
      <c r="AE937" s="1486"/>
      <c r="AF937" s="1579"/>
      <c r="AU937" s="2"/>
      <c r="AZ937" s="3"/>
      <c r="BA937" s="3"/>
      <c r="BB937" s="3"/>
      <c r="BC937" s="3"/>
    </row>
    <row r="938" spans="6:55" ht="12.9" customHeight="1">
      <c r="F938" s="1595" t="s">
        <v>1619</v>
      </c>
      <c r="G938" s="1596"/>
      <c r="H938" s="1596"/>
      <c r="I938" s="1596"/>
      <c r="J938" s="1596"/>
      <c r="K938" s="1596"/>
      <c r="L938" s="1596"/>
      <c r="M938" s="1596"/>
      <c r="N938" s="1596"/>
      <c r="O938" s="1596"/>
      <c r="P938" s="1596"/>
      <c r="Q938" s="1596"/>
      <c r="R938" s="1596"/>
      <c r="S938" s="1596"/>
      <c r="T938" s="1597"/>
      <c r="U938" s="1577" t="s">
        <v>820</v>
      </c>
      <c r="V938" s="1394"/>
      <c r="W938" s="1394"/>
      <c r="X938" s="1394"/>
      <c r="Y938" s="1394"/>
      <c r="Z938" s="1395"/>
      <c r="AA938" s="1578"/>
      <c r="AB938" s="1486"/>
      <c r="AC938" s="1486"/>
      <c r="AD938" s="1486"/>
      <c r="AE938" s="1486"/>
      <c r="AF938" s="1579"/>
      <c r="AU938" s="2"/>
      <c r="AZ938" s="3"/>
      <c r="BA938" s="3"/>
      <c r="BB938" s="3"/>
      <c r="BC938" s="3"/>
    </row>
    <row r="939" spans="6:55" ht="12.9" customHeight="1">
      <c r="F939" s="1595" t="s">
        <v>1620</v>
      </c>
      <c r="G939" s="1596"/>
      <c r="H939" s="1596"/>
      <c r="I939" s="1596"/>
      <c r="J939" s="1596"/>
      <c r="K939" s="1596"/>
      <c r="L939" s="1596"/>
      <c r="M939" s="1596"/>
      <c r="N939" s="1596"/>
      <c r="O939" s="1596"/>
      <c r="P939" s="1596"/>
      <c r="Q939" s="1596"/>
      <c r="R939" s="1596"/>
      <c r="S939" s="1596"/>
      <c r="T939" s="1597"/>
      <c r="U939" s="1577" t="s">
        <v>820</v>
      </c>
      <c r="V939" s="1394"/>
      <c r="W939" s="1394"/>
      <c r="X939" s="1394"/>
      <c r="Y939" s="1394"/>
      <c r="Z939" s="1395"/>
      <c r="AA939" s="1578"/>
      <c r="AB939" s="1486"/>
      <c r="AC939" s="1486"/>
      <c r="AD939" s="1486"/>
      <c r="AE939" s="1486"/>
      <c r="AF939" s="1579"/>
      <c r="AU939" s="2"/>
      <c r="AZ939" s="3"/>
      <c r="BA939" s="3"/>
      <c r="BB939" s="3"/>
      <c r="BC939" s="3"/>
    </row>
    <row r="940" spans="6:55" ht="12.9" customHeight="1">
      <c r="F940" s="1595" t="s">
        <v>1621</v>
      </c>
      <c r="G940" s="1596"/>
      <c r="H940" s="1596"/>
      <c r="I940" s="1596"/>
      <c r="J940" s="1596"/>
      <c r="K940" s="1596"/>
      <c r="L940" s="1596"/>
      <c r="M940" s="1596"/>
      <c r="N940" s="1596"/>
      <c r="O940" s="1596"/>
      <c r="P940" s="1596"/>
      <c r="Q940" s="1596"/>
      <c r="R940" s="1596"/>
      <c r="S940" s="1596"/>
      <c r="T940" s="1597"/>
      <c r="U940" s="1577" t="s">
        <v>820</v>
      </c>
      <c r="V940" s="1394"/>
      <c r="W940" s="1394"/>
      <c r="X940" s="1394"/>
      <c r="Y940" s="1394"/>
      <c r="Z940" s="1395"/>
      <c r="AA940" s="1578"/>
      <c r="AB940" s="1486"/>
      <c r="AC940" s="1486"/>
      <c r="AD940" s="1486"/>
      <c r="AE940" s="1486"/>
      <c r="AF940" s="1579"/>
      <c r="AU940" s="2"/>
      <c r="AZ940" s="3"/>
      <c r="BA940" s="3"/>
      <c r="BB940" s="3"/>
      <c r="BC940" s="3"/>
    </row>
    <row r="941" spans="6:55" ht="12.9" customHeight="1">
      <c r="F941" s="1595" t="s">
        <v>1622</v>
      </c>
      <c r="G941" s="1596"/>
      <c r="H941" s="1596"/>
      <c r="I941" s="1596"/>
      <c r="J941" s="1596"/>
      <c r="K941" s="1596"/>
      <c r="L941" s="1596"/>
      <c r="M941" s="1596"/>
      <c r="N941" s="1596"/>
      <c r="O941" s="1596"/>
      <c r="P941" s="1596"/>
      <c r="Q941" s="1596"/>
      <c r="R941" s="1596"/>
      <c r="S941" s="1596"/>
      <c r="T941" s="1597"/>
      <c r="U941" s="1577" t="s">
        <v>820</v>
      </c>
      <c r="V941" s="1394"/>
      <c r="W941" s="1394"/>
      <c r="X941" s="1394"/>
      <c r="Y941" s="1394"/>
      <c r="Z941" s="1395"/>
      <c r="AA941" s="1578"/>
      <c r="AB941" s="1486"/>
      <c r="AC941" s="1486"/>
      <c r="AD941" s="1486"/>
      <c r="AE941" s="1486"/>
      <c r="AF941" s="1579"/>
      <c r="AZ941" s="25"/>
      <c r="BA941" s="25"/>
    </row>
    <row r="942" spans="6:55" ht="12.9" customHeight="1">
      <c r="F942" s="123" t="s">
        <v>1623</v>
      </c>
      <c r="G942" s="5"/>
      <c r="H942" s="5"/>
      <c r="I942" s="5"/>
      <c r="J942" s="5"/>
      <c r="K942" s="5"/>
      <c r="L942" s="5"/>
      <c r="M942" s="5"/>
      <c r="N942" s="5"/>
      <c r="O942" s="5"/>
      <c r="P942" s="5"/>
      <c r="Q942" s="5"/>
      <c r="R942" s="5"/>
      <c r="S942" s="5"/>
      <c r="T942" s="38"/>
      <c r="U942" s="1577" t="s">
        <v>820</v>
      </c>
      <c r="V942" s="1394"/>
      <c r="W942" s="1394"/>
      <c r="X942" s="1394"/>
      <c r="Y942" s="1394"/>
      <c r="Z942" s="1395"/>
      <c r="AA942" s="1578"/>
      <c r="AB942" s="1486"/>
      <c r="AC942" s="1486"/>
      <c r="AD942" s="1486"/>
      <c r="AE942" s="1486"/>
      <c r="AF942" s="1579"/>
    </row>
    <row r="943" spans="6:55" ht="12.9" customHeight="1">
      <c r="F943" s="87" t="s">
        <v>1624</v>
      </c>
      <c r="G943" s="5"/>
      <c r="H943" s="5"/>
      <c r="I943" s="5"/>
      <c r="J943" s="5"/>
      <c r="K943" s="5"/>
      <c r="L943" s="5"/>
      <c r="M943" s="5"/>
      <c r="N943" s="5"/>
      <c r="O943" s="5"/>
      <c r="P943" s="5"/>
      <c r="Q943" s="5"/>
      <c r="R943" s="5"/>
      <c r="S943" s="5"/>
      <c r="T943" s="38"/>
      <c r="U943" s="1577" t="s">
        <v>820</v>
      </c>
      <c r="V943" s="1394"/>
      <c r="W943" s="1394"/>
      <c r="X943" s="1394"/>
      <c r="Y943" s="1394"/>
      <c r="Z943" s="1395"/>
      <c r="AA943" s="1578"/>
      <c r="AB943" s="1486"/>
      <c r="AC943" s="1486"/>
      <c r="AD943" s="1486"/>
      <c r="AE943" s="1486"/>
      <c r="AF943" s="1579"/>
      <c r="AZ943" s="25"/>
      <c r="BA943" s="13"/>
    </row>
    <row r="944" spans="6:55" ht="12.9" customHeight="1">
      <c r="F944" s="87" t="s">
        <v>1625</v>
      </c>
      <c r="G944" s="5"/>
      <c r="H944" s="5"/>
      <c r="I944" s="5"/>
      <c r="J944" s="5"/>
      <c r="K944" s="5"/>
      <c r="L944" s="5"/>
      <c r="M944" s="5"/>
      <c r="N944" s="5"/>
      <c r="O944" s="5"/>
      <c r="P944" s="5"/>
      <c r="Q944" s="5"/>
      <c r="R944" s="5"/>
      <c r="S944" s="5"/>
      <c r="T944" s="38"/>
      <c r="U944" s="1577" t="s">
        <v>820</v>
      </c>
      <c r="V944" s="1394"/>
      <c r="W944" s="1394"/>
      <c r="X944" s="1394"/>
      <c r="Y944" s="1394"/>
      <c r="Z944" s="1395"/>
      <c r="AA944" s="1578"/>
      <c r="AB944" s="1486"/>
      <c r="AC944" s="1486"/>
      <c r="AD944" s="1486"/>
      <c r="AE944" s="1486"/>
      <c r="AF944" s="1579"/>
      <c r="AZ944" s="25"/>
      <c r="BA944" s="13"/>
    </row>
    <row r="945" spans="6:55" ht="12.9" customHeight="1">
      <c r="F945" s="1574" t="s">
        <v>1626</v>
      </c>
      <c r="G945" s="1575"/>
      <c r="H945" s="1575"/>
      <c r="I945" s="1575"/>
      <c r="J945" s="1575"/>
      <c r="K945" s="1575"/>
      <c r="L945" s="1575"/>
      <c r="M945" s="1575"/>
      <c r="N945" s="1575"/>
      <c r="O945" s="1575"/>
      <c r="P945" s="1575"/>
      <c r="Q945" s="1575"/>
      <c r="R945" s="1575"/>
      <c r="S945" s="1575"/>
      <c r="T945" s="1576"/>
      <c r="U945" s="1577" t="s">
        <v>820</v>
      </c>
      <c r="V945" s="1394"/>
      <c r="W945" s="1394"/>
      <c r="X945" s="1394"/>
      <c r="Y945" s="1394"/>
      <c r="Z945" s="1395"/>
      <c r="AA945" s="1578"/>
      <c r="AB945" s="1486"/>
      <c r="AC945" s="1486"/>
      <c r="AD945" s="1486"/>
      <c r="AE945" s="1486"/>
      <c r="AF945" s="1579"/>
      <c r="AZ945" s="25"/>
      <c r="BA945" s="13"/>
    </row>
    <row r="946" spans="6:55" ht="12.9" customHeight="1">
      <c r="F946" s="1574" t="s">
        <v>1627</v>
      </c>
      <c r="G946" s="1575"/>
      <c r="H946" s="1575"/>
      <c r="I946" s="1575"/>
      <c r="J946" s="1575"/>
      <c r="K946" s="1575"/>
      <c r="L946" s="1575"/>
      <c r="M946" s="1575"/>
      <c r="N946" s="1575"/>
      <c r="O946" s="1575"/>
      <c r="P946" s="1575"/>
      <c r="Q946" s="1575"/>
      <c r="R946" s="1575"/>
      <c r="S946" s="1575"/>
      <c r="T946" s="1576"/>
      <c r="U946" s="1577" t="s">
        <v>820</v>
      </c>
      <c r="V946" s="1394"/>
      <c r="W946" s="1394"/>
      <c r="X946" s="1394"/>
      <c r="Y946" s="1394"/>
      <c r="Z946" s="1395"/>
      <c r="AA946" s="1578"/>
      <c r="AB946" s="1486"/>
      <c r="AC946" s="1486"/>
      <c r="AD946" s="1486"/>
      <c r="AE946" s="1486"/>
      <c r="AF946" s="1579"/>
      <c r="AZ946" s="25"/>
      <c r="BA946" s="25"/>
    </row>
    <row r="947" spans="6:55" ht="12.9" customHeight="1">
      <c r="F947" s="1595" t="s">
        <v>1628</v>
      </c>
      <c r="G947" s="1596"/>
      <c r="H947" s="1596"/>
      <c r="I947" s="1596"/>
      <c r="J947" s="1596"/>
      <c r="K947" s="1596"/>
      <c r="L947" s="1596"/>
      <c r="M947" s="1596"/>
      <c r="N947" s="1596"/>
      <c r="O947" s="1596"/>
      <c r="P947" s="1596"/>
      <c r="Q947" s="1596"/>
      <c r="R947" s="1596"/>
      <c r="S947" s="1596"/>
      <c r="T947" s="1597"/>
      <c r="U947" s="1577" t="s">
        <v>820</v>
      </c>
      <c r="V947" s="1394"/>
      <c r="W947" s="1394"/>
      <c r="X947" s="1394"/>
      <c r="Y947" s="1394"/>
      <c r="Z947" s="1395"/>
      <c r="AA947" s="1578"/>
      <c r="AB947" s="1486"/>
      <c r="AC947" s="1486"/>
      <c r="AD947" s="1486"/>
      <c r="AE947" s="1486"/>
      <c r="AF947" s="1579"/>
      <c r="AZ947" s="25"/>
      <c r="BA947" s="25"/>
    </row>
    <row r="948" spans="6:55" ht="12.9" customHeight="1">
      <c r="F948" s="1595" t="s">
        <v>1629</v>
      </c>
      <c r="G948" s="1596"/>
      <c r="H948" s="1596"/>
      <c r="I948" s="1596"/>
      <c r="J948" s="1596"/>
      <c r="K948" s="1596"/>
      <c r="L948" s="1596"/>
      <c r="M948" s="1596"/>
      <c r="N948" s="1596"/>
      <c r="O948" s="1596"/>
      <c r="P948" s="1596"/>
      <c r="Q948" s="1596"/>
      <c r="R948" s="1596"/>
      <c r="S948" s="1596"/>
      <c r="T948" s="1597"/>
      <c r="U948" s="1577" t="s">
        <v>820</v>
      </c>
      <c r="V948" s="1394"/>
      <c r="W948" s="1394"/>
      <c r="X948" s="1394"/>
      <c r="Y948" s="1394"/>
      <c r="Z948" s="1395"/>
      <c r="AA948" s="1578"/>
      <c r="AB948" s="1486"/>
      <c r="AC948" s="1486"/>
      <c r="AD948" s="1486"/>
      <c r="AE948" s="1486"/>
      <c r="AF948" s="1579"/>
      <c r="AZ948" s="25"/>
      <c r="BA948" s="25"/>
    </row>
    <row r="949" spans="6:55" ht="12.9" customHeight="1">
      <c r="F949" s="1595" t="s">
        <v>1630</v>
      </c>
      <c r="G949" s="1596"/>
      <c r="H949" s="1596"/>
      <c r="I949" s="1596"/>
      <c r="J949" s="1596"/>
      <c r="K949" s="1596"/>
      <c r="L949" s="1596"/>
      <c r="M949" s="1596"/>
      <c r="N949" s="1596"/>
      <c r="O949" s="1596"/>
      <c r="P949" s="1596"/>
      <c r="Q949" s="1596"/>
      <c r="R949" s="1596"/>
      <c r="S949" s="1596"/>
      <c r="T949" s="1597"/>
      <c r="U949" s="1577" t="s">
        <v>820</v>
      </c>
      <c r="V949" s="1394"/>
      <c r="W949" s="1394"/>
      <c r="X949" s="1394"/>
      <c r="Y949" s="1394"/>
      <c r="Z949" s="1395"/>
      <c r="AA949" s="1578"/>
      <c r="AB949" s="1486"/>
      <c r="AC949" s="1486"/>
      <c r="AD949" s="1486"/>
      <c r="AE949" s="1486"/>
      <c r="AF949" s="1579"/>
      <c r="AZ949" s="3"/>
      <c r="BA949" s="3"/>
      <c r="BB949" s="13"/>
      <c r="BC949" s="13"/>
    </row>
    <row r="950" spans="6:55" ht="12.9" customHeight="1">
      <c r="F950" s="87" t="s">
        <v>1631</v>
      </c>
      <c r="G950" s="5"/>
      <c r="H950" s="5"/>
      <c r="I950" s="5"/>
      <c r="J950" s="5"/>
      <c r="K950" s="5"/>
      <c r="L950" s="5"/>
      <c r="M950" s="5"/>
      <c r="N950" s="5"/>
      <c r="O950" s="5"/>
      <c r="P950" s="5"/>
      <c r="Q950" s="5"/>
      <c r="R950" s="5"/>
      <c r="S950" s="5"/>
      <c r="T950" s="38"/>
      <c r="U950" s="1577" t="s">
        <v>820</v>
      </c>
      <c r="V950" s="1394"/>
      <c r="W950" s="1394"/>
      <c r="X950" s="1394"/>
      <c r="Y950" s="1394"/>
      <c r="Z950" s="1395"/>
      <c r="AA950" s="1578"/>
      <c r="AB950" s="1486"/>
      <c r="AC950" s="1486"/>
      <c r="AD950" s="1486"/>
      <c r="AE950" s="1486"/>
      <c r="AF950" s="1579"/>
      <c r="AZ950" s="3"/>
      <c r="BA950" s="3"/>
      <c r="BB950" s="13"/>
      <c r="BC950" s="13"/>
    </row>
    <row r="951" spans="6:55" ht="12.9" customHeight="1">
      <c r="F951" s="1574" t="s">
        <v>1632</v>
      </c>
      <c r="G951" s="1575"/>
      <c r="H951" s="1575"/>
      <c r="I951" s="1575"/>
      <c r="J951" s="1575"/>
      <c r="K951" s="1575"/>
      <c r="L951" s="1575"/>
      <c r="M951" s="1575"/>
      <c r="N951" s="1575"/>
      <c r="O951" s="1575"/>
      <c r="P951" s="1575"/>
      <c r="Q951" s="1575"/>
      <c r="R951" s="1575"/>
      <c r="S951" s="1575"/>
      <c r="T951" s="1576"/>
      <c r="U951" s="1577" t="s">
        <v>820</v>
      </c>
      <c r="V951" s="1394"/>
      <c r="W951" s="1394"/>
      <c r="X951" s="1394"/>
      <c r="Y951" s="1394"/>
      <c r="Z951" s="1395"/>
      <c r="AA951" s="1578"/>
      <c r="AB951" s="1486"/>
      <c r="AC951" s="1486"/>
      <c r="AD951" s="1486"/>
      <c r="AE951" s="1486"/>
      <c r="AF951" s="1579"/>
      <c r="AZ951" s="3"/>
      <c r="BA951" s="3"/>
      <c r="BB951" s="3"/>
      <c r="BC951" s="3"/>
    </row>
    <row r="952" spans="6:55" ht="12.9" customHeight="1">
      <c r="F952" s="87" t="s">
        <v>1633</v>
      </c>
      <c r="G952" s="5"/>
      <c r="H952" s="5"/>
      <c r="I952" s="5"/>
      <c r="J952" s="5"/>
      <c r="K952" s="5"/>
      <c r="L952" s="5"/>
      <c r="M952" s="5"/>
      <c r="N952" s="5"/>
      <c r="O952" s="5"/>
      <c r="P952" s="5"/>
      <c r="Q952" s="5"/>
      <c r="R952" s="5"/>
      <c r="S952" s="5"/>
      <c r="T952" s="38"/>
      <c r="U952" s="1577" t="s">
        <v>820</v>
      </c>
      <c r="V952" s="1394"/>
      <c r="W952" s="1394"/>
      <c r="X952" s="1394"/>
      <c r="Y952" s="1394"/>
      <c r="Z952" s="1395"/>
      <c r="AA952" s="1578"/>
      <c r="AB952" s="1486"/>
      <c r="AC952" s="1486"/>
      <c r="AD952" s="1486"/>
      <c r="AE952" s="1486"/>
      <c r="AF952" s="1579"/>
      <c r="AZ952" s="3"/>
      <c r="BA952" s="3"/>
      <c r="BB952" s="3"/>
      <c r="BC952" s="3"/>
    </row>
    <row r="953" spans="6:55" ht="12.9" customHeight="1">
      <c r="F953" s="1574" t="s">
        <v>1634</v>
      </c>
      <c r="G953" s="1575"/>
      <c r="H953" s="1575"/>
      <c r="I953" s="1575"/>
      <c r="J953" s="1575"/>
      <c r="K953" s="1575"/>
      <c r="L953" s="1575"/>
      <c r="M953" s="1575"/>
      <c r="N953" s="1575"/>
      <c r="O953" s="1575"/>
      <c r="P953" s="1575"/>
      <c r="Q953" s="1575"/>
      <c r="R953" s="1575"/>
      <c r="S953" s="1575"/>
      <c r="T953" s="1576"/>
      <c r="U953" s="1577" t="s">
        <v>820</v>
      </c>
      <c r="V953" s="1394"/>
      <c r="W953" s="1394"/>
      <c r="X953" s="1394"/>
      <c r="Y953" s="1394"/>
      <c r="Z953" s="1395"/>
      <c r="AA953" s="1578"/>
      <c r="AB953" s="1486"/>
      <c r="AC953" s="1486"/>
      <c r="AD953" s="1486"/>
      <c r="AE953" s="1486"/>
      <c r="AF953" s="1579"/>
      <c r="AZ953" s="3"/>
      <c r="BA953" s="3"/>
      <c r="BB953" s="3"/>
      <c r="BC953" s="3"/>
    </row>
    <row r="954" spans="6:55" ht="12.9" customHeight="1">
      <c r="F954" s="37" t="s">
        <v>1635</v>
      </c>
      <c r="G954" s="5"/>
      <c r="H954" s="5"/>
      <c r="I954" s="5"/>
      <c r="J954" s="5"/>
      <c r="K954" s="5"/>
      <c r="L954" s="5"/>
      <c r="M954" s="5"/>
      <c r="N954" s="5"/>
      <c r="O954" s="5"/>
      <c r="P954" s="1577" t="s">
        <v>698</v>
      </c>
      <c r="Q954" s="1394"/>
      <c r="R954" s="1394"/>
      <c r="S954" s="1394"/>
      <c r="T954" s="1395"/>
      <c r="U954" s="1577" t="s">
        <v>820</v>
      </c>
      <c r="V954" s="1394"/>
      <c r="W954" s="1394"/>
      <c r="X954" s="1394"/>
      <c r="Y954" s="1394"/>
      <c r="Z954" s="1395"/>
      <c r="AA954" s="1578"/>
      <c r="AB954" s="1486"/>
      <c r="AC954" s="1486"/>
      <c r="AD954" s="1486"/>
      <c r="AE954" s="1486"/>
      <c r="AF954" s="1579"/>
      <c r="AZ954" s="3"/>
      <c r="BA954" s="3"/>
      <c r="BB954" s="3"/>
      <c r="BC954" s="3"/>
    </row>
    <row r="955" spans="6:55" ht="12.9" customHeight="1">
      <c r="F955" s="1595" t="s">
        <v>1636</v>
      </c>
      <c r="G955" s="1596"/>
      <c r="H955" s="1597"/>
      <c r="I955" s="1564" t="s">
        <v>1354</v>
      </c>
      <c r="J955" s="1565"/>
      <c r="K955" s="1565"/>
      <c r="L955" s="1565"/>
      <c r="M955" s="1565"/>
      <c r="N955" s="1565"/>
      <c r="O955" s="1565"/>
      <c r="P955" s="1565"/>
      <c r="Q955" s="1565"/>
      <c r="R955" s="1565"/>
      <c r="S955" s="1565"/>
      <c r="T955" s="1566"/>
      <c r="U955" s="1577" t="s">
        <v>820</v>
      </c>
      <c r="V955" s="1394"/>
      <c r="W955" s="1394"/>
      <c r="X955" s="1394"/>
      <c r="Y955" s="1394"/>
      <c r="Z955" s="1395"/>
      <c r="AA955" s="1578"/>
      <c r="AB955" s="1486"/>
      <c r="AC955" s="1486"/>
      <c r="AD955" s="1486"/>
      <c r="AE955" s="1486"/>
      <c r="AF955" s="1579"/>
      <c r="AZ955" s="3"/>
      <c r="BA955" s="3"/>
      <c r="BB955" s="3"/>
      <c r="BC955" s="3"/>
    </row>
    <row r="956" spans="6:55" ht="12.9" customHeight="1">
      <c r="F956" s="37" t="s">
        <v>1077</v>
      </c>
      <c r="G956" s="40"/>
      <c r="H956" s="40"/>
      <c r="I956" s="1564" t="s">
        <v>1354</v>
      </c>
      <c r="J956" s="1565"/>
      <c r="K956" s="1565"/>
      <c r="L956" s="1565"/>
      <c r="M956" s="1565"/>
      <c r="N956" s="1565"/>
      <c r="O956" s="1565"/>
      <c r="P956" s="1565"/>
      <c r="Q956" s="1565"/>
      <c r="R956" s="1565"/>
      <c r="S956" s="1565"/>
      <c r="T956" s="1566"/>
      <c r="U956" s="1577" t="s">
        <v>820</v>
      </c>
      <c r="V956" s="1394"/>
      <c r="W956" s="1394"/>
      <c r="X956" s="1394"/>
      <c r="Y956" s="1394"/>
      <c r="Z956" s="1395"/>
      <c r="AA956" s="1578"/>
      <c r="AB956" s="1486"/>
      <c r="AC956" s="1486"/>
      <c r="AD956" s="1486"/>
      <c r="AE956" s="1486"/>
      <c r="AF956" s="1579"/>
      <c r="AZ956" s="3"/>
      <c r="BA956" s="3"/>
      <c r="BB956" s="3"/>
      <c r="BC956" s="3"/>
    </row>
    <row r="957" spans="6:55" ht="12.9" customHeight="1">
      <c r="F957" s="37" t="s">
        <v>1637</v>
      </c>
      <c r="G957" s="40"/>
      <c r="H957" s="40"/>
      <c r="I957" s="1564" t="s">
        <v>1354</v>
      </c>
      <c r="J957" s="1565"/>
      <c r="K957" s="1565"/>
      <c r="L957" s="1565"/>
      <c r="M957" s="1565"/>
      <c r="N957" s="1565"/>
      <c r="O957" s="1565"/>
      <c r="P957" s="1565"/>
      <c r="Q957" s="1565"/>
      <c r="R957" s="1565"/>
      <c r="S957" s="1565"/>
      <c r="T957" s="1566"/>
      <c r="U957" s="1577" t="s">
        <v>820</v>
      </c>
      <c r="V957" s="1394"/>
      <c r="W957" s="1394"/>
      <c r="X957" s="1394"/>
      <c r="Y957" s="1394"/>
      <c r="Z957" s="1395"/>
      <c r="AA957" s="1578"/>
      <c r="AB957" s="1486"/>
      <c r="AC957" s="1486"/>
      <c r="AD957" s="1486"/>
      <c r="AE957" s="1486"/>
      <c r="AF957" s="1579"/>
      <c r="AV957" s="2"/>
      <c r="AW957" s="2"/>
      <c r="AX957" s="2"/>
      <c r="AY957" s="2"/>
      <c r="AZ957" s="3"/>
      <c r="BA957" s="3"/>
      <c r="BB957" s="3"/>
      <c r="BC957" s="3"/>
    </row>
    <row r="958" spans="6:55" ht="12.9" customHeight="1">
      <c r="F958" s="39" t="s">
        <v>233</v>
      </c>
      <c r="G958" s="40"/>
      <c r="H958" s="40"/>
      <c r="I958" s="1564" t="str">
        <f>C564</f>
        <v>Keybank - Taxable Construction</v>
      </c>
      <c r="J958" s="1565"/>
      <c r="K958" s="1565"/>
      <c r="L958" s="1565"/>
      <c r="M958" s="1565"/>
      <c r="N958" s="1565"/>
      <c r="O958" s="1565"/>
      <c r="P958" s="1565"/>
      <c r="Q958" s="1565"/>
      <c r="R958" s="1565"/>
      <c r="S958" s="1565"/>
      <c r="T958" s="1566"/>
      <c r="U958" s="1577" t="s">
        <v>856</v>
      </c>
      <c r="V958" s="1394"/>
      <c r="W958" s="1394"/>
      <c r="X958" s="1394"/>
      <c r="Y958" s="1394"/>
      <c r="Z958" s="1395"/>
      <c r="AA958" s="1578">
        <f>AM564</f>
        <v>20000000</v>
      </c>
      <c r="AB958" s="1486"/>
      <c r="AC958" s="1486"/>
      <c r="AD958" s="1486"/>
      <c r="AE958" s="1486"/>
      <c r="AF958" s="1579"/>
      <c r="AU958" s="2"/>
      <c r="AZ958" s="3"/>
      <c r="BA958" s="3"/>
      <c r="BB958" s="3"/>
      <c r="BC958" s="3"/>
    </row>
    <row r="959" spans="6:55" ht="12.9" customHeight="1">
      <c r="F959" s="39" t="s">
        <v>233</v>
      </c>
      <c r="G959" s="40"/>
      <c r="H959" s="40"/>
      <c r="I959" s="1564" t="s">
        <v>1354</v>
      </c>
      <c r="J959" s="1565"/>
      <c r="K959" s="1565"/>
      <c r="L959" s="1565"/>
      <c r="M959" s="1565"/>
      <c r="N959" s="1565"/>
      <c r="O959" s="1565"/>
      <c r="P959" s="1565"/>
      <c r="Q959" s="1565"/>
      <c r="R959" s="1565"/>
      <c r="S959" s="1565"/>
      <c r="T959" s="1566"/>
      <c r="U959" s="1577" t="s">
        <v>820</v>
      </c>
      <c r="V959" s="1394"/>
      <c r="W959" s="1394"/>
      <c r="X959" s="1394"/>
      <c r="Y959" s="1394"/>
      <c r="Z959" s="1395"/>
      <c r="AA959" s="1578"/>
      <c r="AB959" s="1486"/>
      <c r="AC959" s="1486"/>
      <c r="AD959" s="1486"/>
      <c r="AE959" s="1486"/>
      <c r="AF959" s="1579"/>
      <c r="AU959" s="2"/>
      <c r="AZ959" s="3"/>
      <c r="BA959" s="3"/>
      <c r="BB959" s="3"/>
      <c r="BC959" s="3"/>
    </row>
    <row r="960" spans="6:55" ht="12.9" customHeight="1">
      <c r="AU960" s="2"/>
      <c r="AZ960" s="3"/>
      <c r="BA960" s="3"/>
      <c r="BB960" s="3"/>
      <c r="BC960" s="3"/>
    </row>
    <row r="961" spans="1:64" ht="12.9" customHeight="1">
      <c r="A961" s="2" t="s">
        <v>922</v>
      </c>
      <c r="C961" s="2" t="s">
        <v>247</v>
      </c>
      <c r="AZ961" s="3"/>
      <c r="BA961" s="3"/>
      <c r="BB961" s="3"/>
      <c r="BC961" s="3"/>
    </row>
    <row r="962" spans="1:64" ht="12.9" customHeight="1">
      <c r="B962" s="2"/>
      <c r="C962" s="19" t="s">
        <v>1638</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 customHeight="1">
      <c r="AZ963" s="3"/>
      <c r="BA963" s="3"/>
      <c r="BB963" s="3"/>
      <c r="BC963" s="3"/>
    </row>
    <row r="964" spans="1:64" ht="12.9" customHeight="1">
      <c r="C964" s="87" t="s">
        <v>1639</v>
      </c>
      <c r="D964" s="5"/>
      <c r="E964" s="5"/>
      <c r="F964" s="5"/>
      <c r="G964" s="5"/>
      <c r="H964" s="5"/>
      <c r="I964" s="5"/>
      <c r="J964" s="5"/>
      <c r="K964" s="5"/>
      <c r="L964" s="38"/>
      <c r="M964" s="1632">
        <v>46296</v>
      </c>
      <c r="N964" s="1482"/>
      <c r="O964" s="1482"/>
      <c r="P964" s="1482"/>
      <c r="Q964" s="1482"/>
      <c r="R964" s="1482"/>
      <c r="S964" s="1563"/>
      <c r="U964" s="87" t="s">
        <v>1639</v>
      </c>
      <c r="V964" s="5"/>
      <c r="W964" s="5"/>
      <c r="X964" s="5"/>
      <c r="Y964" s="5"/>
      <c r="Z964" s="5"/>
      <c r="AA964" s="5"/>
      <c r="AB964" s="5"/>
      <c r="AC964" s="5"/>
      <c r="AD964" s="38"/>
      <c r="AE964" s="1632"/>
      <c r="AF964" s="1482"/>
      <c r="AG964" s="1482"/>
      <c r="AH964" s="1482"/>
      <c r="AI964" s="1482"/>
      <c r="AJ964" s="1482"/>
      <c r="AK964" s="1563"/>
      <c r="AZ964" s="3"/>
      <c r="BA964" s="3"/>
      <c r="BB964" s="3"/>
      <c r="BC964" s="3"/>
    </row>
    <row r="965" spans="1:64" ht="12.9" customHeight="1">
      <c r="C965" s="87" t="s">
        <v>1640</v>
      </c>
      <c r="D965" s="5"/>
      <c r="E965" s="5"/>
      <c r="F965" s="5"/>
      <c r="G965" s="5"/>
      <c r="H965" s="5"/>
      <c r="I965" s="5"/>
      <c r="J965" s="5"/>
      <c r="K965" s="5"/>
      <c r="L965" s="38"/>
      <c r="M965" s="1636" t="s">
        <v>1546</v>
      </c>
      <c r="N965" s="1433"/>
      <c r="O965" s="1433"/>
      <c r="P965" s="1433"/>
      <c r="Q965" s="1433"/>
      <c r="R965" s="1433"/>
      <c r="S965" s="1637"/>
      <c r="U965" s="87" t="s">
        <v>1640</v>
      </c>
      <c r="V965" s="5"/>
      <c r="W965" s="5"/>
      <c r="X965" s="5"/>
      <c r="Y965" s="5"/>
      <c r="Z965" s="5"/>
      <c r="AA965" s="5"/>
      <c r="AB965" s="5"/>
      <c r="AC965" s="5"/>
      <c r="AD965" s="38"/>
      <c r="AE965" s="1636"/>
      <c r="AF965" s="1433"/>
      <c r="AG965" s="1433"/>
      <c r="AH965" s="1433"/>
      <c r="AI965" s="1433"/>
      <c r="AJ965" s="1433"/>
      <c r="AK965" s="1637"/>
      <c r="AZ965" s="3"/>
      <c r="BA965" s="3"/>
      <c r="BB965" s="3"/>
      <c r="BC965" s="3"/>
    </row>
    <row r="966" spans="1:64" ht="12.9" customHeight="1">
      <c r="C966" s="87" t="s">
        <v>1641</v>
      </c>
      <c r="D966" s="5"/>
      <c r="E966" s="5"/>
      <c r="J966" s="1691" t="s">
        <v>1642</v>
      </c>
      <c r="K966" s="1692"/>
      <c r="L966" s="1692"/>
      <c r="M966" s="1692"/>
      <c r="N966" s="1692"/>
      <c r="O966" s="1692"/>
      <c r="P966" s="1692"/>
      <c r="Q966" s="1692"/>
      <c r="R966" s="1692"/>
      <c r="S966" s="1693"/>
      <c r="U966" s="87" t="s">
        <v>1641</v>
      </c>
      <c r="V966" s="5"/>
      <c r="W966" s="5"/>
      <c r="AB966" s="1691" t="s">
        <v>311</v>
      </c>
      <c r="AC966" s="1692"/>
      <c r="AD966" s="1692"/>
      <c r="AE966" s="1692"/>
      <c r="AF966" s="1692"/>
      <c r="AG966" s="1692"/>
      <c r="AH966" s="1692"/>
      <c r="AI966" s="1692"/>
      <c r="AJ966" s="1692"/>
      <c r="AK966" s="1693"/>
      <c r="AZ966" s="3"/>
      <c r="BA966" s="3"/>
      <c r="BB966" s="3"/>
      <c r="BC966" s="3"/>
    </row>
    <row r="967" spans="1:64" ht="12.9" customHeight="1">
      <c r="C967" s="87" t="s">
        <v>1643</v>
      </c>
      <c r="D967" s="5"/>
      <c r="E967" s="5"/>
      <c r="F967" s="5"/>
      <c r="G967" s="5"/>
      <c r="H967" s="5"/>
      <c r="I967" s="5"/>
      <c r="J967" s="5"/>
      <c r="K967" s="5"/>
      <c r="L967" s="38"/>
      <c r="M967" s="1650">
        <f>84/90</f>
        <v>0.93333333333333335</v>
      </c>
      <c r="N967" s="1651"/>
      <c r="O967" s="1651"/>
      <c r="P967" s="1651"/>
      <c r="Q967" s="1651"/>
      <c r="R967" s="1651"/>
      <c r="S967" s="1652"/>
      <c r="U967" s="87" t="s">
        <v>1643</v>
      </c>
      <c r="V967" s="5"/>
      <c r="W967" s="5"/>
      <c r="X967" s="5"/>
      <c r="Y967" s="5"/>
      <c r="Z967" s="5"/>
      <c r="AA967" s="5"/>
      <c r="AB967" s="5"/>
      <c r="AC967" s="5"/>
      <c r="AD967" s="38"/>
      <c r="AE967" s="1685"/>
      <c r="AF967" s="1651"/>
      <c r="AG967" s="1651"/>
      <c r="AH967" s="1651"/>
      <c r="AI967" s="1651"/>
      <c r="AJ967" s="1651"/>
      <c r="AK967" s="1652"/>
      <c r="AZ967" s="3"/>
      <c r="BA967" s="3"/>
      <c r="BB967" s="3"/>
      <c r="BC967" s="3"/>
    </row>
    <row r="968" spans="1:64" ht="12.9" customHeight="1">
      <c r="C968" s="87" t="s">
        <v>1644</v>
      </c>
      <c r="D968" s="5"/>
      <c r="E968" s="5"/>
      <c r="F968" s="5"/>
      <c r="G968" s="5"/>
      <c r="H968" s="5"/>
      <c r="I968" s="5"/>
      <c r="J968" s="5"/>
      <c r="K968" s="5"/>
      <c r="L968" s="38"/>
      <c r="M968" s="1554">
        <v>84</v>
      </c>
      <c r="N968" s="1555"/>
      <c r="O968" s="1555"/>
      <c r="P968" s="1555"/>
      <c r="Q968" s="1555"/>
      <c r="R968" s="1555"/>
      <c r="S968" s="1556"/>
      <c r="U968" s="87" t="s">
        <v>1644</v>
      </c>
      <c r="V968" s="5"/>
      <c r="W968" s="5"/>
      <c r="X968" s="5"/>
      <c r="Y968" s="5"/>
      <c r="Z968" s="5"/>
      <c r="AA968" s="5"/>
      <c r="AB968" s="5"/>
      <c r="AC968" s="5"/>
      <c r="AD968" s="38"/>
      <c r="AE968" s="1554"/>
      <c r="AF968" s="1555"/>
      <c r="AG968" s="1555"/>
      <c r="AH968" s="1555"/>
      <c r="AI968" s="1555"/>
      <c r="AJ968" s="1555"/>
      <c r="AK968" s="1556"/>
      <c r="AV968" s="2"/>
      <c r="AW968" s="2"/>
      <c r="AX968" s="2"/>
      <c r="AY968" s="2"/>
      <c r="AZ968" s="3"/>
      <c r="BA968" s="3"/>
      <c r="BB968" s="3"/>
      <c r="BC968" s="3"/>
    </row>
    <row r="969" spans="1:64" ht="12.9" customHeight="1">
      <c r="C969" s="87" t="s">
        <v>1645</v>
      </c>
      <c r="D969" s="5"/>
      <c r="E969" s="5"/>
      <c r="F969" s="5"/>
      <c r="G969" s="5"/>
      <c r="H969" s="5"/>
      <c r="I969" s="5"/>
      <c r="J969" s="5"/>
      <c r="K969" s="5"/>
      <c r="L969" s="38"/>
      <c r="M969" s="1578">
        <v>2811096</v>
      </c>
      <c r="N969" s="1486"/>
      <c r="O969" s="1486"/>
      <c r="P969" s="1486"/>
      <c r="Q969" s="1486"/>
      <c r="R969" s="1486"/>
      <c r="S969" s="1579"/>
      <c r="U969" s="87" t="s">
        <v>1645</v>
      </c>
      <c r="V969" s="5"/>
      <c r="W969" s="5"/>
      <c r="X969" s="5"/>
      <c r="Y969" s="5"/>
      <c r="Z969" s="5"/>
      <c r="AA969" s="5"/>
      <c r="AB969" s="5"/>
      <c r="AC969" s="5"/>
      <c r="AD969" s="38"/>
      <c r="AE969" s="1578"/>
      <c r="AF969" s="1486"/>
      <c r="AG969" s="1486"/>
      <c r="AH969" s="1486"/>
      <c r="AI969" s="1486"/>
      <c r="AJ969" s="1486"/>
      <c r="AK969" s="1579"/>
      <c r="AV969" s="2"/>
      <c r="AW969" s="2"/>
      <c r="AX969" s="2"/>
      <c r="AY969" s="2"/>
      <c r="AZ969" s="3"/>
      <c r="BA969" s="3"/>
      <c r="BB969" s="3"/>
      <c r="BC969" s="3"/>
    </row>
    <row r="970" spans="1:64" ht="12.9" customHeight="1">
      <c r="C970" s="87" t="s">
        <v>1646</v>
      </c>
      <c r="D970" s="5"/>
      <c r="E970" s="5"/>
      <c r="F970" s="5"/>
      <c r="G970" s="5"/>
      <c r="H970" s="5"/>
      <c r="I970" s="5"/>
      <c r="J970" s="5"/>
      <c r="K970" s="5"/>
      <c r="L970" s="38"/>
      <c r="M970" s="1578"/>
      <c r="N970" s="1486"/>
      <c r="O970" s="1486"/>
      <c r="P970" s="1486"/>
      <c r="Q970" s="1486"/>
      <c r="R970" s="1486"/>
      <c r="S970" s="1579"/>
      <c r="U970" s="87" t="s">
        <v>1646</v>
      </c>
      <c r="V970" s="5"/>
      <c r="W970" s="5"/>
      <c r="X970" s="5"/>
      <c r="Y970" s="5"/>
      <c r="Z970" s="5"/>
      <c r="AA970" s="5"/>
      <c r="AB970" s="5"/>
      <c r="AC970" s="5"/>
      <c r="AD970" s="38"/>
      <c r="AE970" s="1578"/>
      <c r="AF970" s="1486"/>
      <c r="AG970" s="1486"/>
      <c r="AH970" s="1486"/>
      <c r="AI970" s="1486"/>
      <c r="AJ970" s="1486"/>
      <c r="AK970" s="1579"/>
      <c r="AV970" s="2"/>
      <c r="AW970" s="2"/>
      <c r="AX970" s="2"/>
      <c r="AY970" s="2"/>
      <c r="AZ970" s="3"/>
      <c r="BB970" s="3"/>
      <c r="BC970" s="3"/>
    </row>
    <row r="971" spans="1:64" ht="12.9" customHeight="1">
      <c r="C971" s="87" t="s">
        <v>1257</v>
      </c>
      <c r="D971" s="5"/>
      <c r="E971" s="5"/>
      <c r="F971" s="5"/>
      <c r="G971" s="5"/>
      <c r="H971" s="5"/>
      <c r="I971" s="5"/>
      <c r="J971" s="5"/>
      <c r="K971" s="5"/>
      <c r="L971" s="38"/>
      <c r="M971" s="1682">
        <v>20</v>
      </c>
      <c r="N971" s="1683"/>
      <c r="O971" s="1683"/>
      <c r="P971" s="1683"/>
      <c r="Q971" s="1683"/>
      <c r="R971" s="1683"/>
      <c r="S971" s="1684"/>
      <c r="U971" s="87" t="s">
        <v>1257</v>
      </c>
      <c r="V971" s="5"/>
      <c r="W971" s="5"/>
      <c r="X971" s="5"/>
      <c r="Y971" s="5"/>
      <c r="Z971" s="5"/>
      <c r="AA971" s="5"/>
      <c r="AB971" s="5"/>
      <c r="AC971" s="5"/>
      <c r="AD971" s="38"/>
      <c r="AE971" s="1682"/>
      <c r="AF971" s="1683"/>
      <c r="AG971" s="1683"/>
      <c r="AH971" s="1683"/>
      <c r="AI971" s="1683"/>
      <c r="AJ971" s="1683"/>
      <c r="AK971" s="1684"/>
      <c r="AZ971" s="3"/>
      <c r="BB971" s="3"/>
      <c r="BC971" s="3"/>
      <c r="BD971" s="3"/>
      <c r="BE971" s="3"/>
      <c r="BF971" s="3"/>
      <c r="BG971" s="3"/>
      <c r="BH971" s="3"/>
      <c r="BI971" s="3"/>
      <c r="BJ971" s="3"/>
      <c r="BK971" s="3"/>
      <c r="BL971" s="3"/>
    </row>
    <row r="972" spans="1:64" ht="12.9" customHeight="1">
      <c r="AZ972" s="3"/>
      <c r="BB972" s="3"/>
      <c r="BC972" s="3"/>
      <c r="BD972" s="3"/>
      <c r="BE972" s="3"/>
      <c r="BF972" s="3"/>
      <c r="BG972" s="3"/>
      <c r="BH972" s="3"/>
      <c r="BI972" s="3"/>
      <c r="BJ972" s="3"/>
      <c r="BK972" s="3"/>
      <c r="BL972" s="3"/>
    </row>
    <row r="973" spans="1:64" ht="12.9" customHeight="1">
      <c r="A973" s="2" t="s">
        <v>998</v>
      </c>
      <c r="C973" s="2" t="s">
        <v>1647</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 customHeight="1">
      <c r="A974"/>
      <c r="B974" s="2"/>
      <c r="C974" s="19" t="s">
        <v>1648</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3"/>
      <c r="AV975"/>
      <c r="AW975"/>
      <c r="AX975"/>
      <c r="AY975"/>
      <c r="AZ975" s="3"/>
      <c r="BA975"/>
      <c r="BB975" s="3"/>
      <c r="BC975" s="3"/>
      <c r="BD975" s="3"/>
      <c r="BE975" s="3"/>
      <c r="BF975" s="3"/>
      <c r="BG975" s="3"/>
      <c r="BH975" s="3"/>
      <c r="BI975" s="3"/>
      <c r="BJ975" s="3"/>
      <c r="BK975" s="3"/>
      <c r="BL975" s="3"/>
    </row>
    <row r="976" spans="1:64" s="13" customFormat="1" ht="12.9" customHeight="1">
      <c r="A976"/>
      <c r="B976"/>
      <c r="C976"/>
      <c r="D976"/>
      <c r="E976"/>
      <c r="F976" s="37" t="s">
        <v>1649</v>
      </c>
      <c r="G976" s="5"/>
      <c r="H976" s="5"/>
      <c r="I976" s="5"/>
      <c r="J976" s="5"/>
      <c r="K976" s="5"/>
      <c r="L976" s="38"/>
      <c r="M976" s="1630"/>
      <c r="N976" s="1414"/>
      <c r="O976" s="1414"/>
      <c r="P976" s="1414"/>
      <c r="Q976" s="1414"/>
      <c r="R976" s="1414"/>
      <c r="S976" s="1631"/>
      <c r="T976" s="87" t="s">
        <v>1650</v>
      </c>
      <c r="U976" s="5"/>
      <c r="V976" s="5"/>
      <c r="W976" s="5"/>
      <c r="X976" s="5"/>
      <c r="Y976" s="5"/>
      <c r="Z976" s="38"/>
      <c r="AA976" s="1630"/>
      <c r="AB976" s="1414"/>
      <c r="AC976" s="1414"/>
      <c r="AD976" s="1414"/>
      <c r="AE976" s="1414"/>
      <c r="AF976" s="1414"/>
      <c r="AG976" s="1631"/>
      <c r="AH976"/>
      <c r="AI976"/>
      <c r="AJ976"/>
      <c r="AK976"/>
      <c r="AL976"/>
      <c r="AM976"/>
      <c r="AN976"/>
      <c r="AO976"/>
      <c r="AP976"/>
      <c r="AQ976"/>
      <c r="AR976"/>
      <c r="AS976"/>
      <c r="AT976"/>
      <c r="AU976" s="1183"/>
      <c r="AV976"/>
      <c r="AW976"/>
      <c r="AX976"/>
      <c r="AY976"/>
      <c r="AZ976" s="3"/>
      <c r="BA976"/>
      <c r="BB976" s="3"/>
      <c r="BC976" s="3"/>
      <c r="BD976" s="3"/>
      <c r="BE976" s="3"/>
      <c r="BF976" s="3"/>
      <c r="BG976" s="3"/>
      <c r="BH976" s="3"/>
      <c r="BI976" s="3"/>
      <c r="BJ976" s="3"/>
      <c r="BK976" s="3"/>
      <c r="BL976" s="3"/>
    </row>
    <row r="977" spans="1:64" s="13" customFormat="1" ht="12.9" customHeight="1">
      <c r="A977"/>
      <c r="B977"/>
      <c r="C977"/>
      <c r="D977"/>
      <c r="E977"/>
      <c r="F977" s="37" t="s">
        <v>1651</v>
      </c>
      <c r="G977" s="5"/>
      <c r="H977" s="5"/>
      <c r="I977" s="5"/>
      <c r="J977" s="5"/>
      <c r="K977" s="5"/>
      <c r="L977" s="38"/>
      <c r="M977" s="1630"/>
      <c r="N977" s="1414"/>
      <c r="O977" s="1414"/>
      <c r="P977" s="1414"/>
      <c r="Q977" s="1414"/>
      <c r="R977" s="1414"/>
      <c r="S977" s="1631"/>
      <c r="T977" s="87" t="s">
        <v>1652</v>
      </c>
      <c r="U977" s="5"/>
      <c r="V977" s="5"/>
      <c r="W977" s="5"/>
      <c r="X977" s="5"/>
      <c r="Y977" s="5"/>
      <c r="Z977" s="38"/>
      <c r="AA977" s="1630"/>
      <c r="AB977" s="1414"/>
      <c r="AC977" s="1414"/>
      <c r="AD977" s="1414"/>
      <c r="AE977" s="1414"/>
      <c r="AF977" s="1414"/>
      <c r="AG977" s="1631"/>
      <c r="AH977"/>
      <c r="AI977"/>
      <c r="AJ977"/>
      <c r="AK977"/>
      <c r="AL977"/>
      <c r="AM977"/>
      <c r="AN977"/>
      <c r="AO977"/>
      <c r="AP977"/>
      <c r="AQ977"/>
      <c r="AR977"/>
      <c r="AS977"/>
      <c r="AT977"/>
      <c r="AU977" s="1183"/>
      <c r="AV977"/>
      <c r="AW977"/>
      <c r="AX977"/>
      <c r="AY977"/>
      <c r="AZ977" s="3"/>
      <c r="BA977"/>
      <c r="BB977" s="3"/>
      <c r="BC977" s="3"/>
      <c r="BD977" s="3"/>
      <c r="BE977" s="3"/>
      <c r="BF977"/>
      <c r="BG977"/>
      <c r="BH977"/>
      <c r="BI977"/>
      <c r="BJ977" s="3"/>
      <c r="BK977" s="3"/>
      <c r="BL977" s="3"/>
    </row>
    <row r="978" spans="1:64" s="13" customFormat="1" ht="12.9" customHeight="1">
      <c r="A978"/>
      <c r="B978"/>
      <c r="C978"/>
      <c r="D978"/>
      <c r="E978"/>
      <c r="F978" s="37" t="s">
        <v>1653</v>
      </c>
      <c r="G978" s="5"/>
      <c r="H978" s="5"/>
      <c r="I978" s="5"/>
      <c r="J978" s="5"/>
      <c r="K978" s="5"/>
      <c r="L978" s="38"/>
      <c r="M978" s="1653" t="s">
        <v>820</v>
      </c>
      <c r="N978" s="1654"/>
      <c r="O978" s="1654"/>
      <c r="P978" s="1654"/>
      <c r="Q978" s="1654"/>
      <c r="R978" s="1654"/>
      <c r="S978" s="1655"/>
      <c r="T978" s="37" t="s">
        <v>1654</v>
      </c>
      <c r="U978" s="5"/>
      <c r="V978" s="5"/>
      <c r="W978" s="5"/>
      <c r="X978" s="5"/>
      <c r="Y978" s="5"/>
      <c r="Z978" s="38"/>
      <c r="AA978" s="1630"/>
      <c r="AB978" s="1414"/>
      <c r="AC978" s="1414"/>
      <c r="AD978" s="1414"/>
      <c r="AE978" s="1414"/>
      <c r="AF978" s="1414"/>
      <c r="AG978" s="1631"/>
      <c r="AH978"/>
      <c r="AI978"/>
      <c r="AJ978"/>
      <c r="AK978"/>
      <c r="AL978"/>
      <c r="AM978"/>
      <c r="AN978"/>
      <c r="AO978"/>
      <c r="AP978"/>
      <c r="AQ978"/>
      <c r="AR978"/>
      <c r="AS978"/>
      <c r="AT978"/>
      <c r="AU978" s="1183"/>
      <c r="AV978"/>
      <c r="AW978"/>
      <c r="AX978"/>
      <c r="AY978"/>
      <c r="AZ978" s="3"/>
      <c r="BA978"/>
      <c r="BB978" s="3"/>
      <c r="BC978" s="3"/>
      <c r="BD978" s="3"/>
      <c r="BE978" s="3"/>
      <c r="BF978"/>
      <c r="BG978"/>
      <c r="BH978"/>
      <c r="BI978"/>
      <c r="BJ978" s="3"/>
      <c r="BK978" s="3"/>
      <c r="BL978" s="3"/>
    </row>
    <row r="979" spans="1:64" s="13" customFormat="1" ht="12.9" customHeight="1">
      <c r="A979"/>
      <c r="B979"/>
      <c r="C979"/>
      <c r="D979"/>
      <c r="E979"/>
      <c r="F979" s="37" t="s">
        <v>1655</v>
      </c>
      <c r="G979" s="5"/>
      <c r="H979" s="5"/>
      <c r="I979" s="5"/>
      <c r="J979" s="5"/>
      <c r="K979" s="5"/>
      <c r="L979" s="38"/>
      <c r="M979" s="1630"/>
      <c r="N979" s="1414"/>
      <c r="O979" s="1414"/>
      <c r="P979" s="1414"/>
      <c r="Q979" s="1414"/>
      <c r="R979" s="1414"/>
      <c r="S979" s="1631"/>
      <c r="T979" s="37" t="s">
        <v>1656</v>
      </c>
      <c r="U979" s="5"/>
      <c r="V979" s="5"/>
      <c r="W979" s="5"/>
      <c r="X979" s="5"/>
      <c r="Y979" s="5"/>
      <c r="Z979" s="38"/>
      <c r="AA979" s="1630"/>
      <c r="AB979" s="1414"/>
      <c r="AC979" s="1414"/>
      <c r="AD979" s="1414"/>
      <c r="AE979" s="1414"/>
      <c r="AF979" s="1414"/>
      <c r="AG979" s="1631"/>
      <c r="AH979"/>
      <c r="AI979"/>
      <c r="AJ979"/>
      <c r="AK979"/>
      <c r="AL979"/>
      <c r="AM979"/>
      <c r="AN979"/>
      <c r="AO979"/>
      <c r="AP979"/>
      <c r="AQ979"/>
      <c r="AR979"/>
      <c r="AS979"/>
      <c r="AT979"/>
      <c r="AU979" s="1183"/>
      <c r="AV979"/>
      <c r="AW979"/>
      <c r="AX979"/>
      <c r="AY979"/>
      <c r="AZ979" s="3"/>
      <c r="BA979"/>
      <c r="BB979" s="3"/>
      <c r="BC979" s="3"/>
      <c r="BD979" s="3"/>
      <c r="BE979" s="3"/>
      <c r="BF979"/>
      <c r="BG979"/>
      <c r="BH979"/>
      <c r="BI979"/>
      <c r="BJ979" s="3"/>
      <c r="BK979" s="3"/>
      <c r="BL979" s="3"/>
    </row>
    <row r="980" spans="1:64" s="13" customFormat="1" ht="12.9" customHeight="1">
      <c r="A980"/>
      <c r="B980"/>
      <c r="C980"/>
      <c r="D980"/>
      <c r="E980"/>
      <c r="F980" s="37" t="s">
        <v>1657</v>
      </c>
      <c r="G980" s="5"/>
      <c r="H980" s="5"/>
      <c r="I980" s="5"/>
      <c r="J980" s="5"/>
      <c r="K980" s="5"/>
      <c r="L980" s="38"/>
      <c r="M980" s="1630" t="s">
        <v>856</v>
      </c>
      <c r="N980" s="1414"/>
      <c r="O980" s="1414"/>
      <c r="P980" s="1414"/>
      <c r="Q980" s="1414"/>
      <c r="R980" s="1414"/>
      <c r="S980" s="1631"/>
      <c r="T980" s="37" t="s">
        <v>1658</v>
      </c>
      <c r="U980" s="5"/>
      <c r="V980" s="5"/>
      <c r="W980" s="5"/>
      <c r="X980" s="5"/>
      <c r="Y980" s="5"/>
      <c r="Z980" s="38"/>
      <c r="AA980" s="1630"/>
      <c r="AB980" s="1414"/>
      <c r="AC980" s="1414"/>
      <c r="AD980" s="1414"/>
      <c r="AE980" s="1414"/>
      <c r="AF980" s="1414"/>
      <c r="AG980" s="1631"/>
      <c r="AH980"/>
      <c r="AI980"/>
      <c r="AJ980"/>
      <c r="AK980"/>
      <c r="AL980"/>
      <c r="AM980"/>
      <c r="AN980"/>
      <c r="AO980"/>
      <c r="AP980"/>
      <c r="AQ980"/>
      <c r="AR980"/>
      <c r="AS980"/>
      <c r="AT980"/>
      <c r="AU980" s="1183"/>
      <c r="AV980"/>
      <c r="AW980"/>
      <c r="AX980"/>
      <c r="AY980"/>
      <c r="AZ980" s="3"/>
      <c r="BA980"/>
      <c r="BB980" s="3"/>
      <c r="BC980" s="3"/>
      <c r="BD980" s="3"/>
      <c r="BE980" s="3"/>
      <c r="BF980"/>
      <c r="BG980"/>
      <c r="BH980"/>
      <c r="BI980"/>
      <c r="BJ980" s="3"/>
      <c r="BK980" s="3"/>
      <c r="BL980" s="3"/>
    </row>
    <row r="981" spans="1:64" s="13" customFormat="1" ht="12.9" customHeight="1">
      <c r="A981"/>
      <c r="B981"/>
      <c r="C981"/>
      <c r="D981"/>
      <c r="E981"/>
      <c r="F981" s="1184" t="s">
        <v>1641</v>
      </c>
      <c r="G981" s="34"/>
      <c r="H981" s="34"/>
      <c r="I981" s="34"/>
      <c r="J981" s="34"/>
      <c r="K981" s="34"/>
      <c r="L981" s="50"/>
      <c r="M981" s="1691" t="s">
        <v>1642</v>
      </c>
      <c r="N981" s="1692"/>
      <c r="O981" s="1692"/>
      <c r="P981" s="1692"/>
      <c r="Q981" s="1692"/>
      <c r="R981" s="1692"/>
      <c r="S981" s="1693"/>
      <c r="T981" s="1667"/>
      <c r="U981" s="1668"/>
      <c r="V981" s="1668"/>
      <c r="W981" s="1668"/>
      <c r="X981" s="1668"/>
      <c r="Y981" s="1668"/>
      <c r="Z981" s="1669"/>
      <c r="AA981" s="1630"/>
      <c r="AB981" s="1414"/>
      <c r="AC981" s="1414"/>
      <c r="AD981" s="1414"/>
      <c r="AE981" s="1414"/>
      <c r="AF981" s="1414"/>
      <c r="AG981" s="1631"/>
      <c r="AH981"/>
      <c r="AI981"/>
      <c r="AJ981"/>
      <c r="AK981"/>
      <c r="AL981"/>
      <c r="AM981"/>
      <c r="AN981"/>
      <c r="AO981"/>
      <c r="AP981"/>
      <c r="AQ981"/>
      <c r="AR981"/>
      <c r="AS981"/>
      <c r="AT981"/>
      <c r="AU981" s="1183"/>
      <c r="AV981"/>
      <c r="AW981"/>
      <c r="AX981"/>
      <c r="AY981"/>
      <c r="AZ981" s="3"/>
      <c r="BA981" s="3"/>
      <c r="BB981" s="3"/>
      <c r="BC981" s="3"/>
      <c r="BD981" s="3"/>
      <c r="BE981" s="3"/>
      <c r="BF981" s="3"/>
      <c r="BG981" s="3"/>
      <c r="BH981" s="3"/>
      <c r="BI981" s="3"/>
      <c r="BJ981" s="3"/>
      <c r="BK981" s="3"/>
      <c r="BL981" s="3"/>
    </row>
    <row r="982" spans="1:64" s="13" customFormat="1" ht="12.9" customHeight="1">
      <c r="A982"/>
      <c r="B982"/>
      <c r="C982"/>
      <c r="D982"/>
      <c r="E982"/>
      <c r="F982" s="33" t="s">
        <v>1659</v>
      </c>
      <c r="G982" s="34"/>
      <c r="H982" s="34"/>
      <c r="I982" s="34"/>
      <c r="J982" s="34"/>
      <c r="K982" s="34"/>
      <c r="L982" s="50"/>
      <c r="M982" s="1630"/>
      <c r="N982" s="1414"/>
      <c r="O982" s="1414"/>
      <c r="P982" s="1414"/>
      <c r="Q982" s="1414"/>
      <c r="R982" s="1414"/>
      <c r="S982" s="1631"/>
      <c r="T982" s="1667"/>
      <c r="U982" s="1668"/>
      <c r="V982" s="1668"/>
      <c r="W982" s="1668"/>
      <c r="X982" s="1668"/>
      <c r="Y982" s="1668"/>
      <c r="Z982" s="1669"/>
      <c r="AA982" s="1630"/>
      <c r="AB982" s="1414"/>
      <c r="AC982" s="1414"/>
      <c r="AD982" s="1414"/>
      <c r="AE982" s="1414"/>
      <c r="AF982" s="1414"/>
      <c r="AG982" s="1631"/>
      <c r="AH982"/>
      <c r="AI982"/>
      <c r="AJ982"/>
      <c r="AK982"/>
      <c r="AL982"/>
      <c r="AM982"/>
      <c r="AN982"/>
      <c r="AO982"/>
      <c r="AP982"/>
      <c r="AQ982"/>
      <c r="AR982"/>
      <c r="AS982"/>
      <c r="AT982"/>
      <c r="AU982" s="1183"/>
      <c r="AV982"/>
      <c r="AW982"/>
      <c r="AX982"/>
      <c r="AY982"/>
      <c r="AZ982" s="3"/>
      <c r="BA982" s="3"/>
      <c r="BB982" s="3"/>
      <c r="BC982" s="3"/>
      <c r="BD982" s="3"/>
      <c r="BE982" s="3"/>
      <c r="BF982" s="3"/>
      <c r="BG982" s="3"/>
      <c r="BH982" s="3"/>
      <c r="BI982" s="3"/>
      <c r="BJ982" s="3"/>
      <c r="BK982" s="3"/>
      <c r="BL982" s="3"/>
    </row>
    <row r="983" spans="1:64" ht="12.9" customHeight="1">
      <c r="F983" s="33" t="s">
        <v>1660</v>
      </c>
      <c r="G983" s="34"/>
      <c r="H983" s="34"/>
      <c r="I983" s="34"/>
      <c r="J983" s="34"/>
      <c r="K983" s="34"/>
      <c r="L983" s="34"/>
      <c r="M983" s="34"/>
      <c r="N983" s="34"/>
      <c r="O983" s="1340" t="s">
        <v>856</v>
      </c>
      <c r="P983" s="1342"/>
      <c r="Q983" s="67"/>
      <c r="R983" s="67"/>
      <c r="S983" s="68"/>
      <c r="T983" s="33" t="s">
        <v>233</v>
      </c>
      <c r="U983" s="34"/>
      <c r="V983" s="34"/>
      <c r="W983" s="1761" t="s">
        <v>1354</v>
      </c>
      <c r="X983" s="1762"/>
      <c r="Y983" s="1762"/>
      <c r="Z983" s="1762"/>
      <c r="AA983" s="1762"/>
      <c r="AB983" s="1762"/>
      <c r="AC983" s="1762"/>
      <c r="AD983" s="1762"/>
      <c r="AE983" s="1762"/>
      <c r="AF983" s="1762"/>
      <c r="AG983" s="1763"/>
      <c r="AU983" s="1183"/>
      <c r="AV983" s="70"/>
      <c r="AW983" s="70"/>
      <c r="AX983" s="70"/>
      <c r="AY983" s="70"/>
      <c r="AZ983" s="3"/>
      <c r="BB983" s="3"/>
      <c r="BC983" s="3"/>
      <c r="BD983" s="3"/>
      <c r="BE983" s="3"/>
      <c r="BF983" s="3"/>
      <c r="BG983" s="3"/>
      <c r="BH983" s="3"/>
      <c r="BI983" s="3"/>
      <c r="BJ983" s="3"/>
      <c r="BK983" s="3"/>
      <c r="BL983" s="3"/>
    </row>
    <row r="984" spans="1:64" ht="12.9" customHeight="1">
      <c r="F984" s="1557" t="s">
        <v>1661</v>
      </c>
      <c r="G984" s="1445"/>
      <c r="H984" s="1445"/>
      <c r="I984" s="1445"/>
      <c r="J984" s="1445"/>
      <c r="K984" s="1445"/>
      <c r="L984" s="1445"/>
      <c r="M984" s="1630">
        <f>M969</f>
        <v>2811096</v>
      </c>
      <c r="N984" s="1414"/>
      <c r="O984" s="1414"/>
      <c r="P984" s="1414"/>
      <c r="Q984" s="1414"/>
      <c r="R984" s="1414"/>
      <c r="S984" s="1631"/>
      <c r="T984" s="39"/>
      <c r="U984" s="40"/>
      <c r="V984" s="40"/>
      <c r="W984" s="40"/>
      <c r="X984" s="40"/>
      <c r="Y984" s="40"/>
      <c r="Z984" s="90" t="s">
        <v>1662</v>
      </c>
      <c r="AA984" s="1736"/>
      <c r="AB984" s="1737"/>
      <c r="AC984" s="1737"/>
      <c r="AD984" s="1737"/>
      <c r="AE984" s="1737"/>
      <c r="AF984" s="1737"/>
      <c r="AG984" s="1738"/>
      <c r="AU984" s="1183"/>
      <c r="AV984" s="70"/>
      <c r="AW984" s="70"/>
      <c r="AX984" s="70"/>
      <c r="AY984" s="70"/>
      <c r="AZ984" s="13"/>
      <c r="BA984" s="13"/>
      <c r="BB984" s="3"/>
      <c r="BC984" s="3"/>
      <c r="BD984" s="3"/>
      <c r="BE984" s="3"/>
      <c r="BF984" s="3"/>
      <c r="BG984" s="13"/>
      <c r="BH984" s="13"/>
      <c r="BI984" s="13"/>
      <c r="BJ984" s="13"/>
      <c r="BK984" s="13"/>
      <c r="BL984" s="13"/>
    </row>
    <row r="985" spans="1:64" ht="12.9" customHeight="1">
      <c r="AU985" s="1183"/>
      <c r="AV985" s="1183"/>
      <c r="AW985" s="1183"/>
      <c r="AX985" s="1183"/>
      <c r="AY985" s="1183"/>
      <c r="AZ985" s="13"/>
      <c r="BA985" s="13"/>
      <c r="BB985" s="13"/>
      <c r="BC985" s="13"/>
      <c r="BD985" s="13"/>
      <c r="BE985" s="13"/>
      <c r="BF985" s="13"/>
      <c r="BG985" s="1594"/>
      <c r="BH985" s="1594"/>
      <c r="BI985" s="1594"/>
      <c r="BJ985" s="1594"/>
      <c r="BK985" s="1594"/>
      <c r="BL985" s="1594"/>
    </row>
    <row r="986" spans="1:64" ht="12.9" customHeight="1">
      <c r="AU986" s="1183"/>
      <c r="AV986" s="1183"/>
      <c r="AW986" s="1183"/>
      <c r="AX986" s="1183"/>
      <c r="AY986" s="1183"/>
      <c r="AZ986" s="13"/>
      <c r="BA986" s="13"/>
      <c r="BB986" s="804"/>
      <c r="BC986" s="804"/>
      <c r="BD986" s="13"/>
      <c r="BE986" s="13"/>
      <c r="BF986" s="13"/>
      <c r="BG986" s="13"/>
      <c r="BH986" s="13"/>
      <c r="BI986" s="13"/>
      <c r="BJ986" s="13"/>
      <c r="BK986" s="13"/>
      <c r="BL986" s="13"/>
    </row>
    <row r="987" spans="1:64" ht="12.9" customHeight="1">
      <c r="AU987" s="1183"/>
      <c r="AV987" s="1183"/>
      <c r="AW987" s="1183"/>
      <c r="AX987" s="1183"/>
      <c r="AY987" s="1183"/>
      <c r="AZ987" s="13"/>
      <c r="BA987" s="13"/>
      <c r="BB987" s="804"/>
      <c r="BC987" s="804"/>
    </row>
    <row r="988" spans="1:64" ht="12.9" customHeight="1">
      <c r="A988" s="1494" t="s">
        <v>1663</v>
      </c>
      <c r="B988" s="1494"/>
      <c r="C988" s="1494"/>
      <c r="D988" s="1494"/>
      <c r="E988" s="1494"/>
      <c r="F988" s="1494"/>
      <c r="G988" s="1494"/>
      <c r="H988" s="1494"/>
      <c r="I988" s="1494"/>
      <c r="J988" s="1494"/>
      <c r="K988" s="1494"/>
      <c r="L988" s="1494"/>
      <c r="M988" s="1494"/>
      <c r="N988" s="1494"/>
      <c r="O988" s="1494"/>
      <c r="P988" s="1494"/>
      <c r="Q988" s="1494"/>
      <c r="R988" s="1494"/>
      <c r="S988" s="1494"/>
      <c r="T988" s="1494"/>
      <c r="U988" s="1494"/>
      <c r="V988" s="1494"/>
      <c r="W988" s="1494"/>
      <c r="X988" s="1494"/>
      <c r="Y988" s="1494"/>
      <c r="Z988" s="1494"/>
      <c r="AA988" s="1494"/>
      <c r="AB988" s="1494"/>
      <c r="AC988" s="1494"/>
      <c r="AD988" s="1494"/>
      <c r="AE988" s="1494"/>
      <c r="AF988" s="1494"/>
      <c r="AG988" s="1494"/>
      <c r="AH988" s="1494"/>
      <c r="AI988" s="1494"/>
      <c r="AJ988" s="1494"/>
      <c r="AK988" s="1494"/>
      <c r="AL988" s="1494"/>
      <c r="AM988" s="1494"/>
      <c r="AN988" s="1494"/>
      <c r="AO988" s="1494"/>
      <c r="AP988" s="1494"/>
      <c r="AQ988" s="1494"/>
      <c r="AR988" s="1494"/>
      <c r="AS988" s="1494"/>
      <c r="AT988" s="1494"/>
      <c r="AU988" s="1183"/>
      <c r="AV988" s="1183"/>
      <c r="AW988" s="1183"/>
      <c r="AX988" s="1183"/>
      <c r="AY988" s="1183"/>
      <c r="AZ988" s="13"/>
      <c r="BA988" s="13"/>
      <c r="BB988" s="804"/>
      <c r="BC988" s="804"/>
    </row>
    <row r="989" spans="1:64" ht="12.9" customHeight="1">
      <c r="A989" s="1494"/>
      <c r="B989" s="1494"/>
      <c r="C989" s="1494"/>
      <c r="D989" s="1494"/>
      <c r="E989" s="1494"/>
      <c r="F989" s="1494"/>
      <c r="G989" s="1494"/>
      <c r="H989" s="1494"/>
      <c r="I989" s="1494"/>
      <c r="J989" s="1494"/>
      <c r="K989" s="1494"/>
      <c r="L989" s="1494"/>
      <c r="M989" s="1494"/>
      <c r="N989" s="1494"/>
      <c r="O989" s="1494"/>
      <c r="P989" s="1494"/>
      <c r="Q989" s="1494"/>
      <c r="R989" s="1494"/>
      <c r="S989" s="1494"/>
      <c r="T989" s="1494"/>
      <c r="U989" s="1494"/>
      <c r="V989" s="1494"/>
      <c r="W989" s="1494"/>
      <c r="X989" s="1494"/>
      <c r="Y989" s="1494"/>
      <c r="Z989" s="1494"/>
      <c r="AA989" s="1494"/>
      <c r="AB989" s="1494"/>
      <c r="AC989" s="1494"/>
      <c r="AD989" s="1494"/>
      <c r="AE989" s="1494"/>
      <c r="AF989" s="1494"/>
      <c r="AG989" s="1494"/>
      <c r="AH989" s="1494"/>
      <c r="AI989" s="1494"/>
      <c r="AJ989" s="1494"/>
      <c r="AK989" s="1494"/>
      <c r="AL989" s="1494"/>
      <c r="AM989" s="1494"/>
      <c r="AN989" s="1494"/>
      <c r="AO989" s="1494"/>
      <c r="AP989" s="1494"/>
      <c r="AQ989" s="1494"/>
      <c r="AR989" s="1494"/>
      <c r="AS989" s="1494"/>
      <c r="AT989" s="1494"/>
      <c r="AU989" s="1183"/>
      <c r="AV989" s="1183"/>
      <c r="AW989" s="1183"/>
      <c r="AX989" s="1183"/>
      <c r="AY989" s="1183"/>
      <c r="AZ989" s="25"/>
      <c r="BA989" s="13"/>
      <c r="BB989" s="13"/>
      <c r="BC989" s="13"/>
    </row>
    <row r="990" spans="1:64" ht="12.9" customHeight="1">
      <c r="A990" s="1494"/>
      <c r="B990" s="1494"/>
      <c r="C990" s="1494"/>
      <c r="D990" s="1494"/>
      <c r="E990" s="1494"/>
      <c r="F990" s="1494"/>
      <c r="G990" s="1494"/>
      <c r="H990" s="1494"/>
      <c r="I990" s="1494"/>
      <c r="J990" s="1494"/>
      <c r="K990" s="1494"/>
      <c r="L990" s="1494"/>
      <c r="M990" s="1494"/>
      <c r="N990" s="1494"/>
      <c r="O990" s="1494"/>
      <c r="P990" s="1494"/>
      <c r="Q990" s="1494"/>
      <c r="R990" s="1494"/>
      <c r="S990" s="1494"/>
      <c r="T990" s="1494"/>
      <c r="U990" s="1494"/>
      <c r="V990" s="1494"/>
      <c r="W990" s="1494"/>
      <c r="X990" s="1494"/>
      <c r="Y990" s="1494"/>
      <c r="Z990" s="1494"/>
      <c r="AA990" s="1494"/>
      <c r="AB990" s="1494"/>
      <c r="AC990" s="1494"/>
      <c r="AD990" s="1494"/>
      <c r="AE990" s="1494"/>
      <c r="AF990" s="1494"/>
      <c r="AG990" s="1494"/>
      <c r="AH990" s="1494"/>
      <c r="AI990" s="1494"/>
      <c r="AJ990" s="1494"/>
      <c r="AK990" s="1494"/>
      <c r="AL990" s="1494"/>
      <c r="AM990" s="1494"/>
      <c r="AN990" s="1494"/>
      <c r="AO990" s="1494"/>
      <c r="AP990" s="1494"/>
      <c r="AQ990" s="1494"/>
      <c r="AR990" s="1494"/>
      <c r="AS990" s="1494"/>
      <c r="AT990" s="1494"/>
      <c r="AU990" s="1183"/>
      <c r="AV990" s="1183"/>
      <c r="AW990" s="1183"/>
      <c r="AX990" s="1183"/>
      <c r="AY990" s="1183"/>
      <c r="AZ990" s="25"/>
      <c r="BA990" s="13"/>
      <c r="BB990" s="13"/>
      <c r="BC990" s="13"/>
    </row>
    <row r="991" spans="1:64" ht="12.9"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3"/>
      <c r="AM991" s="1183"/>
      <c r="AN991" s="1183"/>
      <c r="AO991" s="1183"/>
      <c r="AP991" s="1183"/>
      <c r="AQ991" s="1183"/>
      <c r="AR991" s="1183"/>
      <c r="AS991" s="1183"/>
      <c r="AT991" s="1183"/>
      <c r="AU991" s="1183"/>
      <c r="AV991" s="1183"/>
      <c r="AW991" s="1183"/>
      <c r="AX991" s="1183"/>
      <c r="AY991" s="1183"/>
      <c r="AZ991" s="13"/>
      <c r="BA991" s="13"/>
      <c r="BB991" s="13"/>
      <c r="BC991" s="13"/>
    </row>
    <row r="992" spans="1:64" ht="12.9" customHeight="1">
      <c r="A992" s="2" t="s">
        <v>881</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3"/>
      <c r="AM992" s="1183"/>
      <c r="AN992" s="1183"/>
      <c r="AO992" s="1183"/>
      <c r="AP992" s="1183"/>
      <c r="AQ992" s="1183"/>
      <c r="AR992" s="1183"/>
      <c r="AS992" s="1183"/>
      <c r="AT992" s="1183"/>
      <c r="AU992" s="1183"/>
      <c r="AV992" s="1183"/>
      <c r="AW992" s="1183"/>
      <c r="AX992" s="1183"/>
      <c r="AY992" s="1183"/>
      <c r="AZ992" s="13"/>
      <c r="BA992" s="13"/>
      <c r="BB992" s="13"/>
      <c r="BC992" s="13"/>
    </row>
    <row r="993" spans="1:55" ht="12.9"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3"/>
      <c r="AM993" s="1183"/>
      <c r="AN993" s="1183"/>
      <c r="AO993" s="1183"/>
      <c r="AP993" s="1183"/>
      <c r="AQ993" s="1183"/>
      <c r="AR993" s="1183"/>
      <c r="AS993" s="1183"/>
      <c r="AT993" s="1183"/>
      <c r="AU993" s="1183"/>
      <c r="AV993" s="1183"/>
      <c r="AW993" s="1183"/>
      <c r="AX993" s="1183"/>
      <c r="AY993" s="1183"/>
      <c r="AZ993" s="13"/>
      <c r="BA993" s="13"/>
      <c r="BB993" s="13"/>
      <c r="BC993" s="13"/>
    </row>
    <row r="994" spans="1:55" ht="12.9" customHeight="1">
      <c r="A994" s="13"/>
      <c r="B994" s="61"/>
      <c r="C994" s="1185"/>
      <c r="D994" s="1753" t="s">
        <v>1664</v>
      </c>
      <c r="E994" s="1754"/>
      <c r="F994" s="1754"/>
      <c r="G994" s="1754"/>
      <c r="H994" s="1754"/>
      <c r="I994" s="1754"/>
      <c r="J994" s="1754"/>
      <c r="K994" s="1754"/>
      <c r="L994" s="1754"/>
      <c r="M994" s="1754"/>
      <c r="N994" s="1754"/>
      <c r="O994" s="1754"/>
      <c r="P994" s="1754"/>
      <c r="Q994" s="1755"/>
      <c r="R994" s="1753" t="s">
        <v>1665</v>
      </c>
      <c r="S994" s="1754"/>
      <c r="T994" s="1754"/>
      <c r="U994" s="1754"/>
      <c r="V994" s="1754"/>
      <c r="W994" s="1754"/>
      <c r="X994" s="1754"/>
      <c r="Y994" s="1754"/>
      <c r="Z994" s="1754"/>
      <c r="AA994" s="1755"/>
      <c r="AB994" s="1753" t="s">
        <v>1666</v>
      </c>
      <c r="AC994" s="1754"/>
      <c r="AD994" s="1754"/>
      <c r="AE994" s="1754"/>
      <c r="AF994" s="1754"/>
      <c r="AG994" s="1754"/>
      <c r="AH994" s="1754"/>
      <c r="AI994" s="1755"/>
      <c r="AJ994" s="1753" t="s">
        <v>1667</v>
      </c>
      <c r="AK994" s="1754"/>
      <c r="AL994" s="1754"/>
      <c r="AM994" s="1754"/>
      <c r="AN994" s="1754"/>
      <c r="AO994" s="1754"/>
      <c r="AP994" s="1754"/>
      <c r="AQ994" s="1755"/>
      <c r="AR994" s="1183"/>
      <c r="AS994" s="1183"/>
      <c r="AT994" s="1183"/>
      <c r="AU994" s="1183"/>
      <c r="AV994" s="1183"/>
      <c r="AW994" s="1183"/>
      <c r="AX994" s="1183"/>
      <c r="AY994" s="1183"/>
      <c r="AZ994" s="25"/>
      <c r="BB994" s="13"/>
      <c r="BC994" s="13"/>
    </row>
    <row r="995" spans="1:55" ht="12.9" customHeight="1">
      <c r="A995" s="13"/>
      <c r="B995" s="58"/>
      <c r="C995" s="819"/>
      <c r="D995" s="1621" t="s">
        <v>846</v>
      </c>
      <c r="E995" s="1622"/>
      <c r="F995" s="1622"/>
      <c r="G995" s="1622"/>
      <c r="H995" s="1622"/>
      <c r="I995" s="1622"/>
      <c r="J995" s="1622"/>
      <c r="K995" s="1622"/>
      <c r="L995" s="1622"/>
      <c r="M995" s="1622"/>
      <c r="N995" s="1622"/>
      <c r="O995" s="1622"/>
      <c r="P995" s="1622"/>
      <c r="Q995" s="1623"/>
      <c r="R995" s="1690">
        <f>IF(ISNA(IF($CU$122="4%",(INDEX($CS$160:$CW$217,MATCH($DG$122,$CR$160:$CR$217,0),MATCH(D995,$CS$159:$CW$159,0))),(INDEX($CZ$160:$DD$217,MATCH($DG$122,$CY$160:$CY$217,0),MATCH(D995,$CZ$159:$DD$159,0))))),0,IF($CU$122="4%",(INDEX($CS$160:$CW$217,MATCH($DG$122,$CR$160:$CR$217,0),MATCH(D995,$CS$159:$CW$159,0))),(INDEX($CZ$160:$DD$217,MATCH($DG$122,$CY$160:$CY$217,0),MATCH(D995,$CZ$159:$DD$159,0)))))</f>
        <v>694266</v>
      </c>
      <c r="S995" s="1690"/>
      <c r="T995" s="1690"/>
      <c r="U995" s="1690"/>
      <c r="V995" s="1690"/>
      <c r="W995" s="1690"/>
      <c r="X995" s="1690"/>
      <c r="Y995" s="1690"/>
      <c r="Z995" s="1690"/>
      <c r="AA995" s="1690"/>
      <c r="AB995" s="1664">
        <f>CP810</f>
        <v>1</v>
      </c>
      <c r="AC995" s="1665"/>
      <c r="AD995" s="1665"/>
      <c r="AE995" s="1665"/>
      <c r="AF995" s="1665"/>
      <c r="AG995" s="1665"/>
      <c r="AH995" s="1665"/>
      <c r="AI995" s="1666"/>
      <c r="AJ995" s="1647">
        <f>IF(ISERROR((R995*AB995)),0,(R995*AB995))</f>
        <v>694266</v>
      </c>
      <c r="AK995" s="1648"/>
      <c r="AL995" s="1648"/>
      <c r="AM995" s="1648"/>
      <c r="AN995" s="1648"/>
      <c r="AO995" s="1648"/>
      <c r="AP995" s="1648"/>
      <c r="AQ995" s="1649"/>
      <c r="AR995" s="1183"/>
      <c r="AS995" s="1183"/>
      <c r="AT995" s="1183"/>
      <c r="AU995" s="1183"/>
      <c r="AV995" s="1183"/>
      <c r="AW995" s="1183"/>
      <c r="AX995" s="1183"/>
      <c r="AY995" s="1183"/>
      <c r="AZ995" s="25"/>
      <c r="BB995" s="13"/>
      <c r="BC995" s="13"/>
    </row>
    <row r="996" spans="1:55" ht="12.9" customHeight="1">
      <c r="A996" s="13"/>
      <c r="B996" s="58"/>
      <c r="C996" s="62"/>
      <c r="D996" s="1621" t="s">
        <v>841</v>
      </c>
      <c r="E996" s="1622"/>
      <c r="F996" s="1622"/>
      <c r="G996" s="1622"/>
      <c r="H996" s="1622"/>
      <c r="I996" s="1622"/>
      <c r="J996" s="1622"/>
      <c r="K996" s="1622"/>
      <c r="L996" s="1622"/>
      <c r="M996" s="1622"/>
      <c r="N996" s="1622"/>
      <c r="O996" s="1622"/>
      <c r="P996" s="1622"/>
      <c r="Q996" s="1623"/>
      <c r="R996" s="1690">
        <f>IF(ISNA(IF($CU$122="4%",(INDEX($CS$160:$CW$217,MATCH($DG$122,$CR$160:$CR$217,0),MATCH(D996,$CS$159:$CW$159,0))),(INDEX($CZ$160:$DD$217,MATCH($DG$122,$CY$160:$CY$217,0),MATCH(D996,$CZ$159:$DD$159,0))))),0,IF($CU$122="4%",(INDEX($CS$160:$CW$217,MATCH($DG$122,$CR$160:$CR$217,0),MATCH(D996,$CS$159:$CW$159,0))),(INDEX($CZ$160:$DD$217,MATCH($DG$122,$CY$160:$CY$217,0),MATCH(D996,$CZ$159:$DD$159,0)))))</f>
        <v>800482</v>
      </c>
      <c r="S996" s="1690"/>
      <c r="T996" s="1690"/>
      <c r="U996" s="1690"/>
      <c r="V996" s="1690"/>
      <c r="W996" s="1690"/>
      <c r="X996" s="1690"/>
      <c r="Y996" s="1690"/>
      <c r="Z996" s="1690"/>
      <c r="AA996" s="1690"/>
      <c r="AB996" s="1664">
        <f>CU810</f>
        <v>32</v>
      </c>
      <c r="AC996" s="1665"/>
      <c r="AD996" s="1665"/>
      <c r="AE996" s="1665"/>
      <c r="AF996" s="1665"/>
      <c r="AG996" s="1665"/>
      <c r="AH996" s="1665"/>
      <c r="AI996" s="1666"/>
      <c r="AJ996" s="1647">
        <f>IF(ISERROR((R996*AB996)),0,(R996*AB996))</f>
        <v>25615424</v>
      </c>
      <c r="AK996" s="1648"/>
      <c r="AL996" s="1648"/>
      <c r="AM996" s="1648"/>
      <c r="AN996" s="1648"/>
      <c r="AO996" s="1648"/>
      <c r="AP996" s="1648"/>
      <c r="AQ996" s="1649"/>
      <c r="AR996" s="1183"/>
      <c r="AS996" s="1183"/>
      <c r="AT996" s="1183"/>
      <c r="AU996" s="1183"/>
      <c r="AV996" s="1183"/>
      <c r="AW996" s="1183"/>
      <c r="AX996" s="1183"/>
      <c r="AY996" s="1183"/>
      <c r="AZ996" s="25"/>
      <c r="BB996" s="13"/>
      <c r="BC996" s="13"/>
    </row>
    <row r="997" spans="1:55" ht="12.9" customHeight="1">
      <c r="A997" s="13"/>
      <c r="B997" s="58"/>
      <c r="C997" s="62"/>
      <c r="D997" s="1621" t="s">
        <v>842</v>
      </c>
      <c r="E997" s="1622"/>
      <c r="F997" s="1622"/>
      <c r="G997" s="1622"/>
      <c r="H997" s="1622"/>
      <c r="I997" s="1622"/>
      <c r="J997" s="1622"/>
      <c r="K997" s="1622"/>
      <c r="L997" s="1622"/>
      <c r="M997" s="1622"/>
      <c r="N997" s="1622"/>
      <c r="O997" s="1622"/>
      <c r="P997" s="1622"/>
      <c r="Q997" s="1623"/>
      <c r="R997" s="1690">
        <f>IF(ISNA(IF($CU$122="4%",(INDEX($CS$160:$CW$217,MATCH($DG$122,$CR$160:$CR$217,0),MATCH(D997,$CS$159:$CW$159,0))),(INDEX($CZ$160:$DD$217,MATCH($DG$122,$CY$160:$CY$217,0),MATCH(D997,$CZ$159:$DD$159,0))))),0,IF($CU$122="4%",(INDEX($CS$160:$CW$217,MATCH($DG$122,$CR$160:$CR$217,0),MATCH(D997,$CS$159:$CW$159,0))),(INDEX($CZ$160:$DD$217,MATCH($DG$122,$CY$160:$CY$217,0),MATCH(D997,$CZ$159:$DD$159,0)))))</f>
        <v>965600</v>
      </c>
      <c r="S997" s="1690"/>
      <c r="T997" s="1690"/>
      <c r="U997" s="1690"/>
      <c r="V997" s="1690"/>
      <c r="W997" s="1690"/>
      <c r="X997" s="1690"/>
      <c r="Y997" s="1690"/>
      <c r="Z997" s="1690"/>
      <c r="AA997" s="1690"/>
      <c r="AB997" s="1664">
        <f>CZ810</f>
        <v>55</v>
      </c>
      <c r="AC997" s="1665"/>
      <c r="AD997" s="1665"/>
      <c r="AE997" s="1665"/>
      <c r="AF997" s="1665"/>
      <c r="AG997" s="1665"/>
      <c r="AH997" s="1665"/>
      <c r="AI997" s="1666"/>
      <c r="AJ997" s="1647">
        <f>IF(ISERROR((R997*AB997)),0,(R997*AB997))</f>
        <v>53108000</v>
      </c>
      <c r="AK997" s="1648"/>
      <c r="AL997" s="1648"/>
      <c r="AM997" s="1648"/>
      <c r="AN997" s="1648"/>
      <c r="AO997" s="1648"/>
      <c r="AP997" s="1648"/>
      <c r="AQ997" s="1649"/>
      <c r="AR997" s="1183"/>
      <c r="AS997" s="1183"/>
      <c r="AT997" s="1183"/>
      <c r="AU997" s="1183"/>
      <c r="AV997" s="1183"/>
      <c r="AW997" s="1183"/>
      <c r="AX997" s="1183"/>
      <c r="AY997" s="1183"/>
      <c r="AZ997" s="25"/>
      <c r="BB997" s="13"/>
      <c r="BC997" s="13"/>
    </row>
    <row r="998" spans="1:55" ht="12.9" customHeight="1">
      <c r="A998" s="13"/>
      <c r="B998" s="58"/>
      <c r="C998" s="62"/>
      <c r="D998" s="1621" t="s">
        <v>843</v>
      </c>
      <c r="E998" s="1622"/>
      <c r="F998" s="1622"/>
      <c r="G998" s="1622"/>
      <c r="H998" s="1622"/>
      <c r="I998" s="1622"/>
      <c r="J998" s="1622"/>
      <c r="K998" s="1622"/>
      <c r="L998" s="1622"/>
      <c r="M998" s="1622"/>
      <c r="N998" s="1622"/>
      <c r="O998" s="1622"/>
      <c r="P998" s="1622"/>
      <c r="Q998" s="1623"/>
      <c r="R998" s="1690">
        <f>IF(ISNA(IF($CU$122="4%",(INDEX($CS$160:$CW$217,MATCH($DG$122,$CR$160:$CR$217,0),MATCH(D998,$CS$159:$CW$159,0))),(INDEX($CZ$160:$DD$217,MATCH($DG$122,$CY$160:$CY$217,0),MATCH(D998,$CZ$159:$DD$159,0))))),0,IF($CU$122="4%",(INDEX($CS$160:$CW$217,MATCH($DG$122,$CR$160:$CR$217,0),MATCH(D998,$CS$159:$CW$159,0))),(INDEX($CZ$160:$DD$217,MATCH($DG$122,$CY$160:$CY$217,0),MATCH(D998,$CZ$159:$DD$159,0)))))</f>
        <v>1235968</v>
      </c>
      <c r="S998" s="1690"/>
      <c r="T998" s="1690"/>
      <c r="U998" s="1690"/>
      <c r="V998" s="1690"/>
      <c r="W998" s="1690"/>
      <c r="X998" s="1690"/>
      <c r="Y998" s="1690"/>
      <c r="Z998" s="1690"/>
      <c r="AA998" s="1690"/>
      <c r="AB998" s="1664">
        <f>DE810</f>
        <v>3</v>
      </c>
      <c r="AC998" s="1665"/>
      <c r="AD998" s="1665"/>
      <c r="AE998" s="1665"/>
      <c r="AF998" s="1665"/>
      <c r="AG998" s="1665"/>
      <c r="AH998" s="1665"/>
      <c r="AI998" s="1666"/>
      <c r="AJ998" s="1647">
        <f>IF(ISERROR((R998*AB998)),0,(R998*AB998))</f>
        <v>3707904</v>
      </c>
      <c r="AK998" s="1648"/>
      <c r="AL998" s="1648"/>
      <c r="AM998" s="1648"/>
      <c r="AN998" s="1648"/>
      <c r="AO998" s="1648"/>
      <c r="AP998" s="1648"/>
      <c r="AQ998" s="1649"/>
      <c r="AR998" s="1183"/>
      <c r="AS998" s="1183"/>
      <c r="AT998" s="1183"/>
      <c r="AU998" s="1183"/>
      <c r="AV998" s="1183"/>
      <c r="AW998" s="1183"/>
      <c r="AX998" s="1183"/>
      <c r="AY998" s="1183"/>
      <c r="AZ998" s="25"/>
      <c r="BA998" s="3"/>
      <c r="BB998" s="13"/>
      <c r="BC998" s="13"/>
    </row>
    <row r="999" spans="1:55" ht="12.9" customHeight="1">
      <c r="A999" s="13"/>
      <c r="B999" s="39"/>
      <c r="C999" s="60"/>
      <c r="D999" s="1621" t="s">
        <v>847</v>
      </c>
      <c r="E999" s="1622"/>
      <c r="F999" s="1622"/>
      <c r="G999" s="1622"/>
      <c r="H999" s="1622"/>
      <c r="I999" s="1622"/>
      <c r="J999" s="1622"/>
      <c r="K999" s="1622"/>
      <c r="L999" s="1622"/>
      <c r="M999" s="1622"/>
      <c r="N999" s="1622"/>
      <c r="O999" s="1622"/>
      <c r="P999" s="1622"/>
      <c r="Q999" s="1623"/>
      <c r="R999" s="1690">
        <f>IF(ISNA(IF($CU$122="4%",(INDEX($CS$160:$CW$217,MATCH($DG$122,$CR$160:$CR$217,0),MATCH(D999,$CS$159:$CW$159,0))),(INDEX($CZ$160:$DD$217,MATCH($DG$122,$CY$160:$CY$217,0),MATCH(D999,$CZ$159:$DD$159,0))))),0,IF($CU$122="4%",(INDEX($CS$160:$CW$217,MATCH($DG$122,$CR$160:$CR$217,0),MATCH(D999,$CS$159:$CW$159,0))),(INDEX($CZ$160:$DD$217,MATCH($DG$122,$CY$160:$CY$217,0),MATCH(D999,$CZ$159:$DD$159,0)))))</f>
        <v>1376946</v>
      </c>
      <c r="S999" s="1690"/>
      <c r="T999" s="1690"/>
      <c r="U999" s="1690"/>
      <c r="V999" s="1690"/>
      <c r="W999" s="1690"/>
      <c r="X999" s="1690"/>
      <c r="Y999" s="1690"/>
      <c r="Z999" s="1690"/>
      <c r="AA999" s="1690"/>
      <c r="AB999" s="1664">
        <f>DO810+DJ810</f>
        <v>0</v>
      </c>
      <c r="AC999" s="1665"/>
      <c r="AD999" s="1665"/>
      <c r="AE999" s="1665"/>
      <c r="AF999" s="1665"/>
      <c r="AG999" s="1665"/>
      <c r="AH999" s="1665"/>
      <c r="AI999" s="1666"/>
      <c r="AJ999" s="1647">
        <f>IF(ISERROR((R999*AB999)),0,(R999*AB999))</f>
        <v>0</v>
      </c>
      <c r="AK999" s="1648"/>
      <c r="AL999" s="1648"/>
      <c r="AM999" s="1648"/>
      <c r="AN999" s="1648"/>
      <c r="AO999" s="1648"/>
      <c r="AP999" s="1648"/>
      <c r="AQ999" s="1649"/>
      <c r="AR999" s="1183"/>
      <c r="AS999" s="1183"/>
      <c r="AT999" s="1183"/>
      <c r="AU999" s="1183"/>
      <c r="AV999" s="1183"/>
      <c r="AW999" s="1183"/>
      <c r="AX999" s="1183"/>
      <c r="AY999" s="1183"/>
      <c r="AZ999" s="25"/>
      <c r="BB999" s="13"/>
      <c r="BC999" s="13"/>
    </row>
    <row r="1000" spans="1:55" ht="12.9" customHeight="1">
      <c r="A1000" s="13"/>
      <c r="B1000" s="1676" t="s">
        <v>1668</v>
      </c>
      <c r="C1000" s="1677"/>
      <c r="D1000" s="1677"/>
      <c r="E1000" s="1677"/>
      <c r="F1000" s="1677"/>
      <c r="G1000" s="1677"/>
      <c r="H1000" s="1677"/>
      <c r="I1000" s="1677"/>
      <c r="J1000" s="1677"/>
      <c r="K1000" s="1677"/>
      <c r="L1000" s="1677"/>
      <c r="M1000" s="1677"/>
      <c r="N1000" s="1677"/>
      <c r="O1000" s="1677"/>
      <c r="P1000" s="1677"/>
      <c r="Q1000" s="1677"/>
      <c r="R1000" s="1677"/>
      <c r="S1000" s="1677"/>
      <c r="T1000" s="1677"/>
      <c r="U1000" s="1677"/>
      <c r="V1000" s="1677"/>
      <c r="W1000" s="1677"/>
      <c r="X1000" s="1677"/>
      <c r="Y1000" s="1677"/>
      <c r="Z1000" s="1677"/>
      <c r="AA1000" s="1678"/>
      <c r="AB1000" s="1664">
        <f>SUM(AB995:AI999)</f>
        <v>91</v>
      </c>
      <c r="AC1000" s="1665"/>
      <c r="AD1000" s="1665"/>
      <c r="AE1000" s="1665"/>
      <c r="AF1000" s="1665"/>
      <c r="AG1000" s="1665"/>
      <c r="AH1000" s="1665"/>
      <c r="AI1000" s="1666"/>
      <c r="AJ1000" s="1647"/>
      <c r="AK1000" s="1648"/>
      <c r="AL1000" s="1648"/>
      <c r="AM1000" s="1648"/>
      <c r="AN1000" s="1648"/>
      <c r="AO1000" s="1648"/>
      <c r="AP1000" s="1648"/>
      <c r="AQ1000" s="1649"/>
      <c r="AR1000" s="1183"/>
      <c r="AS1000" s="1183"/>
      <c r="AT1000" s="1183"/>
      <c r="AU1000" s="1183"/>
      <c r="AV1000" s="1183"/>
      <c r="AW1000" s="1183"/>
      <c r="AX1000" s="1183"/>
      <c r="AY1000" s="1183"/>
      <c r="AZ1000" s="3"/>
      <c r="BA1000" s="3"/>
      <c r="BB1000" s="13"/>
      <c r="BC1000" s="13"/>
    </row>
    <row r="1001" spans="1:55" ht="12.9" customHeight="1">
      <c r="A1001" s="13"/>
      <c r="B1001" s="1670" t="s">
        <v>1669</v>
      </c>
      <c r="C1001" s="1671"/>
      <c r="D1001" s="1671"/>
      <c r="E1001" s="1671"/>
      <c r="F1001" s="1671"/>
      <c r="G1001" s="1671"/>
      <c r="H1001" s="1671"/>
      <c r="I1001" s="1671"/>
      <c r="J1001" s="1671"/>
      <c r="K1001" s="1671"/>
      <c r="L1001" s="1671"/>
      <c r="M1001" s="1671"/>
      <c r="N1001" s="1671"/>
      <c r="O1001" s="1671"/>
      <c r="P1001" s="1671"/>
      <c r="Q1001" s="1671"/>
      <c r="R1001" s="1671"/>
      <c r="S1001" s="1671"/>
      <c r="T1001" s="1671"/>
      <c r="U1001" s="1671"/>
      <c r="V1001" s="1671"/>
      <c r="W1001" s="1671"/>
      <c r="X1001" s="1671"/>
      <c r="Y1001" s="1671"/>
      <c r="Z1001" s="1671"/>
      <c r="AA1001" s="1671"/>
      <c r="AB1001" s="1671"/>
      <c r="AC1001" s="1671"/>
      <c r="AD1001" s="1671"/>
      <c r="AE1001" s="1671"/>
      <c r="AF1001" s="1671"/>
      <c r="AG1001" s="1671"/>
      <c r="AH1001" s="1671"/>
      <c r="AI1001" s="1672"/>
      <c r="AJ1001" s="1647">
        <f>SUM(AJ995:AQ999)</f>
        <v>83125594</v>
      </c>
      <c r="AK1001" s="1648"/>
      <c r="AL1001" s="1648"/>
      <c r="AM1001" s="1648"/>
      <c r="AN1001" s="1648"/>
      <c r="AO1001" s="1648"/>
      <c r="AP1001" s="1648"/>
      <c r="AQ1001" s="1649"/>
      <c r="AR1001" s="1183"/>
      <c r="AS1001" s="1183"/>
      <c r="AT1001" s="1183"/>
      <c r="AU1001" s="1183"/>
      <c r="AV1001" s="1183"/>
      <c r="AW1001" s="1183"/>
      <c r="AX1001" s="1183"/>
      <c r="AY1001" s="1183"/>
      <c r="AZ1001" s="3"/>
      <c r="BB1001" s="3"/>
      <c r="BC1001" s="3"/>
    </row>
    <row r="1002" spans="1:55" ht="12.9" customHeight="1">
      <c r="A1002" s="13"/>
      <c r="B1002" s="1716"/>
      <c r="C1002" s="1717"/>
      <c r="D1002" s="1717"/>
      <c r="E1002" s="1717"/>
      <c r="F1002" s="1717"/>
      <c r="G1002" s="1717"/>
      <c r="H1002" s="1717"/>
      <c r="I1002" s="1717"/>
      <c r="J1002" s="1717"/>
      <c r="K1002" s="1717"/>
      <c r="L1002" s="1717"/>
      <c r="M1002" s="1717"/>
      <c r="N1002" s="1717"/>
      <c r="O1002" s="1717"/>
      <c r="P1002" s="1717"/>
      <c r="Q1002" s="1717"/>
      <c r="R1002" s="1717"/>
      <c r="S1002" s="1717"/>
      <c r="T1002" s="1717"/>
      <c r="U1002" s="1717"/>
      <c r="V1002" s="1717"/>
      <c r="W1002" s="1717"/>
      <c r="X1002" s="1717"/>
      <c r="Y1002" s="1717"/>
      <c r="Z1002" s="1717"/>
      <c r="AA1002" s="1717"/>
      <c r="AB1002" s="1717"/>
      <c r="AC1002" s="1717"/>
      <c r="AD1002" s="1717"/>
      <c r="AE1002" s="1718"/>
      <c r="AF1002" s="1739" t="s">
        <v>1670</v>
      </c>
      <c r="AG1002" s="1740"/>
      <c r="AH1002" s="1740"/>
      <c r="AI1002" s="1741"/>
      <c r="AJ1002" s="1716"/>
      <c r="AK1002" s="1717"/>
      <c r="AL1002" s="1717"/>
      <c r="AM1002" s="1717"/>
      <c r="AN1002" s="1717"/>
      <c r="AO1002" s="1717"/>
      <c r="AP1002" s="1717"/>
      <c r="AQ1002" s="1718"/>
      <c r="AR1002" s="1183"/>
      <c r="AS1002" s="1183"/>
      <c r="AT1002" s="1183"/>
      <c r="AU1002" s="1183"/>
      <c r="AV1002" s="1183"/>
      <c r="AW1002" s="1183"/>
      <c r="AX1002" s="1183"/>
      <c r="AY1002" s="1183"/>
      <c r="AZ1002" s="3"/>
      <c r="BA1002" s="3"/>
      <c r="BB1002" s="3"/>
      <c r="BC1002" s="3"/>
    </row>
    <row r="1003" spans="1:55" ht="12.9" customHeight="1">
      <c r="A1003" s="13"/>
      <c r="B1003" s="58"/>
      <c r="C1003" s="1186" t="s">
        <v>1671</v>
      </c>
      <c r="D1003" s="1673" t="s">
        <v>1672</v>
      </c>
      <c r="E1003" s="1674"/>
      <c r="F1003" s="1674"/>
      <c r="G1003" s="1674"/>
      <c r="H1003" s="1674"/>
      <c r="I1003" s="1674"/>
      <c r="J1003" s="1674"/>
      <c r="K1003" s="1674"/>
      <c r="L1003" s="1674"/>
      <c r="M1003" s="1674"/>
      <c r="N1003" s="1674"/>
      <c r="O1003" s="1674"/>
      <c r="P1003" s="1674"/>
      <c r="Q1003" s="1674"/>
      <c r="R1003" s="1674"/>
      <c r="S1003" s="1674"/>
      <c r="T1003" s="1674"/>
      <c r="U1003" s="1674"/>
      <c r="V1003" s="1674"/>
      <c r="W1003" s="1674"/>
      <c r="X1003" s="1674"/>
      <c r="Y1003" s="1674"/>
      <c r="Z1003" s="1674"/>
      <c r="AA1003" s="1674"/>
      <c r="AB1003" s="1674"/>
      <c r="AC1003" s="1674"/>
      <c r="AD1003" s="1674"/>
      <c r="AE1003" s="1675"/>
      <c r="AF1003" s="61"/>
      <c r="AG1003" s="1742" t="s">
        <v>856</v>
      </c>
      <c r="AH1003" s="1743"/>
      <c r="AI1003" s="64"/>
      <c r="AJ1003" s="1701">
        <f>ROUND(IF(AND(AG1003="yes",D1009&gt;0),AJ1001*0.2,0),0)</f>
        <v>16625119</v>
      </c>
      <c r="AK1003" s="1702"/>
      <c r="AL1003" s="1702"/>
      <c r="AM1003" s="1702"/>
      <c r="AN1003" s="1702"/>
      <c r="AO1003" s="1702"/>
      <c r="AP1003" s="1702"/>
      <c r="AQ1003" s="1703"/>
      <c r="AR1003" s="1183"/>
      <c r="AS1003" s="1183"/>
      <c r="AT1003" s="1183"/>
      <c r="AU1003" s="1183"/>
      <c r="AV1003" s="1183"/>
      <c r="AW1003" s="1183"/>
      <c r="AX1003" s="1183"/>
      <c r="AY1003" s="1183"/>
      <c r="AZ1003" s="3"/>
      <c r="BA1003" s="3"/>
      <c r="BB1003" s="3"/>
      <c r="BC1003" s="3"/>
    </row>
    <row r="1004" spans="1:55" ht="12.9" customHeight="1">
      <c r="A1004" s="13"/>
      <c r="B1004" s="1187"/>
      <c r="C1004" s="1188"/>
      <c r="D1004" s="1694" t="s">
        <v>1673</v>
      </c>
      <c r="E1004" s="1695"/>
      <c r="F1004" s="1695"/>
      <c r="G1004" s="1695"/>
      <c r="H1004" s="1695"/>
      <c r="I1004" s="1695"/>
      <c r="J1004" s="1695"/>
      <c r="K1004" s="1695"/>
      <c r="L1004" s="1695"/>
      <c r="M1004" s="1695"/>
      <c r="N1004" s="1695"/>
      <c r="O1004" s="1695"/>
      <c r="P1004" s="1695"/>
      <c r="Q1004" s="1695"/>
      <c r="R1004" s="1695"/>
      <c r="S1004" s="1695"/>
      <c r="T1004" s="1695"/>
      <c r="U1004" s="1695"/>
      <c r="V1004" s="1695"/>
      <c r="W1004" s="1695"/>
      <c r="X1004" s="1695"/>
      <c r="Y1004" s="1695"/>
      <c r="Z1004" s="1695"/>
      <c r="AA1004" s="1695"/>
      <c r="AB1004" s="1695"/>
      <c r="AC1004" s="1695"/>
      <c r="AD1004" s="1695"/>
      <c r="AE1004" s="1696"/>
      <c r="AF1004" s="58"/>
      <c r="AG1004" s="13"/>
      <c r="AH1004" s="13"/>
      <c r="AI1004" s="62"/>
      <c r="AJ1004" s="1704"/>
      <c r="AK1004" s="1705"/>
      <c r="AL1004" s="1705"/>
      <c r="AM1004" s="1705"/>
      <c r="AN1004" s="1705"/>
      <c r="AO1004" s="1705"/>
      <c r="AP1004" s="1705"/>
      <c r="AQ1004" s="1706"/>
      <c r="AR1004" s="1183"/>
      <c r="AS1004" s="1183"/>
      <c r="AT1004" s="1183"/>
      <c r="AU1004" s="1183"/>
      <c r="AV1004" s="1183"/>
      <c r="AW1004" s="1183"/>
      <c r="AX1004" s="1183"/>
      <c r="AY1004" s="1183"/>
      <c r="AZ1004" s="3"/>
      <c r="BA1004" s="3"/>
      <c r="BB1004" s="3"/>
      <c r="BC1004" s="3"/>
    </row>
    <row r="1005" spans="1:55" ht="12.9" customHeight="1">
      <c r="A1005" s="13"/>
      <c r="B1005" s="1187"/>
      <c r="C1005" s="1188"/>
      <c r="D1005" s="1694"/>
      <c r="E1005" s="1695"/>
      <c r="F1005" s="1695"/>
      <c r="G1005" s="1695"/>
      <c r="H1005" s="1695"/>
      <c r="I1005" s="1695"/>
      <c r="J1005" s="1695"/>
      <c r="K1005" s="1695"/>
      <c r="L1005" s="1695"/>
      <c r="M1005" s="1695"/>
      <c r="N1005" s="1695"/>
      <c r="O1005" s="1695"/>
      <c r="P1005" s="1695"/>
      <c r="Q1005" s="1695"/>
      <c r="R1005" s="1695"/>
      <c r="S1005" s="1695"/>
      <c r="T1005" s="1695"/>
      <c r="U1005" s="1695"/>
      <c r="V1005" s="1695"/>
      <c r="W1005" s="1695"/>
      <c r="X1005" s="1695"/>
      <c r="Y1005" s="1695"/>
      <c r="Z1005" s="1695"/>
      <c r="AA1005" s="1695"/>
      <c r="AB1005" s="1695"/>
      <c r="AC1005" s="1695"/>
      <c r="AD1005" s="1695"/>
      <c r="AE1005" s="1696"/>
      <c r="AF1005" s="58"/>
      <c r="AG1005" s="13"/>
      <c r="AH1005" s="13"/>
      <c r="AI1005" s="62"/>
      <c r="AJ1005" s="1704"/>
      <c r="AK1005" s="1705"/>
      <c r="AL1005" s="1705"/>
      <c r="AM1005" s="1705"/>
      <c r="AN1005" s="1705"/>
      <c r="AO1005" s="1705"/>
      <c r="AP1005" s="1705"/>
      <c r="AQ1005" s="1706"/>
      <c r="AR1005" s="1183"/>
      <c r="AS1005" s="1183"/>
      <c r="AT1005" s="1183"/>
      <c r="AU1005" s="1183"/>
      <c r="AV1005" s="1183"/>
      <c r="AW1005" s="1183"/>
      <c r="AX1005" s="1183"/>
      <c r="AY1005" s="1183"/>
      <c r="AZ1005" s="3"/>
      <c r="BA1005" s="3"/>
      <c r="BB1005" s="3"/>
      <c r="BC1005" s="3"/>
    </row>
    <row r="1006" spans="1:55" ht="12.9" customHeight="1">
      <c r="A1006" s="13"/>
      <c r="B1006" s="1187"/>
      <c r="C1006" s="1188"/>
      <c r="D1006" s="1694"/>
      <c r="E1006" s="1695"/>
      <c r="F1006" s="1695"/>
      <c r="G1006" s="1695"/>
      <c r="H1006" s="1695"/>
      <c r="I1006" s="1695"/>
      <c r="J1006" s="1695"/>
      <c r="K1006" s="1695"/>
      <c r="L1006" s="1695"/>
      <c r="M1006" s="1695"/>
      <c r="N1006" s="1695"/>
      <c r="O1006" s="1695"/>
      <c r="P1006" s="1695"/>
      <c r="Q1006" s="1695"/>
      <c r="R1006" s="1695"/>
      <c r="S1006" s="1695"/>
      <c r="T1006" s="1695"/>
      <c r="U1006" s="1695"/>
      <c r="V1006" s="1695"/>
      <c r="W1006" s="1695"/>
      <c r="X1006" s="1695"/>
      <c r="Y1006" s="1695"/>
      <c r="Z1006" s="1695"/>
      <c r="AA1006" s="1695"/>
      <c r="AB1006" s="1695"/>
      <c r="AC1006" s="1695"/>
      <c r="AD1006" s="1695"/>
      <c r="AE1006" s="1696"/>
      <c r="AF1006" s="58"/>
      <c r="AG1006" s="13"/>
      <c r="AH1006" s="13"/>
      <c r="AI1006" s="62"/>
      <c r="AJ1006" s="1704"/>
      <c r="AK1006" s="1705"/>
      <c r="AL1006" s="1705"/>
      <c r="AM1006" s="1705"/>
      <c r="AN1006" s="1705"/>
      <c r="AO1006" s="1705"/>
      <c r="AP1006" s="1705"/>
      <c r="AQ1006" s="1706"/>
      <c r="AR1006" s="1183"/>
      <c r="AS1006" s="1183"/>
      <c r="AT1006" s="1183"/>
      <c r="AU1006" s="1183"/>
      <c r="AV1006" s="1183"/>
      <c r="AW1006" s="1183"/>
      <c r="AX1006" s="1183"/>
      <c r="AY1006" s="1183"/>
      <c r="AZ1006" s="3"/>
      <c r="BA1006" s="3"/>
      <c r="BB1006" s="3"/>
      <c r="BC1006" s="3"/>
    </row>
    <row r="1007" spans="1:55" ht="12.9" customHeight="1">
      <c r="A1007" s="13"/>
      <c r="B1007" s="1187"/>
      <c r="C1007" s="1188"/>
      <c r="D1007" s="1694"/>
      <c r="E1007" s="1695"/>
      <c r="F1007" s="1695"/>
      <c r="G1007" s="1695"/>
      <c r="H1007" s="1695"/>
      <c r="I1007" s="1695"/>
      <c r="J1007" s="1695"/>
      <c r="K1007" s="1695"/>
      <c r="L1007" s="1695"/>
      <c r="M1007" s="1695"/>
      <c r="N1007" s="1695"/>
      <c r="O1007" s="1695"/>
      <c r="P1007" s="1695"/>
      <c r="Q1007" s="1695"/>
      <c r="R1007" s="1695"/>
      <c r="S1007" s="1695"/>
      <c r="T1007" s="1695"/>
      <c r="U1007" s="1695"/>
      <c r="V1007" s="1695"/>
      <c r="W1007" s="1695"/>
      <c r="X1007" s="1695"/>
      <c r="Y1007" s="1695"/>
      <c r="Z1007" s="1695"/>
      <c r="AA1007" s="1695"/>
      <c r="AB1007" s="1695"/>
      <c r="AC1007" s="1695"/>
      <c r="AD1007" s="1695"/>
      <c r="AE1007" s="1696"/>
      <c r="AF1007" s="58"/>
      <c r="AG1007" s="13"/>
      <c r="AH1007" s="13"/>
      <c r="AI1007" s="62"/>
      <c r="AJ1007" s="1704"/>
      <c r="AK1007" s="1705"/>
      <c r="AL1007" s="1705"/>
      <c r="AM1007" s="1705"/>
      <c r="AN1007" s="1705"/>
      <c r="AO1007" s="1705"/>
      <c r="AP1007" s="1705"/>
      <c r="AQ1007" s="1706"/>
      <c r="AR1007" s="1183"/>
      <c r="AS1007" s="1183"/>
      <c r="AT1007" s="1183"/>
      <c r="AU1007" s="1183"/>
      <c r="AV1007" s="1183"/>
      <c r="AW1007" s="1183"/>
      <c r="AX1007" s="1183"/>
      <c r="AY1007" s="1183"/>
      <c r="AZ1007" s="3"/>
      <c r="BA1007" s="3"/>
      <c r="BB1007" s="3"/>
      <c r="BC1007" s="3"/>
    </row>
    <row r="1008" spans="1:55" ht="12.9" customHeight="1">
      <c r="A1008" s="13"/>
      <c r="B1008" s="1187"/>
      <c r="C1008" s="1188"/>
      <c r="D1008" s="1697" t="s">
        <v>1674</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58"/>
      <c r="AG1008" s="13"/>
      <c r="AH1008" s="13"/>
      <c r="AI1008" s="62"/>
      <c r="AJ1008" s="1704"/>
      <c r="AK1008" s="1705"/>
      <c r="AL1008" s="1705"/>
      <c r="AM1008" s="1705"/>
      <c r="AN1008" s="1705"/>
      <c r="AO1008" s="1705"/>
      <c r="AP1008" s="1705"/>
      <c r="AQ1008" s="1706"/>
      <c r="AR1008" s="1183"/>
      <c r="AS1008" s="1183"/>
      <c r="AT1008" s="1183"/>
      <c r="AU1008" s="1183"/>
      <c r="AV1008" s="1183"/>
      <c r="AW1008" s="1183"/>
      <c r="AX1008" s="1183"/>
      <c r="AY1008" s="1183"/>
      <c r="AZ1008" s="3"/>
      <c r="BA1008" s="3"/>
      <c r="BB1008" s="3"/>
      <c r="BC1008" s="3"/>
    </row>
    <row r="1009" spans="1:55" ht="12.9" customHeight="1">
      <c r="A1009" s="13"/>
      <c r="B1009" s="1187"/>
      <c r="C1009" s="1188"/>
      <c r="D1009" s="1764" t="s">
        <v>1675</v>
      </c>
      <c r="E1009" s="1765"/>
      <c r="F1009" s="1765"/>
      <c r="G1009" s="1765"/>
      <c r="H1009" s="1765"/>
      <c r="I1009" s="1765"/>
      <c r="J1009" s="1765"/>
      <c r="K1009" s="1765"/>
      <c r="L1009" s="1765"/>
      <c r="M1009" s="1765"/>
      <c r="N1009" s="1765"/>
      <c r="O1009" s="1765"/>
      <c r="P1009" s="1765"/>
      <c r="Q1009" s="1765"/>
      <c r="R1009" s="1765"/>
      <c r="S1009" s="1765"/>
      <c r="T1009" s="1765"/>
      <c r="U1009" s="1765"/>
      <c r="V1009" s="1765"/>
      <c r="W1009" s="1765"/>
      <c r="X1009" s="1765"/>
      <c r="Y1009" s="1765"/>
      <c r="Z1009" s="1765"/>
      <c r="AA1009" s="1765"/>
      <c r="AB1009" s="1765"/>
      <c r="AC1009" s="1765"/>
      <c r="AD1009" s="1765"/>
      <c r="AE1009" s="1766"/>
      <c r="AF1009" s="59"/>
      <c r="AG1009" s="6"/>
      <c r="AH1009" s="6"/>
      <c r="AI1009" s="60"/>
      <c r="AJ1009" s="1713"/>
      <c r="AK1009" s="1714"/>
      <c r="AL1009" s="1714"/>
      <c r="AM1009" s="1714"/>
      <c r="AN1009" s="1714"/>
      <c r="AO1009" s="1714"/>
      <c r="AP1009" s="1714"/>
      <c r="AQ1009" s="1715"/>
      <c r="AR1009" s="1183"/>
      <c r="AS1009" s="1183"/>
      <c r="AT1009" s="1183"/>
      <c r="AU1009" s="1183"/>
      <c r="AV1009" s="1183"/>
      <c r="AW1009" s="1183"/>
      <c r="AX1009" s="1183"/>
      <c r="AY1009" s="1183"/>
      <c r="AZ1009" s="3"/>
      <c r="BA1009" s="3"/>
      <c r="BB1009" s="3"/>
      <c r="BC1009" s="3"/>
    </row>
    <row r="1010" spans="1:55" ht="12.9" customHeight="1">
      <c r="A1010" s="13"/>
      <c r="B1010" s="1189"/>
      <c r="C1010" s="1190"/>
      <c r="D1010" s="1679" t="s">
        <v>1676</v>
      </c>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1"/>
      <c r="AF1010" s="61"/>
      <c r="AG1010" s="1725" t="s">
        <v>698</v>
      </c>
      <c r="AH1010" s="1726"/>
      <c r="AI1010" s="64"/>
      <c r="AJ1010" s="1701">
        <f>ROUND(IF(AG1010="yes",AJ1001*0.05,0),0)</f>
        <v>0</v>
      </c>
      <c r="AK1010" s="1702"/>
      <c r="AL1010" s="1702"/>
      <c r="AM1010" s="1702"/>
      <c r="AN1010" s="1702"/>
      <c r="AO1010" s="1702"/>
      <c r="AP1010" s="1702"/>
      <c r="AQ1010" s="1703"/>
      <c r="AR1010" s="1183"/>
      <c r="AS1010" s="1183"/>
      <c r="AT1010" s="1183"/>
      <c r="AU1010" s="1183"/>
      <c r="AV1010" s="1183"/>
      <c r="AW1010" s="1183"/>
      <c r="AX1010" s="1183"/>
      <c r="AY1010" s="1183"/>
      <c r="AZ1010" s="3"/>
      <c r="BA1010" s="3"/>
      <c r="BB1010" s="3"/>
      <c r="BC1010" s="3"/>
    </row>
    <row r="1011" spans="1:55" ht="12.9" customHeight="1">
      <c r="A1011" s="13"/>
      <c r="B1011" s="1187"/>
      <c r="C1011" s="1191"/>
      <c r="D1011" s="1694" t="s">
        <v>1677</v>
      </c>
      <c r="E1011" s="1695"/>
      <c r="F1011" s="1695"/>
      <c r="G1011" s="1695"/>
      <c r="H1011" s="1695"/>
      <c r="I1011" s="1695"/>
      <c r="J1011" s="1695"/>
      <c r="K1011" s="1695"/>
      <c r="L1011" s="1695"/>
      <c r="M1011" s="1695"/>
      <c r="N1011" s="1695"/>
      <c r="O1011" s="1695"/>
      <c r="P1011" s="1695"/>
      <c r="Q1011" s="1695"/>
      <c r="R1011" s="1695"/>
      <c r="S1011" s="1695"/>
      <c r="T1011" s="1695"/>
      <c r="U1011" s="1695"/>
      <c r="V1011" s="1695"/>
      <c r="W1011" s="1695"/>
      <c r="X1011" s="1695"/>
      <c r="Y1011" s="1695"/>
      <c r="Z1011" s="1695"/>
      <c r="AA1011" s="1695"/>
      <c r="AB1011" s="1695"/>
      <c r="AC1011" s="1695"/>
      <c r="AD1011" s="1695"/>
      <c r="AE1011" s="1696"/>
      <c r="AF1011" s="58"/>
      <c r="AG1011" s="13"/>
      <c r="AH1011" s="13"/>
      <c r="AI1011" s="62"/>
      <c r="AJ1011" s="1704"/>
      <c r="AK1011" s="1705"/>
      <c r="AL1011" s="1705"/>
      <c r="AM1011" s="1705"/>
      <c r="AN1011" s="1705"/>
      <c r="AO1011" s="1705"/>
      <c r="AP1011" s="1705"/>
      <c r="AQ1011" s="1706"/>
      <c r="AR1011" s="1183"/>
      <c r="AS1011" s="1183"/>
      <c r="AT1011" s="1183"/>
      <c r="AU1011" s="1183"/>
      <c r="AV1011" s="1183"/>
      <c r="AW1011" s="1183"/>
      <c r="AX1011" s="1183"/>
      <c r="AY1011" s="3"/>
      <c r="AZ1011" s="3"/>
      <c r="BB1011" s="3"/>
    </row>
    <row r="1012" spans="1:55" ht="12.9" customHeight="1">
      <c r="A1012" s="13"/>
      <c r="B1012" s="1187"/>
      <c r="C1012" s="1191"/>
      <c r="D1012" s="1694"/>
      <c r="E1012" s="1695"/>
      <c r="F1012" s="1695"/>
      <c r="G1012" s="1695"/>
      <c r="H1012" s="1695"/>
      <c r="I1012" s="1695"/>
      <c r="J1012" s="1695"/>
      <c r="K1012" s="1695"/>
      <c r="L1012" s="1695"/>
      <c r="M1012" s="1695"/>
      <c r="N1012" s="1695"/>
      <c r="O1012" s="1695"/>
      <c r="P1012" s="1695"/>
      <c r="Q1012" s="1695"/>
      <c r="R1012" s="1695"/>
      <c r="S1012" s="1695"/>
      <c r="T1012" s="1695"/>
      <c r="U1012" s="1695"/>
      <c r="V1012" s="1695"/>
      <c r="W1012" s="1695"/>
      <c r="X1012" s="1695"/>
      <c r="Y1012" s="1695"/>
      <c r="Z1012" s="1695"/>
      <c r="AA1012" s="1695"/>
      <c r="AB1012" s="1695"/>
      <c r="AC1012" s="1695"/>
      <c r="AD1012" s="1695"/>
      <c r="AE1012" s="1696"/>
      <c r="AF1012" s="58"/>
      <c r="AG1012" s="13"/>
      <c r="AH1012" s="13"/>
      <c r="AI1012" s="62"/>
      <c r="AJ1012" s="1704"/>
      <c r="AK1012" s="1705"/>
      <c r="AL1012" s="1705"/>
      <c r="AM1012" s="1705"/>
      <c r="AN1012" s="1705"/>
      <c r="AO1012" s="1705"/>
      <c r="AP1012" s="1705"/>
      <c r="AQ1012" s="1706"/>
      <c r="AR1012" s="1183"/>
      <c r="AS1012" s="1183"/>
      <c r="AT1012" s="1183"/>
      <c r="AU1012" s="1183"/>
      <c r="AV1012" s="1183"/>
      <c r="AW1012" s="1183"/>
      <c r="AX1012" s="1183"/>
      <c r="AY1012" s="806">
        <f>G761+O805</f>
        <v>90</v>
      </c>
      <c r="AZ1012" s="3"/>
      <c r="BB1012" s="3"/>
    </row>
    <row r="1013" spans="1:55" ht="12.9" customHeight="1">
      <c r="A1013" s="13"/>
      <c r="B1013" s="1187"/>
      <c r="C1013" s="1191"/>
      <c r="D1013" s="1694"/>
      <c r="E1013" s="1695"/>
      <c r="F1013" s="1695"/>
      <c r="G1013" s="1695"/>
      <c r="H1013" s="1695"/>
      <c r="I1013" s="1695"/>
      <c r="J1013" s="1695"/>
      <c r="K1013" s="1695"/>
      <c r="L1013" s="1695"/>
      <c r="M1013" s="1695"/>
      <c r="N1013" s="1695"/>
      <c r="O1013" s="1695"/>
      <c r="P1013" s="1695"/>
      <c r="Q1013" s="1695"/>
      <c r="R1013" s="1695"/>
      <c r="S1013" s="1695"/>
      <c r="T1013" s="1695"/>
      <c r="U1013" s="1695"/>
      <c r="V1013" s="1695"/>
      <c r="W1013" s="1695"/>
      <c r="X1013" s="1695"/>
      <c r="Y1013" s="1695"/>
      <c r="Z1013" s="1695"/>
      <c r="AA1013" s="1695"/>
      <c r="AB1013" s="1695"/>
      <c r="AC1013" s="1695"/>
      <c r="AD1013" s="1695"/>
      <c r="AE1013" s="1696"/>
      <c r="AF1013" s="58"/>
      <c r="AG1013" s="13"/>
      <c r="AH1013" s="13"/>
      <c r="AI1013" s="62"/>
      <c r="AJ1013" s="1704"/>
      <c r="AK1013" s="1705"/>
      <c r="AL1013" s="1705"/>
      <c r="AM1013" s="1705"/>
      <c r="AN1013" s="1705"/>
      <c r="AO1013" s="1705"/>
      <c r="AP1013" s="1705"/>
      <c r="AQ1013" s="1706"/>
      <c r="AR1013" s="1183"/>
      <c r="AS1013" s="1183"/>
      <c r="AT1013" s="1183"/>
      <c r="AU1013" s="1183"/>
      <c r="AV1013" s="1183"/>
      <c r="AW1013" s="1183"/>
      <c r="AX1013" s="1183"/>
      <c r="AY1013" s="13"/>
      <c r="AZ1013" s="3"/>
      <c r="BB1013" s="3"/>
    </row>
    <row r="1014" spans="1:55" ht="12.9" customHeight="1">
      <c r="A1014" s="13"/>
      <c r="B1014" s="1187"/>
      <c r="C1014" s="1191"/>
      <c r="D1014" s="1694"/>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58"/>
      <c r="AG1014" s="13"/>
      <c r="AH1014" s="13"/>
      <c r="AI1014" s="62"/>
      <c r="AJ1014" s="1704"/>
      <c r="AK1014" s="1705"/>
      <c r="AL1014" s="1705"/>
      <c r="AM1014" s="1705"/>
      <c r="AN1014" s="1705"/>
      <c r="AO1014" s="1705"/>
      <c r="AP1014" s="1705"/>
      <c r="AQ1014" s="1706"/>
      <c r="AR1014" s="1183"/>
      <c r="AS1014" s="1183"/>
      <c r="AT1014" s="1183"/>
      <c r="AU1014" s="1183"/>
      <c r="AV1014" s="1183"/>
      <c r="AW1014" s="1183"/>
      <c r="AX1014" s="1183"/>
      <c r="AY1014" s="805">
        <f>ROUNDDOWN(X1057/I1057,2)</f>
        <v>0.43</v>
      </c>
      <c r="AZ1014" s="3"/>
      <c r="BB1014" s="3"/>
    </row>
    <row r="1015" spans="1:55" ht="12.9" customHeight="1">
      <c r="A1015" s="13"/>
      <c r="B1015" s="1192"/>
      <c r="C1015" s="1193"/>
      <c r="D1015" s="1697"/>
      <c r="E1015" s="1698"/>
      <c r="F1015" s="1698"/>
      <c r="G1015" s="1698"/>
      <c r="H1015" s="1698"/>
      <c r="I1015" s="1698"/>
      <c r="J1015" s="1698"/>
      <c r="K1015" s="1698"/>
      <c r="L1015" s="1698"/>
      <c r="M1015" s="1698"/>
      <c r="N1015" s="1698"/>
      <c r="O1015" s="1698"/>
      <c r="P1015" s="1698"/>
      <c r="Q1015" s="1698"/>
      <c r="R1015" s="1698"/>
      <c r="S1015" s="1698"/>
      <c r="T1015" s="1698"/>
      <c r="U1015" s="1698"/>
      <c r="V1015" s="1698"/>
      <c r="W1015" s="1698"/>
      <c r="X1015" s="1698"/>
      <c r="Y1015" s="1698"/>
      <c r="Z1015" s="1698"/>
      <c r="AA1015" s="1698"/>
      <c r="AB1015" s="1698"/>
      <c r="AC1015" s="1698"/>
      <c r="AD1015" s="1698"/>
      <c r="AE1015" s="1699"/>
      <c r="AF1015" s="59"/>
      <c r="AG1015" s="6"/>
      <c r="AH1015" s="6"/>
      <c r="AI1015" s="60"/>
      <c r="AJ1015" s="1713"/>
      <c r="AK1015" s="1714"/>
      <c r="AL1015" s="1714"/>
      <c r="AM1015" s="1714"/>
      <c r="AN1015" s="1714"/>
      <c r="AO1015" s="1714"/>
      <c r="AP1015" s="1714"/>
      <c r="AQ1015" s="1715"/>
      <c r="AR1015" s="1183"/>
      <c r="AS1015" s="1183"/>
      <c r="AT1015" s="1183"/>
      <c r="AU1015" s="1183"/>
      <c r="AV1015" s="1183"/>
      <c r="AW1015" s="1183"/>
      <c r="AX1015" s="1183"/>
      <c r="AY1015" s="805">
        <f>ROUNDDOWN(X1061/I1061,2)</f>
        <v>0.5</v>
      </c>
      <c r="AZ1015" s="3"/>
      <c r="BB1015" s="3"/>
    </row>
    <row r="1016" spans="1:55" ht="12.9" customHeight="1">
      <c r="A1016" s="13"/>
      <c r="B1016" s="1189"/>
      <c r="C1016" s="242" t="s">
        <v>1678</v>
      </c>
      <c r="D1016" s="1679" t="s">
        <v>1679</v>
      </c>
      <c r="E1016" s="1680"/>
      <c r="F1016" s="1680"/>
      <c r="G1016" s="1680"/>
      <c r="H1016" s="1680"/>
      <c r="I1016" s="1680"/>
      <c r="J1016" s="1680"/>
      <c r="K1016" s="1680"/>
      <c r="L1016" s="1680"/>
      <c r="M1016" s="1680"/>
      <c r="N1016" s="1680"/>
      <c r="O1016" s="1680"/>
      <c r="P1016" s="1680"/>
      <c r="Q1016" s="1680"/>
      <c r="R1016" s="1680"/>
      <c r="S1016" s="1680"/>
      <c r="T1016" s="1680"/>
      <c r="U1016" s="1680"/>
      <c r="V1016" s="1680"/>
      <c r="W1016" s="1680"/>
      <c r="X1016" s="1680"/>
      <c r="Y1016" s="1680"/>
      <c r="Z1016" s="1680"/>
      <c r="AA1016" s="1680"/>
      <c r="AB1016" s="1680"/>
      <c r="AC1016" s="1680"/>
      <c r="AD1016" s="1680"/>
      <c r="AE1016" s="1681"/>
      <c r="AF1016" s="63"/>
      <c r="AG1016" s="1725" t="s">
        <v>698</v>
      </c>
      <c r="AH1016" s="1726"/>
      <c r="AI1016" s="64"/>
      <c r="AJ1016" s="1701">
        <f>ROUND(IF(AG1016="yes",AJ1001*0.1,0),0)</f>
        <v>0</v>
      </c>
      <c r="AK1016" s="1702"/>
      <c r="AL1016" s="1702"/>
      <c r="AM1016" s="1702"/>
      <c r="AN1016" s="1702"/>
      <c r="AO1016" s="1702"/>
      <c r="AP1016" s="1702"/>
      <c r="AQ1016" s="1703"/>
      <c r="AR1016" s="1183"/>
      <c r="AS1016" s="1183"/>
      <c r="AT1016" s="1183"/>
      <c r="AU1016" s="1183"/>
      <c r="AV1016" s="1183"/>
      <c r="AW1016" s="1183"/>
      <c r="AX1016" s="1183"/>
      <c r="BB1016" s="3"/>
    </row>
    <row r="1017" spans="1:55" ht="12.9" customHeight="1">
      <c r="A1017" s="13"/>
      <c r="B1017" s="58"/>
      <c r="C1017" s="1194"/>
      <c r="D1017" s="1707" t="s">
        <v>1680</v>
      </c>
      <c r="E1017" s="1708"/>
      <c r="F1017" s="1708"/>
      <c r="G1017" s="1708"/>
      <c r="H1017" s="1708"/>
      <c r="I1017" s="1708"/>
      <c r="J1017" s="1708"/>
      <c r="K1017" s="1708"/>
      <c r="L1017" s="1708"/>
      <c r="M1017" s="1708"/>
      <c r="N1017" s="1708"/>
      <c r="O1017" s="1708"/>
      <c r="P1017" s="1708"/>
      <c r="Q1017" s="1708"/>
      <c r="R1017" s="1708"/>
      <c r="S1017" s="1708"/>
      <c r="T1017" s="1708"/>
      <c r="U1017" s="1708"/>
      <c r="V1017" s="1708"/>
      <c r="W1017" s="1708"/>
      <c r="X1017" s="1708"/>
      <c r="Y1017" s="1708"/>
      <c r="Z1017" s="1708"/>
      <c r="AA1017" s="1708"/>
      <c r="AB1017" s="1708"/>
      <c r="AC1017" s="1708"/>
      <c r="AD1017" s="1708"/>
      <c r="AE1017" s="1709"/>
      <c r="AF1017" s="58"/>
      <c r="AI1017" s="62"/>
      <c r="AJ1017" s="1704"/>
      <c r="AK1017" s="1705"/>
      <c r="AL1017" s="1705"/>
      <c r="AM1017" s="1705"/>
      <c r="AN1017" s="1705"/>
      <c r="AO1017" s="1705"/>
      <c r="AP1017" s="1705"/>
      <c r="AQ1017" s="1706"/>
      <c r="AR1017" s="1183"/>
      <c r="AS1017" s="1183"/>
      <c r="AT1017" s="1183"/>
      <c r="AU1017" s="1183"/>
      <c r="AV1017" s="1183"/>
      <c r="AW1017" s="1183"/>
      <c r="AX1017" s="1183"/>
    </row>
    <row r="1018" spans="1:55" ht="12.9" customHeight="1">
      <c r="A1018" s="13"/>
      <c r="B1018" s="58"/>
      <c r="C1018" s="1194"/>
      <c r="D1018" s="1707"/>
      <c r="E1018" s="1708"/>
      <c r="F1018" s="1708"/>
      <c r="G1018" s="1708"/>
      <c r="H1018" s="1708"/>
      <c r="I1018" s="1708"/>
      <c r="J1018" s="1708"/>
      <c r="K1018" s="1708"/>
      <c r="L1018" s="1708"/>
      <c r="M1018" s="1708"/>
      <c r="N1018" s="1708"/>
      <c r="O1018" s="1708"/>
      <c r="P1018" s="1708"/>
      <c r="Q1018" s="1708"/>
      <c r="R1018" s="1708"/>
      <c r="S1018" s="1708"/>
      <c r="T1018" s="1708"/>
      <c r="U1018" s="1708"/>
      <c r="V1018" s="1708"/>
      <c r="W1018" s="1708"/>
      <c r="X1018" s="1708"/>
      <c r="Y1018" s="1708"/>
      <c r="Z1018" s="1708"/>
      <c r="AA1018" s="1708"/>
      <c r="AB1018" s="1708"/>
      <c r="AC1018" s="1708"/>
      <c r="AD1018" s="1708"/>
      <c r="AE1018" s="1709"/>
      <c r="AF1018" s="58"/>
      <c r="AG1018" s="13"/>
      <c r="AH1018" s="13"/>
      <c r="AI1018" s="62"/>
      <c r="AJ1018" s="1704"/>
      <c r="AK1018" s="1705"/>
      <c r="AL1018" s="1705"/>
      <c r="AM1018" s="1705"/>
      <c r="AN1018" s="1705"/>
      <c r="AO1018" s="1705"/>
      <c r="AP1018" s="1705"/>
      <c r="AQ1018" s="1706"/>
      <c r="AR1018" s="1183"/>
      <c r="AS1018" s="1183"/>
      <c r="AT1018" s="1183"/>
      <c r="AU1018" s="1183"/>
      <c r="AV1018" s="1183"/>
      <c r="AW1018" s="1183"/>
      <c r="AX1018" s="1183"/>
    </row>
    <row r="1019" spans="1:55" ht="12.9" customHeight="1">
      <c r="A1019" s="13"/>
      <c r="B1019" s="1195"/>
      <c r="C1019" s="1193"/>
      <c r="D1019" s="1710"/>
      <c r="E1019" s="1711"/>
      <c r="F1019" s="1711"/>
      <c r="G1019" s="1711"/>
      <c r="H1019" s="1711"/>
      <c r="I1019" s="1711"/>
      <c r="J1019" s="1711"/>
      <c r="K1019" s="1711"/>
      <c r="L1019" s="1711"/>
      <c r="M1019" s="1711"/>
      <c r="N1019" s="1711"/>
      <c r="O1019" s="1711"/>
      <c r="P1019" s="1711"/>
      <c r="Q1019" s="1711"/>
      <c r="R1019" s="1711"/>
      <c r="S1019" s="1711"/>
      <c r="T1019" s="1711"/>
      <c r="U1019" s="1711"/>
      <c r="V1019" s="1711"/>
      <c r="W1019" s="1711"/>
      <c r="X1019" s="1711"/>
      <c r="Y1019" s="1711"/>
      <c r="Z1019" s="1711"/>
      <c r="AA1019" s="1711"/>
      <c r="AB1019" s="1711"/>
      <c r="AC1019" s="1711"/>
      <c r="AD1019" s="1711"/>
      <c r="AE1019" s="1712"/>
      <c r="AF1019" s="59"/>
      <c r="AG1019" s="6"/>
      <c r="AH1019" s="6"/>
      <c r="AI1019" s="60"/>
      <c r="AJ1019" s="1713"/>
      <c r="AK1019" s="1714"/>
      <c r="AL1019" s="1714"/>
      <c r="AM1019" s="1714"/>
      <c r="AN1019" s="1714"/>
      <c r="AO1019" s="1714"/>
      <c r="AP1019" s="1714"/>
      <c r="AQ1019" s="1715"/>
      <c r="AR1019" s="1183"/>
      <c r="AS1019" s="1183"/>
      <c r="AT1019" s="1183"/>
      <c r="AU1019" s="1183"/>
      <c r="AV1019" s="1183"/>
      <c r="AW1019" s="1183"/>
      <c r="AX1019" s="1183"/>
    </row>
    <row r="1020" spans="1:55" ht="12.9" customHeight="1">
      <c r="A1020" s="13"/>
      <c r="B1020" s="61"/>
      <c r="C1020" s="242" t="s">
        <v>1681</v>
      </c>
      <c r="D1020" s="1679" t="s">
        <v>1682</v>
      </c>
      <c r="E1020" s="1680"/>
      <c r="F1020" s="1680"/>
      <c r="G1020" s="1680"/>
      <c r="H1020" s="1680"/>
      <c r="I1020" s="1680"/>
      <c r="J1020" s="1680"/>
      <c r="K1020" s="1680"/>
      <c r="L1020" s="1680"/>
      <c r="M1020" s="1680"/>
      <c r="N1020" s="1680"/>
      <c r="O1020" s="1680"/>
      <c r="P1020" s="1680"/>
      <c r="Q1020" s="1680"/>
      <c r="R1020" s="1680"/>
      <c r="S1020" s="1680"/>
      <c r="T1020" s="1680"/>
      <c r="U1020" s="1680"/>
      <c r="V1020" s="1680"/>
      <c r="W1020" s="1680"/>
      <c r="X1020" s="1680"/>
      <c r="Y1020" s="1680"/>
      <c r="Z1020" s="1680"/>
      <c r="AA1020" s="1680"/>
      <c r="AB1020" s="1680"/>
      <c r="AC1020" s="1680"/>
      <c r="AD1020" s="1680"/>
      <c r="AE1020" s="1681"/>
      <c r="AF1020" s="61"/>
      <c r="AG1020" s="1725" t="s">
        <v>698</v>
      </c>
      <c r="AH1020" s="1726"/>
      <c r="AI1020" s="64"/>
      <c r="AJ1020" s="1701">
        <f>ROUND(IF(AG1020="yes",AJ1001*0.02,0),0)</f>
        <v>0</v>
      </c>
      <c r="AK1020" s="1702"/>
      <c r="AL1020" s="1702"/>
      <c r="AM1020" s="1702"/>
      <c r="AN1020" s="1702"/>
      <c r="AO1020" s="1702"/>
      <c r="AP1020" s="1702"/>
      <c r="AQ1020" s="1703"/>
      <c r="AR1020" s="1183"/>
      <c r="AS1020" s="1183"/>
      <c r="AT1020" s="1183"/>
      <c r="AU1020" s="1183"/>
      <c r="AV1020" s="1183"/>
      <c r="AW1020" s="1183"/>
      <c r="AX1020" s="1183"/>
    </row>
    <row r="1021" spans="1:55" ht="14.25" customHeight="1">
      <c r="A1021" s="13"/>
      <c r="B1021" s="58"/>
      <c r="C1021" s="1194"/>
      <c r="D1021" s="1710" t="s">
        <v>1683</v>
      </c>
      <c r="E1021" s="1711"/>
      <c r="F1021" s="1711"/>
      <c r="G1021" s="1711"/>
      <c r="H1021" s="1711"/>
      <c r="I1021" s="1711"/>
      <c r="J1021" s="1711"/>
      <c r="K1021" s="1711"/>
      <c r="L1021" s="1711"/>
      <c r="M1021" s="1711"/>
      <c r="N1021" s="1711"/>
      <c r="O1021" s="1711"/>
      <c r="P1021" s="1711"/>
      <c r="Q1021" s="1711"/>
      <c r="R1021" s="1711"/>
      <c r="S1021" s="1711"/>
      <c r="T1021" s="1711"/>
      <c r="U1021" s="1711"/>
      <c r="V1021" s="1711"/>
      <c r="W1021" s="1711"/>
      <c r="X1021" s="1711"/>
      <c r="Y1021" s="1711"/>
      <c r="Z1021" s="1711"/>
      <c r="AA1021" s="1711"/>
      <c r="AB1021" s="1711"/>
      <c r="AC1021" s="1711"/>
      <c r="AD1021" s="1711"/>
      <c r="AE1021" s="1712"/>
      <c r="AF1021" s="59"/>
      <c r="AG1021" s="6"/>
      <c r="AH1021" s="6"/>
      <c r="AI1021" s="60"/>
      <c r="AJ1021" s="1713"/>
      <c r="AK1021" s="1714"/>
      <c r="AL1021" s="1714"/>
      <c r="AM1021" s="1714"/>
      <c r="AN1021" s="1714"/>
      <c r="AO1021" s="1714"/>
      <c r="AP1021" s="1714"/>
      <c r="AQ1021" s="1715"/>
      <c r="AR1021" s="1183"/>
      <c r="AS1021" s="1183"/>
      <c r="AT1021" s="1183"/>
      <c r="AU1021" s="1183"/>
      <c r="AV1021" s="1183"/>
      <c r="AW1021" s="1183"/>
      <c r="AX1021" s="3" t="s">
        <v>1684</v>
      </c>
      <c r="AZ1021" s="3" t="s">
        <v>1685</v>
      </c>
    </row>
    <row r="1022" spans="1:55" ht="12.9" customHeight="1">
      <c r="A1022" s="13"/>
      <c r="B1022" s="61"/>
      <c r="C1022" s="242" t="s">
        <v>1686</v>
      </c>
      <c r="D1022" s="1679" t="s">
        <v>1687</v>
      </c>
      <c r="E1022" s="1680"/>
      <c r="F1022" s="1680"/>
      <c r="G1022" s="1680"/>
      <c r="H1022" s="1680"/>
      <c r="I1022" s="1680"/>
      <c r="J1022" s="1680"/>
      <c r="K1022" s="1680"/>
      <c r="L1022" s="1680"/>
      <c r="M1022" s="1680"/>
      <c r="N1022" s="1680"/>
      <c r="O1022" s="1680"/>
      <c r="P1022" s="1680"/>
      <c r="Q1022" s="1680"/>
      <c r="R1022" s="1680"/>
      <c r="S1022" s="1680"/>
      <c r="T1022" s="1680"/>
      <c r="U1022" s="1680"/>
      <c r="V1022" s="1680"/>
      <c r="W1022" s="1680"/>
      <c r="X1022" s="1680"/>
      <c r="Y1022" s="1680"/>
      <c r="Z1022" s="1680"/>
      <c r="AA1022" s="1680"/>
      <c r="AB1022" s="1680"/>
      <c r="AC1022" s="1680"/>
      <c r="AD1022" s="1680"/>
      <c r="AE1022" s="1681"/>
      <c r="AF1022" s="61"/>
      <c r="AG1022" s="1725" t="s">
        <v>698</v>
      </c>
      <c r="AH1022" s="1726"/>
      <c r="AI1022" s="61"/>
      <c r="AJ1022" s="1701">
        <f>ROUND(IF(AG1022="yes",AJ1001*0.02,0),0)</f>
        <v>0</v>
      </c>
      <c r="AK1022" s="1702"/>
      <c r="AL1022" s="1702"/>
      <c r="AM1022" s="1702"/>
      <c r="AN1022" s="1702"/>
      <c r="AO1022" s="1702"/>
      <c r="AP1022" s="1702"/>
      <c r="AQ1022" s="1703"/>
      <c r="AR1022" s="1183"/>
      <c r="AS1022" s="1183"/>
      <c r="AT1022" s="1183"/>
      <c r="AU1022" s="1183"/>
      <c r="AV1022" s="1183"/>
      <c r="AW1022" s="1183"/>
      <c r="AX1022" s="3">
        <v>1</v>
      </c>
      <c r="AY1022" s="1196">
        <f>IF((_xlfn.XLOOKUP(AX1022,$C$1074:$C$1112,$A$1074:$A$1112,"",0,1))="Yes",AZ1022,0)</f>
        <v>0</v>
      </c>
      <c r="AZ1022" s="1077">
        <v>0.2</v>
      </c>
    </row>
    <row r="1023" spans="1:55" ht="12.9" customHeight="1">
      <c r="A1023" s="13"/>
      <c r="B1023" s="58"/>
      <c r="C1023" s="1194"/>
      <c r="D1023" s="1707" t="s">
        <v>1688</v>
      </c>
      <c r="E1023" s="1708"/>
      <c r="F1023" s="1708"/>
      <c r="G1023" s="1708"/>
      <c r="H1023" s="1708"/>
      <c r="I1023" s="1708"/>
      <c r="J1023" s="1708"/>
      <c r="K1023" s="1708"/>
      <c r="L1023" s="1708"/>
      <c r="M1023" s="1708"/>
      <c r="N1023" s="1708"/>
      <c r="O1023" s="1708"/>
      <c r="P1023" s="1708"/>
      <c r="Q1023" s="1708"/>
      <c r="R1023" s="1708"/>
      <c r="S1023" s="1708"/>
      <c r="T1023" s="1708"/>
      <c r="U1023" s="1708"/>
      <c r="V1023" s="1708"/>
      <c r="W1023" s="1708"/>
      <c r="X1023" s="1708"/>
      <c r="Y1023" s="1708"/>
      <c r="Z1023" s="1708"/>
      <c r="AA1023" s="1708"/>
      <c r="AB1023" s="1708"/>
      <c r="AC1023" s="1708"/>
      <c r="AD1023" s="1708"/>
      <c r="AE1023" s="1709"/>
      <c r="AF1023" s="1791" t="str">
        <f>IF(AND(AG1022="yes",T212&lt;&gt;1),"The project may not be eligible for this boost","")</f>
        <v/>
      </c>
      <c r="AG1023" s="1792"/>
      <c r="AH1023" s="1792"/>
      <c r="AI1023" s="1793"/>
      <c r="AJ1023" s="1704"/>
      <c r="AK1023" s="1705"/>
      <c r="AL1023" s="1705"/>
      <c r="AM1023" s="1705"/>
      <c r="AN1023" s="1705"/>
      <c r="AO1023" s="1705"/>
      <c r="AP1023" s="1705"/>
      <c r="AQ1023" s="1706"/>
      <c r="AR1023" s="1183"/>
      <c r="AS1023" s="1183"/>
      <c r="AT1023" s="1183"/>
      <c r="AU1023" s="1183"/>
      <c r="AV1023" s="1183"/>
      <c r="AW1023" s="1183"/>
      <c r="AX1023" s="3">
        <v>2</v>
      </c>
      <c r="AY1023" s="1196">
        <f t="shared" ref="AY1023:AY1032" si="55">IF((_xlfn.XLOOKUP(AX1023,$C$1074:$C$1112,$A$1074:$A$1112,"",0,1))="Yes",AZ1023,0)</f>
        <v>0</v>
      </c>
      <c r="AZ1023" s="1077">
        <v>0.15</v>
      </c>
    </row>
    <row r="1024" spans="1:55" ht="12.9" customHeight="1">
      <c r="A1024" s="13"/>
      <c r="B1024" s="1192"/>
      <c r="C1024" s="1193"/>
      <c r="D1024" s="1710"/>
      <c r="E1024" s="1711"/>
      <c r="F1024" s="1711"/>
      <c r="G1024" s="1711"/>
      <c r="H1024" s="1711"/>
      <c r="I1024" s="1711"/>
      <c r="J1024" s="1711"/>
      <c r="K1024" s="1711"/>
      <c r="L1024" s="1711"/>
      <c r="M1024" s="1711"/>
      <c r="N1024" s="1711"/>
      <c r="O1024" s="1711"/>
      <c r="P1024" s="1711"/>
      <c r="Q1024" s="1711"/>
      <c r="R1024" s="1711"/>
      <c r="S1024" s="1711"/>
      <c r="T1024" s="1711"/>
      <c r="U1024" s="1711"/>
      <c r="V1024" s="1711"/>
      <c r="W1024" s="1711"/>
      <c r="X1024" s="1711"/>
      <c r="Y1024" s="1711"/>
      <c r="Z1024" s="1711"/>
      <c r="AA1024" s="1711"/>
      <c r="AB1024" s="1711"/>
      <c r="AC1024" s="1711"/>
      <c r="AD1024" s="1711"/>
      <c r="AE1024" s="1712"/>
      <c r="AF1024" s="1794"/>
      <c r="AG1024" s="1795"/>
      <c r="AH1024" s="1795"/>
      <c r="AI1024" s="1796"/>
      <c r="AJ1024" s="1713"/>
      <c r="AK1024" s="1714"/>
      <c r="AL1024" s="1714"/>
      <c r="AM1024" s="1714"/>
      <c r="AN1024" s="1714"/>
      <c r="AO1024" s="1714"/>
      <c r="AP1024" s="1714"/>
      <c r="AQ1024" s="1715"/>
      <c r="AR1024" s="1183"/>
      <c r="AS1024" s="1183"/>
      <c r="AT1024" s="1183"/>
      <c r="AU1024" s="1183"/>
      <c r="AV1024" s="1183"/>
      <c r="AW1024" s="1183"/>
      <c r="AX1024" s="3">
        <v>3</v>
      </c>
      <c r="AY1024" s="1196">
        <f t="shared" si="55"/>
        <v>0</v>
      </c>
      <c r="AZ1024" s="1077">
        <v>0.05</v>
      </c>
    </row>
    <row r="1025" spans="1:52" ht="12.9" customHeight="1">
      <c r="A1025" s="13"/>
      <c r="B1025" s="61"/>
      <c r="C1025" s="242" t="s">
        <v>1689</v>
      </c>
      <c r="D1025" s="1673" t="s">
        <v>1690</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61"/>
      <c r="AG1025" s="1725" t="s">
        <v>698</v>
      </c>
      <c r="AH1025" s="1726"/>
      <c r="AI1025" s="64"/>
      <c r="AJ1025" s="1701">
        <f>IF(AG1025="yes",AJ1001*AY1033,0)</f>
        <v>0</v>
      </c>
      <c r="AK1025" s="1702"/>
      <c r="AL1025" s="1702"/>
      <c r="AM1025" s="1702"/>
      <c r="AN1025" s="1702"/>
      <c r="AO1025" s="1702"/>
      <c r="AP1025" s="1702"/>
      <c r="AQ1025" s="1703"/>
      <c r="AR1025" s="1183"/>
      <c r="AS1025" s="1183"/>
      <c r="AT1025" s="1183"/>
      <c r="AU1025" s="1183"/>
      <c r="AV1025" s="1183"/>
      <c r="AW1025" s="1183"/>
      <c r="AX1025" s="3">
        <v>4</v>
      </c>
      <c r="AY1025" s="1196">
        <f t="shared" si="55"/>
        <v>0</v>
      </c>
      <c r="AZ1025" s="1077">
        <v>0.02</v>
      </c>
    </row>
    <row r="1026" spans="1:52" ht="12.9" customHeight="1">
      <c r="A1026" s="13"/>
      <c r="B1026" s="58"/>
      <c r="C1026" s="1194"/>
      <c r="D1026" s="1707" t="s">
        <v>1691</v>
      </c>
      <c r="E1026" s="1708"/>
      <c r="F1026" s="1708"/>
      <c r="G1026" s="1708"/>
      <c r="H1026" s="1708"/>
      <c r="I1026" s="1708"/>
      <c r="J1026" s="1708"/>
      <c r="K1026" s="1708"/>
      <c r="L1026" s="1708"/>
      <c r="M1026" s="1708"/>
      <c r="N1026" s="1708"/>
      <c r="O1026" s="1708"/>
      <c r="P1026" s="1708"/>
      <c r="Q1026" s="1708"/>
      <c r="R1026" s="1708"/>
      <c r="S1026" s="1708"/>
      <c r="T1026" s="1708"/>
      <c r="U1026" s="1708"/>
      <c r="V1026" s="1708"/>
      <c r="W1026" s="1708"/>
      <c r="X1026" s="1708"/>
      <c r="Y1026" s="1708"/>
      <c r="Z1026" s="1708"/>
      <c r="AA1026" s="1708"/>
      <c r="AB1026" s="1708"/>
      <c r="AC1026" s="1708"/>
      <c r="AD1026" s="1708"/>
      <c r="AE1026" s="1709"/>
      <c r="AF1026" s="1785" t="str">
        <f>IF(AND(AG1025="Yes",AY1033=0),AY1036,"")</f>
        <v/>
      </c>
      <c r="AG1026" s="1786"/>
      <c r="AH1026" s="1786"/>
      <c r="AI1026" s="1787"/>
      <c r="AJ1026" s="1704"/>
      <c r="AK1026" s="1705"/>
      <c r="AL1026" s="1705"/>
      <c r="AM1026" s="1705"/>
      <c r="AN1026" s="1705"/>
      <c r="AO1026" s="1705"/>
      <c r="AP1026" s="1705"/>
      <c r="AQ1026" s="1706"/>
      <c r="AR1026" s="1183"/>
      <c r="AS1026" s="1183"/>
      <c r="AT1026" s="1183"/>
      <c r="AU1026" s="1183"/>
      <c r="AV1026" s="1183"/>
      <c r="AW1026" s="1183"/>
      <c r="AX1026" s="3">
        <v>5</v>
      </c>
      <c r="AY1026" s="1196">
        <f t="shared" si="55"/>
        <v>0</v>
      </c>
      <c r="AZ1026" s="1077">
        <v>0.04</v>
      </c>
    </row>
    <row r="1027" spans="1:52" ht="12.9" customHeight="1">
      <c r="A1027" s="13"/>
      <c r="B1027" s="58"/>
      <c r="C1027" s="1194"/>
      <c r="D1027" s="1707"/>
      <c r="E1027" s="1708"/>
      <c r="F1027" s="1708"/>
      <c r="G1027" s="1708"/>
      <c r="H1027" s="1708"/>
      <c r="I1027" s="1708"/>
      <c r="J1027" s="1708"/>
      <c r="K1027" s="1708"/>
      <c r="L1027" s="1708"/>
      <c r="M1027" s="1708"/>
      <c r="N1027" s="1708"/>
      <c r="O1027" s="1708"/>
      <c r="P1027" s="1708"/>
      <c r="Q1027" s="1708"/>
      <c r="R1027" s="1708"/>
      <c r="S1027" s="1708"/>
      <c r="T1027" s="1708"/>
      <c r="U1027" s="1708"/>
      <c r="V1027" s="1708"/>
      <c r="W1027" s="1708"/>
      <c r="X1027" s="1708"/>
      <c r="Y1027" s="1708"/>
      <c r="Z1027" s="1708"/>
      <c r="AA1027" s="1708"/>
      <c r="AB1027" s="1708"/>
      <c r="AC1027" s="1708"/>
      <c r="AD1027" s="1708"/>
      <c r="AE1027" s="1709"/>
      <c r="AF1027" s="1785"/>
      <c r="AG1027" s="1786"/>
      <c r="AH1027" s="1786"/>
      <c r="AI1027" s="1787"/>
      <c r="AJ1027" s="1704"/>
      <c r="AK1027" s="1705"/>
      <c r="AL1027" s="1705"/>
      <c r="AM1027" s="1705"/>
      <c r="AN1027" s="1705"/>
      <c r="AO1027" s="1705"/>
      <c r="AP1027" s="1705"/>
      <c r="AQ1027" s="1706"/>
      <c r="AR1027" s="1183"/>
      <c r="AS1027" s="1183"/>
      <c r="AT1027" s="1183"/>
      <c r="AU1027" s="1183"/>
      <c r="AV1027" s="1183"/>
      <c r="AW1027" s="1183"/>
      <c r="AX1027" s="3">
        <v>6</v>
      </c>
      <c r="AY1027" s="1196">
        <f t="shared" si="55"/>
        <v>0</v>
      </c>
      <c r="AZ1027" s="1077">
        <v>0.04</v>
      </c>
    </row>
    <row r="1028" spans="1:52" ht="12.9" customHeight="1">
      <c r="A1028" s="13"/>
      <c r="B1028" s="1197"/>
      <c r="C1028" s="1191"/>
      <c r="D1028" s="1710"/>
      <c r="E1028" s="1711"/>
      <c r="F1028" s="1711"/>
      <c r="G1028" s="1711"/>
      <c r="H1028" s="1711"/>
      <c r="I1028" s="1711"/>
      <c r="J1028" s="1711"/>
      <c r="K1028" s="1711"/>
      <c r="L1028" s="1711"/>
      <c r="M1028" s="1711"/>
      <c r="N1028" s="1711"/>
      <c r="O1028" s="1711"/>
      <c r="P1028" s="1711"/>
      <c r="Q1028" s="1711"/>
      <c r="R1028" s="1711"/>
      <c r="S1028" s="1711"/>
      <c r="T1028" s="1711"/>
      <c r="U1028" s="1711"/>
      <c r="V1028" s="1711"/>
      <c r="W1028" s="1711"/>
      <c r="X1028" s="1711"/>
      <c r="Y1028" s="1711"/>
      <c r="Z1028" s="1711"/>
      <c r="AA1028" s="1711"/>
      <c r="AB1028" s="1711"/>
      <c r="AC1028" s="1711"/>
      <c r="AD1028" s="1711"/>
      <c r="AE1028" s="1712"/>
      <c r="AF1028" s="1788"/>
      <c r="AG1028" s="1789"/>
      <c r="AH1028" s="1789"/>
      <c r="AI1028" s="1790"/>
      <c r="AJ1028" s="1713"/>
      <c r="AK1028" s="1714"/>
      <c r="AL1028" s="1714"/>
      <c r="AM1028" s="1714"/>
      <c r="AN1028" s="1714"/>
      <c r="AO1028" s="1714"/>
      <c r="AP1028" s="1714"/>
      <c r="AQ1028" s="1715"/>
      <c r="AR1028" s="1183"/>
      <c r="AS1028" s="1183"/>
      <c r="AT1028" s="1183"/>
      <c r="AU1028" s="1183"/>
      <c r="AV1028" s="1183"/>
      <c r="AW1028" s="1183"/>
      <c r="AX1028" s="3">
        <v>7</v>
      </c>
      <c r="AY1028" s="1196">
        <f t="shared" si="55"/>
        <v>0</v>
      </c>
      <c r="AZ1028" s="1077">
        <v>0.01</v>
      </c>
    </row>
    <row r="1029" spans="1:52" ht="12.9" customHeight="1">
      <c r="A1029" s="13"/>
      <c r="B1029" s="61"/>
      <c r="C1029" s="242" t="s">
        <v>1692</v>
      </c>
      <c r="D1029" s="1744" t="s">
        <v>1693</v>
      </c>
      <c r="E1029" s="1745"/>
      <c r="F1029" s="1745"/>
      <c r="G1029" s="1745"/>
      <c r="H1029" s="1745"/>
      <c r="I1029" s="1745"/>
      <c r="J1029" s="1745"/>
      <c r="K1029" s="1745"/>
      <c r="L1029" s="1745"/>
      <c r="M1029" s="1745"/>
      <c r="N1029" s="1745"/>
      <c r="O1029" s="1745"/>
      <c r="P1029" s="1745"/>
      <c r="Q1029" s="1745"/>
      <c r="R1029" s="1745"/>
      <c r="S1029" s="1745"/>
      <c r="T1029" s="1745"/>
      <c r="U1029" s="1745"/>
      <c r="V1029" s="1745"/>
      <c r="W1029" s="1745"/>
      <c r="X1029" s="1745"/>
      <c r="Y1029" s="1745"/>
      <c r="Z1029" s="1745"/>
      <c r="AA1029" s="1745"/>
      <c r="AB1029" s="1745"/>
      <c r="AC1029" s="1745"/>
      <c r="AD1029" s="1745"/>
      <c r="AE1029" s="1746"/>
      <c r="AF1029" s="61"/>
      <c r="AG1029" s="1725" t="s">
        <v>698</v>
      </c>
      <c r="AH1029" s="1726"/>
      <c r="AI1029" s="64"/>
      <c r="AJ1029" s="1701">
        <f>ROUND(IF(AND(AG1029="Yes",J1033&lt;&gt;"N/A",AF1032&lt;&gt;""),MIN(AF1032,(0.15*AJ1001)),0),0)</f>
        <v>0</v>
      </c>
      <c r="AK1029" s="1702"/>
      <c r="AL1029" s="1702"/>
      <c r="AM1029" s="1702"/>
      <c r="AN1029" s="1702"/>
      <c r="AO1029" s="1702"/>
      <c r="AP1029" s="1702"/>
      <c r="AQ1029" s="1703"/>
      <c r="AR1029" s="1183"/>
      <c r="AS1029" s="1183"/>
      <c r="AT1029" s="1183"/>
      <c r="AU1029" s="1183"/>
      <c r="AV1029" s="1183"/>
      <c r="AW1029" s="1183"/>
      <c r="AX1029" s="3">
        <v>8</v>
      </c>
      <c r="AY1029" s="1196">
        <f t="shared" si="55"/>
        <v>0</v>
      </c>
      <c r="AZ1029" s="1077">
        <v>0.01</v>
      </c>
    </row>
    <row r="1030" spans="1:52" ht="12.9" customHeight="1">
      <c r="A1030" s="13"/>
      <c r="B1030" s="1197"/>
      <c r="C1030" s="1198"/>
      <c r="D1030" s="1747"/>
      <c r="E1030" s="1748"/>
      <c r="F1030" s="1748"/>
      <c r="G1030" s="1748"/>
      <c r="H1030" s="1748"/>
      <c r="I1030" s="1748"/>
      <c r="J1030" s="1748"/>
      <c r="K1030" s="1748"/>
      <c r="L1030" s="1748"/>
      <c r="M1030" s="1748"/>
      <c r="N1030" s="1748"/>
      <c r="O1030" s="1748"/>
      <c r="P1030" s="1748"/>
      <c r="Q1030" s="1748"/>
      <c r="R1030" s="1748"/>
      <c r="S1030" s="1748"/>
      <c r="T1030" s="1748"/>
      <c r="U1030" s="1748"/>
      <c r="V1030" s="1748"/>
      <c r="W1030" s="1748"/>
      <c r="X1030" s="1748"/>
      <c r="Y1030" s="1748"/>
      <c r="Z1030" s="1748"/>
      <c r="AA1030" s="1748"/>
      <c r="AB1030" s="1748"/>
      <c r="AC1030" s="1748"/>
      <c r="AD1030" s="1748"/>
      <c r="AE1030" s="1749"/>
      <c r="AF1030" s="1719" t="str">
        <f>IF(AG1029="yes","Please Select Type and Enter Amount:","")</f>
        <v/>
      </c>
      <c r="AG1030" s="1720"/>
      <c r="AH1030" s="1720"/>
      <c r="AI1030" s="1721"/>
      <c r="AJ1030" s="1704"/>
      <c r="AK1030" s="1705"/>
      <c r="AL1030" s="1705"/>
      <c r="AM1030" s="1705"/>
      <c r="AN1030" s="1705"/>
      <c r="AO1030" s="1705"/>
      <c r="AP1030" s="1705"/>
      <c r="AQ1030" s="1706"/>
      <c r="AR1030" s="1183"/>
      <c r="AS1030" s="1183"/>
      <c r="AT1030" s="1183"/>
      <c r="AU1030" s="1183"/>
      <c r="AV1030" s="1183"/>
      <c r="AW1030" s="1183"/>
      <c r="AX1030" s="3">
        <v>9</v>
      </c>
      <c r="AY1030" s="1196">
        <f t="shared" si="55"/>
        <v>0</v>
      </c>
      <c r="AZ1030" s="1077">
        <v>0.01</v>
      </c>
    </row>
    <row r="1031" spans="1:52" ht="12.9" customHeight="1">
      <c r="A1031" s="13"/>
      <c r="B1031" s="1197"/>
      <c r="C1031" s="1198"/>
      <c r="D1031" s="1707" t="s">
        <v>1694</v>
      </c>
      <c r="E1031" s="1708"/>
      <c r="F1031" s="1708"/>
      <c r="G1031" s="1708"/>
      <c r="H1031" s="1708"/>
      <c r="I1031" s="1708"/>
      <c r="J1031" s="1708"/>
      <c r="K1031" s="1708"/>
      <c r="L1031" s="1708"/>
      <c r="M1031" s="1708"/>
      <c r="N1031" s="1708"/>
      <c r="O1031" s="1708"/>
      <c r="P1031" s="1708"/>
      <c r="Q1031" s="1708"/>
      <c r="R1031" s="1708"/>
      <c r="S1031" s="1708"/>
      <c r="T1031" s="1708"/>
      <c r="U1031" s="1708"/>
      <c r="V1031" s="1708"/>
      <c r="W1031" s="1708"/>
      <c r="X1031" s="1708"/>
      <c r="Y1031" s="1708"/>
      <c r="Z1031" s="1708"/>
      <c r="AA1031" s="1708"/>
      <c r="AB1031" s="1708"/>
      <c r="AC1031" s="1708"/>
      <c r="AD1031" s="1708"/>
      <c r="AE1031" s="1709"/>
      <c r="AF1031" s="1719"/>
      <c r="AG1031" s="1720"/>
      <c r="AH1031" s="1720"/>
      <c r="AI1031" s="1721"/>
      <c r="AJ1031" s="1704"/>
      <c r="AK1031" s="1705"/>
      <c r="AL1031" s="1705"/>
      <c r="AM1031" s="1705"/>
      <c r="AN1031" s="1705"/>
      <c r="AO1031" s="1705"/>
      <c r="AP1031" s="1705"/>
      <c r="AQ1031" s="1706"/>
      <c r="AR1031" s="1183"/>
      <c r="AS1031" s="1183"/>
      <c r="AT1031" s="1183"/>
      <c r="AU1031" s="1183"/>
      <c r="AV1031" s="1183"/>
      <c r="AW1031" s="1183"/>
      <c r="AX1031" s="3">
        <v>10</v>
      </c>
      <c r="AY1031" s="1196">
        <f t="shared" si="55"/>
        <v>0</v>
      </c>
      <c r="AZ1031" s="1077">
        <v>0.02</v>
      </c>
    </row>
    <row r="1032" spans="1:52" ht="12.9" customHeight="1">
      <c r="A1032" s="13"/>
      <c r="B1032" s="1197"/>
      <c r="C1032" s="1198"/>
      <c r="D1032" s="1707"/>
      <c r="E1032" s="1708"/>
      <c r="F1032" s="1708"/>
      <c r="G1032" s="1708"/>
      <c r="H1032" s="1708"/>
      <c r="I1032" s="1708"/>
      <c r="J1032" s="1708"/>
      <c r="K1032" s="1708"/>
      <c r="L1032" s="1708"/>
      <c r="M1032" s="1708"/>
      <c r="N1032" s="1708"/>
      <c r="O1032" s="1708"/>
      <c r="P1032" s="1708"/>
      <c r="Q1032" s="1708"/>
      <c r="R1032" s="1708"/>
      <c r="S1032" s="1708"/>
      <c r="T1032" s="1708"/>
      <c r="U1032" s="1708"/>
      <c r="V1032" s="1708"/>
      <c r="W1032" s="1708"/>
      <c r="X1032" s="1708"/>
      <c r="Y1032" s="1708"/>
      <c r="Z1032" s="1708"/>
      <c r="AA1032" s="1708"/>
      <c r="AB1032" s="1708"/>
      <c r="AC1032" s="1708"/>
      <c r="AD1032" s="1708"/>
      <c r="AE1032" s="1709"/>
      <c r="AF1032" s="1760"/>
      <c r="AG1032" s="1760"/>
      <c r="AH1032" s="1760"/>
      <c r="AI1032" s="1760"/>
      <c r="AJ1032" s="1704"/>
      <c r="AK1032" s="1705"/>
      <c r="AL1032" s="1705"/>
      <c r="AM1032" s="1705"/>
      <c r="AN1032" s="1705"/>
      <c r="AO1032" s="1705"/>
      <c r="AP1032" s="1705"/>
      <c r="AQ1032" s="1706"/>
      <c r="AR1032" s="1183"/>
      <c r="AS1032" s="1183"/>
      <c r="AT1032" s="1183"/>
      <c r="AU1032" s="1183"/>
      <c r="AV1032" s="1183"/>
      <c r="AW1032" s="1183"/>
      <c r="AX1032" s="3">
        <v>11</v>
      </c>
      <c r="AY1032" s="1196">
        <f t="shared" si="55"/>
        <v>0</v>
      </c>
      <c r="AZ1032" s="1077">
        <v>0.02</v>
      </c>
    </row>
    <row r="1033" spans="1:52" ht="12.9" customHeight="1">
      <c r="A1033" s="13"/>
      <c r="B1033" s="1197"/>
      <c r="C1033" s="1198"/>
      <c r="D1033" s="426" t="s">
        <v>1695</v>
      </c>
      <c r="E1033" s="66"/>
      <c r="F1033" s="66"/>
      <c r="G1033" s="788"/>
      <c r="H1033" s="788"/>
      <c r="I1033" s="41"/>
      <c r="J1033" s="1781" t="s">
        <v>820</v>
      </c>
      <c r="K1033" s="1782"/>
      <c r="L1033" s="1782"/>
      <c r="M1033" s="1782"/>
      <c r="N1033" s="1782"/>
      <c r="O1033" s="1782"/>
      <c r="P1033" s="1782"/>
      <c r="Q1033" s="1782"/>
      <c r="R1033" s="1782"/>
      <c r="S1033" s="1782"/>
      <c r="T1033" s="1782"/>
      <c r="U1033" s="1782"/>
      <c r="V1033" s="1782"/>
      <c r="W1033" s="1782"/>
      <c r="X1033" s="1782"/>
      <c r="Y1033" s="1782"/>
      <c r="Z1033" s="1782"/>
      <c r="AA1033" s="1782"/>
      <c r="AB1033" s="1782"/>
      <c r="AC1033" s="1782"/>
      <c r="AD1033" s="1782"/>
      <c r="AE1033" s="1783"/>
      <c r="AF1033" s="1760"/>
      <c r="AG1033" s="1760"/>
      <c r="AH1033" s="1760"/>
      <c r="AI1033" s="1760"/>
      <c r="AJ1033" s="1713"/>
      <c r="AK1033" s="1714"/>
      <c r="AL1033" s="1714"/>
      <c r="AM1033" s="1714"/>
      <c r="AN1033" s="1714"/>
      <c r="AO1033" s="1714"/>
      <c r="AP1033" s="1714"/>
      <c r="AQ1033" s="1715"/>
      <c r="AR1033" s="1183"/>
      <c r="AS1033" s="1183"/>
      <c r="AT1033" s="1183"/>
      <c r="AU1033" s="1183"/>
      <c r="AV1033" s="1183"/>
      <c r="AW1033" s="1183"/>
      <c r="AX1033" s="918" t="s">
        <v>1696</v>
      </c>
      <c r="AY1033" s="1199">
        <f>IF(SUM(AY1022:AY1032)&lt;=0.2,SUM(AY1022:AY1032),0.2)</f>
        <v>0</v>
      </c>
    </row>
    <row r="1034" spans="1:52" ht="12.9" customHeight="1">
      <c r="A1034" s="13"/>
      <c r="B1034" s="61"/>
      <c r="C1034" s="242" t="s">
        <v>1697</v>
      </c>
      <c r="D1034" s="1679" t="s">
        <v>1698</v>
      </c>
      <c r="E1034" s="1680"/>
      <c r="F1034" s="1680"/>
      <c r="G1034" s="1680"/>
      <c r="H1034" s="1680"/>
      <c r="I1034" s="1680"/>
      <c r="J1034" s="1680"/>
      <c r="K1034" s="1680"/>
      <c r="L1034" s="1680"/>
      <c r="M1034" s="1680"/>
      <c r="N1034" s="1680"/>
      <c r="O1034" s="1680"/>
      <c r="P1034" s="1680"/>
      <c r="Q1034" s="1680"/>
      <c r="R1034" s="1680"/>
      <c r="S1034" s="1680"/>
      <c r="T1034" s="1680"/>
      <c r="U1034" s="1680"/>
      <c r="V1034" s="1680"/>
      <c r="W1034" s="1680"/>
      <c r="X1034" s="1680"/>
      <c r="Y1034" s="1680"/>
      <c r="Z1034" s="1680"/>
      <c r="AA1034" s="1680"/>
      <c r="AB1034" s="1680"/>
      <c r="AC1034" s="1680"/>
      <c r="AD1034" s="1680"/>
      <c r="AE1034" s="1681"/>
      <c r="AF1034" s="61"/>
      <c r="AG1034" s="1725" t="s">
        <v>698</v>
      </c>
      <c r="AH1034" s="1726"/>
      <c r="AI1034" s="64"/>
      <c r="AJ1034" s="1701">
        <f>ROUND(IF(AG1034="Yes",AF1036,0),0)</f>
        <v>0</v>
      </c>
      <c r="AK1034" s="1702"/>
      <c r="AL1034" s="1702"/>
      <c r="AM1034" s="1702"/>
      <c r="AN1034" s="1702"/>
      <c r="AO1034" s="1702"/>
      <c r="AP1034" s="1702"/>
      <c r="AQ1034" s="1703"/>
      <c r="AR1034" s="1183"/>
      <c r="AS1034" s="1183"/>
      <c r="AT1034" s="1183"/>
      <c r="AU1034" s="1183"/>
      <c r="AV1034" s="1183"/>
      <c r="AW1034" s="1183"/>
      <c r="AX1034" s="1183"/>
      <c r="AY1034" s="1183"/>
    </row>
    <row r="1035" spans="1:52" ht="12.9" customHeight="1">
      <c r="A1035" s="13"/>
      <c r="B1035" s="58"/>
      <c r="C1035" s="1194"/>
      <c r="D1035" s="1707" t="s">
        <v>1699</v>
      </c>
      <c r="E1035" s="1708"/>
      <c r="F1035" s="1708"/>
      <c r="G1035" s="1708"/>
      <c r="H1035" s="1708"/>
      <c r="I1035" s="1708"/>
      <c r="J1035" s="1708"/>
      <c r="K1035" s="1708"/>
      <c r="L1035" s="1708"/>
      <c r="M1035" s="1708"/>
      <c r="N1035" s="1708"/>
      <c r="O1035" s="1708"/>
      <c r="P1035" s="1708"/>
      <c r="Q1035" s="1708"/>
      <c r="R1035" s="1708"/>
      <c r="S1035" s="1708"/>
      <c r="T1035" s="1708"/>
      <c r="U1035" s="1708"/>
      <c r="V1035" s="1708"/>
      <c r="W1035" s="1708"/>
      <c r="X1035" s="1708"/>
      <c r="Y1035" s="1708"/>
      <c r="Z1035" s="1708"/>
      <c r="AA1035" s="1708"/>
      <c r="AB1035" s="1708"/>
      <c r="AC1035" s="1708"/>
      <c r="AD1035" s="1708"/>
      <c r="AE1035" s="1709"/>
      <c r="AF1035" s="1750" t="str">
        <f>IF(AG1034="yes","Enter Amount:","")</f>
        <v/>
      </c>
      <c r="AG1035" s="1751"/>
      <c r="AH1035" s="1751"/>
      <c r="AI1035" s="1752"/>
      <c r="AJ1035" s="1704"/>
      <c r="AK1035" s="1705"/>
      <c r="AL1035" s="1705"/>
      <c r="AM1035" s="1705"/>
      <c r="AN1035" s="1705"/>
      <c r="AO1035" s="1705"/>
      <c r="AP1035" s="1705"/>
      <c r="AQ1035" s="1706"/>
      <c r="AR1035" s="1183"/>
      <c r="AS1035" s="1183"/>
      <c r="AT1035" s="1183"/>
      <c r="AU1035" s="1183"/>
      <c r="AV1035" s="1183"/>
      <c r="AW1035" s="1183"/>
      <c r="AX1035" s="1183"/>
      <c r="AY1035" s="1183"/>
    </row>
    <row r="1036" spans="1:52" ht="12.9" customHeight="1">
      <c r="A1036" s="13"/>
      <c r="B1036" s="58"/>
      <c r="C1036" s="1194"/>
      <c r="D1036" s="1707"/>
      <c r="E1036" s="1708"/>
      <c r="F1036" s="1708"/>
      <c r="G1036" s="1708"/>
      <c r="H1036" s="1708"/>
      <c r="I1036" s="1708"/>
      <c r="J1036" s="1708"/>
      <c r="K1036" s="1708"/>
      <c r="L1036" s="1708"/>
      <c r="M1036" s="1708"/>
      <c r="N1036" s="1708"/>
      <c r="O1036" s="1708"/>
      <c r="P1036" s="1708"/>
      <c r="Q1036" s="1708"/>
      <c r="R1036" s="1708"/>
      <c r="S1036" s="1708"/>
      <c r="T1036" s="1708"/>
      <c r="U1036" s="1708"/>
      <c r="V1036" s="1708"/>
      <c r="W1036" s="1708"/>
      <c r="X1036" s="1708"/>
      <c r="Y1036" s="1708"/>
      <c r="Z1036" s="1708"/>
      <c r="AA1036" s="1708"/>
      <c r="AB1036" s="1708"/>
      <c r="AC1036" s="1708"/>
      <c r="AD1036" s="1708"/>
      <c r="AE1036" s="1709"/>
      <c r="AF1036" s="1760"/>
      <c r="AG1036" s="1760"/>
      <c r="AH1036" s="1760"/>
      <c r="AI1036" s="1760"/>
      <c r="AJ1036" s="1704"/>
      <c r="AK1036" s="1705"/>
      <c r="AL1036" s="1705"/>
      <c r="AM1036" s="1705"/>
      <c r="AN1036" s="1705"/>
      <c r="AO1036" s="1705"/>
      <c r="AP1036" s="1705"/>
      <c r="AQ1036" s="1706"/>
      <c r="AR1036" s="1183"/>
      <c r="AS1036" s="1183"/>
      <c r="AT1036" s="1183"/>
      <c r="AU1036" s="1183"/>
      <c r="AV1036" s="1183"/>
      <c r="AW1036" s="1183"/>
      <c r="AX1036" s="1183"/>
      <c r="AY1036" s="13" t="str">
        <f>"Select items beginning on row #"&amp;TEXT(ROW(A1070),"#")&amp;" to claim this boost"</f>
        <v>Select items beginning on row #1070 to claim this boost</v>
      </c>
    </row>
    <row r="1037" spans="1:52" ht="12.9" customHeight="1">
      <c r="A1037" s="13"/>
      <c r="B1037" s="1195"/>
      <c r="C1037" s="1198"/>
      <c r="D1037" s="1710"/>
      <c r="E1037" s="1711"/>
      <c r="F1037" s="1711"/>
      <c r="G1037" s="1711"/>
      <c r="H1037" s="1711"/>
      <c r="I1037" s="1711"/>
      <c r="J1037" s="1711"/>
      <c r="K1037" s="1711"/>
      <c r="L1037" s="1711"/>
      <c r="M1037" s="1711"/>
      <c r="N1037" s="1711"/>
      <c r="O1037" s="1711"/>
      <c r="P1037" s="1711"/>
      <c r="Q1037" s="1711"/>
      <c r="R1037" s="1711"/>
      <c r="S1037" s="1711"/>
      <c r="T1037" s="1711"/>
      <c r="U1037" s="1711"/>
      <c r="V1037" s="1711"/>
      <c r="W1037" s="1711"/>
      <c r="X1037" s="1711"/>
      <c r="Y1037" s="1711"/>
      <c r="Z1037" s="1711"/>
      <c r="AA1037" s="1711"/>
      <c r="AB1037" s="1711"/>
      <c r="AC1037" s="1711"/>
      <c r="AD1037" s="1711"/>
      <c r="AE1037" s="1712"/>
      <c r="AF1037" s="1760"/>
      <c r="AG1037" s="1760"/>
      <c r="AH1037" s="1760"/>
      <c r="AI1037" s="1760"/>
      <c r="AJ1037" s="1713"/>
      <c r="AK1037" s="1714"/>
      <c r="AL1037" s="1714"/>
      <c r="AM1037" s="1714"/>
      <c r="AN1037" s="1714"/>
      <c r="AO1037" s="1714"/>
      <c r="AP1037" s="1714"/>
      <c r="AQ1037" s="1715"/>
      <c r="AR1037" s="1183"/>
      <c r="AS1037" s="1183"/>
      <c r="AT1037" s="1183"/>
      <c r="AU1037" s="1183"/>
      <c r="AV1037" s="1183"/>
      <c r="AW1037" s="1183"/>
      <c r="AX1037" s="1183"/>
      <c r="AY1037" s="1183"/>
    </row>
    <row r="1038" spans="1:52" ht="12.9" customHeight="1">
      <c r="A1038" s="13"/>
      <c r="B1038" s="61"/>
      <c r="C1038" s="242" t="s">
        <v>1700</v>
      </c>
      <c r="D1038" s="1673" t="s">
        <v>1701</v>
      </c>
      <c r="E1038" s="1674"/>
      <c r="F1038" s="1674"/>
      <c r="G1038" s="1674"/>
      <c r="H1038" s="1674"/>
      <c r="I1038" s="1674"/>
      <c r="J1038" s="1674"/>
      <c r="K1038" s="1674"/>
      <c r="L1038" s="1674"/>
      <c r="M1038" s="1674"/>
      <c r="N1038" s="1674"/>
      <c r="O1038" s="1674"/>
      <c r="P1038" s="1674"/>
      <c r="Q1038" s="1674"/>
      <c r="R1038" s="1674"/>
      <c r="S1038" s="1674"/>
      <c r="T1038" s="1674"/>
      <c r="U1038" s="1674"/>
      <c r="V1038" s="1674"/>
      <c r="W1038" s="1674"/>
      <c r="X1038" s="1674"/>
      <c r="Y1038" s="1674"/>
      <c r="Z1038" s="1674"/>
      <c r="AA1038" s="1674"/>
      <c r="AB1038" s="1674"/>
      <c r="AC1038" s="1674"/>
      <c r="AD1038" s="1674"/>
      <c r="AE1038" s="1675"/>
      <c r="AF1038" s="61"/>
      <c r="AG1038" s="1725" t="s">
        <v>856</v>
      </c>
      <c r="AH1038" s="1726"/>
      <c r="AI1038" s="64"/>
      <c r="AJ1038" s="1701">
        <f>ROUND(IF(AG1038="yes",(AJ1001*0.1),0),0)</f>
        <v>8312559</v>
      </c>
      <c r="AK1038" s="1702"/>
      <c r="AL1038" s="1702"/>
      <c r="AM1038" s="1702"/>
      <c r="AN1038" s="1702"/>
      <c r="AO1038" s="1702"/>
      <c r="AP1038" s="1702"/>
      <c r="AQ1038" s="1703"/>
      <c r="AR1038" s="1183"/>
      <c r="AS1038" s="1183"/>
      <c r="AT1038" s="1183"/>
      <c r="AU1038" s="1183"/>
      <c r="AV1038" s="1183"/>
      <c r="AW1038" s="1183"/>
      <c r="AX1038" s="1183"/>
      <c r="AY1038" s="1183"/>
    </row>
    <row r="1039" spans="1:52" ht="12.9" customHeight="1">
      <c r="A1039" s="13"/>
      <c r="B1039" s="58"/>
      <c r="C1039" s="1194"/>
      <c r="D1039" s="1707" t="s">
        <v>1702</v>
      </c>
      <c r="E1039" s="1708"/>
      <c r="F1039" s="1708"/>
      <c r="G1039" s="1708"/>
      <c r="H1039" s="1708"/>
      <c r="I1039" s="1708"/>
      <c r="J1039" s="1708"/>
      <c r="K1039" s="1708"/>
      <c r="L1039" s="1708"/>
      <c r="M1039" s="1708"/>
      <c r="N1039" s="1708"/>
      <c r="O1039" s="1708"/>
      <c r="P1039" s="1708"/>
      <c r="Q1039" s="1708"/>
      <c r="R1039" s="1708"/>
      <c r="S1039" s="1708"/>
      <c r="T1039" s="1708"/>
      <c r="U1039" s="1708"/>
      <c r="V1039" s="1708"/>
      <c r="W1039" s="1708"/>
      <c r="X1039" s="1708"/>
      <c r="Y1039" s="1708"/>
      <c r="Z1039" s="1708"/>
      <c r="AA1039" s="1708"/>
      <c r="AB1039" s="1708"/>
      <c r="AC1039" s="1708"/>
      <c r="AD1039" s="1708"/>
      <c r="AE1039" s="1709"/>
      <c r="AF1039" s="58"/>
      <c r="AG1039" s="13"/>
      <c r="AH1039" s="13"/>
      <c r="AI1039" s="62"/>
      <c r="AJ1039" s="1704"/>
      <c r="AK1039" s="1705"/>
      <c r="AL1039" s="1705"/>
      <c r="AM1039" s="1705"/>
      <c r="AN1039" s="1705"/>
      <c r="AO1039" s="1705"/>
      <c r="AP1039" s="1705"/>
      <c r="AQ1039" s="1706"/>
      <c r="AR1039" s="1183"/>
      <c r="AS1039" s="1183"/>
      <c r="AT1039" s="1183"/>
      <c r="AU1039" s="1183"/>
      <c r="AV1039" s="1183"/>
      <c r="AW1039" s="1183"/>
      <c r="AX1039" s="1183"/>
      <c r="AY1039" s="1183"/>
    </row>
    <row r="1040" spans="1:52" ht="12.9" customHeight="1">
      <c r="A1040" s="13"/>
      <c r="B1040" s="59"/>
      <c r="C1040" s="1194"/>
      <c r="D1040" s="1710"/>
      <c r="E1040" s="1711"/>
      <c r="F1040" s="1711"/>
      <c r="G1040" s="1711"/>
      <c r="H1040" s="1711"/>
      <c r="I1040" s="1711"/>
      <c r="J1040" s="1711"/>
      <c r="K1040" s="1711"/>
      <c r="L1040" s="1711"/>
      <c r="M1040" s="1711"/>
      <c r="N1040" s="1711"/>
      <c r="O1040" s="1711"/>
      <c r="P1040" s="1711"/>
      <c r="Q1040" s="1711"/>
      <c r="R1040" s="1711"/>
      <c r="S1040" s="1711"/>
      <c r="T1040" s="1711"/>
      <c r="U1040" s="1711"/>
      <c r="V1040" s="1711"/>
      <c r="W1040" s="1711"/>
      <c r="X1040" s="1711"/>
      <c r="Y1040" s="1711"/>
      <c r="Z1040" s="1711"/>
      <c r="AA1040" s="1711"/>
      <c r="AB1040" s="1711"/>
      <c r="AC1040" s="1711"/>
      <c r="AD1040" s="1711"/>
      <c r="AE1040" s="1712"/>
      <c r="AF1040" s="58"/>
      <c r="AG1040" s="13"/>
      <c r="AH1040" s="13"/>
      <c r="AI1040" s="62"/>
      <c r="AJ1040" s="1713"/>
      <c r="AK1040" s="1714"/>
      <c r="AL1040" s="1714"/>
      <c r="AM1040" s="1714"/>
      <c r="AN1040" s="1714"/>
      <c r="AO1040" s="1714"/>
      <c r="AP1040" s="1714"/>
      <c r="AQ1040" s="1715"/>
      <c r="AR1040" s="1183"/>
      <c r="AS1040" s="1183"/>
      <c r="AT1040" s="1183"/>
      <c r="AU1040" s="1183"/>
      <c r="AV1040" s="1183"/>
      <c r="AW1040" s="1183"/>
      <c r="AX1040" s="1183"/>
      <c r="AY1040" s="1183"/>
    </row>
    <row r="1041" spans="1:57" ht="12.9" customHeight="1">
      <c r="A1041" s="13"/>
      <c r="B1041" s="58"/>
      <c r="C1041" s="242" t="s">
        <v>22</v>
      </c>
      <c r="D1041" s="1679" t="s">
        <v>1703</v>
      </c>
      <c r="E1041" s="1680"/>
      <c r="F1041" s="1680"/>
      <c r="G1041" s="1680"/>
      <c r="H1041" s="1680"/>
      <c r="I1041" s="1680"/>
      <c r="J1041" s="1680"/>
      <c r="K1041" s="1680"/>
      <c r="L1041" s="1680"/>
      <c r="M1041" s="1680"/>
      <c r="N1041" s="1680"/>
      <c r="O1041" s="1680"/>
      <c r="P1041" s="1680"/>
      <c r="Q1041" s="1680"/>
      <c r="R1041" s="1680"/>
      <c r="S1041" s="1680"/>
      <c r="T1041" s="1680"/>
      <c r="U1041" s="1680"/>
      <c r="V1041" s="1680"/>
      <c r="W1041" s="1680"/>
      <c r="X1041" s="1680"/>
      <c r="Y1041" s="1680"/>
      <c r="Z1041" s="1680"/>
      <c r="AA1041" s="1680"/>
      <c r="AB1041" s="1680"/>
      <c r="AC1041" s="1680"/>
      <c r="AD1041" s="1680"/>
      <c r="AE1041" s="1681"/>
      <c r="AF1041" s="61"/>
      <c r="AG1041" s="1725" t="s">
        <v>698</v>
      </c>
      <c r="AH1041" s="1726"/>
      <c r="AI1041" s="64"/>
      <c r="AJ1041" s="1701">
        <f>ROUND(IF(AG1041="yes",(AJ1001*0.15),0),0)</f>
        <v>0</v>
      </c>
      <c r="AK1041" s="1702"/>
      <c r="AL1041" s="1702"/>
      <c r="AM1041" s="1702"/>
      <c r="AN1041" s="1702"/>
      <c r="AO1041" s="1702"/>
      <c r="AP1041" s="1702"/>
      <c r="AQ1041" s="1703"/>
      <c r="AR1041" s="1183"/>
      <c r="AS1041" s="1183"/>
      <c r="AT1041" s="1183"/>
      <c r="AU1041" s="1183"/>
      <c r="AV1041" s="1183"/>
      <c r="AW1041" s="1183"/>
      <c r="AX1041" s="1183"/>
      <c r="AY1041" s="1183"/>
    </row>
    <row r="1042" spans="1:57" ht="12.9" customHeight="1">
      <c r="A1042" s="13"/>
      <c r="B1042" s="58"/>
      <c r="C1042" s="1194"/>
      <c r="D1042" s="1727" t="s">
        <v>1704</v>
      </c>
      <c r="E1042" s="1234"/>
      <c r="F1042" s="1234"/>
      <c r="G1042" s="1234"/>
      <c r="H1042" s="1234"/>
      <c r="I1042" s="1234"/>
      <c r="J1042" s="1234"/>
      <c r="K1042" s="1234"/>
      <c r="L1042" s="1234"/>
      <c r="M1042" s="1234"/>
      <c r="N1042" s="1234"/>
      <c r="O1042" s="1234"/>
      <c r="P1042" s="1234"/>
      <c r="Q1042" s="1234"/>
      <c r="R1042" s="1234"/>
      <c r="S1042" s="1234"/>
      <c r="T1042" s="1234"/>
      <c r="U1042" s="1234"/>
      <c r="V1042" s="1234"/>
      <c r="W1042" s="1234"/>
      <c r="X1042" s="1234"/>
      <c r="Y1042" s="1234"/>
      <c r="Z1042" s="1234"/>
      <c r="AA1042" s="1234"/>
      <c r="AB1042" s="1234"/>
      <c r="AC1042" s="1234"/>
      <c r="AD1042" s="1234"/>
      <c r="AE1042" s="1728"/>
      <c r="AF1042" s="807"/>
      <c r="AG1042" s="808"/>
      <c r="AH1042" s="808"/>
      <c r="AI1042" s="809"/>
      <c r="AJ1042" s="1704"/>
      <c r="AK1042" s="1705"/>
      <c r="AL1042" s="1705"/>
      <c r="AM1042" s="1705"/>
      <c r="AN1042" s="1705"/>
      <c r="AO1042" s="1705"/>
      <c r="AP1042" s="1705"/>
      <c r="AQ1042" s="1706"/>
      <c r="AR1042" s="1183"/>
      <c r="AS1042" s="1183"/>
      <c r="AT1042" s="1183"/>
      <c r="AU1042" s="1183"/>
      <c r="AV1042" s="1183"/>
      <c r="AW1042" s="1183"/>
      <c r="AX1042" s="1183"/>
      <c r="AY1042" s="1183"/>
    </row>
    <row r="1043" spans="1:57" ht="12.9" customHeight="1">
      <c r="A1043" s="13"/>
      <c r="B1043" s="58"/>
      <c r="C1043" s="1194"/>
      <c r="D1043" s="1727"/>
      <c r="E1043" s="1234"/>
      <c r="F1043" s="1234"/>
      <c r="G1043" s="1234"/>
      <c r="H1043" s="1234"/>
      <c r="I1043" s="1234"/>
      <c r="J1043" s="1234"/>
      <c r="K1043" s="1234"/>
      <c r="L1043" s="1234"/>
      <c r="M1043" s="1234"/>
      <c r="N1043" s="1234"/>
      <c r="O1043" s="1234"/>
      <c r="P1043" s="1234"/>
      <c r="Q1043" s="1234"/>
      <c r="R1043" s="1234"/>
      <c r="S1043" s="1234"/>
      <c r="T1043" s="1234"/>
      <c r="U1043" s="1234"/>
      <c r="V1043" s="1234"/>
      <c r="W1043" s="1234"/>
      <c r="X1043" s="1234"/>
      <c r="Y1043" s="1234"/>
      <c r="Z1043" s="1234"/>
      <c r="AA1043" s="1234"/>
      <c r="AB1043" s="1234"/>
      <c r="AC1043" s="1234"/>
      <c r="AD1043" s="1234"/>
      <c r="AE1043" s="1728"/>
      <c r="AF1043" s="807"/>
      <c r="AG1043" s="808"/>
      <c r="AH1043" s="808"/>
      <c r="AI1043" s="809"/>
      <c r="AJ1043" s="1704"/>
      <c r="AK1043" s="1705"/>
      <c r="AL1043" s="1705"/>
      <c r="AM1043" s="1705"/>
      <c r="AN1043" s="1705"/>
      <c r="AO1043" s="1705"/>
      <c r="AP1043" s="1705"/>
      <c r="AQ1043" s="1706"/>
      <c r="AR1043" s="1183"/>
      <c r="AS1043" s="1183"/>
      <c r="AT1043" s="1183"/>
      <c r="AU1043" s="1183"/>
      <c r="AV1043" s="1183"/>
      <c r="AW1043" s="1183"/>
      <c r="AX1043" s="1183"/>
      <c r="AY1043" s="1183"/>
    </row>
    <row r="1044" spans="1:57" ht="12.9" customHeight="1">
      <c r="A1044" s="13"/>
      <c r="B1044" s="58"/>
      <c r="C1044" s="1194"/>
      <c r="D1044" s="1729"/>
      <c r="E1044" s="1515"/>
      <c r="F1044" s="1515"/>
      <c r="G1044" s="1515"/>
      <c r="H1044" s="1515"/>
      <c r="I1044" s="1515"/>
      <c r="J1044" s="1515"/>
      <c r="K1044" s="1515"/>
      <c r="L1044" s="1515"/>
      <c r="M1044" s="1515"/>
      <c r="N1044" s="1515"/>
      <c r="O1044" s="1515"/>
      <c r="P1044" s="1515"/>
      <c r="Q1044" s="1515"/>
      <c r="R1044" s="1515"/>
      <c r="S1044" s="1515"/>
      <c r="T1044" s="1515"/>
      <c r="U1044" s="1515"/>
      <c r="V1044" s="1515"/>
      <c r="W1044" s="1515"/>
      <c r="X1044" s="1515"/>
      <c r="Y1044" s="1515"/>
      <c r="Z1044" s="1515"/>
      <c r="AA1044" s="1515"/>
      <c r="AB1044" s="1515"/>
      <c r="AC1044" s="1515"/>
      <c r="AD1044" s="1515"/>
      <c r="AE1044" s="1730"/>
      <c r="AF1044" s="810"/>
      <c r="AG1044" s="811"/>
      <c r="AH1044" s="811"/>
      <c r="AI1044" s="812"/>
      <c r="AJ1044" s="1713"/>
      <c r="AK1044" s="1714"/>
      <c r="AL1044" s="1714"/>
      <c r="AM1044" s="1714"/>
      <c r="AN1044" s="1714"/>
      <c r="AO1044" s="1714"/>
      <c r="AP1044" s="1714"/>
      <c r="AQ1044" s="1715"/>
      <c r="AR1044" s="1183"/>
      <c r="AS1044" s="1183"/>
      <c r="AT1044" s="1183"/>
      <c r="AU1044" s="1183"/>
      <c r="AV1044" s="1183"/>
      <c r="AW1044" s="1183"/>
      <c r="AX1044" s="1183"/>
      <c r="AY1044" s="1183"/>
    </row>
    <row r="1045" spans="1:57" ht="12.9" customHeight="1">
      <c r="A1045" s="13"/>
      <c r="B1045" s="58"/>
      <c r="C1045" s="242" t="s">
        <v>22</v>
      </c>
      <c r="D1045" s="1673" t="s">
        <v>1705</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58"/>
      <c r="AG1045" s="1733" t="s">
        <v>698</v>
      </c>
      <c r="AH1045" s="1734"/>
      <c r="AI1045" s="62"/>
      <c r="AJ1045" s="1701">
        <f>ROUND(IF(AND(AG1045="yes",AJ1041=0),(AJ1001*0.1),0),0)</f>
        <v>0</v>
      </c>
      <c r="AK1045" s="1702"/>
      <c r="AL1045" s="1702"/>
      <c r="AM1045" s="1702"/>
      <c r="AN1045" s="1702"/>
      <c r="AO1045" s="1702"/>
      <c r="AP1045" s="1702"/>
      <c r="AQ1045" s="1703"/>
      <c r="AR1045" s="1183"/>
      <c r="AS1045" s="1183"/>
      <c r="AT1045" s="1183"/>
      <c r="AU1045" s="1183"/>
      <c r="AV1045" s="1183"/>
      <c r="AW1045" s="1183"/>
      <c r="AX1045" s="1183"/>
      <c r="AY1045" s="1183"/>
    </row>
    <row r="1046" spans="1:57" ht="12.9" customHeight="1">
      <c r="A1046" s="13"/>
      <c r="B1046" s="58"/>
      <c r="C1046" s="1194"/>
      <c r="D1046" s="1727" t="s">
        <v>1706</v>
      </c>
      <c r="E1046" s="1234"/>
      <c r="F1046" s="1234"/>
      <c r="G1046" s="1234"/>
      <c r="H1046" s="1234"/>
      <c r="I1046" s="1234"/>
      <c r="J1046" s="1234"/>
      <c r="K1046" s="1234"/>
      <c r="L1046" s="1234"/>
      <c r="M1046" s="1234"/>
      <c r="N1046" s="1234"/>
      <c r="O1046" s="1234"/>
      <c r="P1046" s="1234"/>
      <c r="Q1046" s="1234"/>
      <c r="R1046" s="1234"/>
      <c r="S1046" s="1234"/>
      <c r="T1046" s="1234"/>
      <c r="U1046" s="1234"/>
      <c r="V1046" s="1234"/>
      <c r="W1046" s="1234"/>
      <c r="X1046" s="1234"/>
      <c r="Y1046" s="1234"/>
      <c r="Z1046" s="1234"/>
      <c r="AA1046" s="1234"/>
      <c r="AB1046" s="1234"/>
      <c r="AC1046" s="1234"/>
      <c r="AD1046" s="1234"/>
      <c r="AE1046" s="1728"/>
      <c r="AF1046" s="58"/>
      <c r="AG1046" s="13"/>
      <c r="AH1046" s="13"/>
      <c r="AI1046" s="62"/>
      <c r="AJ1046" s="1704"/>
      <c r="AK1046" s="1705"/>
      <c r="AL1046" s="1705"/>
      <c r="AM1046" s="1705"/>
      <c r="AN1046" s="1705"/>
      <c r="AO1046" s="1705"/>
      <c r="AP1046" s="1705"/>
      <c r="AQ1046" s="1706"/>
      <c r="AR1046" s="1183"/>
      <c r="AS1046" s="1183"/>
      <c r="AT1046" s="1183"/>
      <c r="AU1046" s="1183"/>
      <c r="AV1046" s="1183"/>
      <c r="AW1046" s="1183"/>
      <c r="AX1046" s="1183"/>
      <c r="AY1046" s="1183"/>
    </row>
    <row r="1047" spans="1:57" ht="12.9" customHeight="1">
      <c r="A1047" s="13"/>
      <c r="B1047" s="58"/>
      <c r="C1047" s="1194"/>
      <c r="D1047" s="1727"/>
      <c r="E1047" s="1234"/>
      <c r="F1047" s="1234"/>
      <c r="G1047" s="1234"/>
      <c r="H1047" s="1234"/>
      <c r="I1047" s="1234"/>
      <c r="J1047" s="1234"/>
      <c r="K1047" s="1234"/>
      <c r="L1047" s="1234"/>
      <c r="M1047" s="1234"/>
      <c r="N1047" s="1234"/>
      <c r="O1047" s="1234"/>
      <c r="P1047" s="1234"/>
      <c r="Q1047" s="1234"/>
      <c r="R1047" s="1234"/>
      <c r="S1047" s="1234"/>
      <c r="T1047" s="1234"/>
      <c r="U1047" s="1234"/>
      <c r="V1047" s="1234"/>
      <c r="W1047" s="1234"/>
      <c r="X1047" s="1234"/>
      <c r="Y1047" s="1234"/>
      <c r="Z1047" s="1234"/>
      <c r="AA1047" s="1234"/>
      <c r="AB1047" s="1234"/>
      <c r="AC1047" s="1234"/>
      <c r="AD1047" s="1234"/>
      <c r="AE1047" s="1728"/>
      <c r="AF1047" s="58"/>
      <c r="AG1047" s="13"/>
      <c r="AH1047" s="13"/>
      <c r="AI1047" s="62"/>
      <c r="AJ1047" s="1704"/>
      <c r="AK1047" s="1705"/>
      <c r="AL1047" s="1705"/>
      <c r="AM1047" s="1705"/>
      <c r="AN1047" s="1705"/>
      <c r="AO1047" s="1705"/>
      <c r="AP1047" s="1705"/>
      <c r="AQ1047" s="1706"/>
      <c r="AR1047" s="1183"/>
      <c r="AS1047" s="1183"/>
      <c r="AT1047" s="1183"/>
      <c r="AU1047" s="1183"/>
      <c r="AV1047" s="1183"/>
      <c r="AW1047" s="1183"/>
      <c r="AX1047" s="1183"/>
      <c r="AY1047" s="1183"/>
      <c r="BA1047" s="1064">
        <f>IFERROR(('Sources and Uses Budget'!$C$17+'Sources and Uses Budget'!$C$18+'Sources and Uses Budget'!$C$22)/$AG$446,0)</f>
        <v>132967.03296703298</v>
      </c>
      <c r="BB1047" s="1064" t="s">
        <v>1707</v>
      </c>
      <c r="BC1047" s="1064"/>
      <c r="BD1047" s="1064"/>
      <c r="BE1047" s="1064"/>
    </row>
    <row r="1048" spans="1:57" ht="12.9" customHeight="1">
      <c r="A1048" s="13"/>
      <c r="B1048" s="58"/>
      <c r="C1048" s="1194"/>
      <c r="D1048" s="1727"/>
      <c r="E1048" s="1234"/>
      <c r="F1048" s="1234"/>
      <c r="G1048" s="1234"/>
      <c r="H1048" s="1234"/>
      <c r="I1048" s="1234"/>
      <c r="J1048" s="1234"/>
      <c r="K1048" s="1234"/>
      <c r="L1048" s="1234"/>
      <c r="M1048" s="1234"/>
      <c r="N1048" s="1234"/>
      <c r="O1048" s="1234"/>
      <c r="P1048" s="1234"/>
      <c r="Q1048" s="1234"/>
      <c r="R1048" s="1234"/>
      <c r="S1048" s="1234"/>
      <c r="T1048" s="1234"/>
      <c r="U1048" s="1234"/>
      <c r="V1048" s="1234"/>
      <c r="W1048" s="1234"/>
      <c r="X1048" s="1234"/>
      <c r="Y1048" s="1234"/>
      <c r="Z1048" s="1234"/>
      <c r="AA1048" s="1234"/>
      <c r="AB1048" s="1234"/>
      <c r="AC1048" s="1234"/>
      <c r="AD1048" s="1234"/>
      <c r="AE1048" s="1728"/>
      <c r="AF1048" s="58"/>
      <c r="AG1048" s="13"/>
      <c r="AH1048" s="13"/>
      <c r="AI1048" s="62"/>
      <c r="AJ1048" s="1704"/>
      <c r="AK1048" s="1705"/>
      <c r="AL1048" s="1705"/>
      <c r="AM1048" s="1705"/>
      <c r="AN1048" s="1705"/>
      <c r="AO1048" s="1705"/>
      <c r="AP1048" s="1705"/>
      <c r="AQ1048" s="1706"/>
      <c r="AR1048" s="1183"/>
      <c r="AS1048" s="1183"/>
      <c r="AT1048" s="1183"/>
      <c r="AU1048" s="1183"/>
      <c r="AV1048" s="1183"/>
      <c r="AW1048" s="1183"/>
      <c r="AX1048" s="1183"/>
      <c r="AY1048" s="1183"/>
      <c r="BA1048">
        <f>IFERROR((($CI$761+$CM$761)/$AG$449),0)</f>
        <v>0.93333333333333335</v>
      </c>
      <c r="BB1048" s="3" t="s">
        <v>1708</v>
      </c>
    </row>
    <row r="1049" spans="1:57" ht="12.9" customHeight="1">
      <c r="A1049" s="13"/>
      <c r="B1049" s="58"/>
      <c r="C1049" s="1194"/>
      <c r="D1049" s="1729"/>
      <c r="E1049" s="1515"/>
      <c r="F1049" s="1515"/>
      <c r="G1049" s="1515"/>
      <c r="H1049" s="1515"/>
      <c r="I1049" s="1515"/>
      <c r="J1049" s="1515"/>
      <c r="K1049" s="1515"/>
      <c r="L1049" s="1515"/>
      <c r="M1049" s="1515"/>
      <c r="N1049" s="1515"/>
      <c r="O1049" s="1515"/>
      <c r="P1049" s="1515"/>
      <c r="Q1049" s="1515"/>
      <c r="R1049" s="1515"/>
      <c r="S1049" s="1515"/>
      <c r="T1049" s="1515"/>
      <c r="U1049" s="1515"/>
      <c r="V1049" s="1515"/>
      <c r="W1049" s="1515"/>
      <c r="X1049" s="1515"/>
      <c r="Y1049" s="1515"/>
      <c r="Z1049" s="1515"/>
      <c r="AA1049" s="1515"/>
      <c r="AB1049" s="1515"/>
      <c r="AC1049" s="1515"/>
      <c r="AD1049" s="1515"/>
      <c r="AE1049" s="1730"/>
      <c r="AF1049" s="58"/>
      <c r="AG1049" s="13"/>
      <c r="AH1049" s="13"/>
      <c r="AI1049" s="62"/>
      <c r="AJ1049" s="1704"/>
      <c r="AK1049" s="1705"/>
      <c r="AL1049" s="1705"/>
      <c r="AM1049" s="1705"/>
      <c r="AN1049" s="1705"/>
      <c r="AO1049" s="1705"/>
      <c r="AP1049" s="1705"/>
      <c r="AQ1049" s="1706"/>
      <c r="AR1049" s="1183"/>
      <c r="AS1049" s="1183"/>
      <c r="AT1049" s="1183"/>
      <c r="AU1049" s="1183"/>
      <c r="AV1049" s="1183"/>
      <c r="AW1049" s="1183"/>
      <c r="AX1049" s="1183"/>
      <c r="AY1049" s="1183"/>
      <c r="BA1049" t="b">
        <f>'Points System'!AJ163="Yes"</f>
        <v>0</v>
      </c>
      <c r="BB1049" s="3" t="s">
        <v>1709</v>
      </c>
    </row>
    <row r="1050" spans="1:57" ht="12.9" customHeight="1">
      <c r="A1050" s="13"/>
      <c r="B1050" s="61"/>
      <c r="C1050" s="96" t="s">
        <v>1710</v>
      </c>
      <c r="D1050" s="1679" t="s">
        <v>1711</v>
      </c>
      <c r="E1050" s="1680"/>
      <c r="F1050" s="1680"/>
      <c r="G1050" s="1680"/>
      <c r="H1050" s="1680"/>
      <c r="I1050" s="1680"/>
      <c r="J1050" s="1680"/>
      <c r="K1050" s="1680"/>
      <c r="L1050" s="1680"/>
      <c r="M1050" s="1680"/>
      <c r="N1050" s="1680"/>
      <c r="O1050" s="1680"/>
      <c r="P1050" s="1680"/>
      <c r="Q1050" s="1680"/>
      <c r="R1050" s="1680"/>
      <c r="S1050" s="1680"/>
      <c r="T1050" s="1680"/>
      <c r="U1050" s="1680"/>
      <c r="V1050" s="1680"/>
      <c r="W1050" s="1680"/>
      <c r="X1050" s="1680"/>
      <c r="Y1050" s="1680"/>
      <c r="Z1050" s="1680"/>
      <c r="AA1050" s="1680"/>
      <c r="AB1050" s="1680"/>
      <c r="AC1050" s="1680"/>
      <c r="AD1050" s="1680"/>
      <c r="AE1050" s="1681"/>
      <c r="AF1050" s="61"/>
      <c r="AG1050" s="1725" t="s">
        <v>698</v>
      </c>
      <c r="AH1050" s="1726"/>
      <c r="AI1050" s="64"/>
      <c r="AJ1050" s="1701">
        <f>ROUND(IF(AG1050="yes",(AJ1001*0.1),0),0)</f>
        <v>0</v>
      </c>
      <c r="AK1050" s="1702"/>
      <c r="AL1050" s="1702"/>
      <c r="AM1050" s="1702"/>
      <c r="AN1050" s="1702"/>
      <c r="AO1050" s="1702"/>
      <c r="AP1050" s="1702"/>
      <c r="AQ1050" s="1703"/>
      <c r="AR1050" s="1183"/>
      <c r="AS1050" s="1183"/>
      <c r="AT1050" s="1183"/>
      <c r="AU1050" s="1183"/>
      <c r="AV1050" s="1183"/>
      <c r="AW1050" s="1183"/>
      <c r="AX1050" s="1183"/>
      <c r="AY1050" s="1183"/>
      <c r="BA1050">
        <f>Q212</f>
        <v>0</v>
      </c>
      <c r="BB1050" s="3" t="s">
        <v>1712</v>
      </c>
    </row>
    <row r="1051" spans="1:57" ht="12.9" customHeight="1">
      <c r="A1051" s="13"/>
      <c r="B1051" s="58"/>
      <c r="C1051" s="1194"/>
      <c r="D1051" s="1707" t="s">
        <v>1713</v>
      </c>
      <c r="E1051" s="1708"/>
      <c r="F1051" s="1708"/>
      <c r="G1051" s="1708"/>
      <c r="H1051" s="1708"/>
      <c r="I1051" s="1708"/>
      <c r="J1051" s="1708"/>
      <c r="K1051" s="1708"/>
      <c r="L1051" s="1708"/>
      <c r="M1051" s="1708"/>
      <c r="N1051" s="1708"/>
      <c r="O1051" s="1708"/>
      <c r="P1051" s="1708"/>
      <c r="Q1051" s="1708"/>
      <c r="R1051" s="1708"/>
      <c r="S1051" s="1708"/>
      <c r="T1051" s="1708"/>
      <c r="U1051" s="1708"/>
      <c r="V1051" s="1708"/>
      <c r="W1051" s="1708"/>
      <c r="X1051" s="1708"/>
      <c r="Y1051" s="1708"/>
      <c r="Z1051" s="1708"/>
      <c r="AA1051" s="1708"/>
      <c r="AB1051" s="1708"/>
      <c r="AC1051" s="1708"/>
      <c r="AD1051" s="1708"/>
      <c r="AE1051" s="1709"/>
      <c r="AF1051" s="58"/>
      <c r="AG1051" s="13"/>
      <c r="AH1051" s="13"/>
      <c r="AI1051" s="62"/>
      <c r="AJ1051" s="1704"/>
      <c r="AK1051" s="1705"/>
      <c r="AL1051" s="1705"/>
      <c r="AM1051" s="1705"/>
      <c r="AN1051" s="1705"/>
      <c r="AO1051" s="1705"/>
      <c r="AP1051" s="1705"/>
      <c r="AQ1051" s="1706"/>
      <c r="AR1051" s="1183"/>
      <c r="AS1051" s="1183"/>
      <c r="AT1051" s="1183"/>
      <c r="AU1051" s="1183"/>
      <c r="AV1051" s="1183"/>
      <c r="AW1051" s="1183"/>
      <c r="AX1051" s="1183"/>
      <c r="AY1051" s="1183"/>
      <c r="BA1051" s="1065">
        <f>T212</f>
        <v>0</v>
      </c>
      <c r="BB1051" s="3" t="s">
        <v>1714</v>
      </c>
    </row>
    <row r="1052" spans="1:57" ht="12.9" customHeight="1">
      <c r="A1052" s="13"/>
      <c r="B1052" s="58"/>
      <c r="C1052" s="1194"/>
      <c r="D1052" s="1707"/>
      <c r="E1052" s="1708"/>
      <c r="F1052" s="1708"/>
      <c r="G1052" s="1708"/>
      <c r="H1052" s="1708"/>
      <c r="I1052" s="1708"/>
      <c r="J1052" s="1708"/>
      <c r="K1052" s="1708"/>
      <c r="L1052" s="1708"/>
      <c r="M1052" s="1708"/>
      <c r="N1052" s="1708"/>
      <c r="O1052" s="1708"/>
      <c r="P1052" s="1708"/>
      <c r="Q1052" s="1708"/>
      <c r="R1052" s="1708"/>
      <c r="S1052" s="1708"/>
      <c r="T1052" s="1708"/>
      <c r="U1052" s="1708"/>
      <c r="V1052" s="1708"/>
      <c r="W1052" s="1708"/>
      <c r="X1052" s="1708"/>
      <c r="Y1052" s="1708"/>
      <c r="Z1052" s="1708"/>
      <c r="AA1052" s="1708"/>
      <c r="AB1052" s="1708"/>
      <c r="AC1052" s="1708"/>
      <c r="AD1052" s="1708"/>
      <c r="AE1052" s="1709"/>
      <c r="AF1052" s="58"/>
      <c r="AG1052" s="13"/>
      <c r="AH1052" s="13"/>
      <c r="AI1052" s="62"/>
      <c r="AJ1052" s="1704"/>
      <c r="AK1052" s="1705"/>
      <c r="AL1052" s="1705"/>
      <c r="AM1052" s="1705"/>
      <c r="AN1052" s="1705"/>
      <c r="AO1052" s="1705"/>
      <c r="AP1052" s="1705"/>
      <c r="AQ1052" s="1706"/>
      <c r="AR1052" s="1183"/>
      <c r="AS1052" s="1183"/>
      <c r="AT1052" s="1183"/>
      <c r="AU1052" s="1183"/>
      <c r="AV1052" s="1183"/>
      <c r="AW1052" s="1183"/>
      <c r="AX1052" s="1183"/>
      <c r="AY1052" s="1183"/>
    </row>
    <row r="1053" spans="1:57" ht="12.9" customHeight="1">
      <c r="A1053" s="13"/>
      <c r="B1053" s="58"/>
      <c r="C1053" s="1194"/>
      <c r="D1053" s="1710"/>
      <c r="E1053" s="1711"/>
      <c r="F1053" s="1711"/>
      <c r="G1053" s="1711"/>
      <c r="H1053" s="1711"/>
      <c r="I1053" s="1711"/>
      <c r="J1053" s="1711"/>
      <c r="K1053" s="1711"/>
      <c r="L1053" s="1711"/>
      <c r="M1053" s="1711"/>
      <c r="N1053" s="1711"/>
      <c r="O1053" s="1711"/>
      <c r="P1053" s="1711"/>
      <c r="Q1053" s="1711"/>
      <c r="R1053" s="1711"/>
      <c r="S1053" s="1711"/>
      <c r="T1053" s="1711"/>
      <c r="U1053" s="1711"/>
      <c r="V1053" s="1711"/>
      <c r="W1053" s="1711"/>
      <c r="X1053" s="1711"/>
      <c r="Y1053" s="1711"/>
      <c r="Z1053" s="1711"/>
      <c r="AA1053" s="1711"/>
      <c r="AB1053" s="1711"/>
      <c r="AC1053" s="1711"/>
      <c r="AD1053" s="1711"/>
      <c r="AE1053" s="1712"/>
      <c r="AF1053" s="58"/>
      <c r="AG1053" s="13"/>
      <c r="AH1053" s="13"/>
      <c r="AI1053" s="62"/>
      <c r="AJ1053" s="1713"/>
      <c r="AK1053" s="1714"/>
      <c r="AL1053" s="1714"/>
      <c r="AM1053" s="1714"/>
      <c r="AN1053" s="1714"/>
      <c r="AO1053" s="1714"/>
      <c r="AP1053" s="1714"/>
      <c r="AQ1053" s="1715"/>
      <c r="AR1053" s="1183"/>
      <c r="AS1053" s="1183"/>
      <c r="AT1053" s="1183"/>
      <c r="AU1053" s="1183"/>
      <c r="AV1053" s="1183"/>
      <c r="AW1053" s="1183"/>
      <c r="AX1053" s="1183"/>
      <c r="AY1053" s="1183"/>
    </row>
    <row r="1054" spans="1:57" ht="12.9" customHeight="1">
      <c r="A1054" s="13"/>
      <c r="B1054" s="61"/>
      <c r="C1054" s="96" t="s">
        <v>1715</v>
      </c>
      <c r="D1054" s="1673" t="s">
        <v>1716</v>
      </c>
      <c r="E1054" s="1674"/>
      <c r="F1054" s="1674"/>
      <c r="G1054" s="1674"/>
      <c r="H1054" s="1674"/>
      <c r="I1054" s="1674"/>
      <c r="J1054" s="1674"/>
      <c r="K1054" s="1674"/>
      <c r="L1054" s="1674"/>
      <c r="M1054" s="1674"/>
      <c r="N1054" s="1674"/>
      <c r="O1054" s="1674"/>
      <c r="P1054" s="1674"/>
      <c r="Q1054" s="1674"/>
      <c r="R1054" s="1674"/>
      <c r="S1054" s="1674"/>
      <c r="T1054" s="1674"/>
      <c r="U1054" s="1674"/>
      <c r="V1054" s="1674"/>
      <c r="W1054" s="1674"/>
      <c r="X1054" s="1674"/>
      <c r="Y1054" s="1674"/>
      <c r="Z1054" s="1674"/>
      <c r="AA1054" s="1674"/>
      <c r="AB1054" s="1674"/>
      <c r="AC1054" s="1674"/>
      <c r="AD1054" s="1674"/>
      <c r="AE1054" s="1675"/>
      <c r="AF1054" s="61"/>
      <c r="AG1054" s="1731" t="str">
        <f>IF(X1057&gt;0,"Yes","No")</f>
        <v>Yes</v>
      </c>
      <c r="AH1054" s="1732"/>
      <c r="AI1054" s="64"/>
      <c r="AJ1054" s="1701">
        <f>IF((X1057=0),0,AY1014*AJ1001)</f>
        <v>35744005.420000002</v>
      </c>
      <c r="AK1054" s="1702"/>
      <c r="AL1054" s="1702"/>
      <c r="AM1054" s="1702"/>
      <c r="AN1054" s="1702"/>
      <c r="AO1054" s="1702"/>
      <c r="AP1054" s="1702"/>
      <c r="AQ1054" s="1703"/>
      <c r="AR1054" s="1183"/>
      <c r="AS1054" s="1183"/>
      <c r="AT1054" s="1183"/>
      <c r="AU1054" s="1183"/>
      <c r="AV1054" s="1183"/>
      <c r="AW1054" s="1183"/>
      <c r="AX1054" s="1183"/>
      <c r="AY1054" s="1183"/>
      <c r="AZ1054" s="106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1717</v>
      </c>
      <c r="BB1054" s="3"/>
      <c r="BC1054" s="3"/>
      <c r="BD1054" s="3"/>
    </row>
    <row r="1055" spans="1:57" ht="12.9" customHeight="1">
      <c r="A1055" s="13"/>
      <c r="B1055" s="58"/>
      <c r="C1055" s="345"/>
      <c r="D1055" s="1707" t="s">
        <v>1718</v>
      </c>
      <c r="E1055" s="1708"/>
      <c r="F1055" s="1708"/>
      <c r="G1055" s="1708"/>
      <c r="H1055" s="1708"/>
      <c r="I1055" s="1708"/>
      <c r="J1055" s="1708"/>
      <c r="K1055" s="1708"/>
      <c r="L1055" s="1708"/>
      <c r="M1055" s="1708"/>
      <c r="N1055" s="1708"/>
      <c r="O1055" s="1708"/>
      <c r="P1055" s="1708"/>
      <c r="Q1055" s="1708"/>
      <c r="R1055" s="1708"/>
      <c r="S1055" s="1708"/>
      <c r="T1055" s="1708"/>
      <c r="U1055" s="1708"/>
      <c r="V1055" s="1708"/>
      <c r="W1055" s="1708"/>
      <c r="X1055" s="1708"/>
      <c r="Y1055" s="1708"/>
      <c r="Z1055" s="1708"/>
      <c r="AA1055" s="1708"/>
      <c r="AB1055" s="1708"/>
      <c r="AC1055" s="1708"/>
      <c r="AD1055" s="1708"/>
      <c r="AE1055" s="1709"/>
      <c r="AF1055" s="58"/>
      <c r="AG1055" s="1200"/>
      <c r="AH1055" s="1200"/>
      <c r="AI1055" s="62"/>
      <c r="AJ1055" s="1704"/>
      <c r="AK1055" s="1705"/>
      <c r="AL1055" s="1705"/>
      <c r="AM1055" s="1705"/>
      <c r="AN1055" s="1705"/>
      <c r="AO1055" s="1705"/>
      <c r="AP1055" s="1705"/>
      <c r="AQ1055" s="1706"/>
      <c r="AR1055" s="1183"/>
      <c r="AS1055" s="1183"/>
      <c r="AT1055" s="1183"/>
      <c r="AU1055" s="12"/>
      <c r="AV1055" s="1183"/>
      <c r="AW1055" s="1183"/>
      <c r="AX1055" s="1183"/>
      <c r="AY1055" s="1183"/>
      <c r="AZ1055" s="852">
        <f>'Sources and Uses Budget'!S97*BA1055</f>
        <v>3375224.25</v>
      </c>
      <c r="BA1055" s="1063">
        <f>IF(BA1049,20%,15%)</f>
        <v>0.15</v>
      </c>
      <c r="BB1055" s="3" t="s">
        <v>1719</v>
      </c>
      <c r="BC1055" s="3" t="s">
        <v>1720</v>
      </c>
      <c r="BD1055" s="3"/>
    </row>
    <row r="1056" spans="1:57" ht="12.9" customHeight="1">
      <c r="A1056" s="13"/>
      <c r="B1056" s="58"/>
      <c r="C1056" s="345"/>
      <c r="D1056" s="1707"/>
      <c r="E1056" s="1708"/>
      <c r="F1056" s="1708"/>
      <c r="G1056" s="1708"/>
      <c r="H1056" s="1708"/>
      <c r="I1056" s="1708"/>
      <c r="J1056" s="1708"/>
      <c r="K1056" s="1708"/>
      <c r="L1056" s="1708"/>
      <c r="M1056" s="1708"/>
      <c r="N1056" s="1708"/>
      <c r="O1056" s="1708"/>
      <c r="P1056" s="1708"/>
      <c r="Q1056" s="1708"/>
      <c r="R1056" s="1708"/>
      <c r="S1056" s="1708"/>
      <c r="T1056" s="1708"/>
      <c r="U1056" s="1708"/>
      <c r="V1056" s="1708"/>
      <c r="W1056" s="1708"/>
      <c r="X1056" s="1708"/>
      <c r="Y1056" s="1708"/>
      <c r="Z1056" s="1708"/>
      <c r="AA1056" s="1708"/>
      <c r="AB1056" s="1708"/>
      <c r="AC1056" s="1708"/>
      <c r="AD1056" s="1708"/>
      <c r="AE1056" s="1709"/>
      <c r="AF1056" s="58"/>
      <c r="AG1056" s="1200"/>
      <c r="AH1056" s="1200"/>
      <c r="AI1056" s="62"/>
      <c r="AJ1056" s="1704"/>
      <c r="AK1056" s="1705"/>
      <c r="AL1056" s="1705"/>
      <c r="AM1056" s="1705"/>
      <c r="AN1056" s="1705"/>
      <c r="AO1056" s="1705"/>
      <c r="AP1056" s="1705"/>
      <c r="AQ1056" s="1706"/>
      <c r="AR1056" s="1183"/>
      <c r="AS1056" s="1183"/>
      <c r="AT1056" s="1183"/>
      <c r="AU1056" s="12"/>
      <c r="AV1056" s="1183"/>
      <c r="AW1056" s="1183"/>
      <c r="AX1056" s="1183"/>
      <c r="AY1056" s="1183"/>
      <c r="AZ1056" s="852">
        <f>IF(M365="N/A",0,'Sources and Uses Budget'!T97*BA1056)</f>
        <v>0</v>
      </c>
      <c r="BA1056" s="1063">
        <v>0.15</v>
      </c>
      <c r="BB1056" s="3" t="s">
        <v>1719</v>
      </c>
      <c r="BC1056" s="3" t="s">
        <v>1721</v>
      </c>
      <c r="BD1056" s="3"/>
    </row>
    <row r="1057" spans="1:56" ht="12.9" customHeight="1">
      <c r="A1057" s="13"/>
      <c r="B1057" s="59"/>
      <c r="C1057" s="60"/>
      <c r="D1057" s="97" t="s">
        <v>1722</v>
      </c>
      <c r="E1057" s="6"/>
      <c r="F1057" s="6"/>
      <c r="G1057" s="6"/>
      <c r="H1057" s="6"/>
      <c r="I1057" s="1758">
        <f>AY1012</f>
        <v>90</v>
      </c>
      <c r="J1057" s="1759"/>
      <c r="K1057" s="6"/>
      <c r="L1057" s="6"/>
      <c r="M1057" s="6"/>
      <c r="N1057" s="6"/>
      <c r="O1057" s="6"/>
      <c r="P1057" s="6"/>
      <c r="Q1057" s="6"/>
      <c r="R1057" s="6"/>
      <c r="S1057" s="6"/>
      <c r="T1057" s="6"/>
      <c r="U1057" s="6"/>
      <c r="V1057" s="98" t="s">
        <v>1723</v>
      </c>
      <c r="W1057" s="40"/>
      <c r="X1057" s="1731">
        <f>CI761</f>
        <v>39</v>
      </c>
      <c r="Y1057" s="1732"/>
      <c r="Z1057" s="40"/>
      <c r="AA1057" s="40"/>
      <c r="AB1057" s="40"/>
      <c r="AC1057" s="40"/>
      <c r="AD1057" s="40"/>
      <c r="AE1057" s="41"/>
      <c r="AF1057" s="816"/>
      <c r="AG1057" s="817"/>
      <c r="AH1057" s="817"/>
      <c r="AI1057" s="818"/>
      <c r="AJ1057" s="1713"/>
      <c r="AK1057" s="1714"/>
      <c r="AL1057" s="1714"/>
      <c r="AM1057" s="1714"/>
      <c r="AN1057" s="1714"/>
      <c r="AO1057" s="1714"/>
      <c r="AP1057" s="1714"/>
      <c r="AQ1057" s="1715"/>
      <c r="AR1057" s="1183"/>
      <c r="AS1057" s="1183"/>
      <c r="AT1057" s="1183"/>
      <c r="AU1057" s="13"/>
      <c r="AV1057" s="1183"/>
      <c r="AW1057" s="1183"/>
      <c r="AX1057" s="1183"/>
      <c r="AY1057" s="1183"/>
      <c r="AZ1057" s="852">
        <f>IF(M367="N/A",0,'Sources and Uses Budget'!T97*BA1057)</f>
        <v>2550000</v>
      </c>
      <c r="BA1057" s="1063" cm="1">
        <f t="array" ref="BA1057">_xlfn.IFS(X180="Yes",5%,$BA$1047&gt;50000,15%,BA1048&gt;=30%,15%,TRUE,5%)</f>
        <v>0.05</v>
      </c>
      <c r="BB1057" s="3" t="s">
        <v>1719</v>
      </c>
      <c r="BC1057" s="3" t="s">
        <v>1724</v>
      </c>
      <c r="BD1057" s="3"/>
    </row>
    <row r="1058" spans="1:56" ht="12.9" customHeight="1">
      <c r="A1058" s="13"/>
      <c r="B1058" s="61"/>
      <c r="C1058" s="96" t="s">
        <v>1725</v>
      </c>
      <c r="D1058" s="1679" t="s">
        <v>1726</v>
      </c>
      <c r="E1058" s="1680"/>
      <c r="F1058" s="1680"/>
      <c r="G1058" s="1680"/>
      <c r="H1058" s="1680"/>
      <c r="I1058" s="1680"/>
      <c r="J1058" s="1680"/>
      <c r="K1058" s="1680"/>
      <c r="L1058" s="1680"/>
      <c r="M1058" s="1680"/>
      <c r="N1058" s="1680"/>
      <c r="O1058" s="1680"/>
      <c r="P1058" s="1680"/>
      <c r="Q1058" s="1680"/>
      <c r="R1058" s="1680"/>
      <c r="S1058" s="1680"/>
      <c r="T1058" s="1680"/>
      <c r="U1058" s="1680"/>
      <c r="V1058" s="1680"/>
      <c r="W1058" s="1680"/>
      <c r="X1058" s="1680"/>
      <c r="Y1058" s="1680"/>
      <c r="Z1058" s="1680"/>
      <c r="AA1058" s="1680"/>
      <c r="AB1058" s="1680"/>
      <c r="AC1058" s="1680"/>
      <c r="AD1058" s="1680"/>
      <c r="AE1058" s="1681"/>
      <c r="AF1058" s="58"/>
      <c r="AG1058" s="1731" t="str">
        <f>IF(X1061&gt;0,"Yes","No")</f>
        <v>Yes</v>
      </c>
      <c r="AH1058" s="1732"/>
      <c r="AI1058" s="62"/>
      <c r="AJ1058" s="1701">
        <f>IF((X1061=0),0,(2*AY1015)*AJ1001)</f>
        <v>83125594</v>
      </c>
      <c r="AK1058" s="1702"/>
      <c r="AL1058" s="1702"/>
      <c r="AM1058" s="1702"/>
      <c r="AN1058" s="1702"/>
      <c r="AO1058" s="1702"/>
      <c r="AP1058" s="1702"/>
      <c r="AQ1058" s="1703"/>
      <c r="AR1058" s="1183"/>
      <c r="AS1058" s="1183"/>
      <c r="AT1058" s="1183"/>
      <c r="AU1058" s="13"/>
      <c r="AV1058" s="1183"/>
      <c r="AW1058" s="1183"/>
      <c r="AX1058" s="1183"/>
      <c r="AY1058" s="1183"/>
      <c r="AZ1058" s="852">
        <f>AZ1054*BA1058</f>
        <v>0</v>
      </c>
      <c r="BA1058" s="1063">
        <v>0.15</v>
      </c>
      <c r="BB1058" s="3" t="s">
        <v>1719</v>
      </c>
      <c r="BC1058" s="3" t="s">
        <v>1727</v>
      </c>
      <c r="BD1058" s="3"/>
    </row>
    <row r="1059" spans="1:56" ht="12.9" customHeight="1">
      <c r="A1059" s="13"/>
      <c r="B1059" s="58"/>
      <c r="C1059" s="345"/>
      <c r="D1059" s="1707" t="s">
        <v>1728</v>
      </c>
      <c r="E1059" s="1708"/>
      <c r="F1059" s="1708"/>
      <c r="G1059" s="1708"/>
      <c r="H1059" s="1708"/>
      <c r="I1059" s="1708"/>
      <c r="J1059" s="1708"/>
      <c r="K1059" s="1708"/>
      <c r="L1059" s="1708"/>
      <c r="M1059" s="1708"/>
      <c r="N1059" s="1708"/>
      <c r="O1059" s="1708"/>
      <c r="P1059" s="1708"/>
      <c r="Q1059" s="1708"/>
      <c r="R1059" s="1708"/>
      <c r="S1059" s="1708"/>
      <c r="T1059" s="1708"/>
      <c r="U1059" s="1708"/>
      <c r="V1059" s="1708"/>
      <c r="W1059" s="1708"/>
      <c r="X1059" s="1708"/>
      <c r="Y1059" s="1708"/>
      <c r="Z1059" s="1708"/>
      <c r="AA1059" s="1708"/>
      <c r="AB1059" s="1708"/>
      <c r="AC1059" s="1708"/>
      <c r="AD1059" s="1708"/>
      <c r="AE1059" s="1709"/>
      <c r="AF1059" s="58"/>
      <c r="AG1059" s="1200"/>
      <c r="AH1059" s="1200"/>
      <c r="AI1059" s="62"/>
      <c r="AJ1059" s="1704"/>
      <c r="AK1059" s="1705"/>
      <c r="AL1059" s="1705"/>
      <c r="AM1059" s="1705"/>
      <c r="AN1059" s="1705"/>
      <c r="AO1059" s="1705"/>
      <c r="AP1059" s="1705"/>
      <c r="AQ1059" s="1706"/>
      <c r="AR1059" s="1183"/>
      <c r="AS1059" s="1183"/>
      <c r="AT1059" s="1183"/>
      <c r="AU1059" s="1183"/>
      <c r="AV1059" s="1183"/>
      <c r="AW1059" s="1183"/>
      <c r="AX1059" s="1183"/>
      <c r="AY1059" s="1183"/>
      <c r="AZ1059" s="852"/>
      <c r="BA1059" s="3"/>
      <c r="BB1059" s="3"/>
      <c r="BC1059" s="3"/>
      <c r="BD1059" s="3"/>
    </row>
    <row r="1060" spans="1:56" ht="12.9" customHeight="1">
      <c r="A1060" s="13"/>
      <c r="B1060" s="58"/>
      <c r="C1060" s="62"/>
      <c r="D1060" s="1707"/>
      <c r="E1060" s="1708"/>
      <c r="F1060" s="1708"/>
      <c r="G1060" s="1708"/>
      <c r="H1060" s="1708"/>
      <c r="I1060" s="1708"/>
      <c r="J1060" s="1708"/>
      <c r="K1060" s="1708"/>
      <c r="L1060" s="1708"/>
      <c r="M1060" s="1708"/>
      <c r="N1060" s="1708"/>
      <c r="O1060" s="1708"/>
      <c r="P1060" s="1708"/>
      <c r="Q1060" s="1708"/>
      <c r="R1060" s="1708"/>
      <c r="S1060" s="1708"/>
      <c r="T1060" s="1708"/>
      <c r="U1060" s="1708"/>
      <c r="V1060" s="1708"/>
      <c r="W1060" s="1708"/>
      <c r="X1060" s="1708"/>
      <c r="Y1060" s="1708"/>
      <c r="Z1060" s="1708"/>
      <c r="AA1060" s="1708"/>
      <c r="AB1060" s="1708"/>
      <c r="AC1060" s="1708"/>
      <c r="AD1060" s="1708"/>
      <c r="AE1060" s="1709"/>
      <c r="AF1060" s="813"/>
      <c r="AG1060" s="814"/>
      <c r="AH1060" s="814"/>
      <c r="AI1060" s="815"/>
      <c r="AJ1060" s="1704"/>
      <c r="AK1060" s="1705"/>
      <c r="AL1060" s="1705"/>
      <c r="AM1060" s="1705"/>
      <c r="AN1060" s="1705"/>
      <c r="AO1060" s="1705"/>
      <c r="AP1060" s="1705"/>
      <c r="AQ1060" s="1706"/>
      <c r="AR1060" s="1183"/>
      <c r="AS1060" s="1183"/>
      <c r="AT1060" s="1183"/>
      <c r="AU1060" s="1183"/>
      <c r="AV1060" s="1183"/>
      <c r="AW1060" s="1183"/>
      <c r="AX1060" s="1183"/>
      <c r="AY1060" s="1183"/>
      <c r="AZ1060" s="852">
        <f>ROUNDDOWN(MIN(SUM(AZ1055,AZ1056,AZ1057,AZ1058),BD1060),0)</f>
        <v>2500000</v>
      </c>
      <c r="BA1060" s="3" t="s">
        <v>1729</v>
      </c>
      <c r="BB1060" s="3"/>
      <c r="BC1060" s="3"/>
      <c r="BD1060" s="3" cm="1">
        <f t="array" ref="BD1060">_xlfn.IFS(BA1049,3000000,AND(BA1050&gt;=25%,BA1051&gt;=15),2800000,TRUE,2500000)</f>
        <v>2500000</v>
      </c>
    </row>
    <row r="1061" spans="1:56" ht="12.9" customHeight="1">
      <c r="A1061" s="13"/>
      <c r="B1061" s="59"/>
      <c r="C1061" s="60"/>
      <c r="D1061" s="97" t="s">
        <v>1722</v>
      </c>
      <c r="E1061" s="6"/>
      <c r="F1061" s="6"/>
      <c r="G1061" s="6"/>
      <c r="H1061" s="6"/>
      <c r="I1061" s="1758">
        <f>AY1012</f>
        <v>90</v>
      </c>
      <c r="J1061" s="1759"/>
      <c r="K1061" s="13"/>
      <c r="L1061" s="6"/>
      <c r="M1061" s="6"/>
      <c r="N1061" s="6"/>
      <c r="O1061" s="6"/>
      <c r="P1061" s="6"/>
      <c r="Q1061" s="6"/>
      <c r="R1061" s="6"/>
      <c r="S1061" s="6"/>
      <c r="T1061" s="6"/>
      <c r="U1061" s="6"/>
      <c r="V1061" s="98" t="s">
        <v>1730</v>
      </c>
      <c r="X1061" s="1731">
        <f>CM761</f>
        <v>45</v>
      </c>
      <c r="Y1061" s="1732"/>
      <c r="AF1061" s="816"/>
      <c r="AG1061" s="817"/>
      <c r="AH1061" s="817"/>
      <c r="AI1061" s="818"/>
      <c r="AJ1061" s="1713"/>
      <c r="AK1061" s="1714"/>
      <c r="AL1061" s="1714"/>
      <c r="AM1061" s="1714"/>
      <c r="AN1061" s="1714"/>
      <c r="AO1061" s="1714"/>
      <c r="AP1061" s="1714"/>
      <c r="AQ1061" s="1715"/>
      <c r="AR1061" s="1183"/>
      <c r="AS1061" s="1183"/>
      <c r="AT1061" s="1183"/>
      <c r="AU1061" s="1183"/>
      <c r="AV1061" s="1183"/>
      <c r="AW1061" s="1183"/>
      <c r="AX1061" s="1183"/>
      <c r="AY1061" s="1183"/>
      <c r="AZ1061" s="852">
        <f>ROUNDDOWN(MAX(0,BA1061*(SUM(AG1102,AL1102,AZ1054)-BD1061))+BF1061,0)</f>
        <v>0</v>
      </c>
      <c r="BA1061" s="1063">
        <f>IF(L1051,7%,5%)</f>
        <v>0.05</v>
      </c>
      <c r="BB1061" s="3" t="s">
        <v>1731</v>
      </c>
      <c r="BC1061" s="3"/>
      <c r="BD1061" s="3">
        <v>6666667</v>
      </c>
    </row>
    <row r="1062" spans="1:56" ht="12.9" customHeight="1">
      <c r="A1062" s="13"/>
      <c r="B1062" s="77"/>
      <c r="C1062" s="1201"/>
      <c r="D1062" s="1756" t="s">
        <v>1732</v>
      </c>
      <c r="E1062" s="1756"/>
      <c r="F1062" s="1756"/>
      <c r="G1062" s="1756"/>
      <c r="H1062" s="1756"/>
      <c r="I1062" s="1756"/>
      <c r="J1062" s="1756"/>
      <c r="K1062" s="1756"/>
      <c r="L1062" s="1756"/>
      <c r="M1062" s="1756"/>
      <c r="N1062" s="1756"/>
      <c r="O1062" s="1756"/>
      <c r="P1062" s="1756"/>
      <c r="Q1062" s="1756"/>
      <c r="R1062" s="1756"/>
      <c r="S1062" s="1756"/>
      <c r="T1062" s="1756"/>
      <c r="U1062" s="1756"/>
      <c r="V1062" s="1756"/>
      <c r="W1062" s="1756"/>
      <c r="X1062" s="1756"/>
      <c r="Y1062" s="1756"/>
      <c r="Z1062" s="1756"/>
      <c r="AA1062" s="1756"/>
      <c r="AB1062" s="1756"/>
      <c r="AC1062" s="1756"/>
      <c r="AD1062" s="1756"/>
      <c r="AE1062" s="1756"/>
      <c r="AF1062" s="1756"/>
      <c r="AG1062" s="1756"/>
      <c r="AH1062" s="1756"/>
      <c r="AI1062" s="1757"/>
      <c r="AJ1062" s="1722">
        <f>SUM(AJ1001:AQ1061)</f>
        <v>226932871.42000002</v>
      </c>
      <c r="AK1062" s="1723"/>
      <c r="AL1062" s="1723"/>
      <c r="AM1062" s="1723"/>
      <c r="AN1062" s="1723"/>
      <c r="AO1062" s="1723"/>
      <c r="AP1062" s="1723"/>
      <c r="AQ1062" s="1724"/>
      <c r="AR1062" s="1183"/>
      <c r="AS1062" s="1183"/>
      <c r="AT1062" s="1183"/>
      <c r="AU1062" s="1183"/>
      <c r="AV1062" s="1183"/>
      <c r="AW1062" s="1183"/>
      <c r="AX1062" s="1183"/>
      <c r="AY1062" s="1183"/>
      <c r="AZ1062" s="1062">
        <v>6000000</v>
      </c>
      <c r="BA1062" s="3" t="s">
        <v>1733</v>
      </c>
      <c r="BB1062" s="3"/>
      <c r="BC1062" s="3"/>
      <c r="BD1062" s="3"/>
    </row>
    <row r="1063" spans="1:56" ht="12.9" customHeight="1">
      <c r="A1063" s="13"/>
      <c r="B1063" s="13"/>
      <c r="C1063" s="1202"/>
      <c r="D1063" s="1203"/>
      <c r="E1063" s="1203"/>
      <c r="F1063" s="1203"/>
      <c r="G1063" s="1203"/>
      <c r="H1063" s="1203"/>
      <c r="I1063" s="1203"/>
      <c r="J1063" s="1203"/>
      <c r="K1063" s="1203"/>
      <c r="L1063" s="1203"/>
      <c r="M1063" s="1203"/>
      <c r="N1063" s="1203"/>
      <c r="O1063" s="1203"/>
      <c r="P1063" s="1203"/>
      <c r="Q1063" s="1203"/>
      <c r="R1063" s="1203"/>
      <c r="S1063" s="1203"/>
      <c r="T1063" s="1204"/>
      <c r="U1063" s="1204"/>
      <c r="V1063" s="1204"/>
      <c r="W1063" s="1204"/>
      <c r="X1063" s="1204"/>
      <c r="Y1063" s="1204"/>
      <c r="Z1063" s="1204"/>
      <c r="AA1063" s="1204"/>
      <c r="AB1063" s="1204"/>
      <c r="AC1063" s="1204"/>
      <c r="AD1063" s="139"/>
      <c r="AE1063" s="139"/>
      <c r="AF1063" s="139"/>
      <c r="AG1063" s="139"/>
      <c r="AH1063" s="139"/>
      <c r="AI1063" s="139"/>
      <c r="AJ1063" s="139"/>
      <c r="AK1063" s="139"/>
      <c r="AL1063" s="1183"/>
      <c r="AM1063" s="1183"/>
      <c r="AN1063" s="1183"/>
      <c r="AO1063" s="1183"/>
      <c r="AP1063" s="1183"/>
      <c r="AQ1063" s="1183"/>
      <c r="AR1063" s="1183"/>
      <c r="AS1063" s="1183"/>
      <c r="AT1063" s="1183"/>
      <c r="AU1063" s="1183"/>
      <c r="AV1063" s="1183"/>
      <c r="AW1063" s="1183"/>
      <c r="AX1063" s="1183"/>
      <c r="AY1063" s="1183"/>
      <c r="AZ1063" s="3"/>
      <c r="BA1063" s="3"/>
      <c r="BB1063" s="3"/>
      <c r="BC1063" s="3"/>
      <c r="BD1063" s="3"/>
    </row>
    <row r="1064" spans="1:56" ht="12.9" customHeight="1">
      <c r="A1064" s="13"/>
      <c r="B1064" s="1183"/>
      <c r="C1064" s="1183"/>
      <c r="D1064" s="1183"/>
      <c r="E1064" s="1183"/>
      <c r="F1064" s="1183"/>
      <c r="G1064" s="1054" t="s">
        <v>1734</v>
      </c>
      <c r="H1064" s="1055"/>
      <c r="I1064" s="1055"/>
      <c r="J1064" s="1055"/>
      <c r="K1064" s="1055"/>
      <c r="L1064" s="1055"/>
      <c r="M1064" s="1055"/>
      <c r="N1064" s="1055"/>
      <c r="O1064" s="1055"/>
      <c r="P1064" s="1055"/>
      <c r="Q1064" s="1055"/>
      <c r="R1064" s="1055"/>
      <c r="S1064" s="1055"/>
      <c r="T1064" s="1055"/>
      <c r="U1064" s="1055"/>
      <c r="V1064" s="1055"/>
      <c r="W1064" s="1055"/>
      <c r="X1064" s="1055"/>
      <c r="Y1064" s="1055"/>
      <c r="Z1064" s="1055"/>
      <c r="AA1064" s="1055"/>
      <c r="AB1064" s="1055"/>
      <c r="AC1064" s="1055"/>
      <c r="AD1064" s="1055"/>
      <c r="AE1064" s="1055"/>
      <c r="AF1064" s="1055"/>
      <c r="AG1064" s="1056"/>
      <c r="AH1064" s="1056"/>
      <c r="AI1064" s="1056"/>
      <c r="AJ1064" s="1056"/>
      <c r="AK1064" s="1056"/>
      <c r="AL1064" s="1056"/>
      <c r="AM1064" s="1056"/>
      <c r="AN1064" s="1056"/>
      <c r="AO1064" s="1183"/>
      <c r="AP1064" s="1183"/>
      <c r="AQ1064" s="1183"/>
      <c r="AR1064" s="1183"/>
      <c r="AS1064" s="1183"/>
      <c r="AT1064" s="1183"/>
      <c r="AU1064" s="1183"/>
      <c r="AV1064" s="1183"/>
      <c r="AW1064" s="1183"/>
      <c r="AX1064" s="1183"/>
      <c r="AY1064" s="1183"/>
      <c r="AZ1064" s="3"/>
      <c r="BA1064" s="852">
        <f>MIN(MIN(MAX(AZ1060,AZ1061),AZ1062),BA1065)</f>
        <v>2500000</v>
      </c>
      <c r="BB1064" s="3" t="s">
        <v>1735</v>
      </c>
      <c r="BC1064" s="3"/>
      <c r="BD1064" s="3"/>
    </row>
    <row r="1065" spans="1:56" ht="12.9" customHeight="1">
      <c r="A1065" s="13"/>
      <c r="B1065" s="1183"/>
      <c r="C1065" s="1183"/>
      <c r="D1065" s="1183"/>
      <c r="E1065" s="1183"/>
      <c r="F1065" s="1183"/>
      <c r="G1065" s="1057" t="s">
        <v>1736</v>
      </c>
      <c r="H1065" s="1058"/>
      <c r="I1065" s="1058"/>
      <c r="J1065" s="1058"/>
      <c r="K1065" s="1058"/>
      <c r="L1065" s="1058"/>
      <c r="M1065" s="1058"/>
      <c r="N1065" s="1058"/>
      <c r="O1065" s="1058"/>
      <c r="P1065" s="1058"/>
      <c r="Q1065" s="1058"/>
      <c r="R1065" s="1058"/>
      <c r="S1065" s="1058"/>
      <c r="T1065" s="1058"/>
      <c r="U1065" s="1058"/>
      <c r="V1065" s="1058"/>
      <c r="W1065" s="1058"/>
      <c r="X1065" s="1058"/>
      <c r="Y1065" s="1058"/>
      <c r="Z1065" s="1058"/>
      <c r="AA1065" s="1309">
        <f>'Sources and Uses Budget'!S107+'Sources and Uses Budget'!T107</f>
        <v>79450618</v>
      </c>
      <c r="AB1065" s="1309"/>
      <c r="AC1065" s="1309"/>
      <c r="AD1065" s="1309"/>
      <c r="AE1065" s="1309"/>
      <c r="AF1065" s="1309"/>
      <c r="AG1065" s="1056"/>
      <c r="AH1065" s="1056"/>
      <c r="AI1065" s="1056"/>
      <c r="AJ1065" s="1056"/>
      <c r="AK1065" s="1056"/>
      <c r="AL1065" s="1056"/>
      <c r="AM1065" s="1056"/>
      <c r="AN1065" s="1056"/>
      <c r="AO1065" s="1183"/>
      <c r="AP1065" s="1183"/>
      <c r="AQ1065" s="1183"/>
      <c r="AR1065" s="1183"/>
      <c r="AS1065" s="1183"/>
      <c r="AT1065" s="1183"/>
      <c r="AU1065" s="1183"/>
      <c r="AV1065" s="12"/>
      <c r="AW1065" s="12"/>
      <c r="AX1065" s="12"/>
      <c r="AY1065" s="12"/>
      <c r="AZ1065" s="3"/>
      <c r="BA1065" s="852">
        <f>SUM(AZ1055:AZ1058)</f>
        <v>5925224.25</v>
      </c>
      <c r="BB1065" s="3" t="s">
        <v>1737</v>
      </c>
      <c r="BC1065" s="3"/>
      <c r="BD1065" s="3"/>
    </row>
    <row r="1066" spans="1:56" ht="12.9" customHeight="1">
      <c r="A1066" s="13"/>
      <c r="B1066" s="1183"/>
      <c r="C1066" s="1183"/>
      <c r="D1066" s="1183"/>
      <c r="E1066" s="1183"/>
      <c r="F1066" s="1183"/>
      <c r="G1066" s="1057"/>
      <c r="H1066" s="1057" t="s">
        <v>1738</v>
      </c>
      <c r="I1066" s="1058"/>
      <c r="J1066" s="1058"/>
      <c r="K1066" s="1058"/>
      <c r="L1066" s="1058"/>
      <c r="M1066" s="1058"/>
      <c r="N1066" s="1058"/>
      <c r="O1066" s="1058"/>
      <c r="P1066" s="1058"/>
      <c r="Q1066" s="1058"/>
      <c r="R1066" s="1058"/>
      <c r="S1066" s="1058"/>
      <c r="T1066" s="1058"/>
      <c r="U1066" s="1058"/>
      <c r="V1066" s="1058"/>
      <c r="W1066" s="1058"/>
      <c r="X1066" s="1058"/>
      <c r="Y1066" s="1058"/>
      <c r="Z1066" s="1060"/>
      <c r="AA1066" s="1310">
        <f>IFERROR((AA1065-BA1068)/(AJ1062-AJ1054-AJ1058),"")</f>
        <v>0.70330551345881887</v>
      </c>
      <c r="AB1066" s="1311"/>
      <c r="AC1066" s="1311"/>
      <c r="AD1066" s="1311"/>
      <c r="AE1066" s="1311"/>
      <c r="AF1066" s="1312"/>
      <c r="AG1066" s="1059"/>
      <c r="AH1066" s="1056"/>
      <c r="AI1066" s="1056"/>
      <c r="AJ1066" s="1056"/>
      <c r="AK1066" s="1056"/>
      <c r="AL1066" s="1056"/>
      <c r="AM1066" s="1056"/>
      <c r="AN1066" s="1056"/>
      <c r="AO1066" s="1183"/>
      <c r="AP1066" s="1183"/>
      <c r="AQ1066" s="1183"/>
      <c r="AR1066" s="1183"/>
      <c r="AS1066" s="1183"/>
      <c r="AT1066" s="1183"/>
      <c r="AU1066" s="1183"/>
      <c r="AV1066" s="12"/>
      <c r="AW1066" s="12"/>
      <c r="AX1066" s="12"/>
      <c r="AY1066" s="12"/>
    </row>
    <row r="1067" spans="1:56" ht="12.9" customHeight="1">
      <c r="A1067" s="13"/>
      <c r="B1067" s="1183"/>
      <c r="C1067" s="1183"/>
      <c r="D1067" s="1183"/>
      <c r="E1067" s="1183"/>
      <c r="F1067" s="1183"/>
      <c r="G1067" s="131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3"/>
      <c r="I1067" s="1313"/>
      <c r="J1067" s="1313"/>
      <c r="K1067" s="1313"/>
      <c r="L1067" s="1313"/>
      <c r="M1067" s="1313"/>
      <c r="N1067" s="1313"/>
      <c r="O1067" s="1313"/>
      <c r="P1067" s="1313"/>
      <c r="Q1067" s="1313"/>
      <c r="R1067" s="1313"/>
      <c r="S1067" s="1313"/>
      <c r="T1067" s="1313"/>
      <c r="U1067" s="1313"/>
      <c r="V1067" s="1313"/>
      <c r="W1067" s="1313"/>
      <c r="X1067" s="1313"/>
      <c r="Y1067" s="1313"/>
      <c r="Z1067" s="1313"/>
      <c r="AA1067" s="1313"/>
      <c r="AB1067" s="1313"/>
      <c r="AC1067" s="1313"/>
      <c r="AD1067" s="1313"/>
      <c r="AE1067" s="1313"/>
      <c r="AF1067" s="1313"/>
      <c r="AG1067" s="1313"/>
      <c r="AH1067" s="1313"/>
      <c r="AI1067" s="1313"/>
      <c r="AJ1067" s="1313"/>
      <c r="AK1067" s="1313"/>
      <c r="AL1067" s="1313"/>
      <c r="AM1067" s="1313"/>
      <c r="AN1067" s="1313"/>
      <c r="AO1067" s="1183"/>
      <c r="AP1067" s="1183"/>
      <c r="AQ1067" s="1183"/>
      <c r="AR1067" s="1183"/>
      <c r="AS1067" s="1183"/>
      <c r="AT1067" s="1183"/>
      <c r="AU1067" s="1183"/>
      <c r="AV1067" s="13"/>
      <c r="AW1067" s="13"/>
      <c r="AX1067" s="13"/>
      <c r="AY1067" s="13"/>
      <c r="BA1067" s="1066">
        <f>'Sources and Uses Budget'!$S$104+'Sources and Uses Budget'!$T$104</f>
        <v>5949123</v>
      </c>
      <c r="BB1067" s="3" t="s">
        <v>1739</v>
      </c>
    </row>
    <row r="1068" spans="1:56" ht="12.9" customHeight="1">
      <c r="A1068" s="13"/>
      <c r="B1068" s="13"/>
      <c r="C1068" s="1202"/>
      <c r="D1068" s="1205"/>
      <c r="E1068" s="1205"/>
      <c r="F1068" s="1205"/>
      <c r="G1068" s="1313"/>
      <c r="H1068" s="1313"/>
      <c r="I1068" s="1313"/>
      <c r="J1068" s="1313"/>
      <c r="K1068" s="1313"/>
      <c r="L1068" s="1313"/>
      <c r="M1068" s="1313"/>
      <c r="N1068" s="1313"/>
      <c r="O1068" s="1313"/>
      <c r="P1068" s="1313"/>
      <c r="Q1068" s="1313"/>
      <c r="R1068" s="1313"/>
      <c r="S1068" s="1313"/>
      <c r="T1068" s="1313"/>
      <c r="U1068" s="1313"/>
      <c r="V1068" s="1313"/>
      <c r="W1068" s="1313"/>
      <c r="X1068" s="1313"/>
      <c r="Y1068" s="1313"/>
      <c r="Z1068" s="1313"/>
      <c r="AA1068" s="1313"/>
      <c r="AB1068" s="1313"/>
      <c r="AC1068" s="1313"/>
      <c r="AD1068" s="1313"/>
      <c r="AE1068" s="1313"/>
      <c r="AF1068" s="1313"/>
      <c r="AG1068" s="1313"/>
      <c r="AH1068" s="1313"/>
      <c r="AI1068" s="1313"/>
      <c r="AJ1068" s="1313"/>
      <c r="AK1068" s="1313"/>
      <c r="AL1068" s="1313"/>
      <c r="AM1068" s="1313"/>
      <c r="AN1068" s="1313"/>
      <c r="AO1068" s="1183"/>
      <c r="AP1068" s="1183"/>
      <c r="AQ1068" s="1183"/>
      <c r="AR1068" s="1183"/>
      <c r="AS1068" s="1183"/>
      <c r="AT1068" s="1183"/>
      <c r="AU1068" s="1183"/>
      <c r="AV1068" s="13"/>
      <c r="AW1068" s="13"/>
      <c r="AX1068" s="13"/>
      <c r="AY1068" s="13"/>
      <c r="BA1068" s="1067">
        <f>MAX($BA$1067-$BA$1064,0)</f>
        <v>3449123</v>
      </c>
      <c r="BB1068" s="3" t="s">
        <v>1740</v>
      </c>
    </row>
    <row r="1069" spans="1:56" ht="12.9" customHeight="1">
      <c r="A1069" s="1206"/>
      <c r="B1069" s="1053"/>
      <c r="C1069" s="1053"/>
      <c r="D1069" s="1053"/>
      <c r="E1069" s="1053"/>
      <c r="F1069" s="1053"/>
      <c r="G1069" s="1313"/>
      <c r="H1069" s="1313"/>
      <c r="I1069" s="1313"/>
      <c r="J1069" s="1313"/>
      <c r="K1069" s="1313"/>
      <c r="L1069" s="1313"/>
      <c r="M1069" s="1313"/>
      <c r="N1069" s="1313"/>
      <c r="O1069" s="1313"/>
      <c r="P1069" s="1313"/>
      <c r="Q1069" s="1313"/>
      <c r="R1069" s="1313"/>
      <c r="S1069" s="1313"/>
      <c r="T1069" s="1313"/>
      <c r="U1069" s="1313"/>
      <c r="V1069" s="1313"/>
      <c r="W1069" s="1313"/>
      <c r="X1069" s="1313"/>
      <c r="Y1069" s="1313"/>
      <c r="Z1069" s="1313"/>
      <c r="AA1069" s="1313"/>
      <c r="AB1069" s="1313"/>
      <c r="AC1069" s="1313"/>
      <c r="AD1069" s="1313"/>
      <c r="AE1069" s="1313"/>
      <c r="AF1069" s="1313"/>
      <c r="AG1069" s="1313"/>
      <c r="AH1069" s="1313"/>
      <c r="AI1069" s="1313"/>
      <c r="AJ1069" s="1313"/>
      <c r="AK1069" s="1313"/>
      <c r="AL1069" s="1313"/>
      <c r="AM1069" s="1313"/>
      <c r="AN1069" s="1313"/>
      <c r="AO1069" s="1053"/>
      <c r="AP1069" s="1053"/>
      <c r="AQ1069" s="1183"/>
      <c r="AR1069" s="1183"/>
      <c r="AS1069" s="1183"/>
      <c r="AT1069" s="1183"/>
      <c r="AU1069" s="1183"/>
      <c r="AV1069" s="1183"/>
      <c r="AW1069" s="1183"/>
      <c r="AX1069" s="1183"/>
      <c r="AY1069" s="1183"/>
    </row>
    <row r="1070" spans="1:56" ht="12.9" customHeight="1">
      <c r="A1070" s="1776" t="s">
        <v>1741</v>
      </c>
      <c r="B1070" s="1776"/>
      <c r="C1070" s="1776"/>
      <c r="D1070" s="1776"/>
      <c r="E1070" s="1776"/>
      <c r="F1070" s="1776"/>
      <c r="G1070" s="1776"/>
      <c r="H1070" s="1776"/>
      <c r="I1070" s="1776"/>
      <c r="J1070" s="1776"/>
      <c r="K1070" s="1776"/>
      <c r="L1070" s="1776"/>
      <c r="M1070" s="1776"/>
      <c r="N1070" s="1776"/>
      <c r="O1070" s="1776"/>
      <c r="P1070" s="1776"/>
      <c r="Q1070" s="1776"/>
      <c r="R1070" s="1776"/>
      <c r="S1070" s="1776"/>
      <c r="T1070" s="1776"/>
      <c r="U1070" s="1776"/>
      <c r="V1070" s="1776"/>
      <c r="W1070" s="1776"/>
      <c r="X1070" s="1776"/>
      <c r="Y1070" s="1776"/>
      <c r="Z1070" s="1776"/>
      <c r="AA1070" s="1776"/>
      <c r="AB1070" s="1776"/>
      <c r="AC1070" s="1776"/>
      <c r="AD1070" s="1776"/>
      <c r="AE1070" s="1776"/>
      <c r="AF1070" s="1776"/>
      <c r="AG1070" s="1776"/>
      <c r="AH1070" s="1776"/>
      <c r="AI1070" s="1776"/>
      <c r="AJ1070" s="1776"/>
      <c r="AK1070" s="1776"/>
      <c r="AL1070" s="1776"/>
      <c r="AM1070" s="1776"/>
      <c r="AN1070" s="1776"/>
      <c r="AO1070" s="1776"/>
      <c r="AP1070" s="1776"/>
      <c r="AQ1070" s="1776"/>
      <c r="AR1070" s="12"/>
      <c r="AS1070" s="12"/>
      <c r="AT1070" s="12"/>
      <c r="AV1070" s="1183"/>
      <c r="AW1070" s="1183"/>
      <c r="AX1070" s="1183"/>
      <c r="AY1070" s="1183"/>
    </row>
    <row r="1071" spans="1:56" ht="12.9"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3"/>
      <c r="AW1071" s="1183"/>
      <c r="AX1071" s="1183"/>
      <c r="AY1071" s="1183"/>
    </row>
    <row r="1072" spans="1:56" ht="12.9" customHeight="1">
      <c r="A1072" s="49" t="s">
        <v>1742</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3"/>
      <c r="AW1072" s="1183"/>
      <c r="AX1072" s="1183"/>
      <c r="AY1072" s="1183"/>
    </row>
    <row r="1073" spans="1:51" ht="12.9" customHeight="1">
      <c r="A1073" s="133" t="s">
        <v>1743</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3"/>
      <c r="AW1073" s="1183"/>
      <c r="AX1073" s="1183"/>
      <c r="AY1073" s="1183"/>
    </row>
    <row r="1074" spans="1:51" ht="12.9" customHeight="1">
      <c r="A1074" s="1380" t="s">
        <v>820</v>
      </c>
      <c r="B1074" s="1380"/>
      <c r="C1074" s="1594">
        <v>1</v>
      </c>
      <c r="D1074" s="1594"/>
      <c r="E1074" s="13" t="s">
        <v>1744</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3"/>
      <c r="AW1074" s="1183"/>
      <c r="AX1074" s="1183"/>
      <c r="AY1074" s="1183"/>
    </row>
    <row r="1075" spans="1:51" ht="12.9" customHeight="1">
      <c r="A1075" s="133"/>
      <c r="B1075" s="13"/>
      <c r="C1075" s="1594"/>
      <c r="D1075" s="1594"/>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3"/>
      <c r="AW1075" s="1183"/>
      <c r="AX1075" s="1183"/>
      <c r="AY1075" s="1183"/>
    </row>
    <row r="1076" spans="1:51" ht="12.9" customHeight="1">
      <c r="A1076" s="1380" t="s">
        <v>820</v>
      </c>
      <c r="B1076" s="1380"/>
      <c r="C1076" s="1594">
        <v>2</v>
      </c>
      <c r="D1076" s="1594"/>
      <c r="E1076" s="1798" t="s">
        <v>1745</v>
      </c>
      <c r="F1076" s="1798"/>
      <c r="G1076" s="1798"/>
      <c r="H1076" s="1798"/>
      <c r="I1076" s="1798"/>
      <c r="J1076" s="1798"/>
      <c r="K1076" s="1798"/>
      <c r="L1076" s="1798"/>
      <c r="M1076" s="1798"/>
      <c r="N1076" s="1798"/>
      <c r="O1076" s="1798"/>
      <c r="P1076" s="1798"/>
      <c r="Q1076" s="1798"/>
      <c r="R1076" s="1798"/>
      <c r="S1076" s="1798"/>
      <c r="T1076" s="1798"/>
      <c r="U1076" s="1798"/>
      <c r="V1076" s="1798"/>
      <c r="W1076" s="1798"/>
      <c r="X1076" s="1798"/>
      <c r="Y1076" s="1798"/>
      <c r="Z1076" s="1798"/>
      <c r="AA1076" s="1798"/>
      <c r="AB1076" s="1798"/>
      <c r="AC1076" s="1798"/>
      <c r="AD1076" s="1798"/>
      <c r="AE1076" s="1798"/>
      <c r="AF1076" s="1798"/>
      <c r="AG1076" s="1798"/>
      <c r="AH1076" s="1798"/>
      <c r="AI1076" s="1798"/>
      <c r="AJ1076" s="1798"/>
      <c r="AK1076" s="1798"/>
      <c r="AL1076" s="1798"/>
      <c r="AM1076" s="1798"/>
      <c r="AN1076" s="1798"/>
      <c r="AO1076" s="1798"/>
      <c r="AP1076" s="1798"/>
      <c r="AQ1076" s="1798"/>
      <c r="AR1076" s="1798"/>
      <c r="AS1076" s="13"/>
      <c r="AT1076" s="13"/>
      <c r="AV1076" s="1183"/>
      <c r="AW1076" s="1183"/>
      <c r="AX1076" s="1183"/>
      <c r="AY1076" s="1183"/>
    </row>
    <row r="1077" spans="1:51" ht="12.9" customHeight="1">
      <c r="A1077" s="133"/>
      <c r="B1077" s="13"/>
      <c r="C1077" s="1594"/>
      <c r="D1077" s="1594"/>
      <c r="E1077" s="1798"/>
      <c r="F1077" s="1798"/>
      <c r="G1077" s="1798"/>
      <c r="H1077" s="1798"/>
      <c r="I1077" s="1798"/>
      <c r="J1077" s="1798"/>
      <c r="K1077" s="1798"/>
      <c r="L1077" s="1798"/>
      <c r="M1077" s="1798"/>
      <c r="N1077" s="1798"/>
      <c r="O1077" s="1798"/>
      <c r="P1077" s="1798"/>
      <c r="Q1077" s="1798"/>
      <c r="R1077" s="1798"/>
      <c r="S1077" s="1798"/>
      <c r="T1077" s="1798"/>
      <c r="U1077" s="1798"/>
      <c r="V1077" s="1798"/>
      <c r="W1077" s="1798"/>
      <c r="X1077" s="1798"/>
      <c r="Y1077" s="1798"/>
      <c r="Z1077" s="1798"/>
      <c r="AA1077" s="1798"/>
      <c r="AB1077" s="1798"/>
      <c r="AC1077" s="1798"/>
      <c r="AD1077" s="1798"/>
      <c r="AE1077" s="1798"/>
      <c r="AF1077" s="1798"/>
      <c r="AG1077" s="1798"/>
      <c r="AH1077" s="1798"/>
      <c r="AI1077" s="1798"/>
      <c r="AJ1077" s="1798"/>
      <c r="AK1077" s="1798"/>
      <c r="AL1077" s="1798"/>
      <c r="AM1077" s="1798"/>
      <c r="AN1077" s="1798"/>
      <c r="AO1077" s="1798"/>
      <c r="AP1077" s="1798"/>
      <c r="AQ1077" s="1798"/>
      <c r="AR1077" s="1798"/>
      <c r="AS1077" s="13"/>
      <c r="AT1077" s="13"/>
      <c r="AV1077" s="1183"/>
      <c r="AW1077" s="1183"/>
      <c r="AX1077" s="1183"/>
      <c r="AY1077" s="1183"/>
    </row>
    <row r="1078" spans="1:51" ht="12.9" customHeight="1">
      <c r="A1078" s="133"/>
      <c r="B1078" s="13"/>
      <c r="C1078" s="1594"/>
      <c r="D1078" s="1594"/>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3"/>
      <c r="AW1078" s="1183"/>
      <c r="AX1078" s="1183"/>
      <c r="AY1078" s="1183"/>
    </row>
    <row r="1079" spans="1:51" ht="12.9" customHeight="1">
      <c r="A1079" s="1380" t="s">
        <v>820</v>
      </c>
      <c r="B1079" s="1380"/>
      <c r="C1079" s="1370">
        <v>3</v>
      </c>
      <c r="D1079" s="1370"/>
      <c r="E1079" s="1294" t="s">
        <v>1746</v>
      </c>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3"/>
      <c r="AT1079" s="1183"/>
      <c r="AV1079" s="1183"/>
      <c r="AW1079" s="1183"/>
      <c r="AX1079" s="1183"/>
      <c r="AY1079" s="1183"/>
    </row>
    <row r="1080" spans="1:51" ht="12.9" customHeight="1">
      <c r="A1080" s="1"/>
      <c r="B1080" s="1"/>
      <c r="C1080" s="1370"/>
      <c r="D1080" s="1370"/>
      <c r="E1080" s="1294"/>
      <c r="F1080" s="1294"/>
      <c r="G1080" s="1294"/>
      <c r="H1080" s="1294"/>
      <c r="I1080" s="1294"/>
      <c r="J1080" s="1294"/>
      <c r="K1080" s="1294"/>
      <c r="L1080" s="1294"/>
      <c r="M1080" s="1294"/>
      <c r="N1080" s="1294"/>
      <c r="O1080" s="1294"/>
      <c r="P1080" s="1294"/>
      <c r="Q1080" s="1294"/>
      <c r="R1080" s="1294"/>
      <c r="S1080" s="1294"/>
      <c r="T1080" s="1294"/>
      <c r="U1080" s="1294"/>
      <c r="V1080" s="1294"/>
      <c r="W1080" s="1294"/>
      <c r="X1080" s="1294"/>
      <c r="Y1080" s="1294"/>
      <c r="Z1080" s="1294"/>
      <c r="AA1080" s="1294"/>
      <c r="AB1080" s="1294"/>
      <c r="AC1080" s="1294"/>
      <c r="AD1080" s="1294"/>
      <c r="AE1080" s="1294"/>
      <c r="AF1080" s="1294"/>
      <c r="AG1080" s="1294"/>
      <c r="AH1080" s="1294"/>
      <c r="AI1080" s="1294"/>
      <c r="AJ1080" s="1294"/>
      <c r="AK1080" s="1294"/>
      <c r="AL1080" s="1294"/>
      <c r="AM1080" s="1294"/>
      <c r="AN1080" s="1294"/>
      <c r="AO1080" s="1294"/>
      <c r="AP1080" s="1294"/>
      <c r="AQ1080" s="1294"/>
      <c r="AR1080" s="1294"/>
      <c r="AS1080" s="13"/>
      <c r="AT1080" s="1183"/>
      <c r="AV1080" s="1183"/>
      <c r="AW1080" s="1183"/>
      <c r="AX1080" s="1183"/>
      <c r="AY1080" s="1183"/>
    </row>
    <row r="1081" spans="1:51" ht="12.9" customHeight="1">
      <c r="A1081" s="1"/>
      <c r="B1081" s="1"/>
      <c r="C1081" s="1370"/>
      <c r="D1081" s="1370"/>
      <c r="E1081" s="1294"/>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3"/>
      <c r="AT1081" s="1183"/>
      <c r="AV1081" s="1183"/>
      <c r="AW1081" s="1183"/>
      <c r="AX1081" s="1183"/>
      <c r="AY1081" s="1183"/>
    </row>
    <row r="1082" spans="1:51" ht="12.9" customHeight="1">
      <c r="A1082" s="1"/>
      <c r="B1082" s="1"/>
      <c r="C1082" s="1370"/>
      <c r="D1082" s="1370"/>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3"/>
      <c r="AT1082" s="1183"/>
      <c r="AV1082" s="1183"/>
      <c r="AW1082" s="1183"/>
      <c r="AX1082" s="1183"/>
      <c r="AY1082" s="1183"/>
    </row>
    <row r="1083" spans="1:51" ht="12.9" customHeight="1">
      <c r="A1083" s="2"/>
      <c r="B1083" s="21"/>
      <c r="C1083" s="1370"/>
      <c r="D1083" s="1370"/>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3"/>
      <c r="AM1083" s="1183"/>
      <c r="AN1083" s="1183"/>
      <c r="AO1083" s="1183"/>
      <c r="AP1083" s="1183"/>
      <c r="AQ1083" s="1183"/>
      <c r="AR1083" s="1183"/>
      <c r="AS1083" s="13"/>
      <c r="AT1083" s="1183"/>
      <c r="AV1083" s="1183"/>
      <c r="AW1083" s="1183"/>
      <c r="AX1083" s="1183"/>
      <c r="AY1083" s="1183"/>
    </row>
    <row r="1084" spans="1:51" ht="12.9" customHeight="1">
      <c r="A1084" s="1380" t="s">
        <v>820</v>
      </c>
      <c r="B1084" s="1380"/>
      <c r="C1084" s="1370">
        <v>4</v>
      </c>
      <c r="D1084" s="1370"/>
      <c r="E1084" s="1294" t="s">
        <v>1747</v>
      </c>
      <c r="F1084" s="1294"/>
      <c r="G1084" s="1294"/>
      <c r="H1084" s="1294"/>
      <c r="I1084" s="1294"/>
      <c r="J1084" s="1294"/>
      <c r="K1084" s="1294"/>
      <c r="L1084" s="1294"/>
      <c r="M1084" s="1294"/>
      <c r="N1084" s="1294"/>
      <c r="O1084" s="1294"/>
      <c r="P1084" s="1294"/>
      <c r="Q1084" s="1294"/>
      <c r="R1084" s="1294"/>
      <c r="S1084" s="1294"/>
      <c r="T1084" s="1294"/>
      <c r="U1084" s="1294"/>
      <c r="V1084" s="1294"/>
      <c r="W1084" s="1294"/>
      <c r="X1084" s="1294"/>
      <c r="Y1084" s="1294"/>
      <c r="Z1084" s="1294"/>
      <c r="AA1084" s="1294"/>
      <c r="AB1084" s="1294"/>
      <c r="AC1084" s="1294"/>
      <c r="AD1084" s="1294"/>
      <c r="AE1084" s="1294"/>
      <c r="AF1084" s="1294"/>
      <c r="AG1084" s="1294"/>
      <c r="AH1084" s="1294"/>
      <c r="AI1084" s="1294"/>
      <c r="AJ1084" s="1294"/>
      <c r="AK1084" s="1294"/>
      <c r="AL1084" s="1294"/>
      <c r="AM1084" s="1294"/>
      <c r="AN1084" s="1294"/>
      <c r="AO1084" s="1294"/>
      <c r="AP1084" s="1294"/>
      <c r="AQ1084" s="1294"/>
      <c r="AR1084" s="1294"/>
      <c r="AS1084" s="13"/>
      <c r="AT1084" s="1183"/>
    </row>
    <row r="1085" spans="1:51" ht="12.9" customHeight="1">
      <c r="A1085" s="1"/>
      <c r="B1085" s="1"/>
      <c r="C1085" s="1370"/>
      <c r="D1085" s="1370"/>
      <c r="E1085" s="1294"/>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3"/>
      <c r="AT1085" s="1183"/>
    </row>
    <row r="1086" spans="1:51" ht="12.9" customHeight="1">
      <c r="A1086" s="1"/>
      <c r="B1086" s="1"/>
      <c r="C1086" s="1370"/>
      <c r="D1086" s="1370"/>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3"/>
      <c r="AT1086" s="1183"/>
    </row>
    <row r="1087" spans="1:51" ht="12.9" customHeight="1">
      <c r="A1087" s="1"/>
      <c r="B1087" s="1"/>
      <c r="C1087" s="1370"/>
      <c r="D1087" s="1370"/>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3"/>
      <c r="AT1087" s="1183"/>
    </row>
    <row r="1088" spans="1:51" ht="12.9" customHeight="1">
      <c r="A1088" s="1"/>
      <c r="B1088" s="1"/>
      <c r="C1088" s="1370"/>
      <c r="D1088" s="1370"/>
      <c r="E1088" s="1294"/>
      <c r="F1088" s="1294"/>
      <c r="G1088" s="1294"/>
      <c r="H1088" s="1294"/>
      <c r="I1088" s="1294"/>
      <c r="J1088" s="1294"/>
      <c r="K1088" s="1294"/>
      <c r="L1088" s="1294"/>
      <c r="M1088" s="1294"/>
      <c r="N1088" s="1294"/>
      <c r="O1088" s="1294"/>
      <c r="P1088" s="1294"/>
      <c r="Q1088" s="1294"/>
      <c r="R1088" s="1294"/>
      <c r="S1088" s="1294"/>
      <c r="T1088" s="1294"/>
      <c r="U1088" s="1294"/>
      <c r="V1088" s="1294"/>
      <c r="W1088" s="1294"/>
      <c r="X1088" s="1294"/>
      <c r="Y1088" s="1294"/>
      <c r="Z1088" s="1294"/>
      <c r="AA1088" s="1294"/>
      <c r="AB1088" s="1294"/>
      <c r="AC1088" s="1294"/>
      <c r="AD1088" s="1294"/>
      <c r="AE1088" s="1294"/>
      <c r="AF1088" s="1294"/>
      <c r="AG1088" s="1294"/>
      <c r="AH1088" s="1294"/>
      <c r="AI1088" s="1294"/>
      <c r="AJ1088" s="1294"/>
      <c r="AK1088" s="1294"/>
      <c r="AL1088" s="1294"/>
      <c r="AM1088" s="1294"/>
      <c r="AN1088" s="1294"/>
      <c r="AO1088" s="1294"/>
      <c r="AP1088" s="1294"/>
      <c r="AQ1088" s="1294"/>
      <c r="AR1088" s="1294"/>
      <c r="AS1088" s="13"/>
      <c r="AT1088" s="1183"/>
    </row>
    <row r="1089" spans="1:45" ht="12.9" customHeight="1">
      <c r="A1089" s="1"/>
      <c r="B1089" s="1"/>
      <c r="C1089" s="1370"/>
      <c r="D1089" s="1370"/>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 customHeight="1">
      <c r="A1090" s="1380" t="s">
        <v>820</v>
      </c>
      <c r="B1090" s="1380"/>
      <c r="C1090" s="1370">
        <v>5</v>
      </c>
      <c r="D1090" s="1370"/>
      <c r="E1090" s="1294" t="s">
        <v>1748</v>
      </c>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3"/>
    </row>
    <row r="1091" spans="1:45" ht="12.9" customHeight="1">
      <c r="A1091" s="3"/>
      <c r="B1091" s="3"/>
      <c r="C1091" s="1370"/>
      <c r="D1091" s="1370"/>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3"/>
    </row>
    <row r="1092" spans="1:45" ht="12.9" customHeight="1">
      <c r="A1092" s="3"/>
      <c r="B1092" s="3"/>
      <c r="C1092" s="1370"/>
      <c r="D1092" s="1370"/>
      <c r="E1092" s="1294"/>
      <c r="F1092" s="1294"/>
      <c r="G1092" s="1294"/>
      <c r="H1092" s="1294"/>
      <c r="I1092" s="1294"/>
      <c r="J1092" s="1294"/>
      <c r="K1092" s="1294"/>
      <c r="L1092" s="1294"/>
      <c r="M1092" s="1294"/>
      <c r="N1092" s="1294"/>
      <c r="O1092" s="1294"/>
      <c r="P1092" s="1294"/>
      <c r="Q1092" s="1294"/>
      <c r="R1092" s="1294"/>
      <c r="S1092" s="1294"/>
      <c r="T1092" s="1294"/>
      <c r="U1092" s="1294"/>
      <c r="V1092" s="1294"/>
      <c r="W1092" s="1294"/>
      <c r="X1092" s="1294"/>
      <c r="Y1092" s="1294"/>
      <c r="Z1092" s="1294"/>
      <c r="AA1092" s="1294"/>
      <c r="AB1092" s="1294"/>
      <c r="AC1092" s="1294"/>
      <c r="AD1092" s="1294"/>
      <c r="AE1092" s="1294"/>
      <c r="AF1092" s="1294"/>
      <c r="AG1092" s="1294"/>
      <c r="AH1092" s="1294"/>
      <c r="AI1092" s="1294"/>
      <c r="AJ1092" s="1294"/>
      <c r="AK1092" s="1294"/>
      <c r="AL1092" s="1294"/>
      <c r="AM1092" s="1294"/>
      <c r="AN1092" s="1294"/>
      <c r="AO1092" s="1294"/>
      <c r="AP1092" s="1294"/>
      <c r="AQ1092" s="1294"/>
      <c r="AR1092" s="1294"/>
      <c r="AS1092" s="13"/>
    </row>
    <row r="1093" spans="1:45" ht="12.9" customHeight="1">
      <c r="A1093" s="84"/>
      <c r="B1093" s="21"/>
      <c r="C1093" s="1370"/>
      <c r="D1093" s="1370"/>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 customHeight="1">
      <c r="A1094" s="1380" t="s">
        <v>820</v>
      </c>
      <c r="B1094" s="1380"/>
      <c r="C1094" s="1370">
        <v>6</v>
      </c>
      <c r="D1094" s="1370"/>
      <c r="E1094" s="1294" t="s">
        <v>1749</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c r="AS1094" s="13"/>
    </row>
    <row r="1095" spans="1:45" ht="12.9" customHeight="1">
      <c r="A1095" s="1"/>
      <c r="B1095" s="1"/>
      <c r="C1095" s="1"/>
      <c r="D1095" s="1"/>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c r="AS1095" s="13"/>
    </row>
    <row r="1096" spans="1:45" ht="12.9" customHeight="1">
      <c r="A1096" s="1"/>
      <c r="B1096" s="1"/>
      <c r="C1096" s="1370"/>
      <c r="D1096" s="1370"/>
      <c r="E1096" s="1294"/>
      <c r="F1096" s="1294"/>
      <c r="G1096" s="1294"/>
      <c r="H1096" s="1294"/>
      <c r="I1096" s="1294"/>
      <c r="J1096" s="1294"/>
      <c r="K1096" s="1294"/>
      <c r="L1096" s="1294"/>
      <c r="M1096" s="1294"/>
      <c r="N1096" s="1294"/>
      <c r="O1096" s="1294"/>
      <c r="P1096" s="1294"/>
      <c r="Q1096" s="1294"/>
      <c r="R1096" s="1294"/>
      <c r="S1096" s="1294"/>
      <c r="T1096" s="1294"/>
      <c r="U1096" s="1294"/>
      <c r="V1096" s="1294"/>
      <c r="W1096" s="1294"/>
      <c r="X1096" s="1294"/>
      <c r="Y1096" s="1294"/>
      <c r="Z1096" s="1294"/>
      <c r="AA1096" s="1294"/>
      <c r="AB1096" s="1294"/>
      <c r="AC1096" s="1294"/>
      <c r="AD1096" s="1294"/>
      <c r="AE1096" s="1294"/>
      <c r="AF1096" s="1294"/>
      <c r="AG1096" s="1294"/>
      <c r="AH1096" s="1294"/>
      <c r="AI1096" s="1294"/>
      <c r="AJ1096" s="1294"/>
      <c r="AK1096" s="1294"/>
      <c r="AL1096" s="1294"/>
      <c r="AM1096" s="1294"/>
      <c r="AN1096" s="1294"/>
      <c r="AO1096" s="1294"/>
      <c r="AP1096" s="1294"/>
      <c r="AQ1096" s="1294"/>
      <c r="AR1096" s="1294"/>
      <c r="AS1096" s="13"/>
    </row>
    <row r="1097" spans="1:45" ht="12.9" customHeight="1">
      <c r="A1097" s="84"/>
      <c r="B1097" s="21"/>
      <c r="C1097" s="1370"/>
      <c r="D1097" s="1370"/>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 customHeight="1">
      <c r="A1098" s="1380" t="s">
        <v>820</v>
      </c>
      <c r="B1098" s="1380"/>
      <c r="C1098" s="1370">
        <v>7</v>
      </c>
      <c r="D1098" s="1370"/>
      <c r="E1098" s="1294" t="s">
        <v>1750</v>
      </c>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c r="AS1098" s="13"/>
    </row>
    <row r="1099" spans="1:45" ht="12.9" customHeight="1">
      <c r="A1099" s="1"/>
      <c r="B1099" s="1"/>
      <c r="C1099" s="1370"/>
      <c r="D1099" s="1370"/>
      <c r="E1099" s="1294"/>
      <c r="F1099" s="1294"/>
      <c r="G1099" s="1294"/>
      <c r="H1099" s="1294"/>
      <c r="I1099" s="1294"/>
      <c r="J1099" s="1294"/>
      <c r="K1099" s="1294"/>
      <c r="L1099" s="1294"/>
      <c r="M1099" s="1294"/>
      <c r="N1099" s="1294"/>
      <c r="O1099" s="1294"/>
      <c r="P1099" s="1294"/>
      <c r="Q1099" s="1294"/>
      <c r="R1099" s="1294"/>
      <c r="S1099" s="1294"/>
      <c r="T1099" s="1294"/>
      <c r="U1099" s="1294"/>
      <c r="V1099" s="1294"/>
      <c r="W1099" s="1294"/>
      <c r="X1099" s="1294"/>
      <c r="Y1099" s="1294"/>
      <c r="Z1099" s="1294"/>
      <c r="AA1099" s="1294"/>
      <c r="AB1099" s="1294"/>
      <c r="AC1099" s="1294"/>
      <c r="AD1099" s="1294"/>
      <c r="AE1099" s="1294"/>
      <c r="AF1099" s="1294"/>
      <c r="AG1099" s="1294"/>
      <c r="AH1099" s="1294"/>
      <c r="AI1099" s="1294"/>
      <c r="AJ1099" s="1294"/>
      <c r="AK1099" s="1294"/>
      <c r="AL1099" s="1294"/>
      <c r="AM1099" s="1294"/>
      <c r="AN1099" s="1294"/>
      <c r="AO1099" s="1294"/>
      <c r="AP1099" s="1294"/>
      <c r="AQ1099" s="1294"/>
      <c r="AR1099" s="1294"/>
      <c r="AS1099" s="13"/>
    </row>
    <row r="1100" spans="1:45" ht="12.9" customHeight="1">
      <c r="A1100" s="1"/>
      <c r="B1100" s="1"/>
      <c r="C1100" s="1370"/>
      <c r="D1100" s="1370"/>
      <c r="E1100" s="1294"/>
      <c r="F1100" s="1294"/>
      <c r="G1100" s="1294"/>
      <c r="H1100" s="1294"/>
      <c r="I1100" s="1294"/>
      <c r="J1100" s="1294"/>
      <c r="K1100" s="1294"/>
      <c r="L1100" s="1294"/>
      <c r="M1100" s="1294"/>
      <c r="N1100" s="1294"/>
      <c r="O1100" s="1294"/>
      <c r="P1100" s="1294"/>
      <c r="Q1100" s="1294"/>
      <c r="R1100" s="1294"/>
      <c r="S1100" s="1294"/>
      <c r="T1100" s="1294"/>
      <c r="U1100" s="1294"/>
      <c r="V1100" s="1294"/>
      <c r="W1100" s="1294"/>
      <c r="X1100" s="1294"/>
      <c r="Y1100" s="1294"/>
      <c r="Z1100" s="1294"/>
      <c r="AA1100" s="1294"/>
      <c r="AB1100" s="1294"/>
      <c r="AC1100" s="1294"/>
      <c r="AD1100" s="1294"/>
      <c r="AE1100" s="1294"/>
      <c r="AF1100" s="1294"/>
      <c r="AG1100" s="1294"/>
      <c r="AH1100" s="1294"/>
      <c r="AI1100" s="1294"/>
      <c r="AJ1100" s="1294"/>
      <c r="AK1100" s="1294"/>
      <c r="AL1100" s="1294"/>
      <c r="AM1100" s="1294"/>
      <c r="AN1100" s="1294"/>
      <c r="AO1100" s="1294"/>
      <c r="AP1100" s="1294"/>
      <c r="AQ1100" s="1294"/>
      <c r="AR1100" s="1294"/>
      <c r="AS1100" s="13"/>
    </row>
    <row r="1101" spans="1:45" ht="12.9" customHeight="1">
      <c r="A1101" s="1"/>
      <c r="B1101" s="1"/>
      <c r="C1101" s="1370"/>
      <c r="D1101" s="1370"/>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 customHeight="1">
      <c r="A1102" s="84"/>
      <c r="B1102" s="21"/>
      <c r="C1102" s="1370"/>
      <c r="D1102" s="1370"/>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 customHeight="1">
      <c r="A1103" s="1380" t="s">
        <v>820</v>
      </c>
      <c r="B1103" s="1380"/>
      <c r="C1103" s="1370">
        <v>8</v>
      </c>
      <c r="D1103" s="1370"/>
      <c r="E1103" s="1294" t="s">
        <v>1751</v>
      </c>
      <c r="F1103" s="1294"/>
      <c r="G1103" s="1294"/>
      <c r="H1103" s="1294"/>
      <c r="I1103" s="1294"/>
      <c r="J1103" s="1294"/>
      <c r="K1103" s="1294"/>
      <c r="L1103" s="1294"/>
      <c r="M1103" s="1294"/>
      <c r="N1103" s="1294"/>
      <c r="O1103" s="1294"/>
      <c r="P1103" s="1294"/>
      <c r="Q1103" s="1294"/>
      <c r="R1103" s="1294"/>
      <c r="S1103" s="1294"/>
      <c r="T1103" s="1294"/>
      <c r="U1103" s="1294"/>
      <c r="V1103" s="1294"/>
      <c r="W1103" s="1294"/>
      <c r="X1103" s="1294"/>
      <c r="Y1103" s="1294"/>
      <c r="Z1103" s="1294"/>
      <c r="AA1103" s="1294"/>
      <c r="AB1103" s="1294"/>
      <c r="AC1103" s="1294"/>
      <c r="AD1103" s="1294"/>
      <c r="AE1103" s="1294"/>
      <c r="AF1103" s="1294"/>
      <c r="AG1103" s="1294"/>
      <c r="AH1103" s="1294"/>
      <c r="AI1103" s="1294"/>
      <c r="AJ1103" s="1294"/>
      <c r="AK1103" s="1294"/>
      <c r="AL1103" s="1294"/>
      <c r="AM1103" s="1294"/>
      <c r="AN1103" s="1294"/>
      <c r="AO1103" s="1294"/>
      <c r="AP1103" s="1294"/>
      <c r="AQ1103" s="1294"/>
      <c r="AR1103" s="1294"/>
    </row>
    <row r="1104" spans="1:45" ht="12.9" customHeight="1">
      <c r="A1104" s="84"/>
      <c r="B1104" s="21"/>
      <c r="C1104" s="1370"/>
      <c r="D1104" s="1370"/>
      <c r="E1104" s="1294"/>
      <c r="F1104" s="1294"/>
      <c r="G1104" s="1294"/>
      <c r="H1104" s="1294"/>
      <c r="I1104" s="1294"/>
      <c r="J1104" s="1294"/>
      <c r="K1104" s="1294"/>
      <c r="L1104" s="1294"/>
      <c r="M1104" s="1294"/>
      <c r="N1104" s="1294"/>
      <c r="O1104" s="1294"/>
      <c r="P1104" s="1294"/>
      <c r="Q1104" s="1294"/>
      <c r="R1104" s="1294"/>
      <c r="S1104" s="1294"/>
      <c r="T1104" s="1294"/>
      <c r="U1104" s="1294"/>
      <c r="V1104" s="1294"/>
      <c r="W1104" s="1294"/>
      <c r="X1104" s="1294"/>
      <c r="Y1104" s="1294"/>
      <c r="Z1104" s="1294"/>
      <c r="AA1104" s="1294"/>
      <c r="AB1104" s="1294"/>
      <c r="AC1104" s="1294"/>
      <c r="AD1104" s="1294"/>
      <c r="AE1104" s="1294"/>
      <c r="AF1104" s="1294"/>
      <c r="AG1104" s="1294"/>
      <c r="AH1104" s="1294"/>
      <c r="AI1104" s="1294"/>
      <c r="AJ1104" s="1294"/>
      <c r="AK1104" s="1294"/>
      <c r="AL1104" s="1294"/>
      <c r="AM1104" s="1294"/>
      <c r="AN1104" s="1294"/>
      <c r="AO1104" s="1294"/>
      <c r="AP1104" s="1294"/>
      <c r="AQ1104" s="1294"/>
      <c r="AR1104" s="1294"/>
    </row>
    <row r="1105" spans="1:44" ht="12.9" customHeight="1">
      <c r="A1105" s="84"/>
      <c r="B1105" s="21"/>
      <c r="C1105" s="1370"/>
      <c r="D1105" s="1370"/>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 customHeight="1">
      <c r="A1106" s="1380" t="s">
        <v>820</v>
      </c>
      <c r="B1106" s="1380"/>
      <c r="C1106" s="1594">
        <v>9</v>
      </c>
      <c r="D1106" s="1594"/>
      <c r="E1106" s="1294" t="s">
        <v>1752</v>
      </c>
      <c r="F1106" s="1294"/>
      <c r="G1106" s="1294"/>
      <c r="H1106" s="1294"/>
      <c r="I1106" s="1294"/>
      <c r="J1106" s="1294"/>
      <c r="K1106" s="1294"/>
      <c r="L1106" s="1294"/>
      <c r="M1106" s="1294"/>
      <c r="N1106" s="1294"/>
      <c r="O1106" s="1294"/>
      <c r="P1106" s="1294"/>
      <c r="Q1106" s="1294"/>
      <c r="R1106" s="1294"/>
      <c r="S1106" s="1294"/>
      <c r="T1106" s="1294"/>
      <c r="U1106" s="1294"/>
      <c r="V1106" s="1294"/>
      <c r="W1106" s="1294"/>
      <c r="X1106" s="1294"/>
      <c r="Y1106" s="1294"/>
      <c r="Z1106" s="1294"/>
      <c r="AA1106" s="1294"/>
      <c r="AB1106" s="1294"/>
      <c r="AC1106" s="1294"/>
      <c r="AD1106" s="1294"/>
      <c r="AE1106" s="1294"/>
      <c r="AF1106" s="1294"/>
      <c r="AG1106" s="1294"/>
      <c r="AH1106" s="1294"/>
      <c r="AI1106" s="1294"/>
      <c r="AJ1106" s="1294"/>
      <c r="AK1106" s="1294"/>
      <c r="AL1106" s="1294"/>
      <c r="AM1106" s="1294"/>
      <c r="AN1106" s="1294"/>
      <c r="AO1106" s="1294"/>
      <c r="AP1106" s="1294"/>
      <c r="AQ1106" s="1294"/>
      <c r="AR1106" s="1294"/>
    </row>
    <row r="1107" spans="1:44" ht="12.9" customHeight="1">
      <c r="A1107" s="1"/>
      <c r="B1107" s="1"/>
      <c r="C1107" s="1594"/>
      <c r="D1107" s="1594"/>
      <c r="E1107" s="1294"/>
      <c r="F1107" s="1294"/>
      <c r="G1107" s="1294"/>
      <c r="H1107" s="1294"/>
      <c r="I1107" s="1294"/>
      <c r="J1107" s="1294"/>
      <c r="K1107" s="1294"/>
      <c r="L1107" s="1294"/>
      <c r="M1107" s="1294"/>
      <c r="N1107" s="1294"/>
      <c r="O1107" s="1294"/>
      <c r="P1107" s="1294"/>
      <c r="Q1107" s="1294"/>
      <c r="R1107" s="1294"/>
      <c r="S1107" s="1294"/>
      <c r="T1107" s="1294"/>
      <c r="U1107" s="1294"/>
      <c r="V1107" s="1294"/>
      <c r="W1107" s="1294"/>
      <c r="X1107" s="1294"/>
      <c r="Y1107" s="1294"/>
      <c r="Z1107" s="1294"/>
      <c r="AA1107" s="1294"/>
      <c r="AB1107" s="1294"/>
      <c r="AC1107" s="1294"/>
      <c r="AD1107" s="1294"/>
      <c r="AE1107" s="1294"/>
      <c r="AF1107" s="1294"/>
      <c r="AG1107" s="1294"/>
      <c r="AH1107" s="1294"/>
      <c r="AI1107" s="1294"/>
      <c r="AJ1107" s="1294"/>
      <c r="AK1107" s="1294"/>
      <c r="AL1107" s="1294"/>
      <c r="AM1107" s="1294"/>
      <c r="AN1107" s="1294"/>
      <c r="AO1107" s="1294"/>
      <c r="AP1107" s="1294"/>
      <c r="AQ1107" s="1294"/>
      <c r="AR1107" s="1294"/>
    </row>
    <row r="1108" spans="1:44" ht="12.9" customHeight="1">
      <c r="A1108" s="84"/>
      <c r="B1108" s="21"/>
      <c r="C1108" s="1594"/>
      <c r="D1108" s="1594"/>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 customHeight="1">
      <c r="A1109" s="1380" t="s">
        <v>820</v>
      </c>
      <c r="B1109" s="1380"/>
      <c r="C1109" s="1594">
        <v>10</v>
      </c>
      <c r="D1109" s="1594"/>
      <c r="E1109" s="1296" t="s">
        <v>1753</v>
      </c>
      <c r="F1109" s="1296"/>
      <c r="G1109" s="1296"/>
      <c r="H1109" s="1296"/>
      <c r="I1109" s="1296"/>
      <c r="J1109" s="1296"/>
      <c r="K1109" s="1296"/>
      <c r="L1109" s="1296"/>
      <c r="M1109" s="1296"/>
      <c r="N1109" s="1296"/>
      <c r="O1109" s="1296"/>
      <c r="P1109" s="1296"/>
      <c r="Q1109" s="1296"/>
      <c r="R1109" s="1296"/>
      <c r="S1109" s="1296"/>
      <c r="T1109" s="1296"/>
      <c r="U1109" s="1296"/>
      <c r="V1109" s="1296"/>
      <c r="W1109" s="1296"/>
      <c r="X1109" s="1296"/>
      <c r="Y1109" s="1296"/>
      <c r="Z1109" s="1296"/>
      <c r="AA1109" s="1296"/>
      <c r="AB1109" s="1296"/>
      <c r="AC1109" s="1296"/>
      <c r="AD1109" s="1296"/>
      <c r="AE1109" s="1296"/>
      <c r="AF1109" s="1296"/>
      <c r="AG1109" s="1296"/>
      <c r="AH1109" s="1296"/>
      <c r="AI1109" s="1296"/>
      <c r="AJ1109" s="1296"/>
      <c r="AK1109" s="1296"/>
      <c r="AL1109" s="1296"/>
      <c r="AM1109" s="1296"/>
      <c r="AN1109" s="1296"/>
      <c r="AO1109" s="1296"/>
      <c r="AP1109" s="1296"/>
      <c r="AQ1109" s="1296"/>
      <c r="AR1109" s="1296"/>
    </row>
    <row r="1110" spans="1:44" ht="12.9" customHeight="1">
      <c r="A1110" s="1"/>
      <c r="B1110" s="1"/>
      <c r="C1110" s="1207"/>
      <c r="D1110" s="1042"/>
      <c r="E1110" s="1296"/>
      <c r="F1110" s="1296"/>
      <c r="G1110" s="1296"/>
      <c r="H1110" s="1296"/>
      <c r="I1110" s="1296"/>
      <c r="J1110" s="1296"/>
      <c r="K1110" s="1296"/>
      <c r="L1110" s="1296"/>
      <c r="M1110" s="1296"/>
      <c r="N1110" s="1296"/>
      <c r="O1110" s="1296"/>
      <c r="P1110" s="1296"/>
      <c r="Q1110" s="1296"/>
      <c r="R1110" s="1296"/>
      <c r="S1110" s="1296"/>
      <c r="T1110" s="1296"/>
      <c r="U1110" s="1296"/>
      <c r="V1110" s="1296"/>
      <c r="W1110" s="1296"/>
      <c r="X1110" s="1296"/>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row>
    <row r="1111" spans="1:44" ht="12.9" customHeight="1">
      <c r="A1111" s="1"/>
      <c r="B1111" s="1"/>
      <c r="C1111" s="1207"/>
      <c r="D1111" s="1042"/>
      <c r="E1111" s="1042"/>
      <c r="F1111" s="1042"/>
      <c r="G1111" s="1042"/>
      <c r="H1111" s="1042"/>
      <c r="I1111" s="1042"/>
      <c r="J1111" s="1042"/>
      <c r="K1111" s="1042"/>
      <c r="L1111" s="1042"/>
      <c r="M1111" s="1042"/>
      <c r="N1111" s="1042"/>
      <c r="O1111" s="1042"/>
      <c r="P1111" s="1042"/>
      <c r="Q1111" s="1042"/>
      <c r="R1111" s="1042"/>
      <c r="S1111" s="1042"/>
      <c r="T1111" s="1042"/>
      <c r="U1111" s="1042"/>
      <c r="V1111" s="1042"/>
      <c r="W1111" s="1042"/>
      <c r="X1111" s="1042"/>
      <c r="Y1111" s="1042"/>
      <c r="Z1111" s="1042"/>
      <c r="AA1111" s="1042"/>
      <c r="AB1111" s="1042"/>
      <c r="AC1111" s="1042"/>
      <c r="AD1111" s="1042"/>
      <c r="AE1111" s="1042"/>
      <c r="AF1111" s="1042"/>
      <c r="AG1111" s="1042"/>
      <c r="AH1111" s="1042"/>
      <c r="AI1111" s="1042"/>
      <c r="AJ1111" s="1042"/>
      <c r="AK1111" s="1042"/>
    </row>
    <row r="1112" spans="1:44" ht="12.9" customHeight="1">
      <c r="A1112" s="1380" t="s">
        <v>820</v>
      </c>
      <c r="B1112" s="1380"/>
      <c r="C1112" s="1594">
        <v>11</v>
      </c>
      <c r="D1112" s="1594"/>
      <c r="E1112" s="1296" t="s">
        <v>1754</v>
      </c>
      <c r="F1112" s="1296"/>
      <c r="G1112" s="1296"/>
      <c r="H1112" s="1296"/>
      <c r="I1112" s="1296"/>
      <c r="J1112" s="1296"/>
      <c r="K1112" s="1296"/>
      <c r="L1112" s="1296"/>
      <c r="M1112" s="1296"/>
      <c r="N1112" s="1296"/>
      <c r="O1112" s="1296"/>
      <c r="P1112" s="1296"/>
      <c r="Q1112" s="1296"/>
      <c r="R1112" s="1296"/>
      <c r="S1112" s="1296"/>
      <c r="T1112" s="1296"/>
      <c r="U1112" s="1296"/>
      <c r="V1112" s="1296"/>
      <c r="W1112" s="1296"/>
      <c r="X1112" s="1296"/>
      <c r="Y1112" s="1296"/>
      <c r="Z1112" s="1296"/>
      <c r="AA1112" s="1296"/>
      <c r="AB1112" s="1296"/>
      <c r="AC1112" s="1296"/>
      <c r="AD1112" s="1296"/>
      <c r="AE1112" s="1296"/>
      <c r="AF1112" s="1296"/>
      <c r="AG1112" s="1296"/>
      <c r="AH1112" s="1296"/>
      <c r="AI1112" s="1296"/>
      <c r="AJ1112" s="1296"/>
      <c r="AK1112" s="1296"/>
      <c r="AL1112" s="1296"/>
      <c r="AM1112" s="1296"/>
      <c r="AN1112" s="1296"/>
      <c r="AO1112" s="1296"/>
      <c r="AP1112" s="1296"/>
      <c r="AQ1112" s="1296"/>
      <c r="AR1112" s="1296"/>
    </row>
    <row r="1113" spans="1:44" ht="12.9" customHeight="1">
      <c r="A1113" s="1"/>
      <c r="B1113" s="1"/>
      <c r="C1113" s="1207"/>
      <c r="D1113" s="1042"/>
      <c r="E1113" s="1296"/>
      <c r="F1113" s="1296"/>
      <c r="G1113" s="1296"/>
      <c r="H1113" s="1296"/>
      <c r="I1113" s="1296"/>
      <c r="J1113" s="1296"/>
      <c r="K1113" s="1296"/>
      <c r="L1113" s="1296"/>
      <c r="M1113" s="1296"/>
      <c r="N1113" s="1296"/>
      <c r="O1113" s="1296"/>
      <c r="P1113" s="1296"/>
      <c r="Q1113" s="1296"/>
      <c r="R1113" s="1296"/>
      <c r="S1113" s="1296"/>
      <c r="T1113" s="1296"/>
      <c r="U1113" s="1296"/>
      <c r="V1113" s="1296"/>
      <c r="W1113" s="1296"/>
      <c r="X1113" s="1296"/>
      <c r="Y1113" s="1296"/>
      <c r="Z1113" s="1296"/>
      <c r="AA1113" s="1296"/>
      <c r="AB1113" s="1296"/>
      <c r="AC1113" s="1296"/>
      <c r="AD1113" s="1296"/>
      <c r="AE1113" s="1296"/>
      <c r="AF1113" s="1296"/>
      <c r="AG1113" s="1296"/>
      <c r="AH1113" s="1296"/>
      <c r="AI1113" s="1296"/>
      <c r="AJ1113" s="1296"/>
      <c r="AK1113" s="1296"/>
      <c r="AL1113" s="1296"/>
      <c r="AM1113" s="1296"/>
      <c r="AN1113" s="1296"/>
      <c r="AO1113" s="1296"/>
      <c r="AP1113" s="1296"/>
      <c r="AQ1113" s="1296"/>
      <c r="AR1113" s="1296"/>
    </row>
    <row r="1114" spans="1:44" ht="12.9" customHeight="1">
      <c r="A1114" s="1"/>
      <c r="B1114" s="1"/>
      <c r="C1114" s="1207"/>
      <c r="D1114" s="1042"/>
      <c r="E1114" s="1042"/>
      <c r="F1114" s="1042"/>
      <c r="G1114" s="1042"/>
      <c r="H1114" s="1042"/>
      <c r="I1114" s="1042"/>
      <c r="J1114" s="1042"/>
      <c r="K1114" s="1042"/>
      <c r="L1114" s="1042"/>
      <c r="M1114" s="1042"/>
      <c r="N1114" s="1042"/>
      <c r="O1114" s="1042"/>
      <c r="P1114" s="1042"/>
      <c r="Q1114" s="1042"/>
      <c r="R1114" s="1042"/>
      <c r="S1114" s="1042"/>
      <c r="T1114" s="1042"/>
      <c r="U1114" s="1042"/>
      <c r="V1114" s="1042"/>
      <c r="W1114" s="1042"/>
      <c r="X1114" s="1042"/>
      <c r="Y1114" s="1042"/>
      <c r="Z1114" s="1042"/>
      <c r="AA1114" s="1042"/>
      <c r="AB1114" s="1042"/>
      <c r="AC1114" s="1042"/>
      <c r="AD1114" s="1042"/>
      <c r="AE1114" s="1042"/>
      <c r="AF1114" s="1042"/>
      <c r="AG1114" s="1042"/>
      <c r="AH1114" s="1042"/>
      <c r="AI1114" s="1042"/>
      <c r="AJ1114" s="1042"/>
      <c r="AK1114" s="1042"/>
    </row>
    <row r="1115" spans="1:44" ht="12.9" hidden="1" customHeight="1">
      <c r="A1115" s="1"/>
      <c r="B1115" s="1"/>
      <c r="C1115" s="1207"/>
      <c r="D1115" s="1042"/>
      <c r="E1115" s="1042"/>
      <c r="F1115" s="1042"/>
      <c r="G1115" s="1042"/>
      <c r="H1115" s="1042"/>
      <c r="I1115" s="1042"/>
      <c r="J1115" s="1042"/>
      <c r="K1115" s="1042"/>
      <c r="L1115" s="1042"/>
      <c r="M1115" s="1042"/>
      <c r="N1115" s="1042"/>
      <c r="O1115" s="1042"/>
      <c r="P1115" s="1042"/>
      <c r="Q1115" s="1042"/>
      <c r="R1115" s="1042"/>
      <c r="S1115" s="1042"/>
      <c r="T1115" s="1042"/>
      <c r="U1115" s="1042"/>
      <c r="V1115" s="1042"/>
      <c r="W1115" s="1042"/>
      <c r="X1115" s="1042"/>
      <c r="Y1115" s="1042"/>
      <c r="Z1115" s="1042"/>
      <c r="AA1115" s="1042"/>
      <c r="AB1115" s="1042"/>
      <c r="AC1115" s="1042"/>
      <c r="AD1115" s="1042"/>
      <c r="AE1115" s="1042"/>
      <c r="AF1115" s="1042"/>
      <c r="AG1115" s="1042"/>
      <c r="AH1115" s="1042"/>
      <c r="AI1115" s="1042"/>
      <c r="AJ1115" s="1042"/>
      <c r="AK1115" s="1042"/>
    </row>
    <row r="1116" spans="1:44" ht="12.9" hidden="1" customHeight="1">
      <c r="A1116" s="1"/>
      <c r="B1116" s="1"/>
      <c r="C1116" s="1207"/>
      <c r="D1116" s="1042"/>
      <c r="E1116" s="1042"/>
      <c r="F1116" s="1042"/>
      <c r="G1116" s="1042"/>
      <c r="H1116" s="1042"/>
      <c r="I1116" s="1042"/>
      <c r="J1116" s="1042"/>
      <c r="K1116" s="1042"/>
      <c r="L1116" s="1042"/>
      <c r="M1116" s="1042"/>
      <c r="N1116" s="1042"/>
      <c r="O1116" s="1042"/>
      <c r="P1116" s="1042"/>
      <c r="Q1116" s="1042"/>
      <c r="R1116" s="1042"/>
      <c r="S1116" s="1042"/>
      <c r="T1116" s="1042"/>
      <c r="U1116" s="1042"/>
      <c r="V1116" s="1042"/>
      <c r="W1116" s="1042"/>
      <c r="X1116" s="1042"/>
      <c r="Y1116" s="1042"/>
      <c r="Z1116" s="1042"/>
      <c r="AA1116" s="1042"/>
      <c r="AB1116" s="1042"/>
      <c r="AC1116" s="1042"/>
      <c r="AD1116" s="1042"/>
      <c r="AE1116" s="1042"/>
      <c r="AF1116" s="1042"/>
      <c r="AG1116" s="1042"/>
      <c r="AH1116" s="1042"/>
      <c r="AI1116" s="1042"/>
      <c r="AJ1116" s="1042"/>
      <c r="AK1116" s="1042"/>
    </row>
    <row r="1117" spans="1:44" ht="12.9" hidden="1" customHeight="1">
      <c r="A1117" s="1"/>
      <c r="B1117" s="1"/>
      <c r="C1117" s="1207"/>
      <c r="D1117" s="1042"/>
      <c r="E1117" s="1042"/>
      <c r="F1117" s="1042"/>
      <c r="G1117" s="1042"/>
      <c r="H1117" s="1042"/>
      <c r="I1117" s="1042"/>
      <c r="J1117" s="1042"/>
      <c r="K1117" s="1042"/>
      <c r="L1117" s="1042"/>
      <c r="M1117" s="1042"/>
      <c r="N1117" s="1042"/>
      <c r="O1117" s="1042"/>
      <c r="P1117" s="1042"/>
      <c r="Q1117" s="1042"/>
      <c r="R1117" s="1042"/>
      <c r="S1117" s="1042"/>
      <c r="T1117" s="1042"/>
      <c r="U1117" s="1042"/>
      <c r="V1117" s="1042"/>
      <c r="W1117" s="1042"/>
      <c r="X1117" s="1042"/>
      <c r="Y1117" s="1042"/>
      <c r="Z1117" s="1042"/>
      <c r="AA1117" s="1042"/>
      <c r="AB1117" s="1042"/>
      <c r="AC1117" s="1042"/>
      <c r="AD1117" s="1042"/>
      <c r="AE1117" s="1042"/>
      <c r="AF1117" s="1042"/>
      <c r="AG1117" s="1042"/>
      <c r="AH1117" s="1042"/>
      <c r="AI1117" s="1042"/>
      <c r="AJ1117" s="1042"/>
      <c r="AK1117" s="1042"/>
    </row>
    <row r="1118" spans="1:44" ht="12.9" hidden="1" customHeight="1">
      <c r="A1118" s="1"/>
      <c r="B1118" s="1"/>
      <c r="C1118" s="1207"/>
      <c r="D1118" s="1042"/>
      <c r="E1118" s="1042"/>
      <c r="F1118" s="1042"/>
      <c r="G1118" s="1042"/>
      <c r="H1118" s="1042"/>
      <c r="I1118" s="1042"/>
      <c r="J1118" s="1042"/>
      <c r="K1118" s="1042"/>
      <c r="L1118" s="1042"/>
      <c r="M1118" s="1042"/>
      <c r="N1118" s="1042"/>
      <c r="O1118" s="1042"/>
      <c r="P1118" s="1042"/>
      <c r="Q1118" s="1042"/>
      <c r="R1118" s="1042"/>
      <c r="S1118" s="1042"/>
      <c r="T1118" s="1042"/>
      <c r="U1118" s="1042"/>
      <c r="V1118" s="1042"/>
      <c r="W1118" s="1042"/>
      <c r="X1118" s="1042"/>
      <c r="Y1118" s="1042"/>
      <c r="Z1118" s="1042"/>
      <c r="AA1118" s="1042"/>
      <c r="AB1118" s="1042"/>
      <c r="AC1118" s="1042"/>
      <c r="AD1118" s="1042"/>
      <c r="AE1118" s="1042"/>
      <c r="AF1118" s="1042"/>
      <c r="AG1118" s="1042"/>
      <c r="AH1118" s="1042"/>
      <c r="AI1118" s="1042"/>
      <c r="AJ1118" s="1042"/>
      <c r="AK1118" s="1042"/>
    </row>
    <row r="1119" spans="1:44" ht="12.9" hidden="1" customHeight="1">
      <c r="A1119" s="1"/>
      <c r="B1119" s="1"/>
      <c r="C1119" s="1207"/>
      <c r="D1119" s="1042"/>
      <c r="E1119" s="1042"/>
      <c r="F1119" s="1042"/>
      <c r="G1119" s="1042"/>
      <c r="H1119" s="1042"/>
      <c r="I1119" s="1042"/>
      <c r="J1119" s="1042"/>
      <c r="K1119" s="1042"/>
      <c r="L1119" s="1042"/>
      <c r="M1119" s="1042"/>
      <c r="N1119" s="1042"/>
      <c r="O1119" s="1042"/>
      <c r="P1119" s="1042"/>
      <c r="Q1119" s="1042"/>
      <c r="R1119" s="1042"/>
      <c r="S1119" s="1042"/>
      <c r="T1119" s="1042"/>
      <c r="U1119" s="1042"/>
      <c r="V1119" s="1042"/>
      <c r="W1119" s="1042"/>
      <c r="X1119" s="1042"/>
      <c r="Y1119" s="1042"/>
      <c r="Z1119" s="1042"/>
      <c r="AA1119" s="1042"/>
      <c r="AB1119" s="1042"/>
      <c r="AC1119" s="1042"/>
      <c r="AD1119" s="1042"/>
      <c r="AE1119" s="1042"/>
      <c r="AF1119" s="1042"/>
      <c r="AG1119" s="1042"/>
      <c r="AH1119" s="1042"/>
      <c r="AI1119" s="1042"/>
      <c r="AJ1119" s="1042"/>
      <c r="AK1119" s="1042"/>
    </row>
    <row r="1120" spans="1:44" ht="12.9" hidden="1" customHeight="1">
      <c r="A1120" s="1"/>
      <c r="B1120" s="1"/>
      <c r="C1120" s="1207"/>
      <c r="D1120" s="1042"/>
      <c r="E1120" s="1042"/>
      <c r="F1120" s="1042"/>
      <c r="G1120" s="1042"/>
      <c r="H1120" s="1042"/>
      <c r="I1120" s="1042"/>
      <c r="J1120" s="1042"/>
      <c r="K1120" s="1042"/>
      <c r="L1120" s="1042"/>
      <c r="M1120" s="1042"/>
      <c r="N1120" s="1042"/>
      <c r="O1120" s="1042"/>
      <c r="P1120" s="1042"/>
      <c r="Q1120" s="1042"/>
      <c r="R1120" s="1042"/>
      <c r="S1120" s="1042"/>
      <c r="T1120" s="1042"/>
      <c r="U1120" s="1042"/>
      <c r="V1120" s="1042"/>
      <c r="W1120" s="1042"/>
      <c r="X1120" s="1042"/>
      <c r="Y1120" s="1042"/>
      <c r="Z1120" s="1042"/>
      <c r="AA1120" s="1042"/>
      <c r="AB1120" s="1042"/>
      <c r="AC1120" s="1042"/>
      <c r="AD1120" s="1042"/>
      <c r="AE1120" s="1042"/>
      <c r="AF1120" s="1042"/>
      <c r="AG1120" s="1042"/>
      <c r="AH1120" s="1042"/>
      <c r="AI1120" s="1042"/>
      <c r="AJ1120" s="1042"/>
      <c r="AK1120" s="1042"/>
    </row>
    <row r="1121" spans="1:37" ht="12.9" hidden="1" customHeight="1">
      <c r="A1121" s="1"/>
      <c r="B1121" s="1"/>
      <c r="C1121" s="1207"/>
      <c r="D1121" s="1042"/>
      <c r="E1121" s="1042"/>
      <c r="F1121" s="1042"/>
      <c r="G1121" s="1042"/>
      <c r="H1121" s="1042"/>
      <c r="I1121" s="1042"/>
      <c r="J1121" s="1042"/>
      <c r="K1121" s="1042"/>
      <c r="L1121" s="1042"/>
      <c r="M1121" s="1042"/>
      <c r="N1121" s="1042"/>
      <c r="O1121" s="1042"/>
      <c r="P1121" s="1042"/>
      <c r="Q1121" s="1042"/>
      <c r="R1121" s="1042"/>
      <c r="S1121" s="1042"/>
      <c r="T1121" s="1042"/>
      <c r="U1121" s="1042"/>
      <c r="V1121" s="1042"/>
      <c r="W1121" s="1042"/>
      <c r="X1121" s="1042"/>
      <c r="Y1121" s="1042"/>
      <c r="Z1121" s="1042"/>
      <c r="AA1121" s="1042"/>
      <c r="AB1121" s="1042"/>
      <c r="AC1121" s="1042"/>
      <c r="AD1121" s="1042"/>
      <c r="AE1121" s="1042"/>
      <c r="AF1121" s="1042"/>
      <c r="AG1121" s="1042"/>
      <c r="AH1121" s="1042"/>
      <c r="AI1121" s="1042"/>
      <c r="AJ1121" s="1042"/>
      <c r="AK1121" s="1042"/>
    </row>
    <row r="1122" spans="1:37" ht="12.9" hidden="1" customHeight="1">
      <c r="A1122" s="1"/>
      <c r="B1122" s="1"/>
      <c r="C1122" s="1207"/>
      <c r="D1122" s="1042"/>
      <c r="E1122" s="1042"/>
      <c r="F1122" s="1042"/>
      <c r="G1122" s="1042"/>
      <c r="H1122" s="1042"/>
      <c r="I1122" s="1042"/>
      <c r="J1122" s="1042"/>
      <c r="K1122" s="1042"/>
      <c r="L1122" s="1042"/>
      <c r="M1122" s="1042"/>
      <c r="N1122" s="1042"/>
      <c r="O1122" s="1042"/>
      <c r="P1122" s="1042"/>
      <c r="Q1122" s="1042"/>
      <c r="R1122" s="1042"/>
      <c r="S1122" s="1042"/>
      <c r="T1122" s="1042"/>
      <c r="U1122" s="1042"/>
      <c r="V1122" s="1042"/>
      <c r="W1122" s="1042"/>
      <c r="X1122" s="1042"/>
      <c r="Y1122" s="1042"/>
      <c r="Z1122" s="1042"/>
      <c r="AA1122" s="1042"/>
      <c r="AB1122" s="1042"/>
      <c r="AC1122" s="1042"/>
      <c r="AD1122" s="1042"/>
      <c r="AE1122" s="1042"/>
      <c r="AF1122" s="1042"/>
      <c r="AG1122" s="1042"/>
      <c r="AH1122" s="1042"/>
      <c r="AI1122" s="1042"/>
      <c r="AJ1122" s="1042"/>
      <c r="AK1122" s="1042"/>
    </row>
    <row r="1123" spans="1:37" ht="12.9" hidden="1" customHeight="1">
      <c r="A1123" s="1"/>
      <c r="B1123" s="1"/>
      <c r="C1123" s="1207"/>
      <c r="D1123" s="1042"/>
      <c r="E1123" s="1042"/>
      <c r="F1123" s="1042"/>
      <c r="G1123" s="1042"/>
      <c r="H1123" s="1042"/>
      <c r="I1123" s="1042"/>
      <c r="J1123" s="1042"/>
      <c r="K1123" s="1042"/>
      <c r="L1123" s="1042"/>
      <c r="M1123" s="1042"/>
      <c r="N1123" s="1042"/>
      <c r="O1123" s="1042"/>
      <c r="P1123" s="1042"/>
      <c r="Q1123" s="1042"/>
      <c r="R1123" s="1042"/>
      <c r="S1123" s="1042"/>
      <c r="T1123" s="1042"/>
      <c r="U1123" s="1042"/>
      <c r="V1123" s="1042"/>
      <c r="W1123" s="1042"/>
      <c r="X1123" s="1042"/>
      <c r="Y1123" s="1042"/>
      <c r="Z1123" s="1042"/>
      <c r="AA1123" s="1042"/>
      <c r="AB1123" s="1042"/>
      <c r="AC1123" s="1042"/>
      <c r="AD1123" s="1042"/>
      <c r="AE1123" s="1042"/>
      <c r="AF1123" s="1042"/>
      <c r="AG1123" s="1042"/>
      <c r="AH1123" s="1042"/>
      <c r="AI1123" s="1042"/>
      <c r="AJ1123" s="1042"/>
      <c r="AK1123" s="1042"/>
    </row>
    <row r="1124" spans="1:37" ht="12.9" hidden="1" customHeight="1">
      <c r="A1124" s="1"/>
      <c r="B1124" s="1"/>
      <c r="C1124" s="1207"/>
      <c r="D1124" s="1042"/>
      <c r="E1124" s="1042"/>
      <c r="F1124" s="1042"/>
      <c r="G1124" s="1042"/>
      <c r="H1124" s="1042"/>
      <c r="I1124" s="1042"/>
      <c r="J1124" s="1042"/>
      <c r="K1124" s="1042"/>
      <c r="L1124" s="1042"/>
      <c r="M1124" s="1042"/>
      <c r="N1124" s="1042"/>
      <c r="O1124" s="1042"/>
      <c r="P1124" s="1042"/>
      <c r="Q1124" s="1042"/>
      <c r="R1124" s="1042"/>
      <c r="S1124" s="1042"/>
      <c r="T1124" s="1042"/>
      <c r="U1124" s="1042"/>
      <c r="V1124" s="1042"/>
      <c r="W1124" s="1042"/>
      <c r="X1124" s="1042"/>
      <c r="Y1124" s="1042"/>
      <c r="Z1124" s="1042"/>
      <c r="AA1124" s="1042"/>
      <c r="AB1124" s="1042"/>
      <c r="AC1124" s="1042"/>
      <c r="AD1124" s="1042"/>
      <c r="AE1124" s="1042"/>
      <c r="AF1124" s="1042"/>
      <c r="AG1124" s="1042"/>
      <c r="AH1124" s="1042"/>
      <c r="AI1124" s="1042"/>
      <c r="AJ1124" s="1042"/>
      <c r="AK1124" s="1042"/>
    </row>
    <row r="1125" spans="1:37" ht="12.9" hidden="1" customHeight="1">
      <c r="A1125" s="1"/>
      <c r="B1125" s="1"/>
      <c r="C1125" s="1207"/>
      <c r="D1125" s="1042"/>
      <c r="E1125" s="1042"/>
      <c r="F1125" s="1042"/>
      <c r="G1125" s="1042"/>
      <c r="H1125" s="1042"/>
      <c r="I1125" s="1042"/>
      <c r="J1125" s="1042"/>
      <c r="K1125" s="1042"/>
      <c r="L1125" s="1042"/>
      <c r="M1125" s="1042"/>
      <c r="N1125" s="1042"/>
      <c r="O1125" s="1042"/>
      <c r="P1125" s="1042"/>
      <c r="Q1125" s="1042"/>
      <c r="R1125" s="1042"/>
      <c r="S1125" s="1042"/>
      <c r="T1125" s="1042"/>
      <c r="U1125" s="1042"/>
      <c r="V1125" s="1042"/>
      <c r="W1125" s="1042"/>
      <c r="X1125" s="1042"/>
      <c r="Y1125" s="1042"/>
      <c r="Z1125" s="1042"/>
      <c r="AA1125" s="1042"/>
      <c r="AB1125" s="1042"/>
      <c r="AC1125" s="1042"/>
      <c r="AD1125" s="1042"/>
      <c r="AE1125" s="1042"/>
      <c r="AF1125" s="1042"/>
      <c r="AG1125" s="1042"/>
      <c r="AH1125" s="1042"/>
      <c r="AI1125" s="1042"/>
      <c r="AJ1125" s="1042"/>
      <c r="AK1125" s="1042"/>
    </row>
    <row r="1126" spans="1:37" ht="12.9" hidden="1" customHeight="1">
      <c r="A1126" s="1"/>
      <c r="B1126" s="1"/>
      <c r="C1126" s="1207"/>
      <c r="D1126" s="1042"/>
      <c r="E1126" s="1042"/>
      <c r="F1126" s="1042"/>
      <c r="G1126" s="1042"/>
      <c r="H1126" s="1042"/>
      <c r="I1126" s="1042"/>
      <c r="J1126" s="1042"/>
      <c r="K1126" s="1042"/>
      <c r="L1126" s="1042"/>
      <c r="M1126" s="1042"/>
      <c r="N1126" s="1042"/>
      <c r="O1126" s="1042"/>
      <c r="P1126" s="1042"/>
      <c r="Q1126" s="1042"/>
      <c r="R1126" s="1042"/>
      <c r="S1126" s="1042"/>
      <c r="T1126" s="1042"/>
      <c r="U1126" s="1042"/>
      <c r="V1126" s="1042"/>
      <c r="W1126" s="1042"/>
      <c r="X1126" s="1042"/>
      <c r="Y1126" s="1042"/>
      <c r="Z1126" s="1042"/>
      <c r="AA1126" s="1042"/>
      <c r="AB1126" s="1042"/>
      <c r="AC1126" s="1042"/>
      <c r="AD1126" s="1042"/>
      <c r="AE1126" s="1042"/>
      <c r="AF1126" s="1042"/>
      <c r="AG1126" s="1042"/>
      <c r="AH1126" s="1042"/>
      <c r="AI1126" s="1042"/>
      <c r="AJ1126" s="1042"/>
      <c r="AK1126" s="1042"/>
    </row>
    <row r="1127" spans="1:37" ht="12.9" hidden="1" customHeight="1">
      <c r="A1127" s="1"/>
      <c r="B1127" s="1"/>
      <c r="C1127" s="1207"/>
      <c r="D1127" s="1042"/>
      <c r="E1127" s="1042"/>
      <c r="F1127" s="1042"/>
      <c r="G1127" s="1042"/>
      <c r="H1127" s="1042"/>
      <c r="I1127" s="1042"/>
      <c r="J1127" s="1042"/>
      <c r="K1127" s="1042"/>
      <c r="L1127" s="1042"/>
      <c r="M1127" s="1042"/>
      <c r="N1127" s="1042"/>
      <c r="O1127" s="1042"/>
      <c r="P1127" s="1042"/>
      <c r="Q1127" s="1042"/>
      <c r="R1127" s="1042"/>
      <c r="S1127" s="1042"/>
      <c r="T1127" s="1042"/>
      <c r="U1127" s="1042"/>
      <c r="V1127" s="1042"/>
      <c r="W1127" s="1042"/>
      <c r="X1127" s="1042"/>
      <c r="Y1127" s="1042"/>
      <c r="Z1127" s="1042"/>
      <c r="AA1127" s="1042"/>
      <c r="AB1127" s="1042"/>
      <c r="AC1127" s="1042"/>
      <c r="AD1127" s="1042"/>
      <c r="AE1127" s="1042"/>
      <c r="AF1127" s="1042"/>
      <c r="AG1127" s="1042"/>
      <c r="AH1127" s="1042"/>
      <c r="AI1127" s="1042"/>
      <c r="AJ1127" s="1042"/>
      <c r="AK1127" s="1042"/>
    </row>
    <row r="1128" spans="1:37" ht="12.9" hidden="1" customHeight="1">
      <c r="A1128" s="1"/>
      <c r="B1128" s="1"/>
      <c r="C1128" s="1207"/>
      <c r="D1128" s="1042"/>
      <c r="E1128" s="1042"/>
      <c r="F1128" s="1042"/>
      <c r="G1128" s="1042"/>
      <c r="H1128" s="1042"/>
      <c r="I1128" s="1042"/>
      <c r="J1128" s="1042"/>
      <c r="K1128" s="1042"/>
      <c r="L1128" s="1042"/>
      <c r="M1128" s="1042"/>
      <c r="N1128" s="1042"/>
      <c r="O1128" s="1042"/>
      <c r="P1128" s="1042"/>
      <c r="Q1128" s="1042"/>
      <c r="R1128" s="1042"/>
      <c r="S1128" s="1042"/>
      <c r="T1128" s="1042"/>
      <c r="U1128" s="1042"/>
      <c r="V1128" s="1042"/>
      <c r="W1128" s="1042"/>
      <c r="X1128" s="1042"/>
      <c r="Y1128" s="1042"/>
      <c r="Z1128" s="1042"/>
      <c r="AA1128" s="1042"/>
      <c r="AB1128" s="1042"/>
      <c r="AC1128" s="1042"/>
      <c r="AD1128" s="1042"/>
      <c r="AE1128" s="1042"/>
      <c r="AF1128" s="1042"/>
      <c r="AG1128" s="1042"/>
      <c r="AH1128" s="1042"/>
      <c r="AI1128" s="1042"/>
      <c r="AJ1128" s="1042"/>
      <c r="AK1128" s="1042"/>
    </row>
    <row r="1129" spans="1:37" ht="12.9" hidden="1" customHeight="1">
      <c r="A1129" s="1"/>
      <c r="B1129" s="1"/>
      <c r="C1129" s="1207"/>
      <c r="D1129" s="1042"/>
      <c r="E1129" s="1042"/>
      <c r="F1129" s="1042"/>
      <c r="G1129" s="1042"/>
      <c r="H1129" s="1042"/>
      <c r="I1129" s="1042"/>
      <c r="J1129" s="1042"/>
      <c r="K1129" s="1042"/>
      <c r="L1129" s="1042"/>
      <c r="M1129" s="1042"/>
      <c r="N1129" s="1042"/>
      <c r="O1129" s="1042"/>
      <c r="P1129" s="1042"/>
      <c r="Q1129" s="1042"/>
      <c r="R1129" s="1042"/>
      <c r="S1129" s="1042"/>
      <c r="T1129" s="1042"/>
      <c r="U1129" s="1042"/>
      <c r="V1129" s="1042"/>
      <c r="W1129" s="1042"/>
      <c r="X1129" s="1042"/>
      <c r="Y1129" s="1042"/>
      <c r="Z1129" s="1042"/>
      <c r="AA1129" s="1042"/>
      <c r="AB1129" s="1042"/>
      <c r="AC1129" s="1042"/>
      <c r="AD1129" s="1042"/>
      <c r="AE1129" s="1042"/>
      <c r="AF1129" s="1042"/>
      <c r="AG1129" s="1042"/>
      <c r="AH1129" s="1042"/>
      <c r="AI1129" s="1042"/>
      <c r="AJ1129" s="1042"/>
      <c r="AK1129" s="1042"/>
    </row>
    <row r="1130" spans="1:37" ht="12.9" hidden="1" customHeight="1">
      <c r="A1130" s="1"/>
      <c r="B1130" s="1"/>
      <c r="C1130" s="1207"/>
      <c r="D1130" s="1042"/>
      <c r="E1130" s="1042"/>
      <c r="F1130" s="1042"/>
      <c r="G1130" s="1042"/>
      <c r="H1130" s="1042"/>
      <c r="I1130" s="1042"/>
      <c r="J1130" s="1042"/>
      <c r="K1130" s="1042"/>
      <c r="L1130" s="1042"/>
      <c r="M1130" s="1042"/>
      <c r="N1130" s="1042"/>
      <c r="O1130" s="1042"/>
      <c r="P1130" s="1042"/>
      <c r="Q1130" s="1042"/>
      <c r="R1130" s="1042"/>
      <c r="S1130" s="1042"/>
      <c r="T1130" s="1042"/>
      <c r="U1130" s="1042"/>
      <c r="V1130" s="1042"/>
      <c r="W1130" s="1042"/>
      <c r="X1130" s="1042"/>
      <c r="Y1130" s="1042"/>
      <c r="Z1130" s="1042"/>
      <c r="AA1130" s="1042"/>
      <c r="AB1130" s="1042"/>
      <c r="AC1130" s="1042"/>
      <c r="AD1130" s="1042"/>
      <c r="AE1130" s="1042"/>
      <c r="AF1130" s="1042"/>
      <c r="AG1130" s="1042"/>
      <c r="AH1130" s="1042"/>
      <c r="AI1130" s="1042"/>
      <c r="AJ1130" s="1042"/>
      <c r="AK1130" s="1042"/>
    </row>
    <row r="1131" spans="1:37" ht="12.9" hidden="1" customHeight="1">
      <c r="A1131" s="1"/>
      <c r="B1131" s="1"/>
      <c r="C1131" s="1207"/>
      <c r="D1131" s="1042"/>
      <c r="E1131" s="1042"/>
      <c r="F1131" s="1042"/>
      <c r="G1131" s="1042"/>
      <c r="H1131" s="1042"/>
      <c r="I1131" s="1042"/>
      <c r="J1131" s="1042"/>
      <c r="K1131" s="1042"/>
      <c r="L1131" s="1042"/>
      <c r="M1131" s="1042"/>
      <c r="N1131" s="1042"/>
      <c r="O1131" s="1042"/>
      <c r="P1131" s="1042"/>
      <c r="Q1131" s="1042"/>
      <c r="R1131" s="1042"/>
      <c r="S1131" s="1042"/>
      <c r="T1131" s="1042"/>
      <c r="U1131" s="1042"/>
      <c r="V1131" s="1042"/>
      <c r="W1131" s="1042"/>
      <c r="X1131" s="1042"/>
      <c r="Y1131" s="1042"/>
      <c r="Z1131" s="1042"/>
      <c r="AA1131" s="1042"/>
      <c r="AB1131" s="1042"/>
      <c r="AC1131" s="1042"/>
      <c r="AD1131" s="1042"/>
      <c r="AE1131" s="1042"/>
      <c r="AF1131" s="1042"/>
      <c r="AG1131" s="1042"/>
      <c r="AH1131" s="1042"/>
      <c r="AI1131" s="1042"/>
      <c r="AJ1131" s="1042"/>
      <c r="AK1131" s="1042"/>
    </row>
    <row r="1132" spans="1:37" ht="0" hidden="1" customHeight="1">
      <c r="A1132" s="1"/>
      <c r="B1132" s="1"/>
      <c r="C1132" s="1207"/>
      <c r="D1132" s="1042"/>
      <c r="E1132" s="1042"/>
      <c r="F1132" s="1042"/>
      <c r="G1132" s="1042"/>
      <c r="H1132" s="1042"/>
      <c r="I1132" s="1042"/>
      <c r="J1132" s="1042"/>
      <c r="K1132" s="1042"/>
      <c r="L1132" s="1042"/>
      <c r="M1132" s="1042"/>
      <c r="N1132" s="1042"/>
      <c r="O1132" s="1042"/>
      <c r="P1132" s="1042"/>
      <c r="Q1132" s="1042"/>
      <c r="R1132" s="1042"/>
      <c r="S1132" s="1042"/>
      <c r="T1132" s="1042"/>
      <c r="U1132" s="1042"/>
      <c r="V1132" s="1042"/>
      <c r="W1132" s="1042"/>
      <c r="X1132" s="1042"/>
      <c r="Y1132" s="1042"/>
      <c r="Z1132" s="1042"/>
      <c r="AA1132" s="1042"/>
      <c r="AB1132" s="1042"/>
      <c r="AC1132" s="1042"/>
      <c r="AD1132" s="1042"/>
      <c r="AE1132" s="1042"/>
      <c r="AF1132" s="1042"/>
      <c r="AG1132" s="1042"/>
      <c r="AH1132" s="1042"/>
      <c r="AI1132" s="1042"/>
      <c r="AJ1132" s="1042"/>
      <c r="AK1132" s="1042"/>
    </row>
    <row r="1133" spans="1:37" ht="0" hidden="1" customHeight="1">
      <c r="A1133" s="84"/>
      <c r="B1133" s="21"/>
      <c r="C1133" s="1207"/>
      <c r="D1133" s="1042"/>
      <c r="E1133" s="1042"/>
      <c r="F1133" s="1042"/>
      <c r="G1133" s="1042"/>
      <c r="H1133" s="1042"/>
      <c r="I1133" s="1042"/>
      <c r="J1133" s="1042"/>
      <c r="K1133" s="1042"/>
      <c r="L1133" s="1042"/>
      <c r="M1133" s="1042"/>
      <c r="N1133" s="1042"/>
      <c r="O1133" s="1042"/>
      <c r="P1133" s="1042"/>
      <c r="Q1133" s="1042"/>
      <c r="R1133" s="1042"/>
      <c r="S1133" s="1042"/>
      <c r="T1133" s="1042"/>
      <c r="U1133" s="1042"/>
      <c r="V1133" s="1042"/>
      <c r="W1133" s="1042"/>
      <c r="X1133" s="1042"/>
      <c r="Y1133" s="1042"/>
      <c r="Z1133" s="1042"/>
      <c r="AA1133" s="1042"/>
      <c r="AB1133" s="1042"/>
      <c r="AC1133" s="1042"/>
      <c r="AD1133" s="1042"/>
      <c r="AE1133" s="1042"/>
      <c r="AF1133" s="1042"/>
      <c r="AG1133" s="1042"/>
      <c r="AH1133" s="1042"/>
      <c r="AI1133" s="1042"/>
      <c r="AJ1133" s="1042"/>
      <c r="AK1133" s="1042"/>
    </row>
    <row r="1134" spans="1:37" ht="0" hidden="1" customHeight="1">
      <c r="A1134" s="1380" t="s">
        <v>820</v>
      </c>
      <c r="B1134" s="1380"/>
      <c r="C1134" s="1207">
        <v>9</v>
      </c>
      <c r="D1134" s="1228" t="s">
        <v>1755</v>
      </c>
      <c r="E1134" s="1228"/>
      <c r="F1134" s="1228"/>
      <c r="G1134" s="1228"/>
      <c r="H1134" s="1228"/>
      <c r="I1134" s="1228"/>
      <c r="J1134" s="1228"/>
      <c r="K1134" s="1228"/>
      <c r="L1134" s="1228"/>
      <c r="M1134" s="1228"/>
      <c r="N1134" s="1228"/>
      <c r="O1134" s="1228"/>
      <c r="P1134" s="1228"/>
      <c r="Q1134" s="1228"/>
      <c r="R1134" s="1228"/>
      <c r="S1134" s="1228"/>
      <c r="T1134" s="1228"/>
      <c r="U1134" s="1228"/>
      <c r="V1134" s="1228"/>
      <c r="W1134" s="1228"/>
      <c r="X1134" s="1228"/>
      <c r="Y1134" s="1228"/>
      <c r="Z1134" s="1228"/>
      <c r="AA1134" s="1228"/>
      <c r="AB1134" s="1228"/>
      <c r="AC1134" s="1228"/>
      <c r="AD1134" s="1228"/>
      <c r="AE1134" s="1228"/>
      <c r="AF1134" s="1228"/>
      <c r="AG1134" s="1228"/>
      <c r="AH1134" s="1228"/>
      <c r="AI1134" s="1228"/>
      <c r="AJ1134" s="1228"/>
      <c r="AK1134" s="1228"/>
    </row>
    <row r="1135" spans="1:37" ht="0" hidden="1" customHeight="1">
      <c r="A1135" s="84"/>
      <c r="B1135" s="21"/>
      <c r="C1135" s="1207"/>
      <c r="D1135" s="1228"/>
      <c r="E1135" s="1228"/>
      <c r="F1135" s="1228"/>
      <c r="G1135" s="1228"/>
      <c r="H1135" s="1228"/>
      <c r="I1135" s="1228"/>
      <c r="J1135" s="1228"/>
      <c r="K1135" s="1228"/>
      <c r="L1135" s="1228"/>
      <c r="M1135" s="1228"/>
      <c r="N1135" s="1228"/>
      <c r="O1135" s="1228"/>
      <c r="P1135" s="1228"/>
      <c r="Q1135" s="1228"/>
      <c r="R1135" s="1228"/>
      <c r="S1135" s="1228"/>
      <c r="T1135" s="1228"/>
      <c r="U1135" s="1228"/>
      <c r="V1135" s="1228"/>
      <c r="W1135" s="1228"/>
      <c r="X1135" s="1228"/>
      <c r="Y1135" s="1228"/>
      <c r="Z1135" s="1228"/>
      <c r="AA1135" s="1228"/>
      <c r="AB1135" s="1228"/>
      <c r="AC1135" s="1228"/>
      <c r="AD1135" s="1228"/>
      <c r="AE1135" s="1228"/>
      <c r="AF1135" s="1228"/>
      <c r="AG1135" s="1228"/>
      <c r="AH1135" s="1228"/>
      <c r="AI1135" s="1228"/>
      <c r="AJ1135" s="1228"/>
      <c r="AK1135" s="1228"/>
    </row>
    <row r="1136" spans="1:37" ht="0" hidden="1" customHeight="1">
      <c r="D1136" s="1228"/>
      <c r="E1136" s="1228"/>
      <c r="F1136" s="1228"/>
      <c r="G1136" s="1228"/>
      <c r="H1136" s="1228"/>
      <c r="I1136" s="1228"/>
      <c r="J1136" s="1228"/>
      <c r="K1136" s="1228"/>
      <c r="L1136" s="1228"/>
      <c r="M1136" s="1228"/>
      <c r="N1136" s="1228"/>
      <c r="O1136" s="1228"/>
      <c r="P1136" s="1228"/>
      <c r="Q1136" s="1228"/>
      <c r="R1136" s="1228"/>
      <c r="S1136" s="1228"/>
      <c r="T1136" s="1228"/>
      <c r="U1136" s="1228"/>
      <c r="V1136" s="1228"/>
      <c r="W1136" s="1228"/>
      <c r="X1136" s="1228"/>
      <c r="Y1136" s="1228"/>
      <c r="Z1136" s="1228"/>
      <c r="AA1136" s="1228"/>
      <c r="AB1136" s="1228"/>
      <c r="AC1136" s="1228"/>
      <c r="AD1136" s="1228"/>
      <c r="AE1136" s="1228"/>
      <c r="AF1136" s="1228"/>
      <c r="AG1136" s="1228"/>
      <c r="AH1136" s="1228"/>
      <c r="AI1136" s="1228"/>
      <c r="AJ1136" s="1228"/>
      <c r="AK1136" s="1228"/>
    </row>
    <row r="1146" ht="15" hidden="1" customHeight="1"/>
    <row r="2026" ht="9.9"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AH746:AJ746"/>
    <mergeCell ref="AH744:AJ744"/>
    <mergeCell ref="AC747:AG747"/>
    <mergeCell ref="X740:AB740"/>
    <mergeCell ref="AM572:AS572"/>
    <mergeCell ref="K742:N742"/>
    <mergeCell ref="D995:Q995"/>
    <mergeCell ref="AB994:AI994"/>
    <mergeCell ref="AB995:AI995"/>
    <mergeCell ref="H16:AJ16"/>
    <mergeCell ref="G663:L663"/>
    <mergeCell ref="H664:R664"/>
    <mergeCell ref="AC741:AG741"/>
    <mergeCell ref="AG657:AH657"/>
    <mergeCell ref="H696:R696"/>
    <mergeCell ref="M632:P634"/>
    <mergeCell ref="AO638:AS638"/>
    <mergeCell ref="Z609:AK609"/>
    <mergeCell ref="W479:Y479"/>
    <mergeCell ref="AK635:AN635"/>
    <mergeCell ref="AM573:AS573"/>
    <mergeCell ref="AE571:AH571"/>
    <mergeCell ref="AM571:AS571"/>
    <mergeCell ref="AO636:AS636"/>
    <mergeCell ref="AG615:AH615"/>
    <mergeCell ref="AO632:AS634"/>
    <mergeCell ref="AC526:AF526"/>
    <mergeCell ref="AH512:AK512"/>
    <mergeCell ref="AE707:AI707"/>
    <mergeCell ref="G736:J736"/>
    <mergeCell ref="K735:N735"/>
    <mergeCell ref="G731:J731"/>
    <mergeCell ref="O733:S733"/>
    <mergeCell ref="O734:S734"/>
    <mergeCell ref="A69:AT70"/>
    <mergeCell ref="A72:AT73"/>
    <mergeCell ref="A552:AT553"/>
    <mergeCell ref="A488:AT48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C642:L642"/>
    <mergeCell ref="AK636:AN636"/>
    <mergeCell ref="Z635:AB635"/>
    <mergeCell ref="W642:Y642"/>
    <mergeCell ref="AI589:AK589"/>
    <mergeCell ref="AC638:AE638"/>
    <mergeCell ref="AI567:AL567"/>
    <mergeCell ref="AC511:AF511"/>
    <mergeCell ref="AC521:AF521"/>
    <mergeCell ref="AC642:AE642"/>
    <mergeCell ref="AC524:AF524"/>
    <mergeCell ref="AM570:AS570"/>
    <mergeCell ref="AO639:AS639"/>
    <mergeCell ref="M642:P642"/>
    <mergeCell ref="Q642:S642"/>
    <mergeCell ref="G482:V482"/>
    <mergeCell ref="AH534:AK5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P430:R430"/>
    <mergeCell ref="EM649:EQ649"/>
    <mergeCell ref="EH656:EL656"/>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EO745:ES745"/>
    <mergeCell ref="ER663:EV663"/>
    <mergeCell ref="EH659:EL659"/>
    <mergeCell ref="EW662:FA662"/>
    <mergeCell ref="DO728:DS728"/>
    <mergeCell ref="DO730:DS730"/>
    <mergeCell ref="EJ742:EN742"/>
    <mergeCell ref="EE741:EI741"/>
    <mergeCell ref="ET740:EX740"/>
    <mergeCell ref="ET729:EX729"/>
    <mergeCell ref="EE728:EI728"/>
    <mergeCell ref="ER677:EV677"/>
    <mergeCell ref="ER668:EV668"/>
    <mergeCell ref="EH674:EL674"/>
    <mergeCell ref="EC662:EG662"/>
    <mergeCell ref="EH662:EL662"/>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DO782:DS782"/>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J754:DN754"/>
    <mergeCell ref="DJ746:DN746"/>
    <mergeCell ref="DZ746:ED746"/>
    <mergeCell ref="EE746:EI746"/>
    <mergeCell ref="EJ746:EN746"/>
    <mergeCell ref="DE743:DI743"/>
    <mergeCell ref="ER665:EV665"/>
    <mergeCell ref="EJ747:EN747"/>
    <mergeCell ref="AK738:AO738"/>
    <mergeCell ref="DO759:DS759"/>
    <mergeCell ref="DO736:DS736"/>
    <mergeCell ref="DO731:DS731"/>
    <mergeCell ref="DO732:DS732"/>
    <mergeCell ref="DU730:DY730"/>
    <mergeCell ref="EO728:ES728"/>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DJ748:DN748"/>
    <mergeCell ref="DO762:DS762"/>
    <mergeCell ref="DE761:DI761"/>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T748:EX748"/>
    <mergeCell ref="Z644:AB644"/>
    <mergeCell ref="Z645:AB645"/>
    <mergeCell ref="Z646:AB646"/>
    <mergeCell ref="W635:Y635"/>
    <mergeCell ref="T635:V635"/>
    <mergeCell ref="AO635:AS635"/>
    <mergeCell ref="EO760:ES760"/>
    <mergeCell ref="EJ760:EN760"/>
    <mergeCell ref="ET746:EX746"/>
    <mergeCell ref="CK753:CL753"/>
    <mergeCell ref="DE758:DI758"/>
    <mergeCell ref="EJ725:EN725"/>
    <mergeCell ref="CM761:CN761"/>
    <mergeCell ref="DO740:DS740"/>
    <mergeCell ref="DO738:DS738"/>
    <mergeCell ref="DO739:DS739"/>
    <mergeCell ref="DO735:DS735"/>
    <mergeCell ref="CI761:CJ761"/>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FE761:FI761"/>
    <mergeCell ref="EJ743:EN743"/>
    <mergeCell ref="EO743:ES743"/>
    <mergeCell ref="DZ743:ED743"/>
    <mergeCell ref="EE743:EI743"/>
    <mergeCell ref="CK758:CL758"/>
    <mergeCell ref="CM758:CN758"/>
    <mergeCell ref="DJ758:DN758"/>
    <mergeCell ref="CK759:CL759"/>
    <mergeCell ref="CP783:CT783"/>
    <mergeCell ref="CP784:CT784"/>
    <mergeCell ref="DE784:DI784"/>
    <mergeCell ref="DU761:DY761"/>
    <mergeCell ref="DZ761:ED761"/>
    <mergeCell ref="DE782:DI782"/>
    <mergeCell ref="DO748:DS748"/>
    <mergeCell ref="EW660:FA660"/>
    <mergeCell ref="EW663:FA663"/>
    <mergeCell ref="DU741:DY741"/>
    <mergeCell ref="DO760:DS760"/>
    <mergeCell ref="DE759:DI759"/>
    <mergeCell ref="EE760:EI760"/>
    <mergeCell ref="DU746:DY746"/>
    <mergeCell ref="EO761:ES761"/>
    <mergeCell ref="EJ748:EN748"/>
    <mergeCell ref="EO753:ES753"/>
    <mergeCell ref="DE752:DI752"/>
    <mergeCell ref="EO748:ES748"/>
    <mergeCell ref="EO759:ES759"/>
    <mergeCell ref="ET761:EX761"/>
    <mergeCell ref="DU749:DY749"/>
    <mergeCell ref="DZ749:ED749"/>
    <mergeCell ref="DO755:DS755"/>
    <mergeCell ref="DU753:DY753"/>
    <mergeCell ref="DZ753:ED753"/>
    <mergeCell ref="EW672:FA672"/>
    <mergeCell ref="EW674:FA674"/>
    <mergeCell ref="EE738:EI738"/>
    <mergeCell ref="EJ738:EN738"/>
    <mergeCell ref="ET741:EX741"/>
    <mergeCell ref="EO741:ES741"/>
    <mergeCell ref="EO742:ES742"/>
    <mergeCell ref="DU737:DY737"/>
    <mergeCell ref="EE742:EI742"/>
    <mergeCell ref="DU739:DY739"/>
    <mergeCell ref="DO733:DS733"/>
    <mergeCell ref="DO729:DS729"/>
    <mergeCell ref="EZ734:FD734"/>
    <mergeCell ref="EH675:EL675"/>
    <mergeCell ref="EM674:EQ674"/>
    <mergeCell ref="ER674:EV674"/>
    <mergeCell ref="EW649:FA649"/>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T745:EX745"/>
    <mergeCell ref="DJ742:DN742"/>
    <mergeCell ref="EW657:FA657"/>
    <mergeCell ref="ER658:EV658"/>
    <mergeCell ref="EM658:EQ658"/>
    <mergeCell ref="EC661:EG661"/>
    <mergeCell ref="ER647:EV647"/>
    <mergeCell ref="ER659:EV659"/>
    <mergeCell ref="EH676:EL676"/>
    <mergeCell ref="DX665:EB665"/>
    <mergeCell ref="EC665:EG665"/>
    <mergeCell ref="EH665:EL665"/>
    <mergeCell ref="EM665:EQ665"/>
    <mergeCell ref="ET725:EX725"/>
    <mergeCell ref="EE737:EI737"/>
    <mergeCell ref="EO739:ES739"/>
    <mergeCell ref="DZ732:ED732"/>
    <mergeCell ref="ET731:EX731"/>
    <mergeCell ref="EE733:EI733"/>
    <mergeCell ref="EM678:EQ678"/>
    <mergeCell ref="EE734:EI734"/>
    <mergeCell ref="EJ734:EN734"/>
    <mergeCell ref="EW668:FA668"/>
    <mergeCell ref="DX669:EB669"/>
    <mergeCell ref="DZ738:ED738"/>
    <mergeCell ref="EW665:FA665"/>
    <mergeCell ref="EH667:EL667"/>
    <mergeCell ref="EC669:EG669"/>
    <mergeCell ref="EH669:EL669"/>
    <mergeCell ref="ER678:EV678"/>
    <mergeCell ref="DX677:EB677"/>
    <mergeCell ref="EC678:EG678"/>
    <mergeCell ref="EH678:EL678"/>
    <mergeCell ref="EC675:EG675"/>
    <mergeCell ref="EH652:EL652"/>
    <mergeCell ref="EZ725:FD725"/>
    <mergeCell ref="EW678:FA678"/>
    <mergeCell ref="EW664:FA664"/>
    <mergeCell ref="ER676:EV676"/>
    <mergeCell ref="EW676:FA676"/>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C655:EG655"/>
    <mergeCell ref="ER649:EV649"/>
    <mergeCell ref="EH649:EL649"/>
    <mergeCell ref="EW652:FA652"/>
    <mergeCell ref="EW655:FA655"/>
    <mergeCell ref="EW658:FA658"/>
    <mergeCell ref="EW656:FA656"/>
    <mergeCell ref="EW659:FA659"/>
    <mergeCell ref="EH661:EL661"/>
    <mergeCell ref="DX652:EB652"/>
    <mergeCell ref="DX650:EB650"/>
    <mergeCell ref="ER660:EV660"/>
    <mergeCell ref="DX670:EB670"/>
    <mergeCell ref="EC670:EG67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EH650:EL650"/>
    <mergeCell ref="EM650:EQ650"/>
    <mergeCell ref="ER650:EV650"/>
    <mergeCell ref="DX649:EB649"/>
    <mergeCell ref="EC652:EG652"/>
    <mergeCell ref="EH670:EL670"/>
    <mergeCell ref="DX667:EB667"/>
    <mergeCell ref="EO726:ES726"/>
    <mergeCell ref="DU728:DY728"/>
    <mergeCell ref="DU742:DY742"/>
    <mergeCell ref="ER672:EV672"/>
    <mergeCell ref="FO739:FS739"/>
    <mergeCell ref="FT739:FX739"/>
    <mergeCell ref="FY739:GC739"/>
    <mergeCell ref="EZ740:FD740"/>
    <mergeCell ref="FE740:FI740"/>
    <mergeCell ref="FJ740:FN740"/>
    <mergeCell ref="EH651:EL651"/>
    <mergeCell ref="EM651:EQ651"/>
    <mergeCell ref="EC656:EG656"/>
    <mergeCell ref="EW647:FA647"/>
    <mergeCell ref="EC648:EG648"/>
    <mergeCell ref="EW648:FA648"/>
    <mergeCell ref="ER651:EV651"/>
    <mergeCell ref="ER648:EV648"/>
    <mergeCell ref="DZ740:ED740"/>
    <mergeCell ref="EE740:EI740"/>
    <mergeCell ref="EJ740:EN740"/>
    <mergeCell ref="FE728:FI728"/>
    <mergeCell ref="FJ728:FN728"/>
    <mergeCell ref="FO728:FS728"/>
    <mergeCell ref="FE725:FI725"/>
    <mergeCell ref="FJ725:FN725"/>
    <mergeCell ref="FO725:FS725"/>
    <mergeCell ref="DX659:EB659"/>
    <mergeCell ref="EM676:EQ676"/>
    <mergeCell ref="EC659:EG659"/>
    <mergeCell ref="FJ743:FN743"/>
    <mergeCell ref="FJ729:FN729"/>
    <mergeCell ref="EO731:ES731"/>
    <mergeCell ref="DZ742:ED742"/>
    <mergeCell ref="DU734:DY734"/>
    <mergeCell ref="EO729:ES729"/>
    <mergeCell ref="DZ739:ED739"/>
    <mergeCell ref="EJ733:EN733"/>
    <mergeCell ref="EE739:EI739"/>
    <mergeCell ref="EJ739:EN739"/>
    <mergeCell ref="DU740:DY740"/>
    <mergeCell ref="DZ734:ED734"/>
    <mergeCell ref="DU736:DY736"/>
    <mergeCell ref="EO732:ES732"/>
    <mergeCell ref="ET732:EX732"/>
    <mergeCell ref="EO734:ES734"/>
    <mergeCell ref="ET734:EX734"/>
    <mergeCell ref="EZ735:FD735"/>
    <mergeCell ref="EZ739:FD739"/>
    <mergeCell ref="FE739:FI739"/>
    <mergeCell ref="FJ739:FN739"/>
    <mergeCell ref="DZ741:ED741"/>
    <mergeCell ref="EZ741:FD741"/>
    <mergeCell ref="FE741:FI741"/>
    <mergeCell ref="FJ741:FN741"/>
    <mergeCell ref="DX657:EB657"/>
    <mergeCell ref="DX663:EB663"/>
    <mergeCell ref="DX664:EB664"/>
    <mergeCell ref="EC664:EG664"/>
    <mergeCell ref="EH664:EL664"/>
    <mergeCell ref="EM664:EQ664"/>
    <mergeCell ref="EM661:EQ661"/>
    <mergeCell ref="ER661:EV661"/>
    <mergeCell ref="EZ736:FD736"/>
    <mergeCell ref="EJ741:EN741"/>
    <mergeCell ref="DZ737:ED737"/>
    <mergeCell ref="ET735:EX735"/>
    <mergeCell ref="DZ735:ED735"/>
    <mergeCell ref="EE735:EI735"/>
    <mergeCell ref="EE731:EI731"/>
    <mergeCell ref="EJ731:EN731"/>
    <mergeCell ref="EO733:ES733"/>
    <mergeCell ref="EJ732:EN732"/>
    <mergeCell ref="DX678:EB678"/>
    <mergeCell ref="EM672:EQ672"/>
    <mergeCell ref="EM675:EQ675"/>
    <mergeCell ref="ER675:EV675"/>
    <mergeCell ref="EW675:FA675"/>
    <mergeCell ref="EM669:EQ669"/>
    <mergeCell ref="ET730:EX730"/>
    <mergeCell ref="ET728:EX728"/>
    <mergeCell ref="EO736:ES736"/>
    <mergeCell ref="ET736:EX736"/>
    <mergeCell ref="ER664:EV664"/>
    <mergeCell ref="EC677:EG677"/>
    <mergeCell ref="EH677:EL677"/>
    <mergeCell ref="EM677:EQ677"/>
    <mergeCell ref="FY736:GC736"/>
    <mergeCell ref="EZ737:FD737"/>
    <mergeCell ref="FE737:FI737"/>
    <mergeCell ref="FJ737:FN737"/>
    <mergeCell ref="FO737:FS737"/>
    <mergeCell ref="FT737:FX737"/>
    <mergeCell ref="FY737:GC737"/>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J748:FN748"/>
    <mergeCell ref="FO748:FS748"/>
    <mergeCell ref="FO741:FS741"/>
    <mergeCell ref="FT759:FX759"/>
    <mergeCell ref="FY759:GC759"/>
    <mergeCell ref="FY746:GC746"/>
    <mergeCell ref="FY738:GC738"/>
    <mergeCell ref="FY750:GC750"/>
    <mergeCell ref="EZ751:FD751"/>
    <mergeCell ref="FO743:FS743"/>
    <mergeCell ref="FT743:FX743"/>
    <mergeCell ref="FY743:GC743"/>
    <mergeCell ref="EZ744:FD744"/>
    <mergeCell ref="FE744:FI744"/>
    <mergeCell ref="FJ744:FN744"/>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45:GC745"/>
    <mergeCell ref="FY744:GC744"/>
    <mergeCell ref="EZ745:FD745"/>
    <mergeCell ref="FE745:FI745"/>
    <mergeCell ref="FJ745:FN745"/>
    <mergeCell ref="FO745:FS745"/>
    <mergeCell ref="FJ742:FN742"/>
    <mergeCell ref="FO742:FS742"/>
    <mergeCell ref="FO738:FS738"/>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1:GC731"/>
    <mergeCell ref="FO729:FS729"/>
    <mergeCell ref="FY734:GC734"/>
    <mergeCell ref="FO732:FS732"/>
    <mergeCell ref="FE735:FI73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FT736:FX736"/>
    <mergeCell ref="FT749:FX749"/>
    <mergeCell ref="FE736:FI736"/>
    <mergeCell ref="FJ736:FN736"/>
    <mergeCell ref="FO736:FS736"/>
    <mergeCell ref="AC756:AG756"/>
    <mergeCell ref="AG764:AJ764"/>
    <mergeCell ref="X739:AB739"/>
    <mergeCell ref="AH740:AJ740"/>
    <mergeCell ref="G746:J746"/>
    <mergeCell ref="O745:S745"/>
    <mergeCell ref="O746:S746"/>
    <mergeCell ref="T747:W747"/>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T738:FX738"/>
    <mergeCell ref="FY733:GC733"/>
    <mergeCell ref="FT732:FX732"/>
    <mergeCell ref="FY732:GC732"/>
    <mergeCell ref="FJ732:FN732"/>
    <mergeCell ref="FT728:FX728"/>
    <mergeCell ref="FT729:FX729"/>
    <mergeCell ref="O983:P983"/>
    <mergeCell ref="FJ733:FN73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J1062:AQ1062"/>
    <mergeCell ref="AB996:AI996"/>
    <mergeCell ref="D996:Q996"/>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D994:Q994"/>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AF1030:AI1031"/>
    <mergeCell ref="K748:N748"/>
    <mergeCell ref="AC746:AG746"/>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AA977:AG977"/>
    <mergeCell ref="AE964:AK964"/>
    <mergeCell ref="I959:T959"/>
    <mergeCell ref="H672:R672"/>
    <mergeCell ref="G686:R686"/>
    <mergeCell ref="P687:R687"/>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T752:W752"/>
    <mergeCell ref="O748:S748"/>
    <mergeCell ref="T982:Z982"/>
    <mergeCell ref="D998:Q998"/>
    <mergeCell ref="C774:AR776"/>
    <mergeCell ref="B745:F745"/>
    <mergeCell ref="AK758:AO758"/>
    <mergeCell ref="T743:W743"/>
    <mergeCell ref="T742:W742"/>
    <mergeCell ref="Z910:AE910"/>
    <mergeCell ref="W887:AC887"/>
    <mergeCell ref="AC894:AH894"/>
    <mergeCell ref="W869:AC869"/>
    <mergeCell ref="C904:AB904"/>
    <mergeCell ref="X801:AB801"/>
    <mergeCell ref="T791:W794"/>
    <mergeCell ref="X781:AB781"/>
    <mergeCell ref="O797:S797"/>
    <mergeCell ref="J783:N783"/>
    <mergeCell ref="AC784:AG784"/>
    <mergeCell ref="AC800:AG800"/>
    <mergeCell ref="O795:S795"/>
    <mergeCell ref="Q834:T834"/>
    <mergeCell ref="Y831:AB832"/>
    <mergeCell ref="AD767:AF767"/>
    <mergeCell ref="O754:S754"/>
    <mergeCell ref="K757:N757"/>
    <mergeCell ref="O757:S757"/>
    <mergeCell ref="X759:AB759"/>
    <mergeCell ref="T801:W801"/>
    <mergeCell ref="O783:S783"/>
    <mergeCell ref="W879:AC879"/>
    <mergeCell ref="Y835:AB835"/>
    <mergeCell ref="AC752:AG752"/>
    <mergeCell ref="AC753:AG753"/>
    <mergeCell ref="K754:N754"/>
    <mergeCell ref="T754:W754"/>
    <mergeCell ref="AC754:AG754"/>
    <mergeCell ref="X753:AB753"/>
    <mergeCell ref="G738:J738"/>
    <mergeCell ref="X738:AB738"/>
    <mergeCell ref="B751:F751"/>
    <mergeCell ref="B744:F744"/>
    <mergeCell ref="AC740:AG740"/>
    <mergeCell ref="X741:AB741"/>
    <mergeCell ref="G740:J740"/>
    <mergeCell ref="AH743:AJ743"/>
    <mergeCell ref="X742:AB742"/>
    <mergeCell ref="O747:S747"/>
    <mergeCell ref="O744:S744"/>
    <mergeCell ref="K746:N746"/>
    <mergeCell ref="B748:F748"/>
    <mergeCell ref="AH745:AJ745"/>
    <mergeCell ref="O755:S755"/>
    <mergeCell ref="T755:W755"/>
    <mergeCell ref="AC738:AG738"/>
    <mergeCell ref="K749:N749"/>
    <mergeCell ref="B741:F741"/>
    <mergeCell ref="O751:S751"/>
    <mergeCell ref="T751:W751"/>
    <mergeCell ref="K752:N752"/>
    <mergeCell ref="O752:S752"/>
    <mergeCell ref="B746:F746"/>
    <mergeCell ref="G747:J747"/>
    <mergeCell ref="AC748:AG748"/>
    <mergeCell ref="AC749:AG749"/>
    <mergeCell ref="AC745:AG745"/>
    <mergeCell ref="AC750:AG750"/>
    <mergeCell ref="AC751:AG751"/>
    <mergeCell ref="X749:AB749"/>
    <mergeCell ref="AH741:AJ741"/>
    <mergeCell ref="K738:N738"/>
    <mergeCell ref="B761:F761"/>
    <mergeCell ref="O760:S760"/>
    <mergeCell ref="B742:F742"/>
    <mergeCell ref="B736:F736"/>
    <mergeCell ref="K745:N745"/>
    <mergeCell ref="D1134:AK1136"/>
    <mergeCell ref="X734:AB734"/>
    <mergeCell ref="M967:S967"/>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B747:F747"/>
    <mergeCell ref="K743:N743"/>
    <mergeCell ref="K744:N744"/>
    <mergeCell ref="G744:J744"/>
    <mergeCell ref="AH759:AJ759"/>
    <mergeCell ref="G761:J761"/>
    <mergeCell ref="M831:P832"/>
    <mergeCell ref="M969:S969"/>
    <mergeCell ref="AK746:AO746"/>
    <mergeCell ref="A1106:B1106"/>
    <mergeCell ref="AE969:AK969"/>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U952:Z952"/>
    <mergeCell ref="U950:Z950"/>
    <mergeCell ref="K734:N734"/>
    <mergeCell ref="AA955:AF955"/>
    <mergeCell ref="M887:V887"/>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58:AF958"/>
    <mergeCell ref="E894:AB894"/>
    <mergeCell ref="K736:N736"/>
    <mergeCell ref="U955:Z955"/>
    <mergeCell ref="F955:H955"/>
    <mergeCell ref="AA976:AG976"/>
    <mergeCell ref="F937:T937"/>
    <mergeCell ref="U935:Z935"/>
    <mergeCell ref="Q840:T840"/>
    <mergeCell ref="AE965:AK965"/>
    <mergeCell ref="P954:T954"/>
    <mergeCell ref="F953:T953"/>
    <mergeCell ref="U953:Z953"/>
    <mergeCell ref="M885:V885"/>
    <mergeCell ref="W877:AC877"/>
    <mergeCell ref="W881:AC881"/>
    <mergeCell ref="AC893:AH893"/>
    <mergeCell ref="M884:V884"/>
    <mergeCell ref="W886:AC886"/>
    <mergeCell ref="W880:AC880"/>
    <mergeCell ref="AC895:AH895"/>
    <mergeCell ref="AA940:AF940"/>
    <mergeCell ref="U941:Z941"/>
    <mergeCell ref="U929:Z929"/>
    <mergeCell ref="AA953:AF953"/>
    <mergeCell ref="AA945:AF945"/>
    <mergeCell ref="I956:T956"/>
    <mergeCell ref="AA952:AF952"/>
    <mergeCell ref="W875:AC875"/>
    <mergeCell ref="W867:AC867"/>
    <mergeCell ref="W857:AC857"/>
    <mergeCell ref="M886:V886"/>
    <mergeCell ref="W878:AC878"/>
    <mergeCell ref="W850:AC850"/>
    <mergeCell ref="W855:AC855"/>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U940:Z940"/>
    <mergeCell ref="F924:T924"/>
    <mergeCell ref="I955:T955"/>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CZ760:DD760"/>
    <mergeCell ref="X743:AB743"/>
    <mergeCell ref="X744:AB744"/>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DO737:DS737"/>
    <mergeCell ref="DJ729:DN729"/>
    <mergeCell ref="DO734:DS734"/>
    <mergeCell ref="CU732:CY732"/>
    <mergeCell ref="CU733:CY733"/>
    <mergeCell ref="CP738:CT738"/>
    <mergeCell ref="AH736:AJ736"/>
    <mergeCell ref="CI727:CJ727"/>
    <mergeCell ref="DU738:DY738"/>
    <mergeCell ref="EE736:EI736"/>
    <mergeCell ref="EJ736:EN736"/>
    <mergeCell ref="EO735:ES735"/>
    <mergeCell ref="AK639:AN639"/>
    <mergeCell ref="AK640:AN640"/>
    <mergeCell ref="AF640:AJ640"/>
    <mergeCell ref="DJ731:DN731"/>
    <mergeCell ref="DJ732:DN732"/>
    <mergeCell ref="DE728:DI728"/>
    <mergeCell ref="DE732:DI732"/>
    <mergeCell ref="CU727:CY727"/>
    <mergeCell ref="EE730:EI730"/>
    <mergeCell ref="DZ736:ED736"/>
    <mergeCell ref="EE732:EI732"/>
    <mergeCell ref="AK736:AO736"/>
    <mergeCell ref="CZ727:DD727"/>
    <mergeCell ref="CP729:CT729"/>
    <mergeCell ref="DE736:DI736"/>
    <mergeCell ref="CG735:CH735"/>
    <mergeCell ref="EC672:EG672"/>
    <mergeCell ref="CU726:CY726"/>
    <mergeCell ref="CP725:CT725"/>
    <mergeCell ref="AH726:AJ726"/>
    <mergeCell ref="DO727:DS727"/>
    <mergeCell ref="DE725:DI725"/>
    <mergeCell ref="AC726:AG726"/>
    <mergeCell ref="Z679:AE679"/>
    <mergeCell ref="EC649:EG649"/>
    <mergeCell ref="EC651:EG651"/>
    <mergeCell ref="EC650:EG650"/>
    <mergeCell ref="AF646:AJ646"/>
    <mergeCell ref="Z675:AK675"/>
    <mergeCell ref="AC646:AE646"/>
    <mergeCell ref="AK722:AO725"/>
    <mergeCell ref="AK726:AO726"/>
    <mergeCell ref="DX672:EB672"/>
    <mergeCell ref="DX654:EB654"/>
    <mergeCell ref="EC654:EG654"/>
    <mergeCell ref="EC645:EG645"/>
    <mergeCell ref="AO645:AS645"/>
    <mergeCell ref="Z653:AK653"/>
    <mergeCell ref="CG726:CH726"/>
    <mergeCell ref="DZ726:ED726"/>
    <mergeCell ref="EE726:EI726"/>
    <mergeCell ref="AI679:AK679"/>
    <mergeCell ref="Z684:AK684"/>
    <mergeCell ref="DJ726:DN726"/>
    <mergeCell ref="AE704:AI704"/>
    <mergeCell ref="EH654:EL654"/>
    <mergeCell ref="DX661:EB661"/>
    <mergeCell ref="DX662:EB662"/>
    <mergeCell ref="DX653:EB653"/>
    <mergeCell ref="AI671:AK671"/>
    <mergeCell ref="B649:AN649"/>
    <mergeCell ref="G651:R651"/>
    <mergeCell ref="CM729:CN729"/>
    <mergeCell ref="AC639:AE639"/>
    <mergeCell ref="DJ739:DN739"/>
    <mergeCell ref="ET744:EX744"/>
    <mergeCell ref="DX660:EB660"/>
    <mergeCell ref="EC660:EG660"/>
    <mergeCell ref="W708:AK708"/>
    <mergeCell ref="Z691:AK691"/>
    <mergeCell ref="AA696:AK696"/>
    <mergeCell ref="AE710:AF710"/>
    <mergeCell ref="AC640:AE640"/>
    <mergeCell ref="CI725:CJ725"/>
    <mergeCell ref="AA688:AK688"/>
    <mergeCell ref="Z670:AK670"/>
    <mergeCell ref="CP727:CT727"/>
    <mergeCell ref="ET726:EX726"/>
    <mergeCell ref="DU733:DY733"/>
    <mergeCell ref="DZ733:ED733"/>
    <mergeCell ref="DU731:DY731"/>
    <mergeCell ref="DZ731:ED731"/>
    <mergeCell ref="EE727:EI727"/>
    <mergeCell ref="DZ728:ED728"/>
    <mergeCell ref="EJ727:EN727"/>
    <mergeCell ref="AC737:AG737"/>
    <mergeCell ref="ET733:EX733"/>
    <mergeCell ref="DU732:DY732"/>
    <mergeCell ref="DZ727:ED727"/>
    <mergeCell ref="EO738:ES738"/>
    <mergeCell ref="ET738:EX738"/>
    <mergeCell ref="DX676:EB676"/>
    <mergeCell ref="EC676:EG676"/>
    <mergeCell ref="DO726:DS726"/>
    <mergeCell ref="M569:P569"/>
    <mergeCell ref="C573:L573"/>
    <mergeCell ref="DJ733:DN733"/>
    <mergeCell ref="CI731:CJ731"/>
    <mergeCell ref="AH731:AJ731"/>
    <mergeCell ref="AC736:AG736"/>
    <mergeCell ref="AC735:AG735"/>
    <mergeCell ref="AC732:AG732"/>
    <mergeCell ref="AH525:AK525"/>
    <mergeCell ref="EH660:EL660"/>
    <mergeCell ref="Z687:AE687"/>
    <mergeCell ref="Z678:AK678"/>
    <mergeCell ref="AM569:AS569"/>
    <mergeCell ref="Z639:AB639"/>
    <mergeCell ref="AF632:AJ634"/>
    <mergeCell ref="AM567:AS567"/>
    <mergeCell ref="Z695:AE695"/>
    <mergeCell ref="AK638:AN638"/>
    <mergeCell ref="DO725:DS725"/>
    <mergeCell ref="CZ729:DD729"/>
    <mergeCell ref="DJ727:DN727"/>
    <mergeCell ref="CU725:CY725"/>
    <mergeCell ref="AF637:AJ637"/>
    <mergeCell ref="AI621:AK621"/>
    <mergeCell ref="AA622:AK622"/>
    <mergeCell ref="AC632:AE634"/>
    <mergeCell ref="AO644:AS644"/>
    <mergeCell ref="CZ726:DD726"/>
    <mergeCell ref="AC730:AG730"/>
    <mergeCell ref="AK730:AO730"/>
    <mergeCell ref="CM725:CN725"/>
    <mergeCell ref="CM727:CN727"/>
    <mergeCell ref="Z443:AA443"/>
    <mergeCell ref="H598:R598"/>
    <mergeCell ref="T729:W729"/>
    <mergeCell ref="AE703:AI703"/>
    <mergeCell ref="Z652:AK652"/>
    <mergeCell ref="AC729:AG729"/>
    <mergeCell ref="AH728:AJ728"/>
    <mergeCell ref="AH729:AJ729"/>
    <mergeCell ref="AK727:AO727"/>
    <mergeCell ref="AO649:AS649"/>
    <mergeCell ref="Z659:AK659"/>
    <mergeCell ref="AK646:AN646"/>
    <mergeCell ref="W711:AK711"/>
    <mergeCell ref="AF644:AJ644"/>
    <mergeCell ref="AF645:AJ645"/>
    <mergeCell ref="AC644:AE644"/>
    <mergeCell ref="Z655:AE655"/>
    <mergeCell ref="AC728:AG728"/>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C571:L571"/>
    <mergeCell ref="Z604:AK604"/>
    <mergeCell ref="H606:R606"/>
    <mergeCell ref="AG591:AH591"/>
    <mergeCell ref="W637:Y637"/>
    <mergeCell ref="T571:V571"/>
    <mergeCell ref="Z572:AD572"/>
    <mergeCell ref="Z573:AD573"/>
    <mergeCell ref="Z580:AE580"/>
    <mergeCell ref="Z597:AE597"/>
    <mergeCell ref="G593:R593"/>
    <mergeCell ref="AG583:AH583"/>
    <mergeCell ref="G597:L597"/>
    <mergeCell ref="G577:R577"/>
    <mergeCell ref="Z661:AK661"/>
    <mergeCell ref="AF641:AJ641"/>
    <mergeCell ref="AK641:AN641"/>
    <mergeCell ref="AE573:AH573"/>
    <mergeCell ref="G595:R595"/>
    <mergeCell ref="G586:R586"/>
    <mergeCell ref="AE572:AH572"/>
    <mergeCell ref="T636:V636"/>
    <mergeCell ref="AC643:AE643"/>
    <mergeCell ref="W643:Y643"/>
    <mergeCell ref="Z605:AE605"/>
    <mergeCell ref="G596:R596"/>
    <mergeCell ref="Z588:AK588"/>
    <mergeCell ref="Z603:AK603"/>
    <mergeCell ref="G611:R611"/>
    <mergeCell ref="G589:L589"/>
    <mergeCell ref="Z612:AK612"/>
    <mergeCell ref="Z619:AK619"/>
    <mergeCell ref="G621:L621"/>
    <mergeCell ref="W566:Y566"/>
    <mergeCell ref="AE566:AH566"/>
    <mergeCell ref="C565:L565"/>
    <mergeCell ref="AK729:AO729"/>
    <mergeCell ref="AH517:AK517"/>
    <mergeCell ref="AM566:AS566"/>
    <mergeCell ref="AM574:AS574"/>
    <mergeCell ref="AE564:AH564"/>
    <mergeCell ref="AE567:AH567"/>
    <mergeCell ref="M573:P573"/>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AA614:AK614"/>
    <mergeCell ref="P613:R613"/>
    <mergeCell ref="Z611:AK611"/>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Q638:S638"/>
    <mergeCell ref="AH509:AK509"/>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G685:R685"/>
    <mergeCell ref="Z686:AK686"/>
    <mergeCell ref="M635:P635"/>
    <mergeCell ref="M637:P637"/>
    <mergeCell ref="W632:Y634"/>
    <mergeCell ref="W636:Y636"/>
    <mergeCell ref="P671:R671"/>
    <mergeCell ref="G675:R675"/>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T644:V644"/>
    <mergeCell ref="T645:V645"/>
    <mergeCell ref="AO640:AS640"/>
    <mergeCell ref="Z643:AB643"/>
    <mergeCell ref="AK632:AN634"/>
    <mergeCell ref="C638:L638"/>
    <mergeCell ref="C639:L639"/>
    <mergeCell ref="M641:P641"/>
    <mergeCell ref="G652:R652"/>
    <mergeCell ref="P663:R663"/>
    <mergeCell ref="M645:P645"/>
    <mergeCell ref="M646:P646"/>
    <mergeCell ref="W646:Y646"/>
    <mergeCell ref="Z662:AK662"/>
    <mergeCell ref="P655:R655"/>
    <mergeCell ref="AI655:AK655"/>
    <mergeCell ref="G661:R661"/>
    <mergeCell ref="M636:P636"/>
    <mergeCell ref="B632:L634"/>
    <mergeCell ref="AC637:AE637"/>
    <mergeCell ref="AO641:AS641"/>
    <mergeCell ref="T641:V641"/>
    <mergeCell ref="G655:L655"/>
    <mergeCell ref="Q646:S646"/>
    <mergeCell ref="Z640:AB640"/>
    <mergeCell ref="T646:V646"/>
    <mergeCell ref="DE733:DI733"/>
    <mergeCell ref="CP734:CT734"/>
    <mergeCell ref="DE737:DI737"/>
    <mergeCell ref="CK740:CL740"/>
    <mergeCell ref="CP733:CT733"/>
    <mergeCell ref="CZ735:DD735"/>
    <mergeCell ref="DE734:DI734"/>
    <mergeCell ref="CZ732:DD732"/>
    <mergeCell ref="DE739:DI739"/>
    <mergeCell ref="W641:Y641"/>
    <mergeCell ref="Z638:AB638"/>
    <mergeCell ref="T638:V638"/>
    <mergeCell ref="T639:V639"/>
    <mergeCell ref="AC636:AE636"/>
    <mergeCell ref="C637:L637"/>
    <mergeCell ref="CG727:CH727"/>
    <mergeCell ref="CI729:CJ729"/>
    <mergeCell ref="CU737:CY737"/>
    <mergeCell ref="CP740:CT740"/>
    <mergeCell ref="CM737:CN737"/>
    <mergeCell ref="CM731:CN731"/>
    <mergeCell ref="CM733:CN733"/>
    <mergeCell ref="CK738:CL738"/>
    <mergeCell ref="CP739:CT739"/>
    <mergeCell ref="CI737:CJ737"/>
    <mergeCell ref="CP737:CT737"/>
    <mergeCell ref="CU730:CY730"/>
    <mergeCell ref="CZ730:DD730"/>
    <mergeCell ref="CG733:CH733"/>
    <mergeCell ref="G662:R662"/>
    <mergeCell ref="AO648:AS648"/>
    <mergeCell ref="W644:Y644"/>
    <mergeCell ref="CZ731:DD731"/>
    <mergeCell ref="CP736:CT736"/>
    <mergeCell ref="CU736:CY736"/>
    <mergeCell ref="CM747:CN747"/>
    <mergeCell ref="CI745:CJ745"/>
    <mergeCell ref="CK746:CL746"/>
    <mergeCell ref="CP742:CT742"/>
    <mergeCell ref="CU748:CY748"/>
    <mergeCell ref="CI747:CJ747"/>
    <mergeCell ref="CM742:CN742"/>
    <mergeCell ref="CZ733:DD733"/>
    <mergeCell ref="CK737:CL737"/>
    <mergeCell ref="CM741:CN741"/>
    <mergeCell ref="CZ736:DD736"/>
    <mergeCell ref="CK731:CL731"/>
    <mergeCell ref="DJ738:DN738"/>
    <mergeCell ref="DJ735:DN735"/>
    <mergeCell ref="DJ734:DN734"/>
    <mergeCell ref="CI733:CJ733"/>
    <mergeCell ref="CZ740:DD740"/>
    <mergeCell ref="DJ736:DN736"/>
    <mergeCell ref="DE745:DI745"/>
    <mergeCell ref="CM732:CN732"/>
    <mergeCell ref="CU744:CY744"/>
    <mergeCell ref="CP731:CT731"/>
    <mergeCell ref="CU735:CY735"/>
    <mergeCell ref="CK732:CL732"/>
    <mergeCell ref="DE738:DI738"/>
    <mergeCell ref="CM738:CN738"/>
    <mergeCell ref="CK735:CL735"/>
    <mergeCell ref="DE742:DI742"/>
    <mergeCell ref="DE740:DI740"/>
    <mergeCell ref="CP735:CT735"/>
    <mergeCell ref="CI735:CJ735"/>
    <mergeCell ref="CZ743:DD743"/>
    <mergeCell ref="CU742:CY742"/>
    <mergeCell ref="CP744:CT744"/>
    <mergeCell ref="CM745:CN745"/>
    <mergeCell ref="CU745:CY745"/>
    <mergeCell ref="CZ746:DD746"/>
    <mergeCell ref="CM744:CN744"/>
    <mergeCell ref="CI746:CJ746"/>
    <mergeCell ref="CP749:CT749"/>
    <mergeCell ref="CG749:CH749"/>
    <mergeCell ref="CI734:CJ734"/>
    <mergeCell ref="CG734:CH734"/>
    <mergeCell ref="CM735:CN735"/>
    <mergeCell ref="CK734:CL734"/>
    <mergeCell ref="CI741:CJ741"/>
    <mergeCell ref="CP745:CT745"/>
    <mergeCell ref="CZ742:DD742"/>
    <mergeCell ref="CI743:CJ743"/>
    <mergeCell ref="CP741:CT741"/>
    <mergeCell ref="CK743:CL743"/>
    <mergeCell ref="CK744:CL744"/>
    <mergeCell ref="CG745:CH745"/>
    <mergeCell ref="CZ737:DD737"/>
    <mergeCell ref="CZ739:DD739"/>
    <mergeCell ref="CK739:CL739"/>
    <mergeCell ref="CU739:CY739"/>
    <mergeCell ref="CM740:CN740"/>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U738:CY738"/>
    <mergeCell ref="CI739:CJ739"/>
    <mergeCell ref="CI736:CJ736"/>
    <mergeCell ref="CG750:CH750"/>
    <mergeCell ref="CK749:CL749"/>
    <mergeCell ref="CM749:CN749"/>
    <mergeCell ref="CP732:CT732"/>
    <mergeCell ref="AK739:AO739"/>
    <mergeCell ref="AK735:AO735"/>
    <mergeCell ref="AH732:AJ732"/>
    <mergeCell ref="CG746:CH746"/>
    <mergeCell ref="CK747:CL747"/>
    <mergeCell ref="N665:O665"/>
    <mergeCell ref="Z668:AK668"/>
    <mergeCell ref="G671:L671"/>
    <mergeCell ref="T740:W740"/>
    <mergeCell ref="T739:W739"/>
    <mergeCell ref="AH735:AJ735"/>
    <mergeCell ref="X733:AB733"/>
    <mergeCell ref="X729:AB729"/>
    <mergeCell ref="X735:AB735"/>
    <mergeCell ref="K728:N728"/>
    <mergeCell ref="AC727:AG727"/>
    <mergeCell ref="AA680:AK680"/>
    <mergeCell ref="Z692:AK692"/>
    <mergeCell ref="AK728:AO728"/>
    <mergeCell ref="T735:W735"/>
    <mergeCell ref="G683:R683"/>
    <mergeCell ref="O735:S735"/>
    <mergeCell ref="G727:J727"/>
    <mergeCell ref="X732:AB732"/>
    <mergeCell ref="CK736:CL736"/>
    <mergeCell ref="AH727:AJ727"/>
    <mergeCell ref="CK733:CL733"/>
    <mergeCell ref="CG741:CH741"/>
    <mergeCell ref="CI742:CJ742"/>
    <mergeCell ref="AK745:AO745"/>
    <mergeCell ref="AA672:AK672"/>
    <mergeCell ref="Z669:AK669"/>
    <mergeCell ref="G677:R677"/>
    <mergeCell ref="K732:N732"/>
    <mergeCell ref="AI663:AK663"/>
    <mergeCell ref="G670:R670"/>
    <mergeCell ref="AG689:AH689"/>
    <mergeCell ref="AI695:AK695"/>
    <mergeCell ref="J713:O713"/>
    <mergeCell ref="Z676:AK676"/>
    <mergeCell ref="G684:R684"/>
    <mergeCell ref="O730:S730"/>
    <mergeCell ref="G742:J742"/>
    <mergeCell ref="O737:S737"/>
    <mergeCell ref="P695:R695"/>
    <mergeCell ref="R713:T713"/>
    <mergeCell ref="O739:S739"/>
    <mergeCell ref="T726:W726"/>
    <mergeCell ref="O729:S729"/>
    <mergeCell ref="K730:N730"/>
    <mergeCell ref="K731:N731"/>
    <mergeCell ref="T731:W731"/>
    <mergeCell ref="K729:N729"/>
    <mergeCell ref="AE701:AF701"/>
    <mergeCell ref="O726:S726"/>
    <mergeCell ref="O731:S731"/>
    <mergeCell ref="X731:AB731"/>
    <mergeCell ref="T736:W736"/>
    <mergeCell ref="H688:R688"/>
    <mergeCell ref="N697:O697"/>
    <mergeCell ref="Z663:AE663"/>
    <mergeCell ref="AG673:AH673"/>
    <mergeCell ref="G692:R692"/>
    <mergeCell ref="O736:S736"/>
    <mergeCell ref="K726:N726"/>
    <mergeCell ref="F951:T951"/>
    <mergeCell ref="U951:Z951"/>
    <mergeCell ref="AA951:AF951"/>
    <mergeCell ref="C901:AB901"/>
    <mergeCell ref="U933:Z933"/>
    <mergeCell ref="U942:Z942"/>
    <mergeCell ref="U943:Z943"/>
    <mergeCell ref="F949:T949"/>
    <mergeCell ref="U948:Z948"/>
    <mergeCell ref="U949:Z949"/>
    <mergeCell ref="AA947:AF947"/>
    <mergeCell ref="U932:Z932"/>
    <mergeCell ref="BD911:BE911"/>
    <mergeCell ref="BD909:BE909"/>
    <mergeCell ref="AC902:AH902"/>
    <mergeCell ref="AA932:AF932"/>
    <mergeCell ref="AB926:AE926"/>
    <mergeCell ref="AA931:AF931"/>
    <mergeCell ref="BD908:BE908"/>
    <mergeCell ref="BD910:BE910"/>
    <mergeCell ref="BD913:BE913"/>
    <mergeCell ref="AA941:AF941"/>
    <mergeCell ref="F947:T947"/>
    <mergeCell ref="F938:T938"/>
    <mergeCell ref="F939:T939"/>
    <mergeCell ref="F940:T940"/>
    <mergeCell ref="U945:Z945"/>
    <mergeCell ref="AZ859:BA859"/>
    <mergeCell ref="Q838:T838"/>
    <mergeCell ref="AA937:AF937"/>
    <mergeCell ref="Q839:T839"/>
    <mergeCell ref="W863:AC863"/>
    <mergeCell ref="W860:AC860"/>
    <mergeCell ref="W862:AC862"/>
    <mergeCell ref="W883:AC883"/>
    <mergeCell ref="C845:AJ845"/>
    <mergeCell ref="W884:AC884"/>
    <mergeCell ref="T866:V866"/>
    <mergeCell ref="T868:V868"/>
    <mergeCell ref="W876:AC876"/>
    <mergeCell ref="W870:AC870"/>
    <mergeCell ref="BD915:BF915"/>
    <mergeCell ref="BD914:BF914"/>
    <mergeCell ref="BD919:BE919"/>
    <mergeCell ref="BD912:BE912"/>
    <mergeCell ref="AC898:AH898"/>
    <mergeCell ref="AC903:AH903"/>
    <mergeCell ref="Z908:AE908"/>
    <mergeCell ref="AC897:AH897"/>
    <mergeCell ref="AW927:AY927"/>
    <mergeCell ref="AA935:AF935"/>
    <mergeCell ref="U936:Z936"/>
    <mergeCell ref="AA936:AF936"/>
    <mergeCell ref="AC896:AH896"/>
    <mergeCell ref="AC899:AH899"/>
    <mergeCell ref="AG839:AJ839"/>
    <mergeCell ref="F935:T935"/>
    <mergeCell ref="F936:T936"/>
    <mergeCell ref="AG838:AJ838"/>
    <mergeCell ref="U840:X840"/>
    <mergeCell ref="M840:P840"/>
    <mergeCell ref="W885:AC885"/>
    <mergeCell ref="M869:V869"/>
    <mergeCell ref="W853:AC853"/>
    <mergeCell ref="M854:V854"/>
    <mergeCell ref="J857:V857"/>
    <mergeCell ref="W854:AC854"/>
    <mergeCell ref="M838:P838"/>
    <mergeCell ref="C840:L840"/>
    <mergeCell ref="W865:AC865"/>
    <mergeCell ref="W851:AC851"/>
    <mergeCell ref="M839:P839"/>
    <mergeCell ref="F946:T946"/>
    <mergeCell ref="U946:Z946"/>
    <mergeCell ref="AA946:AF946"/>
    <mergeCell ref="M837:P837"/>
    <mergeCell ref="C837:H837"/>
    <mergeCell ref="Z823:AE823"/>
    <mergeCell ref="Z816:AE816"/>
    <mergeCell ref="AC785:AG785"/>
    <mergeCell ref="T802:W802"/>
    <mergeCell ref="T800:W800"/>
    <mergeCell ref="O785:S785"/>
    <mergeCell ref="X796:AB796"/>
    <mergeCell ref="Z825:AE825"/>
    <mergeCell ref="P824:Y824"/>
    <mergeCell ref="U836:X836"/>
    <mergeCell ref="AG836:AJ836"/>
    <mergeCell ref="Z815:AE815"/>
    <mergeCell ref="O782:S782"/>
    <mergeCell ref="O802:S802"/>
    <mergeCell ref="M883:V883"/>
    <mergeCell ref="Y839:AB839"/>
    <mergeCell ref="W859:AC859"/>
    <mergeCell ref="AC801:AG801"/>
    <mergeCell ref="X783:AB783"/>
    <mergeCell ref="X784:AB784"/>
    <mergeCell ref="Q835:T835"/>
    <mergeCell ref="M836:P836"/>
    <mergeCell ref="M835:P835"/>
    <mergeCell ref="J805:N805"/>
    <mergeCell ref="J803:N803"/>
    <mergeCell ref="AC782:AG782"/>
    <mergeCell ref="X785:AB785"/>
    <mergeCell ref="X797:AB797"/>
    <mergeCell ref="J782:N782"/>
    <mergeCell ref="AC783:AG783"/>
    <mergeCell ref="AC791:AG794"/>
    <mergeCell ref="U837:X837"/>
    <mergeCell ref="C834:H834"/>
    <mergeCell ref="K760:N760"/>
    <mergeCell ref="O805:S805"/>
    <mergeCell ref="O796:S796"/>
    <mergeCell ref="J800:N800"/>
    <mergeCell ref="Z814:AE814"/>
    <mergeCell ref="X799:AB799"/>
    <mergeCell ref="Q837:T837"/>
    <mergeCell ref="T799:W799"/>
    <mergeCell ref="T795:W795"/>
    <mergeCell ref="T796:W796"/>
    <mergeCell ref="T797:W797"/>
    <mergeCell ref="O803:S803"/>
    <mergeCell ref="AC799:AG799"/>
    <mergeCell ref="C833:H833"/>
    <mergeCell ref="M833:P833"/>
    <mergeCell ref="C836:H836"/>
    <mergeCell ref="X760:AB760"/>
    <mergeCell ref="Q836:T836"/>
    <mergeCell ref="J777:N780"/>
    <mergeCell ref="AG831:AJ832"/>
    <mergeCell ref="AC805:AG805"/>
    <mergeCell ref="AC795:AG795"/>
    <mergeCell ref="AC761:AG761"/>
    <mergeCell ref="O761:S761"/>
    <mergeCell ref="AC834:AF834"/>
    <mergeCell ref="AC835:AF835"/>
    <mergeCell ref="Q833:T833"/>
    <mergeCell ref="AG835:AJ835"/>
    <mergeCell ref="Z822:AE822"/>
    <mergeCell ref="J799:N799"/>
    <mergeCell ref="X800:AB800"/>
    <mergeCell ref="U834:X834"/>
    <mergeCell ref="X802:AB802"/>
    <mergeCell ref="AC797:AG797"/>
    <mergeCell ref="AC798:AG798"/>
    <mergeCell ref="Z826:AE826"/>
    <mergeCell ref="T803:W803"/>
    <mergeCell ref="T784:W784"/>
    <mergeCell ref="T782:W782"/>
    <mergeCell ref="O798:S798"/>
    <mergeCell ref="T804:W804"/>
    <mergeCell ref="T737:W737"/>
    <mergeCell ref="J802:N802"/>
    <mergeCell ref="J797:N797"/>
    <mergeCell ref="X803:AB803"/>
    <mergeCell ref="Z821:AE821"/>
    <mergeCell ref="C806:AN807"/>
    <mergeCell ref="J801:N801"/>
    <mergeCell ref="G760:J760"/>
    <mergeCell ref="Y809:AC809"/>
    <mergeCell ref="Y808:AC808"/>
    <mergeCell ref="T749:W749"/>
    <mergeCell ref="AC804:AG804"/>
    <mergeCell ref="AC796:AG796"/>
    <mergeCell ref="O791:S794"/>
    <mergeCell ref="AK754:AO754"/>
    <mergeCell ref="O743:S743"/>
    <mergeCell ref="O801:S801"/>
    <mergeCell ref="J798:N798"/>
    <mergeCell ref="AK737:AO737"/>
    <mergeCell ref="T750:W750"/>
    <mergeCell ref="O764:R764"/>
    <mergeCell ref="X758:AB758"/>
    <mergeCell ref="AC757:AG757"/>
    <mergeCell ref="X748:AB748"/>
    <mergeCell ref="K755:N755"/>
    <mergeCell ref="AH758:AJ758"/>
    <mergeCell ref="B760:F760"/>
    <mergeCell ref="B759:F759"/>
    <mergeCell ref="B750:F750"/>
    <mergeCell ref="X777:AB780"/>
    <mergeCell ref="T777:W780"/>
    <mergeCell ref="B728:F728"/>
    <mergeCell ref="B730:F730"/>
    <mergeCell ref="AG681:AH681"/>
    <mergeCell ref="B733:F733"/>
    <mergeCell ref="B732:F732"/>
    <mergeCell ref="B735:F735"/>
    <mergeCell ref="G687:L687"/>
    <mergeCell ref="X736:AB736"/>
    <mergeCell ref="G726:J726"/>
    <mergeCell ref="E715:AK715"/>
    <mergeCell ref="W714:AK714"/>
    <mergeCell ref="AH757:AJ757"/>
    <mergeCell ref="AH747:AJ747"/>
    <mergeCell ref="AH748:AJ748"/>
    <mergeCell ref="B731:F731"/>
    <mergeCell ref="B737:F737"/>
    <mergeCell ref="B739:F739"/>
    <mergeCell ref="B738:F738"/>
    <mergeCell ref="G735:J735"/>
    <mergeCell ref="N681:O681"/>
    <mergeCell ref="G695:L695"/>
    <mergeCell ref="T733:W733"/>
    <mergeCell ref="G732:J732"/>
    <mergeCell ref="AG599:AH599"/>
    <mergeCell ref="G580:L580"/>
    <mergeCell ref="Z589:AE589"/>
    <mergeCell ref="Z594:AK594"/>
    <mergeCell ref="P605:R605"/>
    <mergeCell ref="G605:L605"/>
    <mergeCell ref="AF638:AJ638"/>
    <mergeCell ref="G693:R693"/>
    <mergeCell ref="M643:P643"/>
    <mergeCell ref="C643:L643"/>
    <mergeCell ref="N657:O657"/>
    <mergeCell ref="G678:R678"/>
    <mergeCell ref="Z677:AK677"/>
    <mergeCell ref="T730:W730"/>
    <mergeCell ref="Z685:AK685"/>
    <mergeCell ref="B726:F726"/>
    <mergeCell ref="G728:J728"/>
    <mergeCell ref="B729:F729"/>
    <mergeCell ref="O727:S727"/>
    <mergeCell ref="G610:R610"/>
    <mergeCell ref="G617:R617"/>
    <mergeCell ref="Z613:AE613"/>
    <mergeCell ref="Z617:AK617"/>
    <mergeCell ref="N615:O615"/>
    <mergeCell ref="G601:R601"/>
    <mergeCell ref="G613:L613"/>
    <mergeCell ref="H614:R614"/>
    <mergeCell ref="AI605:AK605"/>
    <mergeCell ref="G618:R618"/>
    <mergeCell ref="A625:AT626"/>
    <mergeCell ref="M644:P644"/>
    <mergeCell ref="T643:V643"/>
    <mergeCell ref="AH513:AK513"/>
    <mergeCell ref="AA345:AK345"/>
    <mergeCell ref="H342:R342"/>
    <mergeCell ref="Q501:AK501"/>
    <mergeCell ref="AC510:AF510"/>
    <mergeCell ref="B522:H524"/>
    <mergeCell ref="B525:H527"/>
    <mergeCell ref="D415:AJ416"/>
    <mergeCell ref="D454:AF454"/>
    <mergeCell ref="D460:AJ461"/>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D477:V477"/>
    <mergeCell ref="W481:Y481"/>
    <mergeCell ref="Q403:U403"/>
    <mergeCell ref="AD421:AE421"/>
    <mergeCell ref="H423:AE424"/>
    <mergeCell ref="AE434:AF434"/>
    <mergeCell ref="T564:V564"/>
    <mergeCell ref="AC528:AF528"/>
    <mergeCell ref="AC535:AF535"/>
    <mergeCell ref="W559:Y561"/>
    <mergeCell ref="AH529:AK529"/>
    <mergeCell ref="AC538:AF538"/>
    <mergeCell ref="Z563:AD563"/>
    <mergeCell ref="O543:AA543"/>
    <mergeCell ref="AH531:AK531"/>
    <mergeCell ref="AE562:AH562"/>
    <mergeCell ref="I430:K430"/>
    <mergeCell ref="AH532:AK532"/>
    <mergeCell ref="AH533:AK533"/>
    <mergeCell ref="P427:R427"/>
    <mergeCell ref="Q500:AK500"/>
    <mergeCell ref="AF427:AH427"/>
    <mergeCell ref="AC536:AF536"/>
    <mergeCell ref="C562:L562"/>
    <mergeCell ref="D455:AF455"/>
    <mergeCell ref="D456:AF456"/>
    <mergeCell ref="W474:Y474"/>
    <mergeCell ref="AG455:AJ455"/>
    <mergeCell ref="W475:Y475"/>
    <mergeCell ref="W478:Y478"/>
    <mergeCell ref="D479:V479"/>
    <mergeCell ref="O540:AA540"/>
    <mergeCell ref="P433:Q433"/>
    <mergeCell ref="AC529:AF529"/>
    <mergeCell ref="AH535:AK535"/>
    <mergeCell ref="AC525:AF525"/>
    <mergeCell ref="D481:V481"/>
    <mergeCell ref="AC512:AF512"/>
    <mergeCell ref="D478:V478"/>
    <mergeCell ref="D447:AF447"/>
    <mergeCell ref="H323:R323"/>
    <mergeCell ref="H325:M325"/>
    <mergeCell ref="AA331:AK331"/>
    <mergeCell ref="AA339:AK339"/>
    <mergeCell ref="H333:M333"/>
    <mergeCell ref="AA334:AK334"/>
    <mergeCell ref="H324:M324"/>
    <mergeCell ref="H330:R330"/>
    <mergeCell ref="H331:R331"/>
    <mergeCell ref="N372:O372"/>
    <mergeCell ref="AA346:AK346"/>
    <mergeCell ref="AA341:AF341"/>
    <mergeCell ref="H341:M341"/>
    <mergeCell ref="H338:R338"/>
    <mergeCell ref="H339:R339"/>
    <mergeCell ref="P340:R340"/>
    <mergeCell ref="AA333:AF333"/>
    <mergeCell ref="H337:R337"/>
    <mergeCell ref="AI332:AK332"/>
    <mergeCell ref="AA329:AK329"/>
    <mergeCell ref="H326:R326"/>
    <mergeCell ref="P332:R332"/>
    <mergeCell ref="AA324:AF324"/>
    <mergeCell ref="P358:AE358"/>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P348:R348"/>
    <mergeCell ref="AA350:AK350"/>
    <mergeCell ref="E377:AH378"/>
    <mergeCell ref="Q374:AG374"/>
    <mergeCell ref="H349:M349"/>
    <mergeCell ref="S411:U411"/>
    <mergeCell ref="AA348:AF348"/>
    <mergeCell ref="S497:AK498"/>
    <mergeCell ref="AA332:AF332"/>
    <mergeCell ref="H329:R329"/>
    <mergeCell ref="H332:M332"/>
    <mergeCell ref="M272:R272"/>
    <mergeCell ref="M274:T274"/>
    <mergeCell ref="AA323:AK323"/>
    <mergeCell ref="AA322:AK322"/>
    <mergeCell ref="H328:R328"/>
    <mergeCell ref="AA325:AF325"/>
    <mergeCell ref="AA306:AK306"/>
    <mergeCell ref="H297:R297"/>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M263:AE263"/>
    <mergeCell ref="AA299:AK299"/>
    <mergeCell ref="AH271:AK271"/>
    <mergeCell ref="T276:X276"/>
    <mergeCell ref="AA328:AK328"/>
    <mergeCell ref="AA300:AF300"/>
    <mergeCell ref="AI300:AK300"/>
    <mergeCell ref="H305:R305"/>
    <mergeCell ref="L285:S285"/>
    <mergeCell ref="L287:Q287"/>
    <mergeCell ref="AA298:AK298"/>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H336:R336"/>
    <mergeCell ref="H315:R315"/>
    <mergeCell ref="AA313:AK313"/>
    <mergeCell ref="AA318:AK318"/>
    <mergeCell ref="AA316:AF316"/>
    <mergeCell ref="AA314:AK314"/>
    <mergeCell ref="AA326:AK326"/>
    <mergeCell ref="AA337:AK337"/>
    <mergeCell ref="AA336:AK336"/>
    <mergeCell ref="AI324:AK324"/>
    <mergeCell ref="AA321:AK321"/>
    <mergeCell ref="AA338:AK338"/>
    <mergeCell ref="AA330:AK330"/>
    <mergeCell ref="H334:R334"/>
    <mergeCell ref="H316:M316"/>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AC379:AF379"/>
    <mergeCell ref="AI401:AJ401"/>
    <mergeCell ref="C566:L566"/>
    <mergeCell ref="AC515:AF515"/>
    <mergeCell ref="AE411:AJ411"/>
    <mergeCell ref="AC394:AJ39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AG404:AJ404"/>
    <mergeCell ref="AG403:AJ403"/>
    <mergeCell ref="E429:AJ429"/>
    <mergeCell ref="V386:W386"/>
    <mergeCell ref="S386:T386"/>
    <mergeCell ref="D446:AF446"/>
    <mergeCell ref="D451:AF451"/>
    <mergeCell ref="AF439:AG439"/>
    <mergeCell ref="AG446:AJ446"/>
    <mergeCell ref="J397:U397"/>
    <mergeCell ref="AG458:AJ458"/>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CK729:CL729"/>
    <mergeCell ref="CM734:CN734"/>
    <mergeCell ref="CM726:CN726"/>
    <mergeCell ref="CI740:CJ740"/>
    <mergeCell ref="CM736:CN736"/>
    <mergeCell ref="G654:R654"/>
    <mergeCell ref="Z660:AK660"/>
    <mergeCell ref="G722:J725"/>
    <mergeCell ref="G676:R676"/>
    <mergeCell ref="CU734:CY734"/>
    <mergeCell ref="CZ734:DD734"/>
    <mergeCell ref="CK730:CL730"/>
    <mergeCell ref="AG697:AH697"/>
    <mergeCell ref="CK727:CL727"/>
    <mergeCell ref="CG732:CH732"/>
    <mergeCell ref="CG738:CH738"/>
    <mergeCell ref="CG736:CH736"/>
    <mergeCell ref="X726:AB726"/>
    <mergeCell ref="G730:J730"/>
    <mergeCell ref="G691:R691"/>
    <mergeCell ref="N689:O689"/>
    <mergeCell ref="X727:AB727"/>
    <mergeCell ref="G694:R694"/>
    <mergeCell ref="CG740:CH740"/>
    <mergeCell ref="H656:R656"/>
    <mergeCell ref="T727:W727"/>
    <mergeCell ref="O732:S732"/>
    <mergeCell ref="O722:S725"/>
    <mergeCell ref="G669:R669"/>
    <mergeCell ref="K737:N737"/>
    <mergeCell ref="AH734:AJ734"/>
    <mergeCell ref="O738:S738"/>
    <mergeCell ref="AM565:AS565"/>
    <mergeCell ref="W638:Y638"/>
    <mergeCell ref="AH753:AJ753"/>
    <mergeCell ref="AH754:AJ754"/>
    <mergeCell ref="AH755:AJ755"/>
    <mergeCell ref="AH756:AJ756"/>
    <mergeCell ref="Z667:AK667"/>
    <mergeCell ref="CG742:CH742"/>
    <mergeCell ref="CP747:CT747"/>
    <mergeCell ref="CM746:CN746"/>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M503:P503"/>
    <mergeCell ref="AC509:AF509"/>
    <mergeCell ref="AG447:AJ447"/>
    <mergeCell ref="B509:H510"/>
    <mergeCell ref="O531:AA531"/>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M566:P566"/>
    <mergeCell ref="G579:R579"/>
    <mergeCell ref="Q567:S567"/>
    <mergeCell ref="C635:L635"/>
    <mergeCell ref="P589:R589"/>
    <mergeCell ref="N599:O599"/>
    <mergeCell ref="Q568:S568"/>
    <mergeCell ref="Q573:S573"/>
    <mergeCell ref="Q569:S569"/>
    <mergeCell ref="AM568:AS568"/>
    <mergeCell ref="D458:AF458"/>
    <mergeCell ref="Q562:S562"/>
    <mergeCell ref="AH537:AK537"/>
    <mergeCell ref="AH542:AK542"/>
    <mergeCell ref="AC518:AF518"/>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N591:O591"/>
    <mergeCell ref="AI568:AL568"/>
    <mergeCell ref="O528:AA528"/>
    <mergeCell ref="AE563:AH563"/>
    <mergeCell ref="AH526:AK526"/>
    <mergeCell ref="AH522:AK522"/>
    <mergeCell ref="Q563:S563"/>
    <mergeCell ref="AH547:AK547"/>
    <mergeCell ref="AH549:AK549"/>
    <mergeCell ref="AC543:AF543"/>
    <mergeCell ref="AI562:AL562"/>
    <mergeCell ref="AI566:AL566"/>
    <mergeCell ref="Q559:S561"/>
    <mergeCell ref="T559:V561"/>
    <mergeCell ref="M563:P563"/>
    <mergeCell ref="Q565:S565"/>
    <mergeCell ref="Z565:AD565"/>
    <mergeCell ref="C563:L563"/>
    <mergeCell ref="C564:L564"/>
    <mergeCell ref="M564:P564"/>
    <mergeCell ref="C567:L567"/>
    <mergeCell ref="B559:L561"/>
    <mergeCell ref="Z567:AD567"/>
    <mergeCell ref="Z570:AD570"/>
    <mergeCell ref="W569:Y569"/>
    <mergeCell ref="W570:Y570"/>
    <mergeCell ref="T567:V56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G729:J729"/>
    <mergeCell ref="Z559:AD561"/>
    <mergeCell ref="AH521:AK521"/>
    <mergeCell ref="DJ750:DN750"/>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ET760:EX760"/>
    <mergeCell ref="FO759:FS759"/>
    <mergeCell ref="EZ760:FD760"/>
    <mergeCell ref="FE760:FI760"/>
    <mergeCell ref="FJ760:FN760"/>
    <mergeCell ref="FO760:FS760"/>
    <mergeCell ref="EJ761:EN761"/>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K750:CL750"/>
    <mergeCell ref="CI750:CJ750"/>
    <mergeCell ref="CK752:CL752"/>
    <mergeCell ref="CM752:CN752"/>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DE747:DI747"/>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DE795:DI795"/>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3" fitToHeight="25" orientation="portrait" useFirstPageNumber="1" r:id="rId5"/>
  <headerFooter alignWithMargins="0">
    <oddFooter>&amp;C&amp;P&amp;R&amp;A</oddFooter>
  </headerFooter>
  <rowBreaks count="15" manualBreakCount="15">
    <brk id="69" max="45" man="1"/>
    <brk id="125" max="45" man="1"/>
    <brk id="168"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0" workbookViewId="0">
      <selection activeCell="C75" sqref="C75"/>
    </sheetView>
  </sheetViews>
  <sheetFormatPr defaultColWidth="0" defaultRowHeight="11.4" zeroHeight="1"/>
  <cols>
    <col min="1" max="1" width="35.6640625" style="128" customWidth="1"/>
    <col min="2" max="12" width="12.109375" style="112" customWidth="1"/>
    <col min="13" max="17" width="11.33203125" style="112" customWidth="1"/>
    <col min="18" max="18" width="12.6640625" style="112" customWidth="1"/>
    <col min="19" max="20" width="12.109375" style="112" customWidth="1"/>
    <col min="21" max="21" width="0.33203125" style="114" customWidth="1"/>
    <col min="22" max="16383" width="8.88671875" style="112" hidden="1"/>
    <col min="16384" max="16384" width="0.109375" style="112" customWidth="1"/>
  </cols>
  <sheetData>
    <row r="1" spans="1:21" s="78" customFormat="1" ht="13.8">
      <c r="A1" s="117" t="s">
        <v>1756</v>
      </c>
      <c r="B1" s="91"/>
      <c r="C1" s="91"/>
      <c r="D1" s="91"/>
      <c r="E1" s="92"/>
      <c r="F1" s="1804" t="s">
        <v>1757</v>
      </c>
      <c r="G1" s="1805"/>
      <c r="H1" s="1805"/>
      <c r="I1" s="1805"/>
      <c r="J1" s="1805"/>
      <c r="K1" s="1805"/>
      <c r="L1" s="1805"/>
      <c r="M1" s="1805"/>
      <c r="N1" s="1805"/>
      <c r="O1" s="1805"/>
      <c r="P1" s="1805"/>
      <c r="Q1" s="1805"/>
      <c r="R1" s="1806"/>
      <c r="S1" s="80"/>
      <c r="T1" s="79"/>
      <c r="U1" s="81"/>
    </row>
    <row r="2" spans="1:21" s="101" customFormat="1" ht="71.25" customHeight="1">
      <c r="A2" s="100"/>
      <c r="B2" s="101" t="s">
        <v>1758</v>
      </c>
      <c r="C2" s="101" t="s">
        <v>1759</v>
      </c>
      <c r="D2" s="101" t="s">
        <v>1760</v>
      </c>
      <c r="E2" s="101" t="s">
        <v>1761</v>
      </c>
      <c r="F2" s="102" t="str">
        <f>Application!B635&amp;Application!C635</f>
        <v>1)Keybank - Tax Exempt Perm Loan</v>
      </c>
      <c r="G2" s="102" t="str">
        <f>Application!B636&amp;Application!C636</f>
        <v>2)Keybank - Taxable Perm Loan</v>
      </c>
      <c r="H2" s="102" t="str">
        <f>Application!B637&amp;Application!C637</f>
        <v>3)Operation</v>
      </c>
      <c r="I2" s="102" t="str">
        <f>Application!B638&amp;Application!C638</f>
        <v>4)DDF</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1762</v>
      </c>
      <c r="S2" s="101" t="s">
        <v>1763</v>
      </c>
      <c r="T2" s="101" t="s">
        <v>1764</v>
      </c>
      <c r="U2" s="103"/>
    </row>
    <row r="3" spans="1:21" s="105" customFormat="1">
      <c r="A3" s="104" t="s">
        <v>1765</v>
      </c>
      <c r="B3" s="1208"/>
      <c r="C3" s="1208"/>
      <c r="D3" s="1208"/>
      <c r="E3" s="1208"/>
      <c r="F3" s="1208"/>
      <c r="G3" s="1208"/>
      <c r="H3" s="1208"/>
      <c r="I3" s="1208"/>
      <c r="J3" s="1208"/>
      <c r="K3" s="1208"/>
      <c r="L3" s="1208"/>
      <c r="M3" s="1208"/>
      <c r="N3" s="1208"/>
      <c r="O3" s="1208"/>
      <c r="P3" s="1208"/>
      <c r="Q3" s="1208"/>
      <c r="R3" s="1208"/>
      <c r="S3" s="1208"/>
      <c r="T3" s="1208"/>
      <c r="U3" s="1209"/>
    </row>
    <row r="4" spans="1:21" s="105" customFormat="1">
      <c r="A4" s="195" t="s">
        <v>1766</v>
      </c>
      <c r="B4" s="245">
        <f>SUM(C4+D4)</f>
        <v>0</v>
      </c>
      <c r="C4" s="868"/>
      <c r="D4" s="868"/>
      <c r="E4" s="868"/>
      <c r="F4" s="868"/>
      <c r="G4" s="868"/>
      <c r="H4" s="868"/>
      <c r="I4" s="868"/>
      <c r="J4" s="868"/>
      <c r="K4" s="868"/>
      <c r="L4" s="868"/>
      <c r="M4" s="868"/>
      <c r="N4" s="868"/>
      <c r="O4" s="868"/>
      <c r="P4" s="868"/>
      <c r="Q4" s="868"/>
      <c r="R4" s="416">
        <f>SUM(E4:Q4)</f>
        <v>0</v>
      </c>
      <c r="S4" s="1210"/>
      <c r="T4" s="1210"/>
      <c r="U4" s="1209"/>
    </row>
    <row r="5" spans="1:21" s="105" customFormat="1">
      <c r="A5" s="195" t="s">
        <v>694</v>
      </c>
      <c r="B5" s="245">
        <f>SUM(C5+D5)</f>
        <v>0</v>
      </c>
      <c r="C5" s="868"/>
      <c r="D5" s="868"/>
      <c r="E5" s="868"/>
      <c r="F5" s="868"/>
      <c r="G5" s="868"/>
      <c r="H5" s="868"/>
      <c r="I5" s="868"/>
      <c r="J5" s="868"/>
      <c r="K5" s="868"/>
      <c r="L5" s="868"/>
      <c r="M5" s="868"/>
      <c r="N5" s="868"/>
      <c r="O5" s="868"/>
      <c r="P5" s="868"/>
      <c r="Q5" s="868"/>
      <c r="R5" s="416">
        <f>SUM(E5:Q5)</f>
        <v>0</v>
      </c>
      <c r="S5" s="1210"/>
      <c r="T5" s="1210"/>
      <c r="U5" s="1209"/>
    </row>
    <row r="6" spans="1:21" s="105" customFormat="1">
      <c r="A6" s="195" t="s">
        <v>1767</v>
      </c>
      <c r="B6" s="245">
        <f>SUM(C6+D6)</f>
        <v>0</v>
      </c>
      <c r="C6" s="868"/>
      <c r="D6" s="868"/>
      <c r="E6" s="868"/>
      <c r="F6" s="868"/>
      <c r="G6" s="868"/>
      <c r="H6" s="868"/>
      <c r="I6" s="868"/>
      <c r="J6" s="868"/>
      <c r="K6" s="868"/>
      <c r="L6" s="868"/>
      <c r="M6" s="868"/>
      <c r="N6" s="868"/>
      <c r="O6" s="868"/>
      <c r="P6" s="868"/>
      <c r="Q6" s="868"/>
      <c r="R6" s="416">
        <f>SUM(E6:Q6)</f>
        <v>0</v>
      </c>
      <c r="S6" s="1210"/>
      <c r="T6" s="1210"/>
      <c r="U6" s="1209"/>
    </row>
    <row r="7" spans="1:21" s="105" customFormat="1">
      <c r="A7" s="195" t="s">
        <v>1768</v>
      </c>
      <c r="B7" s="245">
        <f>SUM(C7+D7)</f>
        <v>0</v>
      </c>
      <c r="C7" s="868"/>
      <c r="D7" s="868"/>
      <c r="E7" s="868"/>
      <c r="F7" s="868"/>
      <c r="G7" s="868"/>
      <c r="H7" s="868"/>
      <c r="I7" s="868"/>
      <c r="J7" s="868"/>
      <c r="K7" s="868"/>
      <c r="L7" s="868"/>
      <c r="M7" s="868"/>
      <c r="N7" s="868"/>
      <c r="O7" s="868"/>
      <c r="P7" s="868"/>
      <c r="Q7" s="868"/>
      <c r="R7" s="416">
        <f>SUM(E7:Q7)</f>
        <v>0</v>
      </c>
      <c r="S7" s="1210"/>
      <c r="T7" s="1210"/>
      <c r="U7" s="1209"/>
    </row>
    <row r="8" spans="1:21" s="105" customFormat="1" ht="12">
      <c r="A8" s="106" t="s">
        <v>1769</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10"/>
      <c r="T8" s="1210"/>
      <c r="U8" s="1209"/>
    </row>
    <row r="9" spans="1:21" s="105" customFormat="1">
      <c r="A9" s="195" t="s">
        <v>1770</v>
      </c>
      <c r="B9" s="245">
        <f>SUM(C9+D9)</f>
        <v>51000000</v>
      </c>
      <c r="C9" s="868">
        <v>51000000</v>
      </c>
      <c r="D9" s="868"/>
      <c r="E9" s="868">
        <f>30563966-E56-E57-E75-E80-E99-E100</f>
        <v>23525663</v>
      </c>
      <c r="F9" s="868">
        <v>22306185</v>
      </c>
      <c r="G9" s="868">
        <f>C9-E9-H9-F9</f>
        <v>5168152</v>
      </c>
      <c r="H9" s="868"/>
      <c r="I9" s="868"/>
      <c r="J9" s="868"/>
      <c r="K9" s="868"/>
      <c r="L9" s="868"/>
      <c r="M9" s="868"/>
      <c r="N9" s="868"/>
      <c r="O9" s="868"/>
      <c r="P9" s="868"/>
      <c r="Q9" s="868"/>
      <c r="R9" s="416">
        <f>SUM(E9:Q9)</f>
        <v>51000000</v>
      </c>
      <c r="S9" s="1210"/>
      <c r="T9" s="868">
        <f>R9</f>
        <v>51000000</v>
      </c>
      <c r="U9" s="1209"/>
    </row>
    <row r="10" spans="1:21" s="105" customFormat="1">
      <c r="A10" s="195" t="s">
        <v>1771</v>
      </c>
      <c r="B10" s="245">
        <f>SUM(C10+D10)</f>
        <v>0</v>
      </c>
      <c r="C10" s="868"/>
      <c r="D10" s="868"/>
      <c r="E10" s="868"/>
      <c r="F10" s="868"/>
      <c r="G10" s="868"/>
      <c r="H10" s="868"/>
      <c r="I10" s="868"/>
      <c r="J10" s="868"/>
      <c r="K10" s="868"/>
      <c r="L10" s="868"/>
      <c r="M10" s="868"/>
      <c r="N10" s="868"/>
      <c r="O10" s="868"/>
      <c r="P10" s="868"/>
      <c r="Q10" s="868"/>
      <c r="R10" s="416">
        <f>SUM(E10:Q10)</f>
        <v>0</v>
      </c>
      <c r="S10" s="868"/>
      <c r="T10" s="868"/>
      <c r="U10" s="1209"/>
    </row>
    <row r="11" spans="1:21" s="105" customFormat="1" ht="12">
      <c r="A11" s="106" t="s">
        <v>1772</v>
      </c>
      <c r="B11" s="245">
        <f>SUM(C11:D11)</f>
        <v>51000000</v>
      </c>
      <c r="C11" s="245">
        <f t="shared" ref="C11:Q11" si="1">SUM(C9:C10)</f>
        <v>51000000</v>
      </c>
      <c r="D11" s="245">
        <f t="shared" si="1"/>
        <v>0</v>
      </c>
      <c r="E11" s="245">
        <f t="shared" si="1"/>
        <v>23525663</v>
      </c>
      <c r="F11" s="245">
        <f t="shared" si="1"/>
        <v>22306185</v>
      </c>
      <c r="G11" s="245">
        <f t="shared" si="1"/>
        <v>5168152</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51000000</v>
      </c>
      <c r="S11" s="1210"/>
      <c r="T11" s="107">
        <f>SUM(T9:T10)</f>
        <v>51000000</v>
      </c>
      <c r="U11" s="1209"/>
    </row>
    <row r="12" spans="1:21" s="105" customFormat="1" ht="12">
      <c r="A12" s="106" t="s">
        <v>1773</v>
      </c>
      <c r="B12" s="245">
        <f t="shared" ref="B12:Q12" si="2">SUM(B8+B11)</f>
        <v>51000000</v>
      </c>
      <c r="C12" s="245">
        <f t="shared" si="2"/>
        <v>51000000</v>
      </c>
      <c r="D12" s="245">
        <f t="shared" si="2"/>
        <v>0</v>
      </c>
      <c r="E12" s="245">
        <f t="shared" si="2"/>
        <v>23525663</v>
      </c>
      <c r="F12" s="245">
        <f t="shared" si="2"/>
        <v>22306185</v>
      </c>
      <c r="G12" s="245">
        <f t="shared" si="2"/>
        <v>5168152</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51000000</v>
      </c>
      <c r="S12" s="1210"/>
      <c r="T12" s="1210"/>
      <c r="U12" s="1209"/>
    </row>
    <row r="13" spans="1:21" s="105" customFormat="1">
      <c r="A13" s="197" t="s">
        <v>1774</v>
      </c>
      <c r="B13" s="245">
        <f>SUM(C13+D13)</f>
        <v>0</v>
      </c>
      <c r="C13" s="868"/>
      <c r="D13" s="868"/>
      <c r="E13" s="868"/>
      <c r="F13" s="868"/>
      <c r="G13" s="868"/>
      <c r="H13" s="868"/>
      <c r="I13" s="868"/>
      <c r="J13" s="868"/>
      <c r="K13" s="868"/>
      <c r="L13" s="868"/>
      <c r="M13" s="868"/>
      <c r="N13" s="868"/>
      <c r="O13" s="868"/>
      <c r="P13" s="868"/>
      <c r="Q13" s="868"/>
      <c r="R13" s="416">
        <f>SUM(E13:Q13)</f>
        <v>0</v>
      </c>
      <c r="S13" s="868"/>
      <c r="T13" s="868"/>
      <c r="U13" s="1209"/>
    </row>
    <row r="14" spans="1:21" s="105" customFormat="1" ht="22.8">
      <c r="A14" s="198" t="s">
        <v>1775</v>
      </c>
      <c r="B14" s="245">
        <f>SUM(C14+D14)</f>
        <v>0</v>
      </c>
      <c r="C14" s="868"/>
      <c r="D14" s="868"/>
      <c r="E14" s="868"/>
      <c r="F14" s="868"/>
      <c r="G14" s="868"/>
      <c r="H14" s="868"/>
      <c r="I14" s="868"/>
      <c r="J14" s="868"/>
      <c r="K14" s="868"/>
      <c r="L14" s="868"/>
      <c r="M14" s="868"/>
      <c r="N14" s="868"/>
      <c r="O14" s="868"/>
      <c r="P14" s="868"/>
      <c r="Q14" s="868"/>
      <c r="R14" s="416">
        <f>SUM(E14:Q14)</f>
        <v>0</v>
      </c>
      <c r="S14" s="868"/>
      <c r="T14" s="868"/>
      <c r="U14" s="1209"/>
    </row>
    <row r="15" spans="1:21" s="105" customFormat="1">
      <c r="A15" s="198" t="s">
        <v>1776</v>
      </c>
      <c r="B15" s="245">
        <f>SUM(C15+D15)</f>
        <v>0</v>
      </c>
      <c r="C15" s="868"/>
      <c r="D15" s="868"/>
      <c r="E15" s="868"/>
      <c r="F15" s="868"/>
      <c r="G15" s="868"/>
      <c r="H15" s="868"/>
      <c r="I15" s="868"/>
      <c r="J15" s="868"/>
      <c r="K15" s="868"/>
      <c r="L15" s="868"/>
      <c r="M15" s="868"/>
      <c r="N15" s="868"/>
      <c r="O15" s="868"/>
      <c r="P15" s="868"/>
      <c r="Q15" s="868"/>
      <c r="R15" s="416">
        <f>SUM(E15:Q15)</f>
        <v>0</v>
      </c>
      <c r="S15" s="1210"/>
      <c r="T15" s="1210"/>
      <c r="U15" s="1209"/>
    </row>
    <row r="16" spans="1:21" s="105" customFormat="1">
      <c r="A16" s="104" t="s">
        <v>1777</v>
      </c>
      <c r="B16" s="1208"/>
      <c r="C16" s="1208"/>
      <c r="D16" s="1208"/>
      <c r="E16" s="246"/>
      <c r="F16" s="246"/>
      <c r="G16" s="246"/>
      <c r="H16" s="246"/>
      <c r="I16" s="246"/>
      <c r="J16" s="246"/>
      <c r="K16" s="246"/>
      <c r="L16" s="246"/>
      <c r="M16" s="246"/>
      <c r="N16" s="246"/>
      <c r="O16" s="246"/>
      <c r="P16" s="246"/>
      <c r="Q16" s="246"/>
      <c r="R16" s="246"/>
      <c r="S16" s="1208"/>
      <c r="T16" s="1208"/>
      <c r="U16" s="1209"/>
    </row>
    <row r="17" spans="1:21" s="105" customFormat="1">
      <c r="A17" s="195" t="s">
        <v>1778</v>
      </c>
      <c r="B17" s="245">
        <f t="shared" ref="B17:B26" si="3">SUM(C17+D17)</f>
        <v>1000000</v>
      </c>
      <c r="C17" s="868">
        <v>1000000</v>
      </c>
      <c r="D17" s="868"/>
      <c r="E17" s="868"/>
      <c r="F17" s="868"/>
      <c r="G17" s="868">
        <f t="shared" ref="G17:G21" si="4">C17-E17-H17</f>
        <v>1000000</v>
      </c>
      <c r="H17" s="868"/>
      <c r="I17" s="868"/>
      <c r="J17" s="868"/>
      <c r="K17" s="868"/>
      <c r="L17" s="868"/>
      <c r="M17" s="868"/>
      <c r="N17" s="868"/>
      <c r="O17" s="868"/>
      <c r="P17" s="868"/>
      <c r="Q17" s="868"/>
      <c r="R17" s="416">
        <f>SUM(E17:Q17)</f>
        <v>1000000</v>
      </c>
      <c r="S17" s="868">
        <f>R17</f>
        <v>1000000</v>
      </c>
      <c r="T17" s="868"/>
      <c r="U17" s="1209"/>
    </row>
    <row r="18" spans="1:21" s="105" customFormat="1">
      <c r="A18" s="195" t="s">
        <v>1779</v>
      </c>
      <c r="B18" s="245">
        <f t="shared" si="3"/>
        <v>11100000</v>
      </c>
      <c r="C18" s="868">
        <v>11100000</v>
      </c>
      <c r="D18" s="868"/>
      <c r="E18" s="868"/>
      <c r="F18" s="868"/>
      <c r="G18" s="868">
        <f t="shared" si="4"/>
        <v>11100000</v>
      </c>
      <c r="H18" s="868"/>
      <c r="I18" s="868"/>
      <c r="J18" s="868"/>
      <c r="K18" s="868"/>
      <c r="L18" s="868"/>
      <c r="M18" s="868"/>
      <c r="N18" s="868"/>
      <c r="O18" s="868"/>
      <c r="P18" s="868"/>
      <c r="Q18" s="868"/>
      <c r="R18" s="416">
        <f>SUM(E18:Q18)</f>
        <v>11100000</v>
      </c>
      <c r="S18" s="868">
        <f t="shared" ref="S18:S25" si="5">R18</f>
        <v>11100000</v>
      </c>
      <c r="T18" s="868"/>
      <c r="U18" s="1209"/>
    </row>
    <row r="19" spans="1:21" s="105" customFormat="1">
      <c r="A19" s="195" t="s">
        <v>1780</v>
      </c>
      <c r="B19" s="245">
        <f t="shared" si="3"/>
        <v>726000</v>
      </c>
      <c r="C19" s="868">
        <v>726000</v>
      </c>
      <c r="D19" s="868"/>
      <c r="E19" s="868"/>
      <c r="F19" s="868"/>
      <c r="G19" s="868">
        <f t="shared" si="4"/>
        <v>726000</v>
      </c>
      <c r="H19" s="868"/>
      <c r="I19" s="868"/>
      <c r="J19" s="868"/>
      <c r="K19" s="868"/>
      <c r="L19" s="868"/>
      <c r="M19" s="868"/>
      <c r="N19" s="868"/>
      <c r="O19" s="868"/>
      <c r="P19" s="868"/>
      <c r="Q19" s="868"/>
      <c r="R19" s="416">
        <f>SUM(E19:Q19)</f>
        <v>726000</v>
      </c>
      <c r="S19" s="868">
        <f t="shared" si="5"/>
        <v>726000</v>
      </c>
      <c r="T19" s="868"/>
      <c r="U19" s="1209"/>
    </row>
    <row r="20" spans="1:21" s="105" customFormat="1">
      <c r="A20" s="195" t="s">
        <v>1781</v>
      </c>
      <c r="B20" s="245">
        <f t="shared" si="3"/>
        <v>242000</v>
      </c>
      <c r="C20" s="868">
        <v>242000</v>
      </c>
      <c r="D20" s="868"/>
      <c r="E20" s="868"/>
      <c r="F20" s="868"/>
      <c r="G20" s="868">
        <f t="shared" si="4"/>
        <v>242000</v>
      </c>
      <c r="H20" s="868"/>
      <c r="I20" s="868"/>
      <c r="J20" s="868"/>
      <c r="K20" s="868"/>
      <c r="L20" s="868"/>
      <c r="M20" s="868"/>
      <c r="N20" s="868"/>
      <c r="O20" s="868"/>
      <c r="P20" s="868"/>
      <c r="Q20" s="868"/>
      <c r="R20" s="416">
        <f t="shared" ref="R20:R27" si="6">SUM(E20:Q20)</f>
        <v>242000</v>
      </c>
      <c r="S20" s="868">
        <f t="shared" si="5"/>
        <v>242000</v>
      </c>
      <c r="T20" s="868"/>
      <c r="U20" s="1209"/>
    </row>
    <row r="21" spans="1:21" s="105" customFormat="1">
      <c r="A21" s="195" t="s">
        <v>1782</v>
      </c>
      <c r="B21" s="245">
        <f t="shared" si="3"/>
        <v>726000</v>
      </c>
      <c r="C21" s="868">
        <v>726000</v>
      </c>
      <c r="D21" s="868"/>
      <c r="E21" s="868"/>
      <c r="F21" s="868"/>
      <c r="G21" s="868">
        <f t="shared" si="4"/>
        <v>726000</v>
      </c>
      <c r="H21" s="868"/>
      <c r="I21" s="868"/>
      <c r="J21" s="868"/>
      <c r="K21" s="868"/>
      <c r="L21" s="868"/>
      <c r="M21" s="868"/>
      <c r="N21" s="868"/>
      <c r="O21" s="868"/>
      <c r="P21" s="868"/>
      <c r="Q21" s="868"/>
      <c r="R21" s="416">
        <f t="shared" si="6"/>
        <v>726000</v>
      </c>
      <c r="S21" s="868">
        <f t="shared" si="5"/>
        <v>726000</v>
      </c>
      <c r="T21" s="868"/>
      <c r="U21" s="1209"/>
    </row>
    <row r="22" spans="1:21" s="105" customFormat="1">
      <c r="A22" s="195" t="s">
        <v>1783</v>
      </c>
      <c r="B22" s="245">
        <f t="shared" si="3"/>
        <v>0</v>
      </c>
      <c r="C22" s="868"/>
      <c r="D22" s="868"/>
      <c r="E22" s="868"/>
      <c r="F22" s="868"/>
      <c r="G22" s="868"/>
      <c r="H22" s="868"/>
      <c r="I22" s="868"/>
      <c r="J22" s="868"/>
      <c r="K22" s="868"/>
      <c r="L22" s="868"/>
      <c r="M22" s="868"/>
      <c r="N22" s="868"/>
      <c r="O22" s="868"/>
      <c r="P22" s="868"/>
      <c r="Q22" s="868"/>
      <c r="R22" s="416">
        <f t="shared" si="6"/>
        <v>0</v>
      </c>
      <c r="S22" s="868">
        <f t="shared" si="5"/>
        <v>0</v>
      </c>
      <c r="T22" s="868"/>
      <c r="U22" s="1209"/>
    </row>
    <row r="23" spans="1:21" s="105" customFormat="1">
      <c r="A23" s="195" t="s">
        <v>1784</v>
      </c>
      <c r="B23" s="245">
        <f t="shared" si="3"/>
        <v>0</v>
      </c>
      <c r="C23" s="868"/>
      <c r="D23" s="868"/>
      <c r="E23" s="868"/>
      <c r="F23" s="868"/>
      <c r="G23" s="868"/>
      <c r="H23" s="868"/>
      <c r="I23" s="868"/>
      <c r="J23" s="868"/>
      <c r="K23" s="868"/>
      <c r="L23" s="868"/>
      <c r="M23" s="868"/>
      <c r="N23" s="868"/>
      <c r="O23" s="868"/>
      <c r="P23" s="868"/>
      <c r="Q23" s="868"/>
      <c r="R23" s="416">
        <f t="shared" si="6"/>
        <v>0</v>
      </c>
      <c r="S23" s="868">
        <f t="shared" si="5"/>
        <v>0</v>
      </c>
      <c r="T23" s="868"/>
      <c r="U23" s="1209"/>
    </row>
    <row r="24" spans="1:21" s="105" customFormat="1">
      <c r="A24" s="409" t="s">
        <v>1785</v>
      </c>
      <c r="B24" s="245">
        <f t="shared" si="3"/>
        <v>0</v>
      </c>
      <c r="C24" s="868"/>
      <c r="D24" s="868"/>
      <c r="E24" s="868"/>
      <c r="F24" s="868"/>
      <c r="G24" s="868"/>
      <c r="H24" s="868"/>
      <c r="I24" s="868"/>
      <c r="J24" s="868"/>
      <c r="K24" s="868"/>
      <c r="L24" s="868"/>
      <c r="M24" s="868"/>
      <c r="N24" s="868"/>
      <c r="O24" s="868"/>
      <c r="P24" s="868"/>
      <c r="Q24" s="868"/>
      <c r="R24" s="416">
        <f t="shared" si="6"/>
        <v>0</v>
      </c>
      <c r="S24" s="868">
        <f t="shared" si="5"/>
        <v>0</v>
      </c>
      <c r="T24" s="868"/>
      <c r="U24" s="1209"/>
    </row>
    <row r="25" spans="1:21" s="105" customFormat="1">
      <c r="A25" s="1031" t="s">
        <v>1786</v>
      </c>
      <c r="B25" s="245">
        <f t="shared" si="3"/>
        <v>0</v>
      </c>
      <c r="C25" s="868"/>
      <c r="D25" s="868"/>
      <c r="E25" s="868"/>
      <c r="F25" s="868"/>
      <c r="G25" s="868"/>
      <c r="H25" s="868"/>
      <c r="I25" s="868"/>
      <c r="J25" s="868"/>
      <c r="K25" s="868"/>
      <c r="L25" s="868"/>
      <c r="M25" s="868"/>
      <c r="N25" s="868"/>
      <c r="O25" s="868"/>
      <c r="P25" s="868"/>
      <c r="Q25" s="868"/>
      <c r="R25" s="416">
        <f t="shared" si="6"/>
        <v>0</v>
      </c>
      <c r="S25" s="868">
        <f t="shared" si="5"/>
        <v>0</v>
      </c>
      <c r="T25" s="868"/>
      <c r="U25" s="1209"/>
    </row>
    <row r="26" spans="1:21" s="105" customFormat="1" ht="12">
      <c r="A26" s="106" t="s">
        <v>1787</v>
      </c>
      <c r="B26" s="245">
        <f t="shared" si="3"/>
        <v>13794000</v>
      </c>
      <c r="C26" s="245">
        <f>SUM(C17:C25)</f>
        <v>13794000</v>
      </c>
      <c r="D26" s="245">
        <f t="shared" ref="D26:Q26" si="7">SUM(D17:D25)</f>
        <v>0</v>
      </c>
      <c r="E26" s="245">
        <f t="shared" si="7"/>
        <v>0</v>
      </c>
      <c r="F26" s="245">
        <f t="shared" si="7"/>
        <v>0</v>
      </c>
      <c r="G26" s="245">
        <f t="shared" si="7"/>
        <v>13794000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13794000</v>
      </c>
      <c r="S26" s="107">
        <f>SUM(S17:S25)</f>
        <v>13794000</v>
      </c>
      <c r="T26" s="107">
        <f>SUM(T17:T25)</f>
        <v>0</v>
      </c>
      <c r="U26" s="1209"/>
    </row>
    <row r="27" spans="1:21" s="105" customFormat="1" ht="12">
      <c r="A27" s="106" t="s">
        <v>1788</v>
      </c>
      <c r="B27" s="245">
        <f>SUM(C27:D27)</f>
        <v>161250</v>
      </c>
      <c r="C27" s="868">
        <f>161250</f>
        <v>161250</v>
      </c>
      <c r="D27" s="868"/>
      <c r="E27" s="868"/>
      <c r="F27" s="868"/>
      <c r="G27" s="868">
        <f>C27-E27-H27</f>
        <v>161250</v>
      </c>
      <c r="H27" s="868"/>
      <c r="I27" s="868"/>
      <c r="J27" s="868"/>
      <c r="K27" s="868"/>
      <c r="L27" s="868"/>
      <c r="M27" s="868"/>
      <c r="N27" s="868"/>
      <c r="O27" s="868"/>
      <c r="P27" s="868"/>
      <c r="Q27" s="868"/>
      <c r="R27" s="416">
        <f t="shared" si="6"/>
        <v>161250</v>
      </c>
      <c r="S27" s="868">
        <v>0</v>
      </c>
      <c r="T27" s="868"/>
      <c r="U27" s="1209"/>
    </row>
    <row r="28" spans="1:21" s="105" customFormat="1">
      <c r="A28" s="104" t="s">
        <v>1789</v>
      </c>
      <c r="B28" s="1208"/>
      <c r="C28" s="1208"/>
      <c r="D28" s="1208"/>
      <c r="E28" s="246"/>
      <c r="F28" s="246"/>
      <c r="G28" s="246"/>
      <c r="H28" s="246"/>
      <c r="I28" s="246"/>
      <c r="J28" s="246"/>
      <c r="K28" s="246"/>
      <c r="L28" s="246"/>
      <c r="M28" s="246"/>
      <c r="N28" s="246"/>
      <c r="O28" s="246"/>
      <c r="P28" s="246"/>
      <c r="Q28" s="246"/>
      <c r="R28" s="246"/>
      <c r="S28" s="1208"/>
      <c r="T28" s="1208"/>
      <c r="U28" s="1209"/>
    </row>
    <row r="29" spans="1:21" s="105" customFormat="1">
      <c r="A29" s="195" t="s">
        <v>1778</v>
      </c>
      <c r="B29" s="245">
        <f t="shared" ref="B29:B38" si="8">SUM(C29+D29)</f>
        <v>0</v>
      </c>
      <c r="C29" s="868"/>
      <c r="D29" s="868"/>
      <c r="E29" s="868"/>
      <c r="F29" s="868"/>
      <c r="G29" s="868"/>
      <c r="H29" s="868"/>
      <c r="I29" s="868"/>
      <c r="J29" s="868"/>
      <c r="K29" s="868"/>
      <c r="L29" s="868"/>
      <c r="M29" s="868"/>
      <c r="N29" s="868"/>
      <c r="O29" s="868"/>
      <c r="P29" s="868"/>
      <c r="Q29" s="868"/>
      <c r="R29" s="416">
        <f t="shared" ref="R29:R37" si="9">SUM(E29:Q29)</f>
        <v>0</v>
      </c>
      <c r="S29" s="868"/>
      <c r="T29" s="868"/>
      <c r="U29" s="1209"/>
    </row>
    <row r="30" spans="1:21" s="105" customFormat="1">
      <c r="A30" s="195" t="s">
        <v>1779</v>
      </c>
      <c r="B30" s="245">
        <f t="shared" si="8"/>
        <v>0</v>
      </c>
      <c r="C30" s="868"/>
      <c r="D30" s="868"/>
      <c r="E30" s="868"/>
      <c r="F30" s="868"/>
      <c r="G30" s="868"/>
      <c r="H30" s="868"/>
      <c r="I30" s="868"/>
      <c r="J30" s="868"/>
      <c r="K30" s="868"/>
      <c r="L30" s="868"/>
      <c r="M30" s="868"/>
      <c r="N30" s="868"/>
      <c r="O30" s="868"/>
      <c r="P30" s="868"/>
      <c r="Q30" s="868"/>
      <c r="R30" s="416">
        <f t="shared" si="9"/>
        <v>0</v>
      </c>
      <c r="S30" s="868"/>
      <c r="T30" s="868"/>
      <c r="U30" s="1209"/>
    </row>
    <row r="31" spans="1:21" s="105" customFormat="1">
      <c r="A31" s="195" t="s">
        <v>1780</v>
      </c>
      <c r="B31" s="245">
        <f t="shared" si="8"/>
        <v>0</v>
      </c>
      <c r="C31" s="868"/>
      <c r="D31" s="868"/>
      <c r="E31" s="868"/>
      <c r="F31" s="868"/>
      <c r="G31" s="868"/>
      <c r="H31" s="868"/>
      <c r="I31" s="868"/>
      <c r="J31" s="868"/>
      <c r="K31" s="868"/>
      <c r="L31" s="868"/>
      <c r="M31" s="868"/>
      <c r="N31" s="868"/>
      <c r="O31" s="868"/>
      <c r="P31" s="868"/>
      <c r="Q31" s="868"/>
      <c r="R31" s="416">
        <f t="shared" si="9"/>
        <v>0</v>
      </c>
      <c r="S31" s="868"/>
      <c r="T31" s="868"/>
      <c r="U31" s="1209"/>
    </row>
    <row r="32" spans="1:21" s="105" customFormat="1">
      <c r="A32" s="195" t="s">
        <v>1781</v>
      </c>
      <c r="B32" s="245">
        <f t="shared" si="8"/>
        <v>0</v>
      </c>
      <c r="C32" s="868"/>
      <c r="D32" s="868"/>
      <c r="E32" s="868"/>
      <c r="F32" s="868"/>
      <c r="G32" s="868"/>
      <c r="H32" s="868"/>
      <c r="I32" s="868"/>
      <c r="J32" s="868"/>
      <c r="K32" s="868"/>
      <c r="L32" s="868"/>
      <c r="M32" s="868"/>
      <c r="N32" s="868"/>
      <c r="O32" s="868"/>
      <c r="P32" s="868"/>
      <c r="Q32" s="868"/>
      <c r="R32" s="416">
        <f t="shared" si="9"/>
        <v>0</v>
      </c>
      <c r="S32" s="868"/>
      <c r="T32" s="868"/>
      <c r="U32" s="1209"/>
    </row>
    <row r="33" spans="1:21" s="105" customFormat="1">
      <c r="A33" s="195" t="s">
        <v>1782</v>
      </c>
      <c r="B33" s="245">
        <f t="shared" si="8"/>
        <v>0</v>
      </c>
      <c r="C33" s="868"/>
      <c r="D33" s="868"/>
      <c r="E33" s="868"/>
      <c r="F33" s="868"/>
      <c r="G33" s="868"/>
      <c r="H33" s="868"/>
      <c r="I33" s="868"/>
      <c r="J33" s="868"/>
      <c r="K33" s="868"/>
      <c r="L33" s="868"/>
      <c r="M33" s="868"/>
      <c r="N33" s="868"/>
      <c r="O33" s="868"/>
      <c r="P33" s="868"/>
      <c r="Q33" s="868"/>
      <c r="R33" s="416">
        <f t="shared" si="9"/>
        <v>0</v>
      </c>
      <c r="S33" s="868"/>
      <c r="T33" s="868"/>
      <c r="U33" s="1209"/>
    </row>
    <row r="34" spans="1:21" s="105" customFormat="1">
      <c r="A34" s="195" t="s">
        <v>1783</v>
      </c>
      <c r="B34" s="245">
        <f t="shared" si="8"/>
        <v>0</v>
      </c>
      <c r="C34" s="868"/>
      <c r="D34" s="868"/>
      <c r="E34" s="868"/>
      <c r="F34" s="868"/>
      <c r="G34" s="868"/>
      <c r="H34" s="868"/>
      <c r="I34" s="868"/>
      <c r="J34" s="868"/>
      <c r="K34" s="868"/>
      <c r="L34" s="868"/>
      <c r="M34" s="868"/>
      <c r="N34" s="868"/>
      <c r="O34" s="868"/>
      <c r="P34" s="868"/>
      <c r="Q34" s="868"/>
      <c r="R34" s="416">
        <f t="shared" si="9"/>
        <v>0</v>
      </c>
      <c r="S34" s="868"/>
      <c r="T34" s="868"/>
      <c r="U34" s="1209"/>
    </row>
    <row r="35" spans="1:21" s="105" customFormat="1">
      <c r="A35" s="195" t="s">
        <v>1784</v>
      </c>
      <c r="B35" s="245">
        <f t="shared" si="8"/>
        <v>0</v>
      </c>
      <c r="C35" s="868"/>
      <c r="D35" s="868"/>
      <c r="E35" s="868"/>
      <c r="F35" s="868"/>
      <c r="G35" s="868"/>
      <c r="H35" s="868"/>
      <c r="I35" s="868"/>
      <c r="J35" s="868"/>
      <c r="K35" s="868"/>
      <c r="L35" s="868"/>
      <c r="M35" s="868"/>
      <c r="N35" s="868"/>
      <c r="O35" s="868"/>
      <c r="P35" s="868"/>
      <c r="Q35" s="868"/>
      <c r="R35" s="416">
        <f t="shared" si="9"/>
        <v>0</v>
      </c>
      <c r="S35" s="868"/>
      <c r="T35" s="868"/>
      <c r="U35" s="1209"/>
    </row>
    <row r="36" spans="1:21" s="105" customFormat="1">
      <c r="A36" s="195" t="s">
        <v>1785</v>
      </c>
      <c r="B36" s="245">
        <f t="shared" si="8"/>
        <v>0</v>
      </c>
      <c r="C36" s="868"/>
      <c r="D36" s="868"/>
      <c r="E36" s="868"/>
      <c r="F36" s="868"/>
      <c r="G36" s="868"/>
      <c r="H36" s="868"/>
      <c r="I36" s="868"/>
      <c r="J36" s="868"/>
      <c r="K36" s="868"/>
      <c r="L36" s="868"/>
      <c r="M36" s="868"/>
      <c r="N36" s="868"/>
      <c r="O36" s="868"/>
      <c r="P36" s="868"/>
      <c r="Q36" s="868"/>
      <c r="R36" s="416">
        <f t="shared" si="9"/>
        <v>0</v>
      </c>
      <c r="S36" s="868"/>
      <c r="T36" s="868"/>
      <c r="U36" s="1209"/>
    </row>
    <row r="37" spans="1:21" s="105" customFormat="1">
      <c r="A37" s="1031" t="s">
        <v>1786</v>
      </c>
      <c r="B37" s="245">
        <f t="shared" si="8"/>
        <v>0</v>
      </c>
      <c r="C37" s="868"/>
      <c r="D37" s="868"/>
      <c r="E37" s="868"/>
      <c r="F37" s="868"/>
      <c r="G37" s="868"/>
      <c r="H37" s="868"/>
      <c r="I37" s="868"/>
      <c r="J37" s="868"/>
      <c r="K37" s="868"/>
      <c r="L37" s="868"/>
      <c r="M37" s="868"/>
      <c r="N37" s="868"/>
      <c r="O37" s="868"/>
      <c r="P37" s="868"/>
      <c r="Q37" s="868"/>
      <c r="R37" s="416">
        <f t="shared" si="9"/>
        <v>0</v>
      </c>
      <c r="S37" s="868"/>
      <c r="T37" s="868"/>
      <c r="U37" s="1209"/>
    </row>
    <row r="38" spans="1:21" s="105" customFormat="1" ht="12">
      <c r="A38" s="106" t="s">
        <v>1790</v>
      </c>
      <c r="B38" s="245">
        <f t="shared" si="8"/>
        <v>0</v>
      </c>
      <c r="C38" s="245">
        <f>SUM(C29:C37)</f>
        <v>0</v>
      </c>
      <c r="D38" s="245">
        <f t="shared" ref="D38:Q38" si="10">SUM(D29:D37)</f>
        <v>0</v>
      </c>
      <c r="E38" s="245">
        <f t="shared" si="10"/>
        <v>0</v>
      </c>
      <c r="F38" s="245">
        <f t="shared" si="10"/>
        <v>0</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0</v>
      </c>
      <c r="S38" s="107">
        <f>SUM(S29:S37)</f>
        <v>0</v>
      </c>
      <c r="T38" s="107">
        <f>SUM(T29:T37)</f>
        <v>0</v>
      </c>
      <c r="U38" s="1209"/>
    </row>
    <row r="39" spans="1:21" s="105" customFormat="1">
      <c r="A39" s="104" t="s">
        <v>1791</v>
      </c>
      <c r="B39" s="1208"/>
      <c r="C39" s="1208"/>
      <c r="D39" s="1208"/>
      <c r="E39" s="246"/>
      <c r="F39" s="246"/>
      <c r="G39" s="246"/>
      <c r="H39" s="246"/>
      <c r="I39" s="246"/>
      <c r="J39" s="246"/>
      <c r="K39" s="246"/>
      <c r="L39" s="246"/>
      <c r="M39" s="246"/>
      <c r="N39" s="246"/>
      <c r="O39" s="246"/>
      <c r="P39" s="246"/>
      <c r="Q39" s="246"/>
      <c r="R39" s="246"/>
      <c r="S39" s="1208"/>
      <c r="T39" s="1208"/>
      <c r="U39" s="1209"/>
    </row>
    <row r="40" spans="1:21" s="105" customFormat="1">
      <c r="A40" s="195" t="s">
        <v>1792</v>
      </c>
      <c r="B40" s="245">
        <f>SUM(C40+D40)</f>
        <v>220000</v>
      </c>
      <c r="C40" s="868">
        <v>220000</v>
      </c>
      <c r="D40" s="868"/>
      <c r="E40" s="868"/>
      <c r="F40" s="868"/>
      <c r="G40" s="868">
        <f>C40-E40-H40</f>
        <v>220000</v>
      </c>
      <c r="H40" s="868"/>
      <c r="I40" s="868"/>
      <c r="J40" s="868"/>
      <c r="K40" s="868"/>
      <c r="L40" s="868"/>
      <c r="M40" s="868"/>
      <c r="N40" s="868"/>
      <c r="O40" s="868"/>
      <c r="P40" s="868"/>
      <c r="Q40" s="868"/>
      <c r="R40" s="416">
        <f>SUM(E40:Q40)</f>
        <v>220000</v>
      </c>
      <c r="S40" s="868">
        <f>R40</f>
        <v>220000</v>
      </c>
      <c r="T40" s="868"/>
      <c r="U40" s="1209"/>
    </row>
    <row r="41" spans="1:21" s="105" customFormat="1">
      <c r="A41" s="195" t="s">
        <v>1793</v>
      </c>
      <c r="B41" s="245">
        <f>SUM(C41+D41)</f>
        <v>0</v>
      </c>
      <c r="C41" s="868"/>
      <c r="D41" s="868"/>
      <c r="E41" s="868"/>
      <c r="F41" s="868"/>
      <c r="G41" s="868"/>
      <c r="H41" s="868"/>
      <c r="I41" s="868"/>
      <c r="J41" s="868"/>
      <c r="K41" s="868"/>
      <c r="L41" s="868"/>
      <c r="M41" s="868"/>
      <c r="N41" s="868"/>
      <c r="O41" s="868"/>
      <c r="P41" s="868"/>
      <c r="Q41" s="868"/>
      <c r="R41" s="416">
        <f>SUM(E41:Q41)</f>
        <v>0</v>
      </c>
      <c r="S41" s="868"/>
      <c r="T41" s="868"/>
      <c r="U41" s="1209"/>
    </row>
    <row r="42" spans="1:21" s="105" customFormat="1" ht="12">
      <c r="A42" s="106" t="s">
        <v>1794</v>
      </c>
      <c r="B42" s="245">
        <f>SUM(C42:D42)</f>
        <v>220000</v>
      </c>
      <c r="C42" s="245">
        <f>SUM(C39:C41)</f>
        <v>220000</v>
      </c>
      <c r="D42" s="245">
        <f>SUM(D39:D41)</f>
        <v>0</v>
      </c>
      <c r="E42" s="245">
        <f t="shared" ref="E42:T42" si="11">SUM(E40:E41)</f>
        <v>0</v>
      </c>
      <c r="F42" s="245">
        <f t="shared" si="11"/>
        <v>0</v>
      </c>
      <c r="G42" s="245">
        <f t="shared" si="11"/>
        <v>220000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220000</v>
      </c>
      <c r="S42" s="107">
        <f t="shared" si="11"/>
        <v>220000</v>
      </c>
      <c r="T42" s="107">
        <f t="shared" si="11"/>
        <v>0</v>
      </c>
      <c r="U42" s="1209"/>
    </row>
    <row r="43" spans="1:21" s="105" customFormat="1" ht="12">
      <c r="A43" s="106" t="s">
        <v>1795</v>
      </c>
      <c r="B43" s="245">
        <f>SUM(C43:D43)</f>
        <v>95000</v>
      </c>
      <c r="C43" s="868">
        <v>95000</v>
      </c>
      <c r="D43" s="868"/>
      <c r="E43" s="868"/>
      <c r="F43" s="868"/>
      <c r="G43" s="868"/>
      <c r="H43" s="868">
        <f>C43</f>
        <v>95000</v>
      </c>
      <c r="I43" s="868"/>
      <c r="J43" s="868"/>
      <c r="K43" s="868"/>
      <c r="L43" s="868"/>
      <c r="M43" s="868"/>
      <c r="N43" s="868"/>
      <c r="O43" s="868"/>
      <c r="P43" s="868"/>
      <c r="Q43" s="868"/>
      <c r="R43" s="416">
        <f>SUM(E43:Q43)</f>
        <v>95000</v>
      </c>
      <c r="S43" s="868">
        <f>R43</f>
        <v>95000</v>
      </c>
      <c r="T43" s="868"/>
      <c r="U43" s="1209"/>
    </row>
    <row r="44" spans="1:21" s="105" customFormat="1">
      <c r="A44" s="104" t="s">
        <v>1796</v>
      </c>
      <c r="B44" s="1208"/>
      <c r="C44" s="1208"/>
      <c r="D44" s="1208"/>
      <c r="E44" s="246"/>
      <c r="F44" s="246"/>
      <c r="G44" s="246"/>
      <c r="H44" s="246"/>
      <c r="I44" s="246"/>
      <c r="J44" s="246"/>
      <c r="K44" s="246"/>
      <c r="L44" s="246"/>
      <c r="M44" s="246"/>
      <c r="N44" s="246"/>
      <c r="O44" s="246"/>
      <c r="P44" s="246"/>
      <c r="Q44" s="246"/>
      <c r="R44" s="246"/>
      <c r="S44" s="1208"/>
      <c r="T44" s="1208"/>
      <c r="U44" s="1209"/>
    </row>
    <row r="45" spans="1:21" s="105" customFormat="1">
      <c r="A45" s="195" t="s">
        <v>1797</v>
      </c>
      <c r="B45" s="245">
        <f t="shared" ref="B45:B53" si="12">SUM(C45+D45)</f>
        <v>5891103</v>
      </c>
      <c r="C45" s="868">
        <v>5891103</v>
      </c>
      <c r="D45" s="868"/>
      <c r="E45" s="868"/>
      <c r="F45" s="868"/>
      <c r="G45" s="868">
        <f>C45-E45-H45</f>
        <v>4681341</v>
      </c>
      <c r="H45" s="868">
        <f>1235500-27025+1351-67+3</f>
        <v>1209762</v>
      </c>
      <c r="I45" s="868"/>
      <c r="J45" s="868"/>
      <c r="K45" s="868"/>
      <c r="L45" s="868"/>
      <c r="M45" s="868"/>
      <c r="N45" s="868"/>
      <c r="O45" s="868"/>
      <c r="P45" s="868"/>
      <c r="Q45" s="868"/>
      <c r="R45" s="416">
        <f t="shared" ref="R45:R53" si="13">SUM(E45:Q45)</f>
        <v>5891103</v>
      </c>
      <c r="S45" s="868">
        <v>4360000</v>
      </c>
      <c r="T45" s="868"/>
      <c r="U45" s="1209"/>
    </row>
    <row r="46" spans="1:21" s="105" customFormat="1">
      <c r="A46" s="195" t="s">
        <v>1798</v>
      </c>
      <c r="B46" s="245">
        <f t="shared" si="12"/>
        <v>250000</v>
      </c>
      <c r="C46" s="868">
        <v>250000</v>
      </c>
      <c r="D46" s="868"/>
      <c r="E46" s="868"/>
      <c r="F46" s="868"/>
      <c r="G46" s="868">
        <f t="shared" ref="G46:G53" si="14">C46-E46-H46</f>
        <v>250000</v>
      </c>
      <c r="H46" s="868"/>
      <c r="I46" s="868"/>
      <c r="J46" s="868"/>
      <c r="K46" s="868"/>
      <c r="L46" s="868"/>
      <c r="M46" s="868"/>
      <c r="N46" s="868"/>
      <c r="O46" s="868"/>
      <c r="P46" s="868"/>
      <c r="Q46" s="868"/>
      <c r="R46" s="416">
        <f t="shared" si="13"/>
        <v>250000</v>
      </c>
      <c r="S46" s="868">
        <f t="shared" ref="S46:S52" si="15">R46</f>
        <v>250000</v>
      </c>
      <c r="T46" s="868"/>
      <c r="U46" s="1209"/>
    </row>
    <row r="47" spans="1:21" s="105" customFormat="1">
      <c r="A47" s="1211" t="s">
        <v>1799</v>
      </c>
      <c r="B47" s="245">
        <f t="shared" si="12"/>
        <v>0</v>
      </c>
      <c r="C47" s="868"/>
      <c r="D47" s="868"/>
      <c r="E47" s="868"/>
      <c r="F47" s="868"/>
      <c r="G47" s="868">
        <f t="shared" si="14"/>
        <v>0</v>
      </c>
      <c r="H47" s="868"/>
      <c r="I47" s="868"/>
      <c r="J47" s="868"/>
      <c r="K47" s="868"/>
      <c r="L47" s="868"/>
      <c r="M47" s="868"/>
      <c r="N47" s="868"/>
      <c r="O47" s="868"/>
      <c r="P47" s="868"/>
      <c r="Q47" s="868"/>
      <c r="R47" s="416">
        <f t="shared" si="13"/>
        <v>0</v>
      </c>
      <c r="S47" s="868">
        <f t="shared" si="15"/>
        <v>0</v>
      </c>
      <c r="T47" s="868"/>
      <c r="U47" s="1209"/>
    </row>
    <row r="48" spans="1:21" s="105" customFormat="1">
      <c r="A48" s="195" t="s">
        <v>1800</v>
      </c>
      <c r="B48" s="245">
        <f t="shared" si="12"/>
        <v>0</v>
      </c>
      <c r="C48" s="868"/>
      <c r="D48" s="868"/>
      <c r="E48" s="868"/>
      <c r="F48" s="868"/>
      <c r="G48" s="868">
        <f t="shared" si="14"/>
        <v>0</v>
      </c>
      <c r="H48" s="868"/>
      <c r="I48" s="868"/>
      <c r="J48" s="868"/>
      <c r="K48" s="868"/>
      <c r="L48" s="868"/>
      <c r="M48" s="868"/>
      <c r="N48" s="868"/>
      <c r="O48" s="868"/>
      <c r="P48" s="868"/>
      <c r="Q48" s="868"/>
      <c r="R48" s="416">
        <f t="shared" si="13"/>
        <v>0</v>
      </c>
      <c r="S48" s="868">
        <f t="shared" si="15"/>
        <v>0</v>
      </c>
      <c r="T48" s="868"/>
      <c r="U48" s="1209"/>
    </row>
    <row r="49" spans="1:21" s="105" customFormat="1">
      <c r="A49" s="195" t="s">
        <v>1801</v>
      </c>
      <c r="B49" s="245">
        <f t="shared" si="12"/>
        <v>750000</v>
      </c>
      <c r="C49" s="868">
        <v>750000</v>
      </c>
      <c r="D49" s="868"/>
      <c r="E49" s="868"/>
      <c r="F49" s="868"/>
      <c r="G49" s="868">
        <f t="shared" si="14"/>
        <v>750000</v>
      </c>
      <c r="H49" s="868"/>
      <c r="I49" s="868"/>
      <c r="J49" s="868"/>
      <c r="K49" s="868"/>
      <c r="L49" s="868"/>
      <c r="M49" s="868"/>
      <c r="N49" s="868"/>
      <c r="O49" s="868"/>
      <c r="P49" s="868"/>
      <c r="Q49" s="868"/>
      <c r="R49" s="416">
        <f t="shared" si="13"/>
        <v>750000</v>
      </c>
      <c r="S49" s="868">
        <v>0</v>
      </c>
      <c r="T49" s="868"/>
      <c r="U49" s="1209"/>
    </row>
    <row r="50" spans="1:21" s="105" customFormat="1">
      <c r="A50" s="195" t="s">
        <v>1802</v>
      </c>
      <c r="B50" s="245">
        <f t="shared" si="12"/>
        <v>55000</v>
      </c>
      <c r="C50" s="868">
        <v>55000</v>
      </c>
      <c r="D50" s="868"/>
      <c r="E50" s="868"/>
      <c r="F50" s="868"/>
      <c r="G50" s="868">
        <f t="shared" si="14"/>
        <v>55000</v>
      </c>
      <c r="H50" s="868"/>
      <c r="I50" s="868"/>
      <c r="J50" s="868"/>
      <c r="K50" s="868"/>
      <c r="L50" s="868"/>
      <c r="M50" s="868"/>
      <c r="N50" s="868"/>
      <c r="O50" s="868"/>
      <c r="P50" s="868"/>
      <c r="Q50" s="868"/>
      <c r="R50" s="416">
        <f t="shared" si="13"/>
        <v>55000</v>
      </c>
      <c r="S50" s="868">
        <f t="shared" si="15"/>
        <v>55000</v>
      </c>
      <c r="T50" s="868"/>
      <c r="U50" s="1209"/>
    </row>
    <row r="51" spans="1:21" s="105" customFormat="1">
      <c r="A51" s="195" t="s">
        <v>1803</v>
      </c>
      <c r="B51" s="245">
        <f t="shared" si="12"/>
        <v>0</v>
      </c>
      <c r="C51" s="868">
        <v>0</v>
      </c>
      <c r="D51" s="868"/>
      <c r="E51" s="868"/>
      <c r="F51" s="868"/>
      <c r="G51" s="868">
        <f t="shared" si="14"/>
        <v>0</v>
      </c>
      <c r="H51" s="868"/>
      <c r="I51" s="868"/>
      <c r="J51" s="868"/>
      <c r="K51" s="868"/>
      <c r="L51" s="868"/>
      <c r="M51" s="868"/>
      <c r="N51" s="868"/>
      <c r="O51" s="868"/>
      <c r="P51" s="868"/>
      <c r="Q51" s="868"/>
      <c r="R51" s="416">
        <f t="shared" si="13"/>
        <v>0</v>
      </c>
      <c r="S51" s="868">
        <f t="shared" si="15"/>
        <v>0</v>
      </c>
      <c r="T51" s="868"/>
      <c r="U51" s="1209"/>
    </row>
    <row r="52" spans="1:21" s="105" customFormat="1">
      <c r="A52" s="195" t="s">
        <v>1568</v>
      </c>
      <c r="B52" s="245">
        <f t="shared" si="12"/>
        <v>150000</v>
      </c>
      <c r="C52" s="868">
        <v>150000</v>
      </c>
      <c r="D52" s="868"/>
      <c r="E52" s="868"/>
      <c r="F52" s="868"/>
      <c r="G52" s="868">
        <f t="shared" si="14"/>
        <v>0</v>
      </c>
      <c r="H52" s="868">
        <f>C52</f>
        <v>150000</v>
      </c>
      <c r="I52" s="868"/>
      <c r="J52" s="868"/>
      <c r="K52" s="868"/>
      <c r="L52" s="868"/>
      <c r="M52" s="868"/>
      <c r="N52" s="868"/>
      <c r="O52" s="868"/>
      <c r="P52" s="868"/>
      <c r="Q52" s="868"/>
      <c r="R52" s="416">
        <f t="shared" si="13"/>
        <v>150000</v>
      </c>
      <c r="S52" s="868">
        <f t="shared" si="15"/>
        <v>150000</v>
      </c>
      <c r="T52" s="868"/>
      <c r="U52" s="1209"/>
    </row>
    <row r="53" spans="1:21" s="105" customFormat="1">
      <c r="A53" s="1031" t="s">
        <v>1804</v>
      </c>
      <c r="B53" s="245">
        <f t="shared" si="12"/>
        <v>550000</v>
      </c>
      <c r="C53" s="868">
        <f>550000</f>
        <v>550000</v>
      </c>
      <c r="D53" s="868"/>
      <c r="E53" s="868"/>
      <c r="F53" s="868"/>
      <c r="G53" s="868">
        <f t="shared" si="14"/>
        <v>550000</v>
      </c>
      <c r="H53" s="868"/>
      <c r="I53" s="868"/>
      <c r="J53" s="868"/>
      <c r="K53" s="868"/>
      <c r="L53" s="868"/>
      <c r="M53" s="868"/>
      <c r="N53" s="868"/>
      <c r="O53" s="868"/>
      <c r="P53" s="868"/>
      <c r="Q53" s="868"/>
      <c r="R53" s="416">
        <f t="shared" si="13"/>
        <v>550000</v>
      </c>
      <c r="S53" s="868">
        <v>428395</v>
      </c>
      <c r="T53" s="868"/>
      <c r="U53" s="1209"/>
    </row>
    <row r="54" spans="1:21" s="109" customFormat="1" ht="12">
      <c r="A54" s="106" t="s">
        <v>1805</v>
      </c>
      <c r="B54" s="107">
        <f>SUM(C54:D54)</f>
        <v>7646103</v>
      </c>
      <c r="C54" s="107">
        <f t="shared" ref="C54:T54" si="16">SUM(C45:C53)</f>
        <v>7646103</v>
      </c>
      <c r="D54" s="107">
        <f t="shared" si="16"/>
        <v>0</v>
      </c>
      <c r="E54" s="107">
        <f t="shared" si="16"/>
        <v>0</v>
      </c>
      <c r="F54" s="107">
        <f t="shared" si="16"/>
        <v>0</v>
      </c>
      <c r="G54" s="107">
        <f t="shared" si="16"/>
        <v>6286341</v>
      </c>
      <c r="H54" s="107">
        <f t="shared" si="16"/>
        <v>1359762</v>
      </c>
      <c r="I54" s="107">
        <f t="shared" si="16"/>
        <v>0</v>
      </c>
      <c r="J54" s="107">
        <f t="shared" si="16"/>
        <v>0</v>
      </c>
      <c r="K54" s="107">
        <f t="shared" si="16"/>
        <v>0</v>
      </c>
      <c r="L54" s="107">
        <f t="shared" si="16"/>
        <v>0</v>
      </c>
      <c r="M54" s="107">
        <f t="shared" si="16"/>
        <v>0</v>
      </c>
      <c r="N54" s="107">
        <f t="shared" si="16"/>
        <v>0</v>
      </c>
      <c r="O54" s="107">
        <f t="shared" si="16"/>
        <v>0</v>
      </c>
      <c r="P54" s="107">
        <f t="shared" si="16"/>
        <v>0</v>
      </c>
      <c r="Q54" s="107">
        <f t="shared" si="16"/>
        <v>0</v>
      </c>
      <c r="R54" s="245">
        <f t="shared" si="16"/>
        <v>7646103</v>
      </c>
      <c r="S54" s="107">
        <f t="shared" si="16"/>
        <v>5243395</v>
      </c>
      <c r="T54" s="107">
        <f t="shared" si="16"/>
        <v>0</v>
      </c>
      <c r="U54" s="108"/>
    </row>
    <row r="55" spans="1:21" s="105" customFormat="1">
      <c r="A55" s="104" t="s">
        <v>1367</v>
      </c>
      <c r="B55" s="1208"/>
      <c r="C55" s="1208"/>
      <c r="D55" s="1208"/>
      <c r="E55" s="246"/>
      <c r="F55" s="246"/>
      <c r="G55" s="246"/>
      <c r="H55" s="246"/>
      <c r="I55" s="246"/>
      <c r="J55" s="246"/>
      <c r="K55" s="246"/>
      <c r="L55" s="246"/>
      <c r="M55" s="246"/>
      <c r="N55" s="246"/>
      <c r="O55" s="246"/>
      <c r="P55" s="246"/>
      <c r="Q55" s="246"/>
      <c r="R55" s="246"/>
      <c r="S55" s="1208"/>
      <c r="T55" s="1208"/>
      <c r="U55" s="1209"/>
    </row>
    <row r="56" spans="1:21" s="105" customFormat="1">
      <c r="A56" s="195" t="s">
        <v>1806</v>
      </c>
      <c r="B56" s="245">
        <f t="shared" ref="B56:B61" si="17">SUM(C56+D56)</f>
        <v>762093</v>
      </c>
      <c r="C56" s="868">
        <f>762093</f>
        <v>762093</v>
      </c>
      <c r="D56" s="868"/>
      <c r="E56" s="868">
        <f>C56</f>
        <v>762093</v>
      </c>
      <c r="F56" s="868"/>
      <c r="G56" s="868">
        <f t="shared" ref="G56:G61" si="18">C56-E56-H56</f>
        <v>0</v>
      </c>
      <c r="H56" s="868"/>
      <c r="I56" s="868"/>
      <c r="J56" s="868"/>
      <c r="K56" s="868"/>
      <c r="L56" s="868"/>
      <c r="M56" s="868"/>
      <c r="N56" s="868"/>
      <c r="O56" s="868"/>
      <c r="P56" s="868"/>
      <c r="Q56" s="868"/>
      <c r="R56" s="416">
        <f t="shared" ref="R56:R61" si="19">SUM(E56:Q56)</f>
        <v>762093</v>
      </c>
      <c r="S56" s="1210"/>
      <c r="T56" s="1210"/>
      <c r="U56" s="1209"/>
    </row>
    <row r="57" spans="1:21" s="130" customFormat="1">
      <c r="A57" s="1211" t="s">
        <v>1799</v>
      </c>
      <c r="B57" s="1212">
        <f t="shared" si="17"/>
        <v>610000</v>
      </c>
      <c r="C57" s="1213">
        <v>610000</v>
      </c>
      <c r="D57" s="1213"/>
      <c r="E57" s="1213">
        <f>C57</f>
        <v>610000</v>
      </c>
      <c r="F57" s="1213"/>
      <c r="G57" s="1213">
        <f t="shared" si="18"/>
        <v>0</v>
      </c>
      <c r="H57" s="1213"/>
      <c r="I57" s="1213"/>
      <c r="J57" s="1213"/>
      <c r="K57" s="1213"/>
      <c r="L57" s="1213"/>
      <c r="M57" s="1213"/>
      <c r="N57" s="1213"/>
      <c r="O57" s="1213"/>
      <c r="P57" s="1213"/>
      <c r="Q57" s="1213"/>
      <c r="R57" s="416">
        <f t="shared" si="19"/>
        <v>610000</v>
      </c>
      <c r="S57" s="1214"/>
      <c r="T57" s="1214"/>
      <c r="U57" s="1215"/>
    </row>
    <row r="58" spans="1:21" s="105" customFormat="1">
      <c r="A58" s="195" t="s">
        <v>1802</v>
      </c>
      <c r="B58" s="245">
        <f t="shared" si="17"/>
        <v>55000</v>
      </c>
      <c r="C58" s="868">
        <v>55000</v>
      </c>
      <c r="D58" s="868"/>
      <c r="E58" s="868"/>
      <c r="F58" s="868"/>
      <c r="G58" s="868">
        <f t="shared" si="18"/>
        <v>55000</v>
      </c>
      <c r="H58" s="868"/>
      <c r="I58" s="868"/>
      <c r="J58" s="868"/>
      <c r="K58" s="868"/>
      <c r="L58" s="868"/>
      <c r="M58" s="868"/>
      <c r="N58" s="868"/>
      <c r="O58" s="868"/>
      <c r="P58" s="868"/>
      <c r="Q58" s="868"/>
      <c r="R58" s="416">
        <f t="shared" si="19"/>
        <v>55000</v>
      </c>
      <c r="S58" s="1210"/>
      <c r="T58" s="1210"/>
      <c r="U58" s="1209"/>
    </row>
    <row r="59" spans="1:21" s="105" customFormat="1">
      <c r="A59" s="195" t="s">
        <v>1803</v>
      </c>
      <c r="B59" s="245">
        <f t="shared" si="17"/>
        <v>0</v>
      </c>
      <c r="C59" s="868"/>
      <c r="D59" s="868"/>
      <c r="E59" s="868"/>
      <c r="F59" s="868"/>
      <c r="G59" s="868">
        <f t="shared" si="18"/>
        <v>0</v>
      </c>
      <c r="H59" s="868"/>
      <c r="I59" s="868"/>
      <c r="J59" s="868"/>
      <c r="K59" s="868"/>
      <c r="L59" s="868"/>
      <c r="M59" s="868"/>
      <c r="N59" s="868"/>
      <c r="O59" s="868"/>
      <c r="P59" s="868"/>
      <c r="Q59" s="868"/>
      <c r="R59" s="416">
        <f t="shared" si="19"/>
        <v>0</v>
      </c>
      <c r="S59" s="1210"/>
      <c r="T59" s="1210"/>
      <c r="U59" s="1209"/>
    </row>
    <row r="60" spans="1:21" s="105" customFormat="1">
      <c r="A60" s="195" t="s">
        <v>1568</v>
      </c>
      <c r="B60" s="245">
        <f t="shared" si="17"/>
        <v>0</v>
      </c>
      <c r="C60" s="868">
        <v>0</v>
      </c>
      <c r="D60" s="868"/>
      <c r="E60" s="868"/>
      <c r="F60" s="868"/>
      <c r="G60" s="868">
        <f t="shared" si="18"/>
        <v>0</v>
      </c>
      <c r="H60" s="868"/>
      <c r="I60" s="868"/>
      <c r="J60" s="868"/>
      <c r="K60" s="868"/>
      <c r="L60" s="868"/>
      <c r="M60" s="868"/>
      <c r="N60" s="868"/>
      <c r="O60" s="868"/>
      <c r="P60" s="868"/>
      <c r="Q60" s="868"/>
      <c r="R60" s="416">
        <f t="shared" si="19"/>
        <v>0</v>
      </c>
      <c r="S60" s="1210"/>
      <c r="T60" s="1210"/>
      <c r="U60" s="1209"/>
    </row>
    <row r="61" spans="1:21" s="105" customFormat="1">
      <c r="A61" s="1031" t="s">
        <v>1807</v>
      </c>
      <c r="B61" s="245">
        <f t="shared" si="17"/>
        <v>15000</v>
      </c>
      <c r="C61" s="868">
        <v>15000</v>
      </c>
      <c r="D61" s="868"/>
      <c r="E61" s="868"/>
      <c r="F61" s="868"/>
      <c r="G61" s="868">
        <f t="shared" si="18"/>
        <v>15000</v>
      </c>
      <c r="H61" s="868"/>
      <c r="I61" s="868"/>
      <c r="J61" s="868"/>
      <c r="K61" s="868"/>
      <c r="L61" s="868"/>
      <c r="M61" s="868"/>
      <c r="N61" s="868"/>
      <c r="O61" s="868"/>
      <c r="P61" s="868"/>
      <c r="Q61" s="868"/>
      <c r="R61" s="416">
        <f t="shared" si="19"/>
        <v>15000</v>
      </c>
      <c r="S61" s="1210"/>
      <c r="T61" s="1210"/>
      <c r="U61" s="1209"/>
    </row>
    <row r="62" spans="1:21" s="105" customFormat="1" ht="13.65" customHeight="1">
      <c r="A62" s="106" t="s">
        <v>1808</v>
      </c>
      <c r="B62" s="245">
        <f>SUM(C62:D62)</f>
        <v>1442093</v>
      </c>
      <c r="C62" s="245">
        <f t="shared" ref="C62:R62" si="20">SUM(C56:C61)</f>
        <v>1442093</v>
      </c>
      <c r="D62" s="245">
        <f t="shared" si="20"/>
        <v>0</v>
      </c>
      <c r="E62" s="245">
        <f t="shared" si="20"/>
        <v>1372093</v>
      </c>
      <c r="F62" s="245">
        <f t="shared" si="20"/>
        <v>0</v>
      </c>
      <c r="G62" s="245">
        <f t="shared" si="20"/>
        <v>70000</v>
      </c>
      <c r="H62" s="245">
        <f t="shared" si="20"/>
        <v>0</v>
      </c>
      <c r="I62" s="245">
        <f t="shared" si="20"/>
        <v>0</v>
      </c>
      <c r="J62" s="245">
        <f t="shared" si="20"/>
        <v>0</v>
      </c>
      <c r="K62" s="245">
        <f t="shared" si="20"/>
        <v>0</v>
      </c>
      <c r="L62" s="245">
        <f t="shared" si="20"/>
        <v>0</v>
      </c>
      <c r="M62" s="245">
        <f t="shared" si="20"/>
        <v>0</v>
      </c>
      <c r="N62" s="245">
        <f t="shared" si="20"/>
        <v>0</v>
      </c>
      <c r="O62" s="245">
        <f t="shared" si="20"/>
        <v>0</v>
      </c>
      <c r="P62" s="245">
        <f t="shared" si="20"/>
        <v>0</v>
      </c>
      <c r="Q62" s="245">
        <f t="shared" si="20"/>
        <v>0</v>
      </c>
      <c r="R62" s="245">
        <f t="shared" si="20"/>
        <v>1442093</v>
      </c>
      <c r="S62" s="1210"/>
      <c r="T62" s="1210"/>
      <c r="U62" s="1209"/>
    </row>
    <row r="63" spans="1:21" s="105" customFormat="1">
      <c r="A63" s="110" t="s">
        <v>1809</v>
      </c>
      <c r="B63" s="245">
        <f t="shared" ref="B63:R63" si="21">SUM(B8+B11+B13+B14+B15+B26+B27+B38+B42+B43+B54+B62)</f>
        <v>74358446</v>
      </c>
      <c r="C63" s="245">
        <f t="shared" si="21"/>
        <v>74358446</v>
      </c>
      <c r="D63" s="245">
        <f t="shared" si="21"/>
        <v>0</v>
      </c>
      <c r="E63" s="245">
        <f t="shared" si="21"/>
        <v>24897756</v>
      </c>
      <c r="F63" s="245">
        <f t="shared" si="21"/>
        <v>22306185</v>
      </c>
      <c r="G63" s="245">
        <f t="shared" si="21"/>
        <v>25699743</v>
      </c>
      <c r="H63" s="245">
        <f t="shared" si="21"/>
        <v>1454762</v>
      </c>
      <c r="I63" s="245">
        <f t="shared" si="21"/>
        <v>0</v>
      </c>
      <c r="J63" s="245">
        <f t="shared" si="21"/>
        <v>0</v>
      </c>
      <c r="K63" s="245">
        <f t="shared" si="21"/>
        <v>0</v>
      </c>
      <c r="L63" s="245">
        <f t="shared" si="21"/>
        <v>0</v>
      </c>
      <c r="M63" s="245">
        <f t="shared" si="21"/>
        <v>0</v>
      </c>
      <c r="N63" s="245">
        <f t="shared" si="21"/>
        <v>0</v>
      </c>
      <c r="O63" s="245">
        <f t="shared" si="21"/>
        <v>0</v>
      </c>
      <c r="P63" s="245">
        <f t="shared" si="21"/>
        <v>0</v>
      </c>
      <c r="Q63" s="245">
        <f t="shared" si="21"/>
        <v>0</v>
      </c>
      <c r="R63" s="245">
        <f t="shared" si="21"/>
        <v>74358446</v>
      </c>
      <c r="S63" s="245">
        <f>SUM(S10+S13+S14+S15+S26+S27+S38+S42+S43+S54)</f>
        <v>19352395</v>
      </c>
      <c r="T63" s="245">
        <f>SUM(T11+T13+T14+T15+T26+T27+T38+T42+T43+T54)</f>
        <v>51000000</v>
      </c>
      <c r="U63" s="1209"/>
    </row>
    <row r="64" spans="1:21" s="105" customFormat="1" ht="22.8">
      <c r="A64" s="104" t="s">
        <v>1810</v>
      </c>
      <c r="B64" s="1208"/>
      <c r="C64" s="1208"/>
      <c r="D64" s="1208"/>
      <c r="E64" s="246"/>
      <c r="F64" s="246"/>
      <c r="G64" s="246"/>
      <c r="H64" s="246"/>
      <c r="I64" s="246"/>
      <c r="J64" s="246"/>
      <c r="K64" s="246"/>
      <c r="L64" s="246"/>
      <c r="M64" s="246"/>
      <c r="N64" s="246"/>
      <c r="O64" s="246"/>
      <c r="P64" s="246"/>
      <c r="Q64" s="246"/>
      <c r="R64" s="246"/>
      <c r="S64" s="1208"/>
      <c r="T64" s="1208"/>
      <c r="U64" s="1209"/>
    </row>
    <row r="65" spans="1:21" s="105" customFormat="1">
      <c r="A65" s="195" t="s">
        <v>1811</v>
      </c>
      <c r="B65" s="245">
        <f>SUM(C65+D65)</f>
        <v>180000</v>
      </c>
      <c r="C65" s="868">
        <v>180000</v>
      </c>
      <c r="D65" s="868"/>
      <c r="E65" s="868"/>
      <c r="F65" s="868"/>
      <c r="G65" s="868">
        <f t="shared" ref="G65:G69" si="22">C65-E65-H65</f>
        <v>180000</v>
      </c>
      <c r="H65" s="868"/>
      <c r="I65" s="868"/>
      <c r="J65" s="868"/>
      <c r="K65" s="868"/>
      <c r="L65" s="868"/>
      <c r="M65" s="868"/>
      <c r="N65" s="868"/>
      <c r="O65" s="868"/>
      <c r="P65" s="868"/>
      <c r="Q65" s="868"/>
      <c r="R65" s="416">
        <f>SUM(E65:Q65)</f>
        <v>180000</v>
      </c>
      <c r="S65" s="868">
        <f>R65</f>
        <v>180000</v>
      </c>
      <c r="T65" s="868"/>
      <c r="U65" s="1209"/>
    </row>
    <row r="66" spans="1:21" s="105" customFormat="1" ht="24" customHeight="1">
      <c r="A66" s="195" t="s">
        <v>1812</v>
      </c>
      <c r="B66" s="245">
        <f>SUM(C66+D66)</f>
        <v>0</v>
      </c>
      <c r="C66" s="868"/>
      <c r="D66" s="868"/>
      <c r="E66" s="868"/>
      <c r="F66" s="868"/>
      <c r="G66" s="868">
        <f t="shared" si="22"/>
        <v>0</v>
      </c>
      <c r="H66" s="868"/>
      <c r="I66" s="868"/>
      <c r="J66" s="868"/>
      <c r="K66" s="868"/>
      <c r="L66" s="868"/>
      <c r="M66" s="868"/>
      <c r="N66" s="868"/>
      <c r="O66" s="868"/>
      <c r="P66" s="868"/>
      <c r="Q66" s="868"/>
      <c r="R66" s="416">
        <f>SUM(E66:Q66)</f>
        <v>0</v>
      </c>
      <c r="S66" s="868"/>
      <c r="T66" s="868"/>
      <c r="U66" s="1209"/>
    </row>
    <row r="67" spans="1:21" s="105" customFormat="1" ht="24" customHeight="1">
      <c r="A67" s="195" t="s">
        <v>1813</v>
      </c>
      <c r="B67" s="245">
        <f>SUM(C67+D67)</f>
        <v>0</v>
      </c>
      <c r="C67" s="868"/>
      <c r="D67" s="868"/>
      <c r="E67" s="868"/>
      <c r="F67" s="868"/>
      <c r="G67" s="868">
        <f t="shared" si="22"/>
        <v>0</v>
      </c>
      <c r="H67" s="868"/>
      <c r="I67" s="868"/>
      <c r="J67" s="868"/>
      <c r="K67" s="868"/>
      <c r="L67" s="868"/>
      <c r="M67" s="868"/>
      <c r="N67" s="868"/>
      <c r="O67" s="868"/>
      <c r="P67" s="868"/>
      <c r="Q67" s="868"/>
      <c r="R67" s="416">
        <f>SUM(E67:Q67)</f>
        <v>0</v>
      </c>
      <c r="S67" s="868"/>
      <c r="T67" s="868"/>
      <c r="U67" s="1209"/>
    </row>
    <row r="68" spans="1:21" s="105" customFormat="1" ht="12" customHeight="1">
      <c r="A68" s="195" t="s">
        <v>1814</v>
      </c>
      <c r="B68" s="245">
        <f>SUM(C68+D68)</f>
        <v>0</v>
      </c>
      <c r="C68" s="868"/>
      <c r="D68" s="868"/>
      <c r="E68" s="868"/>
      <c r="F68" s="868"/>
      <c r="G68" s="868">
        <f t="shared" si="22"/>
        <v>0</v>
      </c>
      <c r="H68" s="868"/>
      <c r="I68" s="868"/>
      <c r="J68" s="868"/>
      <c r="K68" s="868"/>
      <c r="L68" s="868"/>
      <c r="M68" s="868"/>
      <c r="N68" s="868"/>
      <c r="O68" s="868"/>
      <c r="P68" s="868"/>
      <c r="Q68" s="868"/>
      <c r="R68" s="416">
        <f>SUM(E68:Q68)</f>
        <v>0</v>
      </c>
      <c r="S68" s="868"/>
      <c r="T68" s="868"/>
      <c r="U68" s="1209"/>
    </row>
    <row r="69" spans="1:21" s="105" customFormat="1">
      <c r="A69" s="1031" t="s">
        <v>1786</v>
      </c>
      <c r="B69" s="245">
        <f>SUM(C69+D69)</f>
        <v>0</v>
      </c>
      <c r="C69" s="868"/>
      <c r="D69" s="868"/>
      <c r="E69" s="868"/>
      <c r="F69" s="868"/>
      <c r="G69" s="868">
        <f t="shared" si="22"/>
        <v>0</v>
      </c>
      <c r="H69" s="868"/>
      <c r="I69" s="868"/>
      <c r="J69" s="868"/>
      <c r="K69" s="868"/>
      <c r="L69" s="868"/>
      <c r="M69" s="868"/>
      <c r="N69" s="868"/>
      <c r="O69" s="868"/>
      <c r="P69" s="868"/>
      <c r="Q69" s="868"/>
      <c r="R69" s="416">
        <f>SUM(E69:Q69)</f>
        <v>0</v>
      </c>
      <c r="S69" s="868"/>
      <c r="T69" s="868"/>
      <c r="U69" s="1209"/>
    </row>
    <row r="70" spans="1:21" s="105" customFormat="1" ht="12">
      <c r="A70" s="106" t="s">
        <v>1815</v>
      </c>
      <c r="B70" s="245">
        <f>SUM(C70:D70)</f>
        <v>180000</v>
      </c>
      <c r="C70" s="245">
        <f>SUM(C65:C69)</f>
        <v>180000</v>
      </c>
      <c r="D70" s="245">
        <f>SUM(D65:D69)</f>
        <v>0</v>
      </c>
      <c r="E70" s="245">
        <f t="shared" ref="E70:T70" si="23">SUM(E65:E69)</f>
        <v>0</v>
      </c>
      <c r="F70" s="245">
        <f t="shared" si="23"/>
        <v>0</v>
      </c>
      <c r="G70" s="245">
        <f t="shared" si="23"/>
        <v>180000</v>
      </c>
      <c r="H70" s="245">
        <f t="shared" si="23"/>
        <v>0</v>
      </c>
      <c r="I70" s="245">
        <f t="shared" si="23"/>
        <v>0</v>
      </c>
      <c r="J70" s="245">
        <f t="shared" si="23"/>
        <v>0</v>
      </c>
      <c r="K70" s="245">
        <f t="shared" si="23"/>
        <v>0</v>
      </c>
      <c r="L70" s="245">
        <f t="shared" si="23"/>
        <v>0</v>
      </c>
      <c r="M70" s="245">
        <f t="shared" si="23"/>
        <v>0</v>
      </c>
      <c r="N70" s="245">
        <f t="shared" si="23"/>
        <v>0</v>
      </c>
      <c r="O70" s="245">
        <f t="shared" si="23"/>
        <v>0</v>
      </c>
      <c r="P70" s="245">
        <f t="shared" si="23"/>
        <v>0</v>
      </c>
      <c r="Q70" s="245">
        <f t="shared" si="23"/>
        <v>0</v>
      </c>
      <c r="R70" s="245">
        <f t="shared" si="23"/>
        <v>180000</v>
      </c>
      <c r="S70" s="107">
        <f t="shared" si="23"/>
        <v>180000</v>
      </c>
      <c r="T70" s="107">
        <f t="shared" si="23"/>
        <v>0</v>
      </c>
      <c r="U70" s="1209"/>
    </row>
    <row r="71" spans="1:21" s="105" customFormat="1">
      <c r="A71" s="104" t="s">
        <v>1816</v>
      </c>
      <c r="B71" s="246"/>
      <c r="C71" s="246"/>
      <c r="D71" s="246"/>
      <c r="E71" s="246"/>
      <c r="F71" s="246"/>
      <c r="G71" s="246"/>
      <c r="H71" s="246"/>
      <c r="I71" s="246"/>
      <c r="J71" s="246"/>
      <c r="K71" s="246"/>
      <c r="L71" s="246"/>
      <c r="M71" s="246"/>
      <c r="N71" s="246"/>
      <c r="O71" s="246"/>
      <c r="P71" s="246"/>
      <c r="Q71" s="246"/>
      <c r="R71" s="246"/>
      <c r="S71" s="246"/>
      <c r="T71" s="246"/>
      <c r="U71" s="1209"/>
    </row>
    <row r="72" spans="1:21" s="105" customFormat="1">
      <c r="A72" s="195" t="s">
        <v>1817</v>
      </c>
      <c r="B72" s="245">
        <f>SUM(C72+D72)</f>
        <v>0</v>
      </c>
      <c r="C72" s="868"/>
      <c r="D72" s="868"/>
      <c r="E72" s="868"/>
      <c r="F72" s="868"/>
      <c r="G72" s="868">
        <f t="shared" ref="G72:G76" si="24">C72-E72-H72</f>
        <v>0</v>
      </c>
      <c r="H72" s="868"/>
      <c r="I72" s="868"/>
      <c r="J72" s="868"/>
      <c r="K72" s="868"/>
      <c r="L72" s="868"/>
      <c r="M72" s="868"/>
      <c r="N72" s="868"/>
      <c r="O72" s="868"/>
      <c r="P72" s="868"/>
      <c r="Q72" s="868"/>
      <c r="R72" s="416">
        <f>SUM(E72:Q72)</f>
        <v>0</v>
      </c>
      <c r="S72" s="1210"/>
      <c r="T72" s="1210"/>
      <c r="U72" s="1209"/>
    </row>
    <row r="73" spans="1:21" s="105" customFormat="1">
      <c r="A73" s="195" t="s">
        <v>1818</v>
      </c>
      <c r="B73" s="245">
        <f>SUM(C73+D73)</f>
        <v>0</v>
      </c>
      <c r="C73" s="868"/>
      <c r="D73" s="868"/>
      <c r="E73" s="868"/>
      <c r="F73" s="868"/>
      <c r="G73" s="868">
        <f t="shared" si="24"/>
        <v>0</v>
      </c>
      <c r="H73" s="868"/>
      <c r="I73" s="868"/>
      <c r="J73" s="868"/>
      <c r="K73" s="868"/>
      <c r="L73" s="868"/>
      <c r="M73" s="868"/>
      <c r="N73" s="868"/>
      <c r="O73" s="868"/>
      <c r="P73" s="868"/>
      <c r="Q73" s="868"/>
      <c r="R73" s="416">
        <f>SUM(E73:Q73)</f>
        <v>0</v>
      </c>
      <c r="S73" s="1210"/>
      <c r="T73" s="1210"/>
      <c r="U73" s="1209"/>
    </row>
    <row r="74" spans="1:21" s="105" customFormat="1">
      <c r="A74" s="352" t="s">
        <v>1819</v>
      </c>
      <c r="B74" s="245">
        <f>SUM(C74+D74)</f>
        <v>0</v>
      </c>
      <c r="C74" s="868"/>
      <c r="D74" s="868"/>
      <c r="E74" s="868"/>
      <c r="F74" s="868"/>
      <c r="G74" s="868">
        <f t="shared" si="24"/>
        <v>0</v>
      </c>
      <c r="H74" s="868"/>
      <c r="I74" s="868"/>
      <c r="J74" s="868"/>
      <c r="K74" s="868"/>
      <c r="L74" s="868"/>
      <c r="M74" s="868"/>
      <c r="N74" s="868"/>
      <c r="O74" s="868"/>
      <c r="P74" s="868"/>
      <c r="Q74" s="868"/>
      <c r="R74" s="416">
        <f>SUM(E74:Q74)</f>
        <v>0</v>
      </c>
      <c r="S74" s="1210"/>
      <c r="T74" s="1210"/>
      <c r="U74" s="1209"/>
    </row>
    <row r="75" spans="1:21" s="105" customFormat="1">
      <c r="A75" s="195" t="s">
        <v>1820</v>
      </c>
      <c r="B75" s="245">
        <f>SUM(C75+D75)</f>
        <v>2326745</v>
      </c>
      <c r="C75" s="868">
        <f>Application!AC895</f>
        <v>2326745</v>
      </c>
      <c r="D75" s="868"/>
      <c r="E75" s="868">
        <f>C75</f>
        <v>2326745</v>
      </c>
      <c r="F75" s="868"/>
      <c r="G75" s="868">
        <f t="shared" si="24"/>
        <v>0</v>
      </c>
      <c r="H75" s="868">
        <v>0</v>
      </c>
      <c r="I75" s="868"/>
      <c r="J75" s="868"/>
      <c r="K75" s="868"/>
      <c r="L75" s="868"/>
      <c r="M75" s="868"/>
      <c r="N75" s="868"/>
      <c r="O75" s="868"/>
      <c r="P75" s="868"/>
      <c r="Q75" s="868"/>
      <c r="R75" s="416">
        <f>SUM(E75:Q75)</f>
        <v>2326745</v>
      </c>
      <c r="S75" s="1210"/>
      <c r="T75" s="1210"/>
      <c r="U75" s="1209"/>
    </row>
    <row r="76" spans="1:21" s="105" customFormat="1">
      <c r="A76" s="1031" t="s">
        <v>1786</v>
      </c>
      <c r="B76" s="245">
        <f>SUM(C76+D76)</f>
        <v>0</v>
      </c>
      <c r="C76" s="868"/>
      <c r="D76" s="868"/>
      <c r="E76" s="868"/>
      <c r="F76" s="868"/>
      <c r="G76" s="868">
        <f t="shared" si="24"/>
        <v>0</v>
      </c>
      <c r="H76" s="868"/>
      <c r="I76" s="868"/>
      <c r="J76" s="868"/>
      <c r="K76" s="868"/>
      <c r="L76" s="868"/>
      <c r="M76" s="868"/>
      <c r="N76" s="868"/>
      <c r="O76" s="868"/>
      <c r="P76" s="868"/>
      <c r="Q76" s="868"/>
      <c r="R76" s="416">
        <f>SUM(E76:Q76)</f>
        <v>0</v>
      </c>
      <c r="S76" s="1210"/>
      <c r="T76" s="1210"/>
      <c r="U76" s="1209"/>
    </row>
    <row r="77" spans="1:21" s="105" customFormat="1" ht="12">
      <c r="A77" s="106" t="s">
        <v>1821</v>
      </c>
      <c r="B77" s="245">
        <f>SUM(C77:D77)</f>
        <v>2326745</v>
      </c>
      <c r="C77" s="245">
        <f>SUM(C72:C76)</f>
        <v>2326745</v>
      </c>
      <c r="D77" s="245">
        <f>SUM(D72:D76)</f>
        <v>0</v>
      </c>
      <c r="E77" s="245">
        <f t="shared" ref="E77:Q77" si="25">SUM(E72:E76)</f>
        <v>2326745</v>
      </c>
      <c r="F77" s="245">
        <f t="shared" si="25"/>
        <v>0</v>
      </c>
      <c r="G77" s="245">
        <f t="shared" si="25"/>
        <v>0</v>
      </c>
      <c r="H77" s="245">
        <f t="shared" si="25"/>
        <v>0</v>
      </c>
      <c r="I77" s="245">
        <f t="shared" si="25"/>
        <v>0</v>
      </c>
      <c r="J77" s="245">
        <f t="shared" si="25"/>
        <v>0</v>
      </c>
      <c r="K77" s="245">
        <f t="shared" si="25"/>
        <v>0</v>
      </c>
      <c r="L77" s="245">
        <f t="shared" si="25"/>
        <v>0</v>
      </c>
      <c r="M77" s="245">
        <f t="shared" si="25"/>
        <v>0</v>
      </c>
      <c r="N77" s="245">
        <f t="shared" si="25"/>
        <v>0</v>
      </c>
      <c r="O77" s="245">
        <f t="shared" si="25"/>
        <v>0</v>
      </c>
      <c r="P77" s="245">
        <f t="shared" si="25"/>
        <v>0</v>
      </c>
      <c r="Q77" s="245">
        <f t="shared" si="25"/>
        <v>0</v>
      </c>
      <c r="R77" s="245">
        <f>SUM(R72:R76)</f>
        <v>2326745</v>
      </c>
      <c r="S77" s="1210"/>
      <c r="T77" s="1210"/>
      <c r="U77" s="1209"/>
    </row>
    <row r="78" spans="1:21" s="105" customFormat="1">
      <c r="A78" s="104" t="s">
        <v>1822</v>
      </c>
      <c r="B78" s="246"/>
      <c r="C78" s="246"/>
      <c r="D78" s="246"/>
      <c r="E78" s="246"/>
      <c r="F78" s="246"/>
      <c r="G78" s="246"/>
      <c r="H78" s="246"/>
      <c r="I78" s="246"/>
      <c r="J78" s="246"/>
      <c r="K78" s="246"/>
      <c r="L78" s="246"/>
      <c r="M78" s="246"/>
      <c r="N78" s="246"/>
      <c r="O78" s="246"/>
      <c r="P78" s="246"/>
      <c r="Q78" s="246"/>
      <c r="R78" s="246"/>
      <c r="S78" s="246"/>
      <c r="T78" s="246"/>
      <c r="U78" s="1209"/>
    </row>
    <row r="79" spans="1:21" s="105" customFormat="1">
      <c r="A79" s="195" t="s">
        <v>1823</v>
      </c>
      <c r="B79" s="245">
        <f>SUM(C79:D79)</f>
        <v>2069100</v>
      </c>
      <c r="C79" s="868">
        <v>2069100</v>
      </c>
      <c r="D79" s="868"/>
      <c r="E79" s="868"/>
      <c r="F79" s="868"/>
      <c r="G79" s="868">
        <f>C79-E79-H79</f>
        <v>2069100</v>
      </c>
      <c r="H79" s="868"/>
      <c r="I79" s="868"/>
      <c r="J79" s="868"/>
      <c r="K79" s="868"/>
      <c r="L79" s="868"/>
      <c r="M79" s="868"/>
      <c r="N79" s="868"/>
      <c r="O79" s="868"/>
      <c r="P79" s="868"/>
      <c r="Q79" s="868"/>
      <c r="R79" s="416">
        <f>SUM(E79:Q79)</f>
        <v>2069100</v>
      </c>
      <c r="S79" s="868">
        <f>R79</f>
        <v>2069100</v>
      </c>
      <c r="T79" s="868"/>
      <c r="U79" s="1209"/>
    </row>
    <row r="80" spans="1:21" s="105" customFormat="1">
      <c r="A80" s="195" t="s">
        <v>1824</v>
      </c>
      <c r="B80" s="245">
        <f>SUM(C80:D80)</f>
        <v>565000</v>
      </c>
      <c r="C80" s="868">
        <f>500000+65000</f>
        <v>565000</v>
      </c>
      <c r="D80" s="868"/>
      <c r="E80" s="868">
        <f>ROUND((E56+E57)*5%,0)</f>
        <v>68605</v>
      </c>
      <c r="F80" s="868"/>
      <c r="G80" s="868">
        <f>C80-E80-H80</f>
        <v>401157</v>
      </c>
      <c r="H80" s="868">
        <f>ROUND(SUM(H83:H95,H45:H53,H43)*5%,0)</f>
        <v>95238</v>
      </c>
      <c r="I80" s="868"/>
      <c r="J80" s="868"/>
      <c r="K80" s="868"/>
      <c r="L80" s="868"/>
      <c r="M80" s="868"/>
      <c r="N80" s="868"/>
      <c r="O80" s="868"/>
      <c r="P80" s="868"/>
      <c r="Q80" s="868"/>
      <c r="R80" s="416">
        <f>SUM(E80:Q80)</f>
        <v>565000</v>
      </c>
      <c r="S80" s="868">
        <v>500000</v>
      </c>
      <c r="T80" s="868"/>
      <c r="U80" s="1209"/>
    </row>
    <row r="81" spans="1:21" s="105" customFormat="1" ht="12">
      <c r="A81" s="106" t="s">
        <v>1825</v>
      </c>
      <c r="B81" s="245">
        <f>SUM(C81:D81)</f>
        <v>2634100</v>
      </c>
      <c r="C81" s="1216">
        <f>SUM(C79:C80)</f>
        <v>2634100</v>
      </c>
      <c r="D81" s="1216">
        <f t="shared" ref="D81:T81" si="26">SUM(D79:D80)</f>
        <v>0</v>
      </c>
      <c r="E81" s="1216">
        <f t="shared" si="26"/>
        <v>68605</v>
      </c>
      <c r="F81" s="1216">
        <f t="shared" si="26"/>
        <v>0</v>
      </c>
      <c r="G81" s="1216">
        <f t="shared" si="26"/>
        <v>2470257</v>
      </c>
      <c r="H81" s="1216">
        <f t="shared" si="26"/>
        <v>95238</v>
      </c>
      <c r="I81" s="1216">
        <f t="shared" si="26"/>
        <v>0</v>
      </c>
      <c r="J81" s="1216">
        <f t="shared" si="26"/>
        <v>0</v>
      </c>
      <c r="K81" s="1216">
        <f t="shared" si="26"/>
        <v>0</v>
      </c>
      <c r="L81" s="1216">
        <f t="shared" si="26"/>
        <v>0</v>
      </c>
      <c r="M81" s="1216">
        <f t="shared" si="26"/>
        <v>0</v>
      </c>
      <c r="N81" s="1216">
        <f t="shared" si="26"/>
        <v>0</v>
      </c>
      <c r="O81" s="1216">
        <f t="shared" si="26"/>
        <v>0</v>
      </c>
      <c r="P81" s="1216">
        <f t="shared" si="26"/>
        <v>0</v>
      </c>
      <c r="Q81" s="1216">
        <f t="shared" si="26"/>
        <v>0</v>
      </c>
      <c r="R81" s="1216">
        <f t="shared" si="26"/>
        <v>2634100</v>
      </c>
      <c r="S81" s="1216">
        <f t="shared" si="26"/>
        <v>2569100</v>
      </c>
      <c r="T81" s="1216">
        <f t="shared" si="26"/>
        <v>0</v>
      </c>
      <c r="U81" s="1209"/>
    </row>
    <row r="82" spans="1:21" s="105" customFormat="1">
      <c r="A82" s="104" t="s">
        <v>1826</v>
      </c>
      <c r="B82" s="246"/>
      <c r="C82" s="246"/>
      <c r="D82" s="246"/>
      <c r="E82" s="246"/>
      <c r="F82" s="246"/>
      <c r="G82" s="246"/>
      <c r="H82" s="246"/>
      <c r="I82" s="246"/>
      <c r="J82" s="246"/>
      <c r="K82" s="246"/>
      <c r="L82" s="246"/>
      <c r="M82" s="246"/>
      <c r="N82" s="246"/>
      <c r="O82" s="246"/>
      <c r="P82" s="246"/>
      <c r="Q82" s="246"/>
      <c r="R82" s="246"/>
      <c r="S82" s="246"/>
      <c r="T82" s="246"/>
      <c r="U82" s="1209"/>
    </row>
    <row r="83" spans="1:21" s="105" customFormat="1" ht="13.65" customHeight="1">
      <c r="A83" s="195" t="s">
        <v>1827</v>
      </c>
      <c r="B83" s="245">
        <f t="shared" ref="B83:B95" si="27">SUM(C83+D83)</f>
        <v>150000</v>
      </c>
      <c r="C83" s="868">
        <v>150000</v>
      </c>
      <c r="D83" s="868"/>
      <c r="E83" s="868"/>
      <c r="F83" s="868"/>
      <c r="G83" s="868"/>
      <c r="H83" s="868">
        <f>C83</f>
        <v>150000</v>
      </c>
      <c r="I83" s="868"/>
      <c r="J83" s="868"/>
      <c r="K83" s="868"/>
      <c r="L83" s="868"/>
      <c r="M83" s="868"/>
      <c r="N83" s="868"/>
      <c r="O83" s="868"/>
      <c r="P83" s="868"/>
      <c r="Q83" s="868"/>
      <c r="R83" s="416">
        <f t="shared" ref="R83:R95" si="28">SUM(E83:Q83)</f>
        <v>150000</v>
      </c>
      <c r="S83" s="1210"/>
      <c r="T83" s="1210"/>
      <c r="U83" s="1209"/>
    </row>
    <row r="84" spans="1:21" s="105" customFormat="1">
      <c r="A84" s="195" t="s">
        <v>1828</v>
      </c>
      <c r="B84" s="245">
        <f t="shared" si="27"/>
        <v>50000</v>
      </c>
      <c r="C84" s="868">
        <v>50000</v>
      </c>
      <c r="D84" s="868"/>
      <c r="E84" s="868"/>
      <c r="F84" s="868"/>
      <c r="G84" s="868"/>
      <c r="H84" s="868">
        <f>C84</f>
        <v>50000</v>
      </c>
      <c r="I84" s="868"/>
      <c r="J84" s="868"/>
      <c r="K84" s="868"/>
      <c r="L84" s="868"/>
      <c r="M84" s="868"/>
      <c r="N84" s="868"/>
      <c r="O84" s="868"/>
      <c r="P84" s="868"/>
      <c r="Q84" s="868"/>
      <c r="R84" s="416">
        <f t="shared" si="28"/>
        <v>50000</v>
      </c>
      <c r="S84" s="868">
        <f>R84</f>
        <v>50000</v>
      </c>
      <c r="T84" s="868"/>
      <c r="U84" s="1209"/>
    </row>
    <row r="85" spans="1:21" s="105" customFormat="1">
      <c r="A85" s="195" t="s">
        <v>1829</v>
      </c>
      <c r="B85" s="245">
        <f t="shared" si="27"/>
        <v>50000</v>
      </c>
      <c r="C85" s="868">
        <v>50000</v>
      </c>
      <c r="D85" s="868"/>
      <c r="E85" s="868"/>
      <c r="F85" s="868"/>
      <c r="G85" s="868">
        <f>C85-E85-H85</f>
        <v>50000</v>
      </c>
      <c r="H85" s="868"/>
      <c r="I85" s="868"/>
      <c r="J85" s="868"/>
      <c r="K85" s="868"/>
      <c r="L85" s="868"/>
      <c r="M85" s="868"/>
      <c r="N85" s="868"/>
      <c r="O85" s="868"/>
      <c r="P85" s="868"/>
      <c r="Q85" s="868"/>
      <c r="R85" s="416">
        <f t="shared" si="28"/>
        <v>50000</v>
      </c>
      <c r="S85" s="868">
        <f t="shared" ref="S85:S86" si="29">R85</f>
        <v>50000</v>
      </c>
      <c r="T85" s="868"/>
      <c r="U85" s="1209"/>
    </row>
    <row r="86" spans="1:21" s="105" customFormat="1">
      <c r="A86" s="195" t="s">
        <v>1830</v>
      </c>
      <c r="B86" s="245">
        <f t="shared" si="27"/>
        <v>100000</v>
      </c>
      <c r="C86" s="868">
        <v>100000</v>
      </c>
      <c r="D86" s="868"/>
      <c r="E86" s="868"/>
      <c r="F86" s="868"/>
      <c r="G86" s="868">
        <f>C86-E86-H86</f>
        <v>100000</v>
      </c>
      <c r="H86" s="868"/>
      <c r="I86" s="868"/>
      <c r="J86" s="868"/>
      <c r="K86" s="868"/>
      <c r="L86" s="868"/>
      <c r="M86" s="868"/>
      <c r="N86" s="868"/>
      <c r="O86" s="868"/>
      <c r="P86" s="868"/>
      <c r="Q86" s="868"/>
      <c r="R86" s="416">
        <f t="shared" si="28"/>
        <v>100000</v>
      </c>
      <c r="S86" s="868">
        <f t="shared" si="29"/>
        <v>100000</v>
      </c>
      <c r="T86" s="868"/>
      <c r="U86" s="1209"/>
    </row>
    <row r="87" spans="1:21" s="105" customFormat="1">
      <c r="A87" s="195" t="s">
        <v>1831</v>
      </c>
      <c r="B87" s="245">
        <f t="shared" si="27"/>
        <v>0</v>
      </c>
      <c r="C87" s="868"/>
      <c r="D87" s="868"/>
      <c r="E87" s="868"/>
      <c r="F87" s="868"/>
      <c r="G87" s="868"/>
      <c r="H87" s="868"/>
      <c r="I87" s="868"/>
      <c r="J87" s="868"/>
      <c r="K87" s="868"/>
      <c r="L87" s="868"/>
      <c r="M87" s="868"/>
      <c r="N87" s="868"/>
      <c r="O87" s="868"/>
      <c r="P87" s="868"/>
      <c r="Q87" s="868"/>
      <c r="R87" s="416">
        <f t="shared" si="28"/>
        <v>0</v>
      </c>
      <c r="S87" s="868"/>
      <c r="T87" s="868"/>
      <c r="U87" s="1209"/>
    </row>
    <row r="88" spans="1:21" s="105" customFormat="1">
      <c r="A88" s="195" t="s">
        <v>1832</v>
      </c>
      <c r="B88" s="245">
        <f t="shared" si="27"/>
        <v>0</v>
      </c>
      <c r="C88" s="868">
        <v>0</v>
      </c>
      <c r="D88" s="868"/>
      <c r="E88" s="868"/>
      <c r="F88" s="868"/>
      <c r="G88" s="868"/>
      <c r="H88" s="868"/>
      <c r="I88" s="868"/>
      <c r="J88" s="868"/>
      <c r="K88" s="868"/>
      <c r="L88" s="868"/>
      <c r="M88" s="868"/>
      <c r="N88" s="868"/>
      <c r="O88" s="868"/>
      <c r="P88" s="868"/>
      <c r="Q88" s="868"/>
      <c r="R88" s="416">
        <f t="shared" si="28"/>
        <v>0</v>
      </c>
      <c r="S88" s="1210"/>
      <c r="T88" s="1210"/>
      <c r="U88" s="1209"/>
    </row>
    <row r="89" spans="1:21" s="105" customFormat="1">
      <c r="A89" s="195" t="s">
        <v>1833</v>
      </c>
      <c r="B89" s="245">
        <f t="shared" si="27"/>
        <v>0</v>
      </c>
      <c r="C89" s="868"/>
      <c r="D89" s="868"/>
      <c r="E89" s="868"/>
      <c r="F89" s="868"/>
      <c r="G89" s="868"/>
      <c r="H89" s="868"/>
      <c r="I89" s="868"/>
      <c r="J89" s="868"/>
      <c r="K89" s="868"/>
      <c r="L89" s="868"/>
      <c r="M89" s="868"/>
      <c r="N89" s="868"/>
      <c r="O89" s="868"/>
      <c r="P89" s="868"/>
      <c r="Q89" s="868"/>
      <c r="R89" s="416">
        <f t="shared" si="28"/>
        <v>0</v>
      </c>
      <c r="S89" s="868"/>
      <c r="T89" s="868"/>
      <c r="U89" s="1209"/>
    </row>
    <row r="90" spans="1:21" s="105" customFormat="1">
      <c r="A90" s="195" t="s">
        <v>1834</v>
      </c>
      <c r="B90" s="245">
        <f t="shared" si="27"/>
        <v>25000</v>
      </c>
      <c r="C90" s="868">
        <v>25000</v>
      </c>
      <c r="D90" s="868"/>
      <c r="E90" s="868"/>
      <c r="F90" s="868"/>
      <c r="G90" s="868"/>
      <c r="H90" s="868">
        <f>C90</f>
        <v>25000</v>
      </c>
      <c r="I90" s="868"/>
      <c r="J90" s="868"/>
      <c r="K90" s="868"/>
      <c r="L90" s="868"/>
      <c r="M90" s="868"/>
      <c r="N90" s="868"/>
      <c r="O90" s="868"/>
      <c r="P90" s="868"/>
      <c r="Q90" s="868"/>
      <c r="R90" s="416">
        <f t="shared" si="28"/>
        <v>25000</v>
      </c>
      <c r="S90" s="868">
        <f t="shared" ref="S90:S93" si="30">R90</f>
        <v>25000</v>
      </c>
      <c r="T90" s="868"/>
      <c r="U90" s="1209"/>
    </row>
    <row r="91" spans="1:21" s="105" customFormat="1">
      <c r="A91" s="195" t="s">
        <v>1835</v>
      </c>
      <c r="B91" s="245">
        <f t="shared" si="27"/>
        <v>50000</v>
      </c>
      <c r="C91" s="868">
        <v>50000</v>
      </c>
      <c r="D91" s="868"/>
      <c r="E91" s="868"/>
      <c r="F91" s="868"/>
      <c r="G91" s="868"/>
      <c r="H91" s="868">
        <f>C91</f>
        <v>50000</v>
      </c>
      <c r="I91" s="868"/>
      <c r="J91" s="868"/>
      <c r="K91" s="868"/>
      <c r="L91" s="868"/>
      <c r="M91" s="868"/>
      <c r="N91" s="868"/>
      <c r="O91" s="868"/>
      <c r="P91" s="868"/>
      <c r="Q91" s="868"/>
      <c r="R91" s="416">
        <f t="shared" si="28"/>
        <v>50000</v>
      </c>
      <c r="S91" s="868">
        <f t="shared" si="30"/>
        <v>50000</v>
      </c>
      <c r="T91" s="868"/>
      <c r="U91" s="1209"/>
    </row>
    <row r="92" spans="1:21" s="105" customFormat="1">
      <c r="A92" s="195" t="s">
        <v>1836</v>
      </c>
      <c r="B92" s="245">
        <f t="shared" si="27"/>
        <v>25000</v>
      </c>
      <c r="C92" s="868">
        <v>25000</v>
      </c>
      <c r="D92" s="868"/>
      <c r="E92" s="868"/>
      <c r="F92" s="868"/>
      <c r="G92" s="868"/>
      <c r="H92" s="868">
        <f>C92</f>
        <v>25000</v>
      </c>
      <c r="I92" s="868"/>
      <c r="J92" s="868"/>
      <c r="K92" s="868"/>
      <c r="L92" s="868"/>
      <c r="M92" s="868"/>
      <c r="N92" s="868"/>
      <c r="O92" s="868"/>
      <c r="P92" s="868"/>
      <c r="Q92" s="868"/>
      <c r="R92" s="416">
        <f t="shared" si="28"/>
        <v>25000</v>
      </c>
      <c r="S92" s="868">
        <f t="shared" si="30"/>
        <v>25000</v>
      </c>
      <c r="T92" s="868"/>
      <c r="U92" s="1209"/>
    </row>
    <row r="93" spans="1:21" s="105" customFormat="1">
      <c r="A93" s="1031" t="s">
        <v>1837</v>
      </c>
      <c r="B93" s="245">
        <f t="shared" si="27"/>
        <v>50000</v>
      </c>
      <c r="C93" s="868">
        <v>50000</v>
      </c>
      <c r="D93" s="868"/>
      <c r="E93" s="868"/>
      <c r="F93" s="868"/>
      <c r="G93" s="868"/>
      <c r="H93" s="868">
        <f>C93</f>
        <v>50000</v>
      </c>
      <c r="I93" s="868"/>
      <c r="J93" s="868"/>
      <c r="K93" s="868"/>
      <c r="L93" s="868"/>
      <c r="M93" s="868"/>
      <c r="N93" s="868"/>
      <c r="O93" s="868"/>
      <c r="P93" s="868"/>
      <c r="Q93" s="868"/>
      <c r="R93" s="416">
        <f t="shared" si="28"/>
        <v>50000</v>
      </c>
      <c r="S93" s="868">
        <f t="shared" si="30"/>
        <v>50000</v>
      </c>
      <c r="T93" s="868"/>
      <c r="U93" s="1209"/>
    </row>
    <row r="94" spans="1:21" s="105" customFormat="1">
      <c r="A94" s="1031" t="s">
        <v>1838</v>
      </c>
      <c r="B94" s="245">
        <f t="shared" si="27"/>
        <v>100000</v>
      </c>
      <c r="C94" s="868">
        <v>100000</v>
      </c>
      <c r="D94" s="868"/>
      <c r="E94" s="868"/>
      <c r="F94" s="868"/>
      <c r="G94" s="868"/>
      <c r="H94" s="868">
        <f>C94</f>
        <v>100000</v>
      </c>
      <c r="I94" s="868"/>
      <c r="J94" s="868"/>
      <c r="K94" s="868"/>
      <c r="L94" s="868"/>
      <c r="M94" s="868"/>
      <c r="N94" s="868"/>
      <c r="O94" s="868"/>
      <c r="P94" s="868"/>
      <c r="Q94" s="868"/>
      <c r="R94" s="416">
        <f t="shared" si="28"/>
        <v>100000</v>
      </c>
      <c r="S94" s="868">
        <v>50000</v>
      </c>
      <c r="T94" s="868"/>
      <c r="U94" s="1209"/>
    </row>
    <row r="95" spans="1:21" s="105" customFormat="1">
      <c r="A95" s="1031" t="s">
        <v>233</v>
      </c>
      <c r="B95" s="245">
        <f t="shared" si="27"/>
        <v>0</v>
      </c>
      <c r="C95" s="868">
        <v>0</v>
      </c>
      <c r="D95" s="868"/>
      <c r="E95" s="868">
        <v>0</v>
      </c>
      <c r="F95" s="868"/>
      <c r="G95" s="868">
        <f>C95-E95-H95</f>
        <v>0</v>
      </c>
      <c r="H95" s="868"/>
      <c r="I95" s="868"/>
      <c r="J95" s="868"/>
      <c r="K95" s="868"/>
      <c r="L95" s="868"/>
      <c r="M95" s="868"/>
      <c r="N95" s="868"/>
      <c r="O95" s="868"/>
      <c r="P95" s="868"/>
      <c r="Q95" s="868"/>
      <c r="R95" s="416">
        <f t="shared" si="28"/>
        <v>0</v>
      </c>
      <c r="S95" s="868"/>
      <c r="T95" s="868"/>
      <c r="U95" s="1209"/>
    </row>
    <row r="96" spans="1:21" s="105" customFormat="1" ht="12">
      <c r="A96" s="106" t="s">
        <v>1840</v>
      </c>
      <c r="B96" s="245">
        <f>SUM(C96:D96)</f>
        <v>600000</v>
      </c>
      <c r="C96" s="245">
        <f t="shared" ref="C96:R96" si="31">SUM(C83:C95)</f>
        <v>600000</v>
      </c>
      <c r="D96" s="245">
        <f t="shared" si="31"/>
        <v>0</v>
      </c>
      <c r="E96" s="245">
        <f t="shared" si="31"/>
        <v>0</v>
      </c>
      <c r="F96" s="245">
        <f t="shared" si="31"/>
        <v>0</v>
      </c>
      <c r="G96" s="245">
        <f t="shared" si="31"/>
        <v>150000</v>
      </c>
      <c r="H96" s="245">
        <f t="shared" si="31"/>
        <v>450000</v>
      </c>
      <c r="I96" s="245">
        <f t="shared" si="31"/>
        <v>0</v>
      </c>
      <c r="J96" s="245">
        <f t="shared" si="31"/>
        <v>0</v>
      </c>
      <c r="K96" s="245">
        <f t="shared" si="31"/>
        <v>0</v>
      </c>
      <c r="L96" s="245">
        <f t="shared" si="31"/>
        <v>0</v>
      </c>
      <c r="M96" s="245">
        <f t="shared" si="31"/>
        <v>0</v>
      </c>
      <c r="N96" s="245">
        <f t="shared" si="31"/>
        <v>0</v>
      </c>
      <c r="O96" s="245">
        <f t="shared" si="31"/>
        <v>0</v>
      </c>
      <c r="P96" s="245">
        <f t="shared" si="31"/>
        <v>0</v>
      </c>
      <c r="Q96" s="245">
        <f t="shared" si="31"/>
        <v>0</v>
      </c>
      <c r="R96" s="245">
        <f t="shared" si="31"/>
        <v>600000</v>
      </c>
      <c r="S96" s="107">
        <f>SUM(S84:S87,S89:S95)</f>
        <v>400000</v>
      </c>
      <c r="T96" s="245">
        <f>SUM(T84:T87,T89:T95)</f>
        <v>0</v>
      </c>
      <c r="U96" s="1209"/>
    </row>
    <row r="97" spans="1:21" s="105" customFormat="1" ht="12">
      <c r="A97" s="106" t="s">
        <v>1841</v>
      </c>
      <c r="B97" s="245">
        <f>SUM(C97:D97)</f>
        <v>80099291</v>
      </c>
      <c r="C97" s="245">
        <f t="shared" ref="C97:R97" si="32">SUM(C63+C70+C77+C81+C96)</f>
        <v>80099291</v>
      </c>
      <c r="D97" s="245">
        <f t="shared" si="32"/>
        <v>0</v>
      </c>
      <c r="E97" s="245">
        <f t="shared" si="32"/>
        <v>27293106</v>
      </c>
      <c r="F97" s="245">
        <f t="shared" si="32"/>
        <v>22306185</v>
      </c>
      <c r="G97" s="245">
        <f t="shared" si="32"/>
        <v>28500000</v>
      </c>
      <c r="H97" s="245">
        <f t="shared" si="32"/>
        <v>2000000</v>
      </c>
      <c r="I97" s="245">
        <f t="shared" si="32"/>
        <v>0</v>
      </c>
      <c r="J97" s="245">
        <f t="shared" si="32"/>
        <v>0</v>
      </c>
      <c r="K97" s="245">
        <f t="shared" si="32"/>
        <v>0</v>
      </c>
      <c r="L97" s="245">
        <f t="shared" si="32"/>
        <v>0</v>
      </c>
      <c r="M97" s="245">
        <f t="shared" si="32"/>
        <v>0</v>
      </c>
      <c r="N97" s="245">
        <f t="shared" si="32"/>
        <v>0</v>
      </c>
      <c r="O97" s="245">
        <f t="shared" si="32"/>
        <v>0</v>
      </c>
      <c r="P97" s="245">
        <f t="shared" si="32"/>
        <v>0</v>
      </c>
      <c r="Q97" s="245">
        <f t="shared" si="32"/>
        <v>0</v>
      </c>
      <c r="R97" s="245">
        <f t="shared" si="32"/>
        <v>80099291</v>
      </c>
      <c r="S97" s="245">
        <f>SUM(S63+S70+S81+S96)</f>
        <v>22501495</v>
      </c>
      <c r="T97" s="245">
        <f>SUM(T63+T70+T81+T96)</f>
        <v>51000000</v>
      </c>
      <c r="U97" s="1209"/>
    </row>
    <row r="98" spans="1:21" s="105" customFormat="1">
      <c r="A98" s="104" t="s">
        <v>1842</v>
      </c>
      <c r="B98" s="246"/>
      <c r="C98" s="246"/>
      <c r="D98" s="246"/>
      <c r="E98" s="246"/>
      <c r="F98" s="246"/>
      <c r="G98" s="246"/>
      <c r="H98" s="246"/>
      <c r="I98" s="246"/>
      <c r="J98" s="246"/>
      <c r="K98" s="246"/>
      <c r="L98" s="246"/>
      <c r="M98" s="246"/>
      <c r="N98" s="246"/>
      <c r="O98" s="246"/>
      <c r="P98" s="246"/>
      <c r="Q98" s="246"/>
      <c r="R98" s="246"/>
      <c r="S98" s="246"/>
      <c r="T98" s="246"/>
      <c r="U98" s="1209"/>
    </row>
    <row r="99" spans="1:21" s="105" customFormat="1">
      <c r="A99" s="195" t="s">
        <v>1843</v>
      </c>
      <c r="B99" s="245">
        <f>SUM(C99+D99)</f>
        <v>4759298</v>
      </c>
      <c r="C99" s="868">
        <v>4759298</v>
      </c>
      <c r="D99" s="868"/>
      <c r="E99" s="868">
        <f>C99-I99</f>
        <v>2081035</v>
      </c>
      <c r="F99" s="868"/>
      <c r="G99" s="868"/>
      <c r="H99" s="868"/>
      <c r="I99" s="868">
        <f>Application!AO638</f>
        <v>2678263</v>
      </c>
      <c r="J99" s="868"/>
      <c r="K99" s="868"/>
      <c r="L99" s="868"/>
      <c r="M99" s="868"/>
      <c r="N99" s="868"/>
      <c r="O99" s="868"/>
      <c r="P99" s="868"/>
      <c r="Q99" s="868"/>
      <c r="R99" s="416">
        <f>SUM(E99:Q99)</f>
        <v>4759298</v>
      </c>
      <c r="S99" s="868">
        <f>C99</f>
        <v>4759298</v>
      </c>
      <c r="T99" s="868"/>
      <c r="U99" s="1209"/>
    </row>
    <row r="100" spans="1:21" s="105" customFormat="1">
      <c r="A100" s="195" t="s">
        <v>1844</v>
      </c>
      <c r="B100" s="245">
        <f>SUM(C100+D100)</f>
        <v>1189825</v>
      </c>
      <c r="C100" s="868">
        <v>1189825</v>
      </c>
      <c r="D100" s="868"/>
      <c r="E100" s="868">
        <f>C100</f>
        <v>1189825</v>
      </c>
      <c r="F100" s="868"/>
      <c r="G100" s="868"/>
      <c r="H100" s="868"/>
      <c r="I100" s="868"/>
      <c r="J100" s="868"/>
      <c r="K100" s="868"/>
      <c r="L100" s="868"/>
      <c r="M100" s="868"/>
      <c r="N100" s="868"/>
      <c r="O100" s="868"/>
      <c r="P100" s="868"/>
      <c r="Q100" s="868"/>
      <c r="R100" s="416">
        <f>SUM(E100:Q100)</f>
        <v>1189825</v>
      </c>
      <c r="S100" s="868">
        <f>R100</f>
        <v>1189825</v>
      </c>
      <c r="T100" s="868"/>
      <c r="U100" s="1209"/>
    </row>
    <row r="101" spans="1:21" s="105" customFormat="1" ht="12" customHeight="1">
      <c r="A101" s="195" t="s">
        <v>1845</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9"/>
    </row>
    <row r="102" spans="1:21" s="105" customFormat="1">
      <c r="A102" s="195" t="s">
        <v>1846</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9"/>
    </row>
    <row r="103" spans="1:21" s="105" customFormat="1">
      <c r="A103" s="1031" t="s">
        <v>1839</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9"/>
    </row>
    <row r="104" spans="1:21" s="105" customFormat="1" ht="12">
      <c r="A104" s="106" t="s">
        <v>1847</v>
      </c>
      <c r="B104" s="245">
        <f>SUM(C104:D104)</f>
        <v>5949123</v>
      </c>
      <c r="C104" s="245">
        <f>SUM(C99:C103)</f>
        <v>5949123</v>
      </c>
      <c r="D104" s="245">
        <f t="shared" ref="D104:T104" si="33">SUM(D99:D103)</f>
        <v>0</v>
      </c>
      <c r="E104" s="245">
        <f t="shared" si="33"/>
        <v>3270860</v>
      </c>
      <c r="F104" s="245">
        <f t="shared" si="33"/>
        <v>0</v>
      </c>
      <c r="G104" s="245">
        <f t="shared" si="33"/>
        <v>0</v>
      </c>
      <c r="H104" s="245">
        <f t="shared" si="33"/>
        <v>0</v>
      </c>
      <c r="I104" s="245">
        <f t="shared" si="33"/>
        <v>2678263</v>
      </c>
      <c r="J104" s="245">
        <f t="shared" si="33"/>
        <v>0</v>
      </c>
      <c r="K104" s="245">
        <f t="shared" si="33"/>
        <v>0</v>
      </c>
      <c r="L104" s="245">
        <f t="shared" si="33"/>
        <v>0</v>
      </c>
      <c r="M104" s="245">
        <f t="shared" si="33"/>
        <v>0</v>
      </c>
      <c r="N104" s="245">
        <f t="shared" si="33"/>
        <v>0</v>
      </c>
      <c r="O104" s="245">
        <f t="shared" si="33"/>
        <v>0</v>
      </c>
      <c r="P104" s="245">
        <f t="shared" si="33"/>
        <v>0</v>
      </c>
      <c r="Q104" s="245">
        <f t="shared" si="33"/>
        <v>0</v>
      </c>
      <c r="R104" s="245">
        <f t="shared" si="33"/>
        <v>5949123</v>
      </c>
      <c r="S104" s="107">
        <f t="shared" si="33"/>
        <v>5949123</v>
      </c>
      <c r="T104" s="107">
        <f t="shared" si="33"/>
        <v>0</v>
      </c>
      <c r="U104" s="1209"/>
    </row>
    <row r="105" spans="1:21" s="105" customFormat="1" ht="12">
      <c r="A105" s="106" t="s">
        <v>1848</v>
      </c>
      <c r="B105" s="107">
        <f>SUM(C105:D105)</f>
        <v>86048414</v>
      </c>
      <c r="C105" s="107">
        <f t="shared" ref="C105:R105" si="34">SUM(C97+C104)</f>
        <v>86048414</v>
      </c>
      <c r="D105" s="107">
        <f t="shared" si="34"/>
        <v>0</v>
      </c>
      <c r="E105" s="107">
        <f t="shared" si="34"/>
        <v>30563966</v>
      </c>
      <c r="F105" s="107">
        <f t="shared" si="34"/>
        <v>22306185</v>
      </c>
      <c r="G105" s="107">
        <f t="shared" si="34"/>
        <v>28500000</v>
      </c>
      <c r="H105" s="107">
        <f t="shared" si="34"/>
        <v>2000000</v>
      </c>
      <c r="I105" s="107">
        <f t="shared" si="34"/>
        <v>2678263</v>
      </c>
      <c r="J105" s="107">
        <f t="shared" si="34"/>
        <v>0</v>
      </c>
      <c r="K105" s="107">
        <f t="shared" si="34"/>
        <v>0</v>
      </c>
      <c r="L105" s="107">
        <f t="shared" si="34"/>
        <v>0</v>
      </c>
      <c r="M105" s="107">
        <f t="shared" si="34"/>
        <v>0</v>
      </c>
      <c r="N105" s="107">
        <f t="shared" si="34"/>
        <v>0</v>
      </c>
      <c r="O105" s="107">
        <f t="shared" si="34"/>
        <v>0</v>
      </c>
      <c r="P105" s="107">
        <f t="shared" si="34"/>
        <v>0</v>
      </c>
      <c r="Q105" s="107">
        <f t="shared" si="34"/>
        <v>0</v>
      </c>
      <c r="R105" s="245">
        <f t="shared" si="34"/>
        <v>86048414</v>
      </c>
      <c r="S105" s="107">
        <f>S97+S104</f>
        <v>28450618</v>
      </c>
      <c r="T105" s="107">
        <f>T97+T104</f>
        <v>51000000</v>
      </c>
      <c r="U105" s="1209"/>
    </row>
    <row r="106" spans="1:21" ht="12">
      <c r="A106" s="414" t="s">
        <v>1849</v>
      </c>
      <c r="B106" s="1217"/>
      <c r="C106" s="1217"/>
      <c r="D106" s="1217"/>
      <c r="E106" s="229"/>
      <c r="F106" s="229"/>
      <c r="G106" s="229"/>
      <c r="H106" s="230" t="s">
        <v>1850</v>
      </c>
      <c r="I106" s="230"/>
      <c r="J106" s="230"/>
      <c r="K106" s="229"/>
      <c r="L106" s="229"/>
      <c r="M106" s="229"/>
      <c r="N106" s="229"/>
      <c r="O106" s="229"/>
      <c r="P106" s="229"/>
      <c r="Q106" s="229"/>
      <c r="R106" s="113" t="s">
        <v>1851</v>
      </c>
      <c r="S106" s="868"/>
      <c r="T106" s="868"/>
      <c r="U106" s="231"/>
    </row>
    <row r="107" spans="1:21" ht="12">
      <c r="A107" s="1217" t="s">
        <v>1852</v>
      </c>
      <c r="B107" s="229"/>
      <c r="C107" s="1217"/>
      <c r="D107" s="1217"/>
      <c r="E107" s="229"/>
      <c r="F107" s="229"/>
      <c r="G107" s="229"/>
      <c r="H107" s="229"/>
      <c r="I107" s="115" t="s">
        <v>1853</v>
      </c>
      <c r="J107" s="115"/>
      <c r="K107" s="229"/>
      <c r="L107" s="229"/>
      <c r="M107" s="229"/>
      <c r="N107" s="229"/>
      <c r="O107" s="229"/>
      <c r="P107" s="229"/>
      <c r="Q107" s="229"/>
      <c r="R107" s="113" t="s">
        <v>1854</v>
      </c>
      <c r="S107" s="107">
        <f>S105+S106</f>
        <v>28450618</v>
      </c>
      <c r="T107" s="107">
        <f>T105+T106</f>
        <v>51000000</v>
      </c>
      <c r="U107" s="231"/>
    </row>
    <row r="108" spans="1:21" s="129" customFormat="1" ht="12">
      <c r="A108" s="115" t="s">
        <v>1855</v>
      </c>
      <c r="B108" s="1217"/>
      <c r="C108" s="1217"/>
      <c r="D108" s="1217"/>
      <c r="E108" s="1218">
        <f>Application!AO648</f>
        <v>30563966</v>
      </c>
      <c r="F108" s="1218">
        <f>Application!AO635</f>
        <v>22306185</v>
      </c>
      <c r="G108" s="1218">
        <f>Application!AO636</f>
        <v>28500000</v>
      </c>
      <c r="H108" s="1218">
        <f>Application!AO637</f>
        <v>2000000</v>
      </c>
      <c r="I108" s="1218">
        <f>Application!AO638</f>
        <v>2678263</v>
      </c>
      <c r="J108" s="1218">
        <f>Application!AO639</f>
        <v>0</v>
      </c>
      <c r="K108" s="1218">
        <f>Application!AO640</f>
        <v>0</v>
      </c>
      <c r="L108" s="1218">
        <f>Application!AO641</f>
        <v>0</v>
      </c>
      <c r="M108" s="1218">
        <f>Application!AO642</f>
        <v>0</v>
      </c>
      <c r="N108" s="1218">
        <f>Application!AO643</f>
        <v>0</v>
      </c>
      <c r="O108" s="1218">
        <f>Application!AO644</f>
        <v>0</v>
      </c>
      <c r="P108" s="1218">
        <f>Application!AO645</f>
        <v>0</v>
      </c>
      <c r="Q108" s="1218">
        <f>Application!AO646</f>
        <v>0</v>
      </c>
      <c r="R108" s="229"/>
      <c r="S108" s="229"/>
      <c r="T108" s="229"/>
      <c r="U108" s="1219"/>
    </row>
    <row r="109" spans="1:21" ht="10.199999999999999" customHeight="1">
      <c r="A109" s="1217"/>
      <c r="B109" s="1217"/>
      <c r="C109" s="1217"/>
      <c r="D109" s="1217"/>
      <c r="E109" s="229"/>
      <c r="F109" s="229"/>
      <c r="G109" s="229"/>
      <c r="H109" s="229"/>
      <c r="I109" s="229"/>
      <c r="J109" s="229"/>
      <c r="K109" s="229"/>
      <c r="L109" s="229"/>
      <c r="M109" s="229"/>
      <c r="N109" s="229"/>
      <c r="O109" s="229"/>
      <c r="P109" s="229"/>
      <c r="Q109" s="229"/>
      <c r="R109" s="229"/>
      <c r="S109" s="229"/>
      <c r="T109" s="229"/>
      <c r="U109" s="231"/>
    </row>
    <row r="110" spans="1:21" ht="12">
      <c r="A110" s="115" t="s">
        <v>1856</v>
      </c>
      <c r="B110" s="1217"/>
      <c r="C110" s="1217"/>
      <c r="D110" s="1217"/>
      <c r="E110" s="229"/>
      <c r="F110" s="229"/>
      <c r="G110" s="229"/>
      <c r="H110" s="229"/>
      <c r="I110" s="229"/>
      <c r="J110" s="229"/>
      <c r="K110" s="229"/>
      <c r="L110" s="229"/>
      <c r="M110" s="229"/>
      <c r="N110" s="229"/>
      <c r="O110" s="229"/>
      <c r="P110" s="229"/>
      <c r="Q110" s="229"/>
      <c r="R110" s="229"/>
      <c r="S110" s="229"/>
      <c r="T110" s="229"/>
      <c r="U110" s="231"/>
    </row>
    <row r="111" spans="1:21" ht="12">
      <c r="A111" s="111" t="s">
        <v>1857</v>
      </c>
      <c r="B111" s="1217"/>
      <c r="C111" s="1217"/>
      <c r="D111" s="1217"/>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7"/>
      <c r="C112" s="1217"/>
      <c r="D112" s="1217"/>
      <c r="E112" s="229"/>
      <c r="F112" s="229"/>
      <c r="G112" s="229"/>
      <c r="H112" s="229"/>
      <c r="I112" s="229"/>
      <c r="J112" s="229"/>
      <c r="K112" s="229"/>
      <c r="L112" s="229"/>
      <c r="M112" s="229"/>
      <c r="N112" s="229"/>
      <c r="O112" s="229"/>
      <c r="P112" s="229"/>
      <c r="Q112" s="229"/>
      <c r="R112" s="229"/>
      <c r="S112" s="229"/>
      <c r="T112" s="229"/>
      <c r="U112" s="231"/>
    </row>
    <row r="113" spans="1:21" ht="12">
      <c r="A113" s="111" t="s">
        <v>1858</v>
      </c>
      <c r="B113" s="1217"/>
      <c r="C113" s="1217"/>
      <c r="D113" s="1217"/>
      <c r="E113" s="229"/>
      <c r="F113" s="229"/>
      <c r="G113" s="229"/>
      <c r="H113" s="229"/>
      <c r="I113" s="229"/>
      <c r="J113" s="229"/>
      <c r="K113" s="229"/>
      <c r="L113" s="229"/>
      <c r="M113" s="229"/>
      <c r="N113" s="229"/>
      <c r="O113" s="229"/>
      <c r="P113" s="229"/>
      <c r="Q113" s="229"/>
      <c r="R113" s="229"/>
      <c r="S113" s="229"/>
      <c r="T113" s="229"/>
      <c r="U113" s="231"/>
    </row>
    <row r="114" spans="1:21" ht="12">
      <c r="A114" s="111" t="s">
        <v>1859</v>
      </c>
      <c r="B114" s="1217"/>
      <c r="C114" s="1217"/>
      <c r="D114" s="1217"/>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7"/>
      <c r="C115" s="1217"/>
      <c r="D115" s="1217"/>
      <c r="E115" s="229"/>
      <c r="F115" s="229"/>
      <c r="G115" s="229"/>
      <c r="H115" s="229"/>
      <c r="I115" s="229"/>
      <c r="J115" s="229"/>
      <c r="K115" s="229"/>
      <c r="L115" s="229"/>
      <c r="M115" s="229"/>
      <c r="N115" s="229"/>
      <c r="O115" s="229"/>
      <c r="P115" s="229"/>
      <c r="Q115" s="229"/>
      <c r="R115" s="229"/>
      <c r="S115" s="229"/>
      <c r="T115" s="229"/>
      <c r="U115" s="231"/>
    </row>
    <row r="116" spans="1:21" ht="12">
      <c r="A116" s="248" t="s">
        <v>1860</v>
      </c>
      <c r="B116" s="1217"/>
      <c r="C116" s="1217"/>
      <c r="D116" s="1217"/>
      <c r="E116" s="229"/>
      <c r="F116" s="229"/>
      <c r="G116" s="229"/>
      <c r="H116" s="229"/>
      <c r="I116" s="229"/>
      <c r="J116" s="229"/>
      <c r="K116" s="229"/>
      <c r="L116" s="229"/>
      <c r="M116" s="229"/>
      <c r="N116" s="229"/>
      <c r="O116" s="229"/>
      <c r="P116" s="229"/>
      <c r="Q116" s="229"/>
      <c r="R116" s="229"/>
      <c r="S116" s="229"/>
      <c r="T116" s="229"/>
      <c r="U116" s="231"/>
    </row>
    <row r="117" spans="1:21" ht="12">
      <c r="A117" s="248" t="s">
        <v>1861</v>
      </c>
      <c r="B117" s="1217"/>
      <c r="C117" s="1217"/>
      <c r="D117" s="1217"/>
      <c r="E117" s="229"/>
      <c r="F117" s="229"/>
      <c r="G117" s="229"/>
      <c r="H117" s="229"/>
      <c r="I117" s="229"/>
      <c r="J117" s="229"/>
      <c r="K117" s="229"/>
      <c r="L117" s="229"/>
      <c r="M117" s="229"/>
      <c r="N117" s="229"/>
      <c r="O117" s="229"/>
      <c r="P117" s="229"/>
      <c r="Q117" s="229"/>
      <c r="R117" s="229"/>
      <c r="S117" s="229"/>
      <c r="T117" s="229"/>
      <c r="U117" s="231"/>
    </row>
    <row r="118" spans="1:21" ht="12">
      <c r="A118" s="248" t="s">
        <v>1862</v>
      </c>
      <c r="B118" s="1217"/>
      <c r="C118" s="1217"/>
      <c r="D118" s="1217"/>
      <c r="E118" s="229"/>
      <c r="F118" s="229"/>
      <c r="G118" s="229"/>
      <c r="H118" s="229"/>
      <c r="I118" s="229"/>
      <c r="J118" s="229"/>
      <c r="K118" s="229"/>
      <c r="L118" s="229"/>
      <c r="M118" s="229"/>
      <c r="N118" s="229"/>
      <c r="O118" s="229"/>
      <c r="P118" s="229"/>
      <c r="Q118" s="229"/>
      <c r="R118" s="229"/>
      <c r="S118" s="229"/>
      <c r="T118" s="229"/>
      <c r="U118" s="231"/>
    </row>
    <row r="119" spans="1:21" ht="12">
      <c r="A119" s="248" t="s">
        <v>1863</v>
      </c>
      <c r="B119" s="1217"/>
      <c r="C119" s="1217"/>
      <c r="D119" s="1217"/>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7"/>
      <c r="C120" s="1217"/>
      <c r="D120" s="1217"/>
      <c r="E120" s="229"/>
      <c r="F120" s="229"/>
      <c r="G120" s="229"/>
      <c r="H120" s="229"/>
      <c r="I120" s="229"/>
      <c r="J120" s="229"/>
      <c r="K120" s="229"/>
      <c r="L120" s="229"/>
      <c r="M120" s="229"/>
      <c r="N120" s="229"/>
      <c r="O120" s="229"/>
      <c r="P120" s="229"/>
      <c r="Q120" s="229"/>
      <c r="R120" s="229"/>
      <c r="S120" s="229"/>
      <c r="T120" s="229"/>
      <c r="U120" s="231"/>
    </row>
    <row r="121" spans="1:21" ht="15.6">
      <c r="A121" s="241" t="s">
        <v>1864</v>
      </c>
      <c r="B121" s="1217"/>
      <c r="C121" s="1217"/>
      <c r="D121" s="1217"/>
      <c r="E121" s="229"/>
      <c r="F121" s="229"/>
      <c r="G121" s="229"/>
      <c r="H121" s="229"/>
      <c r="I121" s="229"/>
      <c r="J121" s="229"/>
      <c r="K121" s="229"/>
      <c r="L121" s="229"/>
      <c r="M121" s="229"/>
      <c r="N121" s="229"/>
      <c r="O121" s="229"/>
      <c r="P121" s="229"/>
      <c r="Q121" s="229"/>
      <c r="R121" s="229"/>
      <c r="S121" s="229"/>
      <c r="T121" s="229"/>
      <c r="U121" s="231"/>
    </row>
    <row r="122" spans="1:21">
      <c r="A122" s="230" t="s">
        <v>1865</v>
      </c>
      <c r="B122" s="229"/>
      <c r="C122" s="229"/>
      <c r="D122" s="1808" t="s">
        <v>1866</v>
      </c>
      <c r="E122" s="1808"/>
      <c r="F122" s="1808"/>
      <c r="G122" s="229"/>
      <c r="H122" s="229"/>
      <c r="I122" s="229"/>
      <c r="J122" s="229"/>
      <c r="K122" s="229"/>
      <c r="L122" s="229"/>
      <c r="M122" s="229"/>
      <c r="N122" s="229"/>
      <c r="O122" s="229"/>
      <c r="P122" s="229"/>
      <c r="Q122" s="229"/>
      <c r="R122" s="229"/>
      <c r="S122" s="229"/>
      <c r="T122" s="229"/>
      <c r="U122" s="231"/>
    </row>
    <row r="123" spans="1:21">
      <c r="A123" s="229" t="s">
        <v>1867</v>
      </c>
      <c r="B123" s="238"/>
      <c r="C123" s="229"/>
      <c r="D123" s="1801" t="s">
        <v>1868</v>
      </c>
      <c r="E123" s="1511"/>
      <c r="F123" s="1511"/>
      <c r="G123" s="1511"/>
      <c r="H123" s="1511"/>
      <c r="I123" s="1511"/>
      <c r="J123" s="1511"/>
      <c r="K123" s="1511"/>
      <c r="L123" s="1511"/>
      <c r="M123" s="1511"/>
      <c r="N123" s="1511"/>
      <c r="O123" s="1511"/>
      <c r="P123" s="1511"/>
      <c r="Q123" s="1511"/>
      <c r="R123" s="1511"/>
      <c r="S123" s="1511"/>
      <c r="T123" s="229"/>
      <c r="U123" s="231"/>
    </row>
    <row r="124" spans="1:21" ht="13.2">
      <c r="A124" s="357" t="s">
        <v>1869</v>
      </c>
      <c r="B124" s="238"/>
      <c r="C124" s="357"/>
      <c r="D124" s="1511"/>
      <c r="E124" s="1511"/>
      <c r="F124" s="1511"/>
      <c r="G124" s="1511"/>
      <c r="H124" s="1511"/>
      <c r="I124" s="1511"/>
      <c r="J124" s="1511"/>
      <c r="K124" s="1511"/>
      <c r="L124" s="1511"/>
      <c r="M124" s="1511"/>
      <c r="N124" s="1511"/>
      <c r="O124" s="1511"/>
      <c r="P124" s="1511"/>
      <c r="Q124" s="1511"/>
      <c r="R124" s="1511"/>
      <c r="S124" s="1511"/>
      <c r="T124" s="229"/>
      <c r="U124" s="231"/>
    </row>
    <row r="125" spans="1:21" ht="13.2">
      <c r="A125" s="357" t="s">
        <v>1870</v>
      </c>
      <c r="B125" s="238"/>
      <c r="C125" s="357"/>
      <c r="D125" s="1511"/>
      <c r="E125" s="1511"/>
      <c r="F125" s="1511"/>
      <c r="G125" s="1511"/>
      <c r="H125" s="1511"/>
      <c r="I125" s="1511"/>
      <c r="J125" s="1511"/>
      <c r="K125" s="1511"/>
      <c r="L125" s="1511"/>
      <c r="M125" s="1511"/>
      <c r="N125" s="1511"/>
      <c r="O125" s="1511"/>
      <c r="P125" s="1511"/>
      <c r="Q125" s="1511"/>
      <c r="R125" s="1511"/>
      <c r="S125" s="1511"/>
      <c r="T125" s="229"/>
      <c r="U125" s="231"/>
    </row>
    <row r="126" spans="1:21" ht="13.2">
      <c r="A126" s="357" t="s">
        <v>1871</v>
      </c>
      <c r="B126" s="238"/>
      <c r="C126" s="357"/>
      <c r="D126" s="85"/>
      <c r="E126" s="85"/>
      <c r="F126" s="85"/>
      <c r="G126" s="85"/>
      <c r="H126" s="85"/>
      <c r="I126" s="85"/>
      <c r="J126" s="85"/>
      <c r="K126" s="85"/>
      <c r="L126" s="85"/>
      <c r="M126" s="85"/>
      <c r="N126" s="85"/>
      <c r="O126" s="357"/>
      <c r="P126" s="357"/>
      <c r="Q126" s="357"/>
      <c r="R126" s="357"/>
      <c r="S126" s="357"/>
      <c r="T126" s="229"/>
      <c r="U126" s="231"/>
    </row>
    <row r="127" spans="1:21" ht="13.2">
      <c r="A127" s="357" t="s">
        <v>1872</v>
      </c>
      <c r="B127" s="238"/>
      <c r="C127" s="357"/>
      <c r="D127" s="85"/>
      <c r="E127" s="85"/>
      <c r="F127" s="85"/>
      <c r="G127" s="85"/>
      <c r="H127" s="85"/>
      <c r="I127" s="85"/>
      <c r="J127" s="85"/>
      <c r="K127" s="85"/>
      <c r="L127" s="85"/>
      <c r="M127" s="85"/>
      <c r="N127" s="85"/>
      <c r="O127" s="357"/>
      <c r="P127" s="357"/>
      <c r="Q127" s="357"/>
      <c r="R127" s="357"/>
      <c r="S127" s="357"/>
      <c r="T127" s="229"/>
      <c r="U127" s="231"/>
    </row>
    <row r="128" spans="1:21" ht="13.2">
      <c r="A128" s="357" t="s">
        <v>1873</v>
      </c>
      <c r="B128" s="238"/>
      <c r="C128" s="357"/>
      <c r="D128" s="1803"/>
      <c r="E128" s="1803"/>
      <c r="F128" s="1803"/>
      <c r="G128" s="1803"/>
      <c r="H128" s="1803"/>
      <c r="I128" s="357"/>
      <c r="J128" s="1800"/>
      <c r="K128" s="1800"/>
      <c r="L128" s="357"/>
      <c r="M128" s="357"/>
      <c r="N128" s="357"/>
      <c r="O128" s="357"/>
      <c r="P128" s="357"/>
      <c r="Q128" s="357"/>
      <c r="R128" s="357"/>
      <c r="S128" s="357"/>
      <c r="T128" s="229"/>
      <c r="U128" s="231"/>
    </row>
    <row r="129" spans="1:21" ht="13.2">
      <c r="A129" s="357" t="s">
        <v>1061</v>
      </c>
      <c r="B129" s="238"/>
      <c r="C129" s="357"/>
      <c r="D129" s="1807" t="s">
        <v>1874</v>
      </c>
      <c r="E129" s="1807"/>
      <c r="F129" s="1807"/>
      <c r="G129" s="1807"/>
      <c r="H129" s="1807"/>
      <c r="I129" s="357"/>
      <c r="J129" s="357" t="s">
        <v>1875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2">
      <c r="A131" s="240" t="s">
        <v>1876</v>
      </c>
      <c r="B131" s="239">
        <f>SUM(B123:B129)</f>
        <v>0</v>
      </c>
      <c r="C131" s="357"/>
      <c r="D131" s="1488"/>
      <c r="E131" s="1488"/>
      <c r="F131" s="1488"/>
      <c r="G131" s="1488"/>
      <c r="H131" s="1488"/>
      <c r="I131" s="357"/>
      <c r="J131" s="1488"/>
      <c r="K131" s="1488"/>
      <c r="L131" s="1488"/>
      <c r="M131" s="1488"/>
      <c r="N131" s="357"/>
      <c r="O131" s="357"/>
      <c r="P131" s="357"/>
      <c r="Q131" s="357"/>
      <c r="R131" s="357"/>
      <c r="S131" s="357"/>
      <c r="T131" s="229"/>
      <c r="U131" s="231"/>
    </row>
    <row r="132" spans="1:21" ht="12" customHeight="1">
      <c r="A132" s="1220"/>
      <c r="B132" s="357"/>
      <c r="C132" s="357"/>
      <c r="D132" s="1294" t="s">
        <v>1877</v>
      </c>
      <c r="E132" s="1294"/>
      <c r="F132" s="1294"/>
      <c r="G132" s="1294"/>
      <c r="H132" s="1294"/>
      <c r="I132" s="357"/>
      <c r="J132" s="1294" t="s">
        <v>1878</v>
      </c>
      <c r="K132" s="1294"/>
      <c r="L132" s="1294"/>
      <c r="M132" s="1294"/>
      <c r="N132" s="357"/>
      <c r="O132" s="357"/>
      <c r="P132" s="357"/>
      <c r="Q132" s="357"/>
      <c r="R132" s="357"/>
      <c r="S132" s="357"/>
      <c r="T132" s="229"/>
      <c r="U132" s="231"/>
    </row>
    <row r="133" spans="1:21" ht="12" customHeight="1">
      <c r="A133" s="1220"/>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2">
      <c r="A134" s="419" t="s">
        <v>1879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2">
      <c r="A135" s="219" t="s">
        <v>1880</v>
      </c>
      <c r="B135" s="357"/>
      <c r="C135" s="357"/>
      <c r="D135" s="357"/>
      <c r="E135" s="357"/>
      <c r="F135" s="357"/>
      <c r="G135" s="357"/>
      <c r="H135" s="357"/>
      <c r="I135" s="357"/>
      <c r="J135" s="357"/>
      <c r="K135" s="357"/>
      <c r="L135" s="357"/>
      <c r="M135" s="357"/>
      <c r="N135" s="1221"/>
      <c r="O135" s="357"/>
      <c r="P135" s="357"/>
      <c r="Q135" s="357"/>
      <c r="R135" s="357"/>
      <c r="S135" s="357"/>
      <c r="T135" s="229"/>
      <c r="U135" s="231"/>
    </row>
    <row r="136" spans="1:21" ht="12" customHeight="1">
      <c r="A136" s="1220"/>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2">
      <c r="A137" s="1220"/>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2"/>
      <c r="B138" s="1803"/>
      <c r="C138" s="1803"/>
      <c r="D138" s="233"/>
      <c r="E138" s="1800"/>
      <c r="F138" s="1800"/>
      <c r="G138" s="357"/>
      <c r="H138" s="357"/>
      <c r="I138" s="357"/>
      <c r="J138" s="357"/>
      <c r="K138" s="357"/>
      <c r="L138" s="357"/>
      <c r="M138" s="357"/>
      <c r="N138" s="357"/>
      <c r="O138" s="357"/>
      <c r="P138" s="357"/>
      <c r="Q138" s="357"/>
      <c r="R138" s="357"/>
      <c r="S138" s="357"/>
      <c r="T138" s="235"/>
      <c r="U138" s="236"/>
    </row>
    <row r="139" spans="1:21" ht="13.2">
      <c r="A139" s="1799" t="s">
        <v>1881</v>
      </c>
      <c r="B139" s="1799"/>
      <c r="C139" s="1799"/>
      <c r="D139" s="233"/>
      <c r="E139" s="357" t="s">
        <v>1875</v>
      </c>
      <c r="F139" s="357"/>
      <c r="G139" s="357"/>
      <c r="H139" s="357"/>
      <c r="I139" s="357"/>
      <c r="J139" s="357"/>
      <c r="K139" s="357"/>
      <c r="L139" s="357"/>
      <c r="M139" s="357"/>
      <c r="N139" s="357"/>
      <c r="O139" s="357"/>
      <c r="P139" s="357"/>
      <c r="Q139" s="357"/>
      <c r="R139" s="357"/>
      <c r="S139" s="357"/>
      <c r="T139" s="235"/>
      <c r="U139" s="236"/>
    </row>
    <row r="140" spans="1:21" ht="13.2">
      <c r="A140" s="1220"/>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6" workbookViewId="0">
      <selection activeCell="F95" sqref="F95"/>
    </sheetView>
  </sheetViews>
  <sheetFormatPr defaultColWidth="0" defaultRowHeight="12" zeroHeight="1"/>
  <cols>
    <col min="1" max="1" width="32.6640625" style="300" customWidth="1"/>
    <col min="2" max="3" width="12.109375" style="296" customWidth="1"/>
    <col min="4" max="6" width="12.88671875" style="296" customWidth="1"/>
    <col min="7" max="9" width="12.109375" style="296" customWidth="1"/>
    <col min="10" max="10" width="12.109375" style="297" customWidth="1"/>
    <col min="11" max="11" width="8.88671875" style="298" hidden="1" customWidth="1"/>
    <col min="12" max="21" width="8.88671875" style="296" hidden="1" customWidth="1"/>
    <col min="22" max="23" width="0" style="296" hidden="1"/>
    <col min="24" max="256" width="8.88671875" style="296" hidden="1"/>
    <col min="257" max="257" width="32.6640625" style="296" hidden="1" customWidth="1"/>
    <col min="258" max="259" width="12.109375" style="296" hidden="1" customWidth="1"/>
    <col min="260" max="260" width="12.88671875" style="296" hidden="1" customWidth="1"/>
    <col min="261" max="266" width="12.109375" style="296" hidden="1" customWidth="1"/>
    <col min="267" max="277" width="8.88671875" style="296" hidden="1" customWidth="1"/>
    <col min="278" max="512" width="8.88671875" style="296" hidden="1"/>
    <col min="513" max="513" width="32.6640625" style="296" hidden="1" customWidth="1"/>
    <col min="514" max="515" width="12.109375" style="296" hidden="1" customWidth="1"/>
    <col min="516" max="516" width="12.88671875" style="296" hidden="1" customWidth="1"/>
    <col min="517" max="522" width="12.109375" style="296" hidden="1" customWidth="1"/>
    <col min="523" max="533" width="8.88671875" style="296" hidden="1" customWidth="1"/>
    <col min="534" max="768" width="8.88671875" style="296" hidden="1"/>
    <col min="769" max="769" width="32.6640625" style="296" hidden="1" customWidth="1"/>
    <col min="770" max="771" width="12.109375" style="296" hidden="1" customWidth="1"/>
    <col min="772" max="772" width="12.88671875" style="296" hidden="1" customWidth="1"/>
    <col min="773" max="778" width="12.109375" style="296" hidden="1" customWidth="1"/>
    <col min="779" max="789" width="8.88671875" style="296" hidden="1" customWidth="1"/>
    <col min="790" max="1024" width="8.88671875" style="296" hidden="1"/>
    <col min="1025" max="1025" width="32.6640625" style="296" hidden="1" customWidth="1"/>
    <col min="1026" max="1027" width="12.109375" style="296" hidden="1" customWidth="1"/>
    <col min="1028" max="1028" width="12.88671875" style="296" hidden="1" customWidth="1"/>
    <col min="1029" max="1034" width="12.109375" style="296" hidden="1" customWidth="1"/>
    <col min="1035" max="1045" width="8.88671875" style="296" hidden="1" customWidth="1"/>
    <col min="1046" max="1280" width="8.88671875" style="296" hidden="1"/>
    <col min="1281" max="1281" width="32.6640625" style="296" hidden="1" customWidth="1"/>
    <col min="1282" max="1283" width="12.109375" style="296" hidden="1" customWidth="1"/>
    <col min="1284" max="1284" width="12.88671875" style="296" hidden="1" customWidth="1"/>
    <col min="1285" max="1290" width="12.109375" style="296" hidden="1" customWidth="1"/>
    <col min="1291" max="1301" width="8.88671875" style="296" hidden="1" customWidth="1"/>
    <col min="1302" max="1536" width="8.88671875" style="296" hidden="1"/>
    <col min="1537" max="1537" width="32.6640625" style="296" hidden="1" customWidth="1"/>
    <col min="1538" max="1539" width="12.109375" style="296" hidden="1" customWidth="1"/>
    <col min="1540" max="1540" width="12.88671875" style="296" hidden="1" customWidth="1"/>
    <col min="1541" max="1546" width="12.109375" style="296" hidden="1" customWidth="1"/>
    <col min="1547" max="1557" width="8.88671875" style="296" hidden="1" customWidth="1"/>
    <col min="1558" max="1792" width="8.88671875" style="296" hidden="1"/>
    <col min="1793" max="1793" width="32.6640625" style="296" hidden="1" customWidth="1"/>
    <col min="1794" max="1795" width="12.109375" style="296" hidden="1" customWidth="1"/>
    <col min="1796" max="1796" width="12.88671875" style="296" hidden="1" customWidth="1"/>
    <col min="1797" max="1802" width="12.109375" style="296" hidden="1" customWidth="1"/>
    <col min="1803" max="1813" width="8.88671875" style="296" hidden="1" customWidth="1"/>
    <col min="1814" max="2048" width="8.88671875" style="296" hidden="1"/>
    <col min="2049" max="2049" width="32.6640625" style="296" hidden="1" customWidth="1"/>
    <col min="2050" max="2051" width="12.109375" style="296" hidden="1" customWidth="1"/>
    <col min="2052" max="2052" width="12.88671875" style="296" hidden="1" customWidth="1"/>
    <col min="2053" max="2058" width="12.109375" style="296" hidden="1" customWidth="1"/>
    <col min="2059" max="2069" width="8.88671875" style="296" hidden="1" customWidth="1"/>
    <col min="2070" max="2304" width="8.88671875" style="296" hidden="1"/>
    <col min="2305" max="2305" width="32.6640625" style="296" hidden="1" customWidth="1"/>
    <col min="2306" max="2307" width="12.109375" style="296" hidden="1" customWidth="1"/>
    <col min="2308" max="2308" width="12.88671875" style="296" hidden="1" customWidth="1"/>
    <col min="2309" max="2314" width="12.109375" style="296" hidden="1" customWidth="1"/>
    <col min="2315" max="2325" width="8.88671875" style="296" hidden="1" customWidth="1"/>
    <col min="2326" max="2560" width="8.88671875" style="296" hidden="1"/>
    <col min="2561" max="2561" width="32.6640625" style="296" hidden="1" customWidth="1"/>
    <col min="2562" max="2563" width="12.109375" style="296" hidden="1" customWidth="1"/>
    <col min="2564" max="2564" width="12.88671875" style="296" hidden="1" customWidth="1"/>
    <col min="2565" max="2570" width="12.109375" style="296" hidden="1" customWidth="1"/>
    <col min="2571" max="2581" width="8.88671875" style="296" hidden="1" customWidth="1"/>
    <col min="2582" max="2816" width="8.88671875" style="296" hidden="1"/>
    <col min="2817" max="2817" width="32.6640625" style="296" hidden="1" customWidth="1"/>
    <col min="2818" max="2819" width="12.109375" style="296" hidden="1" customWidth="1"/>
    <col min="2820" max="2820" width="12.88671875" style="296" hidden="1" customWidth="1"/>
    <col min="2821" max="2826" width="12.109375" style="296" hidden="1" customWidth="1"/>
    <col min="2827" max="2837" width="8.88671875" style="296" hidden="1" customWidth="1"/>
    <col min="2838" max="3072" width="8.88671875" style="296" hidden="1"/>
    <col min="3073" max="3073" width="32.6640625" style="296" hidden="1" customWidth="1"/>
    <col min="3074" max="3075" width="12.109375" style="296" hidden="1" customWidth="1"/>
    <col min="3076" max="3076" width="12.88671875" style="296" hidden="1" customWidth="1"/>
    <col min="3077" max="3082" width="12.109375" style="296" hidden="1" customWidth="1"/>
    <col min="3083" max="3093" width="8.88671875" style="296" hidden="1" customWidth="1"/>
    <col min="3094" max="3328" width="8.88671875" style="296" hidden="1"/>
    <col min="3329" max="3329" width="32.6640625" style="296" hidden="1" customWidth="1"/>
    <col min="3330" max="3331" width="12.109375" style="296" hidden="1" customWidth="1"/>
    <col min="3332" max="3332" width="12.88671875" style="296" hidden="1" customWidth="1"/>
    <col min="3333" max="3338" width="12.109375" style="296" hidden="1" customWidth="1"/>
    <col min="3339" max="3349" width="8.88671875" style="296" hidden="1" customWidth="1"/>
    <col min="3350" max="3584" width="8.88671875" style="296" hidden="1"/>
    <col min="3585" max="3585" width="32.6640625" style="296" hidden="1" customWidth="1"/>
    <col min="3586" max="3587" width="12.109375" style="296" hidden="1" customWidth="1"/>
    <col min="3588" max="3588" width="12.88671875" style="296" hidden="1" customWidth="1"/>
    <col min="3589" max="3594" width="12.109375" style="296" hidden="1" customWidth="1"/>
    <col min="3595" max="3605" width="8.88671875" style="296" hidden="1" customWidth="1"/>
    <col min="3606" max="3840" width="8.88671875" style="296" hidden="1"/>
    <col min="3841" max="3841" width="32.6640625" style="296" hidden="1" customWidth="1"/>
    <col min="3842" max="3843" width="12.109375" style="296" hidden="1" customWidth="1"/>
    <col min="3844" max="3844" width="12.88671875" style="296" hidden="1" customWidth="1"/>
    <col min="3845" max="3850" width="12.109375" style="296" hidden="1" customWidth="1"/>
    <col min="3851" max="3861" width="8.88671875" style="296" hidden="1" customWidth="1"/>
    <col min="3862" max="4096" width="8.88671875" style="296" hidden="1"/>
    <col min="4097" max="4097" width="32.6640625" style="296" hidden="1" customWidth="1"/>
    <col min="4098" max="4099" width="12.109375" style="296" hidden="1" customWidth="1"/>
    <col min="4100" max="4100" width="12.88671875" style="296" hidden="1" customWidth="1"/>
    <col min="4101" max="4106" width="12.109375" style="296" hidden="1" customWidth="1"/>
    <col min="4107" max="4117" width="8.88671875" style="296" hidden="1" customWidth="1"/>
    <col min="4118" max="4352" width="8.88671875" style="296" hidden="1"/>
    <col min="4353" max="4353" width="32.6640625" style="296" hidden="1" customWidth="1"/>
    <col min="4354" max="4355" width="12.109375" style="296" hidden="1" customWidth="1"/>
    <col min="4356" max="4356" width="12.88671875" style="296" hidden="1" customWidth="1"/>
    <col min="4357" max="4362" width="12.109375" style="296" hidden="1" customWidth="1"/>
    <col min="4363" max="4373" width="8.88671875" style="296" hidden="1" customWidth="1"/>
    <col min="4374" max="4608" width="8.88671875" style="296" hidden="1"/>
    <col min="4609" max="4609" width="32.6640625" style="296" hidden="1" customWidth="1"/>
    <col min="4610" max="4611" width="12.109375" style="296" hidden="1" customWidth="1"/>
    <col min="4612" max="4612" width="12.88671875" style="296" hidden="1" customWidth="1"/>
    <col min="4613" max="4618" width="12.109375" style="296" hidden="1" customWidth="1"/>
    <col min="4619" max="4629" width="8.88671875" style="296" hidden="1" customWidth="1"/>
    <col min="4630" max="4864" width="8.88671875" style="296" hidden="1"/>
    <col min="4865" max="4865" width="32.6640625" style="296" hidden="1" customWidth="1"/>
    <col min="4866" max="4867" width="12.109375" style="296" hidden="1" customWidth="1"/>
    <col min="4868" max="4868" width="12.88671875" style="296" hidden="1" customWidth="1"/>
    <col min="4869" max="4874" width="12.109375" style="296" hidden="1" customWidth="1"/>
    <col min="4875" max="4885" width="8.88671875" style="296" hidden="1" customWidth="1"/>
    <col min="4886" max="5120" width="8.88671875" style="296" hidden="1"/>
    <col min="5121" max="5121" width="32.6640625" style="296" hidden="1" customWidth="1"/>
    <col min="5122" max="5123" width="12.109375" style="296" hidden="1" customWidth="1"/>
    <col min="5124" max="5124" width="12.88671875" style="296" hidden="1" customWidth="1"/>
    <col min="5125" max="5130" width="12.109375" style="296" hidden="1" customWidth="1"/>
    <col min="5131" max="5141" width="8.88671875" style="296" hidden="1" customWidth="1"/>
    <col min="5142" max="5376" width="8.88671875" style="296" hidden="1"/>
    <col min="5377" max="5377" width="32.6640625" style="296" hidden="1" customWidth="1"/>
    <col min="5378" max="5379" width="12.109375" style="296" hidden="1" customWidth="1"/>
    <col min="5380" max="5380" width="12.88671875" style="296" hidden="1" customWidth="1"/>
    <col min="5381" max="5386" width="12.109375" style="296" hidden="1" customWidth="1"/>
    <col min="5387" max="5397" width="8.88671875" style="296" hidden="1" customWidth="1"/>
    <col min="5398" max="5632" width="8.88671875" style="296" hidden="1"/>
    <col min="5633" max="5633" width="32.6640625" style="296" hidden="1" customWidth="1"/>
    <col min="5634" max="5635" width="12.109375" style="296" hidden="1" customWidth="1"/>
    <col min="5636" max="5636" width="12.88671875" style="296" hidden="1" customWidth="1"/>
    <col min="5637" max="5642" width="12.109375" style="296" hidden="1" customWidth="1"/>
    <col min="5643" max="5653" width="8.88671875" style="296" hidden="1" customWidth="1"/>
    <col min="5654" max="5888" width="8.88671875" style="296" hidden="1"/>
    <col min="5889" max="5889" width="32.6640625" style="296" hidden="1" customWidth="1"/>
    <col min="5890" max="5891" width="12.109375" style="296" hidden="1" customWidth="1"/>
    <col min="5892" max="5892" width="12.88671875" style="296" hidden="1" customWidth="1"/>
    <col min="5893" max="5898" width="12.109375" style="296" hidden="1" customWidth="1"/>
    <col min="5899" max="5909" width="8.88671875" style="296" hidden="1" customWidth="1"/>
    <col min="5910" max="6144" width="8.88671875" style="296" hidden="1"/>
    <col min="6145" max="6145" width="32.6640625" style="296" hidden="1" customWidth="1"/>
    <col min="6146" max="6147" width="12.109375" style="296" hidden="1" customWidth="1"/>
    <col min="6148" max="6148" width="12.88671875" style="296" hidden="1" customWidth="1"/>
    <col min="6149" max="6154" width="12.109375" style="296" hidden="1" customWidth="1"/>
    <col min="6155" max="6165" width="8.88671875" style="296" hidden="1" customWidth="1"/>
    <col min="6166" max="6400" width="8.88671875" style="296" hidden="1"/>
    <col min="6401" max="6401" width="32.6640625" style="296" hidden="1" customWidth="1"/>
    <col min="6402" max="6403" width="12.109375" style="296" hidden="1" customWidth="1"/>
    <col min="6404" max="6404" width="12.88671875" style="296" hidden="1" customWidth="1"/>
    <col min="6405" max="6410" width="12.109375" style="296" hidden="1" customWidth="1"/>
    <col min="6411" max="6421" width="8.88671875" style="296" hidden="1" customWidth="1"/>
    <col min="6422" max="6656" width="8.88671875" style="296" hidden="1"/>
    <col min="6657" max="6657" width="32.6640625" style="296" hidden="1" customWidth="1"/>
    <col min="6658" max="6659" width="12.109375" style="296" hidden="1" customWidth="1"/>
    <col min="6660" max="6660" width="12.88671875" style="296" hidden="1" customWidth="1"/>
    <col min="6661" max="6666" width="12.109375" style="296" hidden="1" customWidth="1"/>
    <col min="6667" max="6677" width="8.88671875" style="296" hidden="1" customWidth="1"/>
    <col min="6678" max="6912" width="8.88671875" style="296" hidden="1"/>
    <col min="6913" max="6913" width="32.6640625" style="296" hidden="1" customWidth="1"/>
    <col min="6914" max="6915" width="12.109375" style="296" hidden="1" customWidth="1"/>
    <col min="6916" max="6916" width="12.88671875" style="296" hidden="1" customWidth="1"/>
    <col min="6917" max="6922" width="12.109375" style="296" hidden="1" customWidth="1"/>
    <col min="6923" max="6933" width="8.88671875" style="296" hidden="1" customWidth="1"/>
    <col min="6934" max="7168" width="8.88671875" style="296" hidden="1"/>
    <col min="7169" max="7169" width="32.6640625" style="296" hidden="1" customWidth="1"/>
    <col min="7170" max="7171" width="12.109375" style="296" hidden="1" customWidth="1"/>
    <col min="7172" max="7172" width="12.88671875" style="296" hidden="1" customWidth="1"/>
    <col min="7173" max="7178" width="12.109375" style="296" hidden="1" customWidth="1"/>
    <col min="7179" max="7189" width="8.88671875" style="296" hidden="1" customWidth="1"/>
    <col min="7190" max="7424" width="8.88671875" style="296" hidden="1"/>
    <col min="7425" max="7425" width="32.6640625" style="296" hidden="1" customWidth="1"/>
    <col min="7426" max="7427" width="12.109375" style="296" hidden="1" customWidth="1"/>
    <col min="7428" max="7428" width="12.88671875" style="296" hidden="1" customWidth="1"/>
    <col min="7429" max="7434" width="12.109375" style="296" hidden="1" customWidth="1"/>
    <col min="7435" max="7445" width="8.88671875" style="296" hidden="1" customWidth="1"/>
    <col min="7446" max="7680" width="8.88671875" style="296" hidden="1"/>
    <col min="7681" max="7681" width="32.6640625" style="296" hidden="1" customWidth="1"/>
    <col min="7682" max="7683" width="12.109375" style="296" hidden="1" customWidth="1"/>
    <col min="7684" max="7684" width="12.88671875" style="296" hidden="1" customWidth="1"/>
    <col min="7685" max="7690" width="12.109375" style="296" hidden="1" customWidth="1"/>
    <col min="7691" max="7701" width="8.88671875" style="296" hidden="1" customWidth="1"/>
    <col min="7702" max="7936" width="8.88671875" style="296" hidden="1"/>
    <col min="7937" max="7937" width="32.6640625" style="296" hidden="1" customWidth="1"/>
    <col min="7938" max="7939" width="12.109375" style="296" hidden="1" customWidth="1"/>
    <col min="7940" max="7940" width="12.88671875" style="296" hidden="1" customWidth="1"/>
    <col min="7941" max="7946" width="12.109375" style="296" hidden="1" customWidth="1"/>
    <col min="7947" max="7957" width="8.88671875" style="296" hidden="1" customWidth="1"/>
    <col min="7958" max="8192" width="8.88671875" style="296" hidden="1"/>
    <col min="8193" max="8193" width="32.6640625" style="296" hidden="1" customWidth="1"/>
    <col min="8194" max="8195" width="12.109375" style="296" hidden="1" customWidth="1"/>
    <col min="8196" max="8196" width="12.88671875" style="296" hidden="1" customWidth="1"/>
    <col min="8197" max="8202" width="12.109375" style="296" hidden="1" customWidth="1"/>
    <col min="8203" max="8213" width="8.88671875" style="296" hidden="1" customWidth="1"/>
    <col min="8214" max="8448" width="8.88671875" style="296" hidden="1"/>
    <col min="8449" max="8449" width="32.6640625" style="296" hidden="1" customWidth="1"/>
    <col min="8450" max="8451" width="12.109375" style="296" hidden="1" customWidth="1"/>
    <col min="8452" max="8452" width="12.88671875" style="296" hidden="1" customWidth="1"/>
    <col min="8453" max="8458" width="12.109375" style="296" hidden="1" customWidth="1"/>
    <col min="8459" max="8469" width="8.88671875" style="296" hidden="1" customWidth="1"/>
    <col min="8470" max="8704" width="8.88671875" style="296" hidden="1"/>
    <col min="8705" max="8705" width="32.6640625" style="296" hidden="1" customWidth="1"/>
    <col min="8706" max="8707" width="12.109375" style="296" hidden="1" customWidth="1"/>
    <col min="8708" max="8708" width="12.88671875" style="296" hidden="1" customWidth="1"/>
    <col min="8709" max="8714" width="12.109375" style="296" hidden="1" customWidth="1"/>
    <col min="8715" max="8725" width="8.88671875" style="296" hidden="1" customWidth="1"/>
    <col min="8726" max="8960" width="8.88671875" style="296" hidden="1"/>
    <col min="8961" max="8961" width="32.6640625" style="296" hidden="1" customWidth="1"/>
    <col min="8962" max="8963" width="12.109375" style="296" hidden="1" customWidth="1"/>
    <col min="8964" max="8964" width="12.88671875" style="296" hidden="1" customWidth="1"/>
    <col min="8965" max="8970" width="12.109375" style="296" hidden="1" customWidth="1"/>
    <col min="8971" max="8981" width="8.88671875" style="296" hidden="1" customWidth="1"/>
    <col min="8982" max="9216" width="8.88671875" style="296" hidden="1"/>
    <col min="9217" max="9217" width="32.6640625" style="296" hidden="1" customWidth="1"/>
    <col min="9218" max="9219" width="12.109375" style="296" hidden="1" customWidth="1"/>
    <col min="9220" max="9220" width="12.88671875" style="296" hidden="1" customWidth="1"/>
    <col min="9221" max="9226" width="12.109375" style="296" hidden="1" customWidth="1"/>
    <col min="9227" max="9237" width="8.88671875" style="296" hidden="1" customWidth="1"/>
    <col min="9238" max="9472" width="8.88671875" style="296" hidden="1"/>
    <col min="9473" max="9473" width="32.6640625" style="296" hidden="1" customWidth="1"/>
    <col min="9474" max="9475" width="12.109375" style="296" hidden="1" customWidth="1"/>
    <col min="9476" max="9476" width="12.88671875" style="296" hidden="1" customWidth="1"/>
    <col min="9477" max="9482" width="12.109375" style="296" hidden="1" customWidth="1"/>
    <col min="9483" max="9493" width="8.88671875" style="296" hidden="1" customWidth="1"/>
    <col min="9494" max="9728" width="8.88671875" style="296" hidden="1"/>
    <col min="9729" max="9729" width="32.6640625" style="296" hidden="1" customWidth="1"/>
    <col min="9730" max="9731" width="12.109375" style="296" hidden="1" customWidth="1"/>
    <col min="9732" max="9732" width="12.88671875" style="296" hidden="1" customWidth="1"/>
    <col min="9733" max="9738" width="12.109375" style="296" hidden="1" customWidth="1"/>
    <col min="9739" max="9749" width="8.88671875" style="296" hidden="1" customWidth="1"/>
    <col min="9750" max="9984" width="8.88671875" style="296" hidden="1"/>
    <col min="9985" max="9985" width="32.6640625" style="296" hidden="1" customWidth="1"/>
    <col min="9986" max="9987" width="12.109375" style="296" hidden="1" customWidth="1"/>
    <col min="9988" max="9988" width="12.88671875" style="296" hidden="1" customWidth="1"/>
    <col min="9989" max="9994" width="12.109375" style="296" hidden="1" customWidth="1"/>
    <col min="9995" max="10005" width="8.88671875" style="296" hidden="1" customWidth="1"/>
    <col min="10006" max="10240" width="8.88671875" style="296" hidden="1"/>
    <col min="10241" max="10241" width="32.6640625" style="296" hidden="1" customWidth="1"/>
    <col min="10242" max="10243" width="12.109375" style="296" hidden="1" customWidth="1"/>
    <col min="10244" max="10244" width="12.88671875" style="296" hidden="1" customWidth="1"/>
    <col min="10245" max="10250" width="12.109375" style="296" hidden="1" customWidth="1"/>
    <col min="10251" max="10261" width="8.88671875" style="296" hidden="1" customWidth="1"/>
    <col min="10262" max="10496" width="8.88671875" style="296" hidden="1"/>
    <col min="10497" max="10497" width="32.6640625" style="296" hidden="1" customWidth="1"/>
    <col min="10498" max="10499" width="12.109375" style="296" hidden="1" customWidth="1"/>
    <col min="10500" max="10500" width="12.88671875" style="296" hidden="1" customWidth="1"/>
    <col min="10501" max="10506" width="12.109375" style="296" hidden="1" customWidth="1"/>
    <col min="10507" max="10517" width="8.88671875" style="296" hidden="1" customWidth="1"/>
    <col min="10518" max="10752" width="8.88671875" style="296" hidden="1"/>
    <col min="10753" max="10753" width="32.6640625" style="296" hidden="1" customWidth="1"/>
    <col min="10754" max="10755" width="12.109375" style="296" hidden="1" customWidth="1"/>
    <col min="10756" max="10756" width="12.88671875" style="296" hidden="1" customWidth="1"/>
    <col min="10757" max="10762" width="12.109375" style="296" hidden="1" customWidth="1"/>
    <col min="10763" max="10773" width="8.88671875" style="296" hidden="1" customWidth="1"/>
    <col min="10774" max="11008" width="8.88671875" style="296" hidden="1"/>
    <col min="11009" max="11009" width="32.6640625" style="296" hidden="1" customWidth="1"/>
    <col min="11010" max="11011" width="12.109375" style="296" hidden="1" customWidth="1"/>
    <col min="11012" max="11012" width="12.88671875" style="296" hidden="1" customWidth="1"/>
    <col min="11013" max="11018" width="12.109375" style="296" hidden="1" customWidth="1"/>
    <col min="11019" max="11029" width="8.88671875" style="296" hidden="1" customWidth="1"/>
    <col min="11030" max="11264" width="8.88671875" style="296" hidden="1"/>
    <col min="11265" max="11265" width="32.6640625" style="296" hidden="1" customWidth="1"/>
    <col min="11266" max="11267" width="12.109375" style="296" hidden="1" customWidth="1"/>
    <col min="11268" max="11268" width="12.88671875" style="296" hidden="1" customWidth="1"/>
    <col min="11269" max="11274" width="12.109375" style="296" hidden="1" customWidth="1"/>
    <col min="11275" max="11285" width="8.88671875" style="296" hidden="1" customWidth="1"/>
    <col min="11286" max="11520" width="8.88671875" style="296" hidden="1"/>
    <col min="11521" max="11521" width="32.6640625" style="296" hidden="1" customWidth="1"/>
    <col min="11522" max="11523" width="12.109375" style="296" hidden="1" customWidth="1"/>
    <col min="11524" max="11524" width="12.88671875" style="296" hidden="1" customWidth="1"/>
    <col min="11525" max="11530" width="12.109375" style="296" hidden="1" customWidth="1"/>
    <col min="11531" max="11541" width="8.88671875" style="296" hidden="1" customWidth="1"/>
    <col min="11542" max="11776" width="8.88671875" style="296" hidden="1"/>
    <col min="11777" max="11777" width="32.6640625" style="296" hidden="1" customWidth="1"/>
    <col min="11778" max="11779" width="12.109375" style="296" hidden="1" customWidth="1"/>
    <col min="11780" max="11780" width="12.88671875" style="296" hidden="1" customWidth="1"/>
    <col min="11781" max="11786" width="12.109375" style="296" hidden="1" customWidth="1"/>
    <col min="11787" max="11797" width="8.88671875" style="296" hidden="1" customWidth="1"/>
    <col min="11798" max="12032" width="8.88671875" style="296" hidden="1"/>
    <col min="12033" max="12033" width="32.6640625" style="296" hidden="1" customWidth="1"/>
    <col min="12034" max="12035" width="12.109375" style="296" hidden="1" customWidth="1"/>
    <col min="12036" max="12036" width="12.88671875" style="296" hidden="1" customWidth="1"/>
    <col min="12037" max="12042" width="12.109375" style="296" hidden="1" customWidth="1"/>
    <col min="12043" max="12053" width="8.88671875" style="296" hidden="1" customWidth="1"/>
    <col min="12054" max="12288" width="8.88671875" style="296" hidden="1"/>
    <col min="12289" max="12289" width="32.6640625" style="296" hidden="1" customWidth="1"/>
    <col min="12290" max="12291" width="12.109375" style="296" hidden="1" customWidth="1"/>
    <col min="12292" max="12292" width="12.88671875" style="296" hidden="1" customWidth="1"/>
    <col min="12293" max="12298" width="12.109375" style="296" hidden="1" customWidth="1"/>
    <col min="12299" max="12309" width="8.88671875" style="296" hidden="1" customWidth="1"/>
    <col min="12310" max="12544" width="8.88671875" style="296" hidden="1"/>
    <col min="12545" max="12545" width="32.6640625" style="296" hidden="1" customWidth="1"/>
    <col min="12546" max="12547" width="12.109375" style="296" hidden="1" customWidth="1"/>
    <col min="12548" max="12548" width="12.88671875" style="296" hidden="1" customWidth="1"/>
    <col min="12549" max="12554" width="12.109375" style="296" hidden="1" customWidth="1"/>
    <col min="12555" max="12565" width="8.88671875" style="296" hidden="1" customWidth="1"/>
    <col min="12566" max="12800" width="8.88671875" style="296" hidden="1"/>
    <col min="12801" max="12801" width="32.6640625" style="296" hidden="1" customWidth="1"/>
    <col min="12802" max="12803" width="12.109375" style="296" hidden="1" customWidth="1"/>
    <col min="12804" max="12804" width="12.88671875" style="296" hidden="1" customWidth="1"/>
    <col min="12805" max="12810" width="12.109375" style="296" hidden="1" customWidth="1"/>
    <col min="12811" max="12821" width="8.88671875" style="296" hidden="1" customWidth="1"/>
    <col min="12822" max="13056" width="8.88671875" style="296" hidden="1"/>
    <col min="13057" max="13057" width="32.6640625" style="296" hidden="1" customWidth="1"/>
    <col min="13058" max="13059" width="12.109375" style="296" hidden="1" customWidth="1"/>
    <col min="13060" max="13060" width="12.88671875" style="296" hidden="1" customWidth="1"/>
    <col min="13061" max="13066" width="12.109375" style="296" hidden="1" customWidth="1"/>
    <col min="13067" max="13077" width="8.88671875" style="296" hidden="1" customWidth="1"/>
    <col min="13078" max="13312" width="8.88671875" style="296" hidden="1"/>
    <col min="13313" max="13313" width="32.6640625" style="296" hidden="1" customWidth="1"/>
    <col min="13314" max="13315" width="12.109375" style="296" hidden="1" customWidth="1"/>
    <col min="13316" max="13316" width="12.88671875" style="296" hidden="1" customWidth="1"/>
    <col min="13317" max="13322" width="12.109375" style="296" hidden="1" customWidth="1"/>
    <col min="13323" max="13333" width="8.88671875" style="296" hidden="1" customWidth="1"/>
    <col min="13334" max="13568" width="8.88671875" style="296" hidden="1"/>
    <col min="13569" max="13569" width="32.6640625" style="296" hidden="1" customWidth="1"/>
    <col min="13570" max="13571" width="12.109375" style="296" hidden="1" customWidth="1"/>
    <col min="13572" max="13572" width="12.88671875" style="296" hidden="1" customWidth="1"/>
    <col min="13573" max="13578" width="12.109375" style="296" hidden="1" customWidth="1"/>
    <col min="13579" max="13589" width="8.88671875" style="296" hidden="1" customWidth="1"/>
    <col min="13590" max="13824" width="8.88671875" style="296" hidden="1"/>
    <col min="13825" max="13825" width="32.6640625" style="296" hidden="1" customWidth="1"/>
    <col min="13826" max="13827" width="12.109375" style="296" hidden="1" customWidth="1"/>
    <col min="13828" max="13828" width="12.88671875" style="296" hidden="1" customWidth="1"/>
    <col min="13829" max="13834" width="12.109375" style="296" hidden="1" customWidth="1"/>
    <col min="13835" max="13845" width="8.88671875" style="296" hidden="1" customWidth="1"/>
    <col min="13846" max="14080" width="8.88671875" style="296" hidden="1"/>
    <col min="14081" max="14081" width="32.6640625" style="296" hidden="1" customWidth="1"/>
    <col min="14082" max="14083" width="12.109375" style="296" hidden="1" customWidth="1"/>
    <col min="14084" max="14084" width="12.88671875" style="296" hidden="1" customWidth="1"/>
    <col min="14085" max="14090" width="12.109375" style="296" hidden="1" customWidth="1"/>
    <col min="14091" max="14101" width="8.88671875" style="296" hidden="1" customWidth="1"/>
    <col min="14102" max="14336" width="8.88671875" style="296" hidden="1"/>
    <col min="14337" max="14337" width="32.6640625" style="296" hidden="1" customWidth="1"/>
    <col min="14338" max="14339" width="12.109375" style="296" hidden="1" customWidth="1"/>
    <col min="14340" max="14340" width="12.88671875" style="296" hidden="1" customWidth="1"/>
    <col min="14341" max="14346" width="12.109375" style="296" hidden="1" customWidth="1"/>
    <col min="14347" max="14357" width="8.88671875" style="296" hidden="1" customWidth="1"/>
    <col min="14358" max="14592" width="8.88671875" style="296" hidden="1"/>
    <col min="14593" max="14593" width="32.6640625" style="296" hidden="1" customWidth="1"/>
    <col min="14594" max="14595" width="12.109375" style="296" hidden="1" customWidth="1"/>
    <col min="14596" max="14596" width="12.88671875" style="296" hidden="1" customWidth="1"/>
    <col min="14597" max="14602" width="12.109375" style="296" hidden="1" customWidth="1"/>
    <col min="14603" max="14613" width="8.88671875" style="296" hidden="1" customWidth="1"/>
    <col min="14614" max="14848" width="8.88671875" style="296" hidden="1"/>
    <col min="14849" max="14849" width="32.6640625" style="296" hidden="1" customWidth="1"/>
    <col min="14850" max="14851" width="12.109375" style="296" hidden="1" customWidth="1"/>
    <col min="14852" max="14852" width="12.88671875" style="296" hidden="1" customWidth="1"/>
    <col min="14853" max="14858" width="12.109375" style="296" hidden="1" customWidth="1"/>
    <col min="14859" max="14869" width="8.88671875" style="296" hidden="1" customWidth="1"/>
    <col min="14870" max="15104" width="8.88671875" style="296" hidden="1"/>
    <col min="15105" max="15105" width="32.6640625" style="296" hidden="1" customWidth="1"/>
    <col min="15106" max="15107" width="12.109375" style="296" hidden="1" customWidth="1"/>
    <col min="15108" max="15108" width="12.88671875" style="296" hidden="1" customWidth="1"/>
    <col min="15109" max="15114" width="12.109375" style="296" hidden="1" customWidth="1"/>
    <col min="15115" max="15125" width="8.88671875" style="296" hidden="1" customWidth="1"/>
    <col min="15126" max="15360" width="8.88671875" style="296" hidden="1"/>
    <col min="15361" max="15361" width="32.6640625" style="296" hidden="1" customWidth="1"/>
    <col min="15362" max="15363" width="12.109375" style="296" hidden="1" customWidth="1"/>
    <col min="15364" max="15364" width="12.88671875" style="296" hidden="1" customWidth="1"/>
    <col min="15365" max="15370" width="12.109375" style="296" hidden="1" customWidth="1"/>
    <col min="15371" max="15381" width="8.88671875" style="296" hidden="1" customWidth="1"/>
    <col min="15382" max="15616" width="8.88671875" style="296" hidden="1"/>
    <col min="15617" max="15617" width="32.6640625" style="296" hidden="1" customWidth="1"/>
    <col min="15618" max="15619" width="12.109375" style="296" hidden="1" customWidth="1"/>
    <col min="15620" max="15620" width="12.88671875" style="296" hidden="1" customWidth="1"/>
    <col min="15621" max="15626" width="12.109375" style="296" hidden="1" customWidth="1"/>
    <col min="15627" max="15637" width="8.88671875" style="296" hidden="1" customWidth="1"/>
    <col min="15638" max="15872" width="8.88671875" style="296" hidden="1"/>
    <col min="15873" max="15873" width="32.6640625" style="296" hidden="1" customWidth="1"/>
    <col min="15874" max="15875" width="12.109375" style="296" hidden="1" customWidth="1"/>
    <col min="15876" max="15876" width="12.88671875" style="296" hidden="1" customWidth="1"/>
    <col min="15877" max="15882" width="12.109375" style="296" hidden="1" customWidth="1"/>
    <col min="15883" max="15893" width="8.88671875" style="296" hidden="1" customWidth="1"/>
    <col min="15894" max="16128" width="8.88671875" style="296" hidden="1"/>
    <col min="16129" max="16129" width="32.6640625" style="296" hidden="1" customWidth="1"/>
    <col min="16130" max="16131" width="12.109375" style="296" hidden="1" customWidth="1"/>
    <col min="16132" max="16132" width="12.88671875" style="296" hidden="1" customWidth="1"/>
    <col min="16133" max="16138" width="12.109375" style="296" hidden="1" customWidth="1"/>
    <col min="16139" max="16149" width="8.88671875" style="296" hidden="1" customWidth="1"/>
    <col min="16150" max="16384" width="8.88671875" style="296" hidden="1"/>
  </cols>
  <sheetData>
    <row r="1" spans="1:11" s="259" customFormat="1" ht="13.2">
      <c r="A1" s="1811" t="s">
        <v>1882</v>
      </c>
      <c r="B1" s="1812"/>
      <c r="C1" s="1812"/>
      <c r="D1" s="1812"/>
      <c r="E1" s="1812"/>
      <c r="F1" s="1812"/>
      <c r="G1" s="1812"/>
      <c r="H1" s="1812"/>
      <c r="I1" s="1812"/>
      <c r="J1" s="1813"/>
      <c r="K1" s="258"/>
    </row>
    <row r="2" spans="1:11" s="304" customFormat="1" ht="72">
      <c r="A2" s="301"/>
      <c r="B2" s="302" t="s">
        <v>1883</v>
      </c>
      <c r="C2" s="302" t="s">
        <v>1884</v>
      </c>
      <c r="D2" s="302" t="s">
        <v>1885</v>
      </c>
      <c r="E2" s="302" t="s">
        <v>1886</v>
      </c>
      <c r="F2" s="302" t="s">
        <v>1887</v>
      </c>
      <c r="G2" s="302" t="s">
        <v>1888</v>
      </c>
      <c r="H2" s="302" t="s">
        <v>1889</v>
      </c>
      <c r="I2" s="302" t="s">
        <v>1890</v>
      </c>
      <c r="J2" s="302" t="s">
        <v>1891</v>
      </c>
      <c r="K2" s="303"/>
    </row>
    <row r="3" spans="1:11" s="263" customFormat="1" ht="11.4">
      <c r="A3" s="260" t="s">
        <v>1765</v>
      </c>
      <c r="B3" s="261"/>
      <c r="C3" s="261"/>
      <c r="D3" s="261"/>
      <c r="E3" s="261"/>
      <c r="F3" s="261"/>
      <c r="G3" s="261"/>
      <c r="H3" s="261"/>
      <c r="I3" s="261"/>
      <c r="J3" s="261"/>
      <c r="K3" s="262"/>
    </row>
    <row r="4" spans="1:11" s="263" customFormat="1" ht="11.4">
      <c r="A4" s="267" t="s">
        <v>1766</v>
      </c>
      <c r="B4" s="264">
        <f>'Sources and Uses Budget'!C4</f>
        <v>0</v>
      </c>
      <c r="C4" s="265"/>
      <c r="D4" s="265"/>
      <c r="E4" s="266"/>
      <c r="F4" s="266"/>
      <c r="G4" s="266"/>
      <c r="H4" s="266"/>
      <c r="I4" s="266"/>
      <c r="J4" s="266"/>
      <c r="K4" s="262"/>
    </row>
    <row r="5" spans="1:11" s="263" customFormat="1" ht="11.4">
      <c r="A5" s="267" t="s">
        <v>694</v>
      </c>
      <c r="B5" s="264">
        <f>'Sources and Uses Budget'!C5</f>
        <v>0</v>
      </c>
      <c r="C5" s="265"/>
      <c r="D5" s="265"/>
      <c r="E5" s="266"/>
      <c r="F5" s="266"/>
      <c r="G5" s="266"/>
      <c r="H5" s="266"/>
      <c r="I5" s="266"/>
      <c r="J5" s="266"/>
      <c r="K5" s="262"/>
    </row>
    <row r="6" spans="1:11" s="263" customFormat="1" ht="11.4">
      <c r="A6" s="267" t="s">
        <v>1767</v>
      </c>
      <c r="B6" s="264">
        <f>'Sources and Uses Budget'!C6</f>
        <v>0</v>
      </c>
      <c r="C6" s="265"/>
      <c r="D6" s="265"/>
      <c r="E6" s="266"/>
      <c r="F6" s="266"/>
      <c r="G6" s="266"/>
      <c r="H6" s="266"/>
      <c r="I6" s="266"/>
      <c r="J6" s="266"/>
      <c r="K6" s="262"/>
    </row>
    <row r="7" spans="1:11" s="263" customFormat="1" ht="11.4">
      <c r="A7" s="267" t="s">
        <v>1768</v>
      </c>
      <c r="B7" s="264">
        <f>'Sources and Uses Budget'!C7</f>
        <v>0</v>
      </c>
      <c r="C7" s="265"/>
      <c r="D7" s="265"/>
      <c r="E7" s="266"/>
      <c r="F7" s="266"/>
      <c r="G7" s="266"/>
      <c r="H7" s="266"/>
      <c r="I7" s="266"/>
      <c r="J7" s="266"/>
      <c r="K7" s="262"/>
    </row>
    <row r="8" spans="1:11" s="263" customFormat="1">
      <c r="A8" s="268" t="s">
        <v>1769</v>
      </c>
      <c r="B8" s="264">
        <f>'Sources and Uses Budget'!C8</f>
        <v>0</v>
      </c>
      <c r="C8" s="264">
        <f>SUM(C4:C7)</f>
        <v>0</v>
      </c>
      <c r="D8" s="264">
        <f>SUM(D4:D7)</f>
        <v>0</v>
      </c>
      <c r="E8" s="266"/>
      <c r="F8" s="266"/>
      <c r="G8" s="266"/>
      <c r="H8" s="266"/>
      <c r="I8" s="266"/>
      <c r="J8" s="266"/>
      <c r="K8" s="262"/>
    </row>
    <row r="9" spans="1:11" s="263" customFormat="1" ht="11.4">
      <c r="A9" s="267" t="s">
        <v>1770</v>
      </c>
      <c r="B9" s="264">
        <f>'Sources and Uses Budget'!C9</f>
        <v>51000000</v>
      </c>
      <c r="C9" s="265">
        <f>B9</f>
        <v>51000000</v>
      </c>
      <c r="D9" s="265"/>
      <c r="E9" s="266"/>
      <c r="F9" s="266"/>
      <c r="G9" s="266"/>
      <c r="H9" s="264">
        <f>'Sources and Uses Budget'!T9</f>
        <v>51000000</v>
      </c>
      <c r="I9" s="265">
        <f>H9</f>
        <v>51000000</v>
      </c>
      <c r="J9" s="265"/>
      <c r="K9" s="262"/>
    </row>
    <row r="10" spans="1:11" s="263" customFormat="1" ht="11.4">
      <c r="A10" s="267" t="s">
        <v>1771</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1772</v>
      </c>
      <c r="B11" s="264">
        <f>'Sources and Uses Budget'!C11</f>
        <v>51000000</v>
      </c>
      <c r="C11" s="264">
        <f>SUM(C9:C10)</f>
        <v>51000000</v>
      </c>
      <c r="D11" s="264">
        <f>SUM(D9:D10)</f>
        <v>0</v>
      </c>
      <c r="E11" s="266"/>
      <c r="F11" s="266"/>
      <c r="G11" s="266"/>
      <c r="H11" s="264">
        <f>'Sources and Uses Budget'!T11</f>
        <v>51000000</v>
      </c>
      <c r="I11" s="264">
        <f>SUM(I9:I10)</f>
        <v>51000000</v>
      </c>
      <c r="J11" s="264">
        <f>SUM(J9:J10)</f>
        <v>0</v>
      </c>
      <c r="K11" s="262"/>
    </row>
    <row r="12" spans="1:11" s="263" customFormat="1">
      <c r="A12" s="268" t="s">
        <v>1773</v>
      </c>
      <c r="B12" s="264">
        <f>'Sources and Uses Budget'!C12</f>
        <v>51000000</v>
      </c>
      <c r="C12" s="264">
        <f>SUM(C8+C11)</f>
        <v>51000000</v>
      </c>
      <c r="D12" s="264">
        <f>SUM(D8+D11)</f>
        <v>0</v>
      </c>
      <c r="E12" s="266"/>
      <c r="F12" s="266"/>
      <c r="G12" s="266"/>
      <c r="H12" s="266"/>
      <c r="I12" s="266"/>
      <c r="J12" s="266"/>
      <c r="K12" s="262"/>
    </row>
    <row r="13" spans="1:11" s="263" customFormat="1" ht="11.4">
      <c r="A13" s="269" t="s">
        <v>1774</v>
      </c>
      <c r="B13" s="264">
        <f>'Sources and Uses Budget'!C13</f>
        <v>0</v>
      </c>
      <c r="C13" s="265"/>
      <c r="D13" s="265"/>
      <c r="E13" s="264">
        <f>'Sources and Uses Budget'!S13</f>
        <v>0</v>
      </c>
      <c r="F13" s="265"/>
      <c r="G13" s="265"/>
      <c r="H13" s="264">
        <f>'Sources and Uses Budget'!T13</f>
        <v>0</v>
      </c>
      <c r="I13" s="265"/>
      <c r="J13" s="265"/>
      <c r="K13" s="262"/>
    </row>
    <row r="14" spans="1:11" s="263" customFormat="1" ht="22.8">
      <c r="A14" s="267" t="s">
        <v>1892</v>
      </c>
      <c r="B14" s="264">
        <f>'Sources and Uses Budget'!C14</f>
        <v>0</v>
      </c>
      <c r="C14" s="265"/>
      <c r="D14" s="265"/>
      <c r="E14" s="264">
        <f>'Sources and Uses Budget'!S14</f>
        <v>0</v>
      </c>
      <c r="F14" s="265"/>
      <c r="G14" s="265"/>
      <c r="H14" s="264">
        <f>'Sources and Uses Budget'!T14</f>
        <v>0</v>
      </c>
      <c r="I14" s="265"/>
      <c r="J14" s="265"/>
      <c r="K14" s="262"/>
    </row>
    <row r="15" spans="1:11" s="263" customFormat="1" ht="11.4">
      <c r="A15" s="267" t="s">
        <v>1776</v>
      </c>
      <c r="B15" s="264">
        <f>'Sources and Uses Budget'!C15</f>
        <v>0</v>
      </c>
      <c r="C15" s="265"/>
      <c r="D15" s="265"/>
      <c r="E15" s="266">
        <f>'Sources and Uses Budget'!S15</f>
        <v>0</v>
      </c>
      <c r="F15" s="266"/>
      <c r="G15" s="266"/>
      <c r="H15" s="266">
        <f>'Sources and Uses Budget'!T15</f>
        <v>0</v>
      </c>
      <c r="I15" s="266"/>
      <c r="J15" s="266"/>
      <c r="K15" s="262"/>
    </row>
    <row r="16" spans="1:11" s="263" customFormat="1" ht="11.4">
      <c r="A16" s="260" t="s">
        <v>1777</v>
      </c>
      <c r="B16" s="261"/>
      <c r="C16" s="261"/>
      <c r="D16" s="261"/>
      <c r="E16" s="261"/>
      <c r="F16" s="261"/>
      <c r="G16" s="261"/>
      <c r="H16" s="261"/>
      <c r="I16" s="261"/>
      <c r="J16" s="261"/>
      <c r="K16" s="262"/>
    </row>
    <row r="17" spans="1:11" s="263" customFormat="1" ht="11.4">
      <c r="A17" s="267" t="s">
        <v>1778</v>
      </c>
      <c r="B17" s="264">
        <f>'Sources and Uses Budget'!C17</f>
        <v>1000000</v>
      </c>
      <c r="C17" s="265">
        <f>B17</f>
        <v>1000000</v>
      </c>
      <c r="D17" s="265"/>
      <c r="E17" s="264">
        <f>'Sources and Uses Budget'!S17</f>
        <v>1000000</v>
      </c>
      <c r="F17" s="265">
        <f>E17</f>
        <v>1000000</v>
      </c>
      <c r="G17" s="265"/>
      <c r="H17" s="264">
        <f>'Sources and Uses Budget'!T17</f>
        <v>0</v>
      </c>
      <c r="I17" s="265"/>
      <c r="J17" s="265"/>
      <c r="K17" s="262"/>
    </row>
    <row r="18" spans="1:11" s="263" customFormat="1" ht="11.4">
      <c r="A18" s="267" t="s">
        <v>1779</v>
      </c>
      <c r="B18" s="264">
        <f>'Sources and Uses Budget'!C18</f>
        <v>11100000</v>
      </c>
      <c r="C18" s="265">
        <f t="shared" ref="C18:C25" si="0">B18</f>
        <v>11100000</v>
      </c>
      <c r="D18" s="265"/>
      <c r="E18" s="264">
        <f>'Sources and Uses Budget'!S18</f>
        <v>11100000</v>
      </c>
      <c r="F18" s="265">
        <f t="shared" ref="F18:F25" si="1">E18</f>
        <v>11100000</v>
      </c>
      <c r="G18" s="265"/>
      <c r="H18" s="264">
        <f>'Sources and Uses Budget'!T18</f>
        <v>0</v>
      </c>
      <c r="I18" s="265"/>
      <c r="J18" s="265"/>
      <c r="K18" s="262"/>
    </row>
    <row r="19" spans="1:11" s="263" customFormat="1" ht="11.4">
      <c r="A19" s="267" t="s">
        <v>1780</v>
      </c>
      <c r="B19" s="264">
        <f>'Sources and Uses Budget'!C19</f>
        <v>726000</v>
      </c>
      <c r="C19" s="265">
        <f t="shared" si="0"/>
        <v>726000</v>
      </c>
      <c r="D19" s="265"/>
      <c r="E19" s="264">
        <f>'Sources and Uses Budget'!S19</f>
        <v>726000</v>
      </c>
      <c r="F19" s="265">
        <f t="shared" si="1"/>
        <v>726000</v>
      </c>
      <c r="G19" s="265"/>
      <c r="H19" s="264">
        <f>'Sources and Uses Budget'!T19</f>
        <v>0</v>
      </c>
      <c r="I19" s="265"/>
      <c r="J19" s="265"/>
      <c r="K19" s="262"/>
    </row>
    <row r="20" spans="1:11" s="263" customFormat="1" ht="11.4">
      <c r="A20" s="267" t="s">
        <v>1781</v>
      </c>
      <c r="B20" s="264">
        <f>'Sources and Uses Budget'!C20</f>
        <v>242000</v>
      </c>
      <c r="C20" s="265">
        <f t="shared" si="0"/>
        <v>242000</v>
      </c>
      <c r="D20" s="265"/>
      <c r="E20" s="264">
        <f>'Sources and Uses Budget'!S20</f>
        <v>242000</v>
      </c>
      <c r="F20" s="265">
        <f t="shared" si="1"/>
        <v>242000</v>
      </c>
      <c r="G20" s="265"/>
      <c r="H20" s="264">
        <f>'Sources and Uses Budget'!T20</f>
        <v>0</v>
      </c>
      <c r="I20" s="265"/>
      <c r="J20" s="265"/>
      <c r="K20" s="262"/>
    </row>
    <row r="21" spans="1:11" s="263" customFormat="1" ht="11.4">
      <c r="A21" s="267" t="s">
        <v>1782</v>
      </c>
      <c r="B21" s="264">
        <f>'Sources and Uses Budget'!C21</f>
        <v>726000</v>
      </c>
      <c r="C21" s="265">
        <f t="shared" si="0"/>
        <v>726000</v>
      </c>
      <c r="D21" s="265"/>
      <c r="E21" s="264">
        <f>'Sources and Uses Budget'!S21</f>
        <v>726000</v>
      </c>
      <c r="F21" s="265">
        <f t="shared" si="1"/>
        <v>726000</v>
      </c>
      <c r="G21" s="265"/>
      <c r="H21" s="264">
        <f>'Sources and Uses Budget'!T21</f>
        <v>0</v>
      </c>
      <c r="I21" s="265"/>
      <c r="J21" s="265"/>
      <c r="K21" s="262"/>
    </row>
    <row r="22" spans="1:11" s="263" customFormat="1" ht="11.4">
      <c r="A22" s="267" t="s">
        <v>1783</v>
      </c>
      <c r="B22" s="264">
        <f>'Sources and Uses Budget'!C22</f>
        <v>0</v>
      </c>
      <c r="C22" s="265">
        <f t="shared" si="0"/>
        <v>0</v>
      </c>
      <c r="D22" s="265"/>
      <c r="E22" s="264">
        <f>'Sources and Uses Budget'!S22</f>
        <v>0</v>
      </c>
      <c r="F22" s="265">
        <f t="shared" si="1"/>
        <v>0</v>
      </c>
      <c r="G22" s="265"/>
      <c r="H22" s="264">
        <f>'Sources and Uses Budget'!T22</f>
        <v>0</v>
      </c>
      <c r="I22" s="265"/>
      <c r="J22" s="265"/>
      <c r="K22" s="262"/>
    </row>
    <row r="23" spans="1:11" s="263" customFormat="1" ht="11.4">
      <c r="A23" s="267" t="s">
        <v>1784</v>
      </c>
      <c r="B23" s="264">
        <f>'Sources and Uses Budget'!C23</f>
        <v>0</v>
      </c>
      <c r="C23" s="265">
        <f t="shared" si="0"/>
        <v>0</v>
      </c>
      <c r="D23" s="265"/>
      <c r="E23" s="264">
        <f>'Sources and Uses Budget'!S23</f>
        <v>0</v>
      </c>
      <c r="F23" s="265">
        <f t="shared" si="1"/>
        <v>0</v>
      </c>
      <c r="G23" s="265"/>
      <c r="H23" s="264">
        <f>'Sources and Uses Budget'!T23</f>
        <v>0</v>
      </c>
      <c r="I23" s="265"/>
      <c r="J23" s="265"/>
      <c r="K23" s="262"/>
    </row>
    <row r="24" spans="1:11" s="263" customFormat="1" ht="11.4">
      <c r="A24" s="409" t="s">
        <v>1785</v>
      </c>
      <c r="B24" s="264">
        <f>'Sources and Uses Budget'!C24</f>
        <v>0</v>
      </c>
      <c r="C24" s="265">
        <f t="shared" si="0"/>
        <v>0</v>
      </c>
      <c r="D24" s="265"/>
      <c r="E24" s="264">
        <f>'Sources and Uses Budget'!S24</f>
        <v>0</v>
      </c>
      <c r="F24" s="265">
        <f t="shared" si="1"/>
        <v>0</v>
      </c>
      <c r="G24" s="265"/>
      <c r="H24" s="264">
        <f>'Sources and Uses Budget'!T24</f>
        <v>0</v>
      </c>
      <c r="I24" s="265"/>
      <c r="J24" s="265"/>
      <c r="K24" s="262"/>
    </row>
    <row r="25" spans="1:11" s="263" customFormat="1" ht="11.4">
      <c r="A25" s="267" t="str">
        <f>'Sources and Uses Budget'!$A25</f>
        <v>Other: (Specify)</v>
      </c>
      <c r="B25" s="264">
        <f>'Sources and Uses Budget'!C25</f>
        <v>0</v>
      </c>
      <c r="C25" s="265">
        <f t="shared" si="0"/>
        <v>0</v>
      </c>
      <c r="D25" s="265"/>
      <c r="E25" s="264">
        <f>'Sources and Uses Budget'!S25</f>
        <v>0</v>
      </c>
      <c r="F25" s="265">
        <f t="shared" si="1"/>
        <v>0</v>
      </c>
      <c r="G25" s="265"/>
      <c r="H25" s="264">
        <f>'Sources and Uses Budget'!T25</f>
        <v>0</v>
      </c>
      <c r="I25" s="265"/>
      <c r="J25" s="265"/>
      <c r="K25" s="262"/>
    </row>
    <row r="26" spans="1:11" s="263" customFormat="1">
      <c r="A26" s="268" t="s">
        <v>1787</v>
      </c>
      <c r="B26" s="264">
        <f>'Sources and Uses Budget'!C26</f>
        <v>13794000</v>
      </c>
      <c r="C26" s="264">
        <f>SUM(C17:C25)</f>
        <v>13794000</v>
      </c>
      <c r="D26" s="264">
        <f>SUM(D17:D25)</f>
        <v>0</v>
      </c>
      <c r="E26" s="264">
        <f>'Sources and Uses Budget'!S26</f>
        <v>13794000</v>
      </c>
      <c r="F26" s="270">
        <f>SUM(F17:F25)</f>
        <v>13794000</v>
      </c>
      <c r="G26" s="270">
        <f>SUM(G17:G25)</f>
        <v>0</v>
      </c>
      <c r="H26" s="264">
        <f>'Sources and Uses Budget'!T26</f>
        <v>0</v>
      </c>
      <c r="I26" s="270">
        <f>SUM(I17:I25)</f>
        <v>0</v>
      </c>
      <c r="J26" s="270">
        <f>SUM(J17:J25)</f>
        <v>0</v>
      </c>
      <c r="K26" s="262"/>
    </row>
    <row r="27" spans="1:11" s="263" customFormat="1">
      <c r="A27" s="268" t="s">
        <v>1788</v>
      </c>
      <c r="B27" s="264">
        <f>'Sources and Uses Budget'!C27</f>
        <v>161250</v>
      </c>
      <c r="C27" s="265">
        <v>161250</v>
      </c>
      <c r="D27" s="265"/>
      <c r="E27" s="264">
        <f>'Sources and Uses Budget'!S27</f>
        <v>0</v>
      </c>
      <c r="F27" s="265">
        <v>0</v>
      </c>
      <c r="G27" s="265"/>
      <c r="H27" s="264">
        <f>'Sources and Uses Budget'!T27</f>
        <v>0</v>
      </c>
      <c r="I27" s="265"/>
      <c r="J27" s="265"/>
      <c r="K27" s="262"/>
    </row>
    <row r="28" spans="1:11" s="263" customFormat="1" ht="11.4">
      <c r="A28" s="260" t="s">
        <v>1789</v>
      </c>
      <c r="B28" s="261"/>
      <c r="C28" s="261"/>
      <c r="D28" s="261"/>
      <c r="E28" s="261"/>
      <c r="F28" s="261"/>
      <c r="G28" s="261"/>
      <c r="H28" s="261"/>
      <c r="I28" s="261"/>
      <c r="J28" s="261"/>
      <c r="K28" s="262"/>
    </row>
    <row r="29" spans="1:11" s="263" customFormat="1" ht="11.4">
      <c r="A29" s="195" t="s">
        <v>1778</v>
      </c>
      <c r="B29" s="264">
        <f>'Sources and Uses Budget'!C29</f>
        <v>0</v>
      </c>
      <c r="C29" s="265"/>
      <c r="D29" s="265"/>
      <c r="E29" s="264">
        <f>'Sources and Uses Budget'!S29</f>
        <v>0</v>
      </c>
      <c r="F29" s="265"/>
      <c r="G29" s="265"/>
      <c r="H29" s="264">
        <f>'Sources and Uses Budget'!T29</f>
        <v>0</v>
      </c>
      <c r="I29" s="265"/>
      <c r="J29" s="265"/>
      <c r="K29" s="262"/>
    </row>
    <row r="30" spans="1:11" s="263" customFormat="1" ht="11.4">
      <c r="A30" s="195" t="s">
        <v>1779</v>
      </c>
      <c r="B30" s="264">
        <f>'Sources and Uses Budget'!C30</f>
        <v>0</v>
      </c>
      <c r="C30" s="265"/>
      <c r="D30" s="265"/>
      <c r="E30" s="264">
        <f>'Sources and Uses Budget'!S30</f>
        <v>0</v>
      </c>
      <c r="F30" s="265"/>
      <c r="G30" s="265"/>
      <c r="H30" s="264">
        <f>'Sources and Uses Budget'!T30</f>
        <v>0</v>
      </c>
      <c r="I30" s="265"/>
      <c r="J30" s="265"/>
      <c r="K30" s="262"/>
    </row>
    <row r="31" spans="1:11" s="263" customFormat="1" ht="11.4">
      <c r="A31" s="195" t="s">
        <v>1780</v>
      </c>
      <c r="B31" s="264">
        <f>'Sources and Uses Budget'!C31</f>
        <v>0</v>
      </c>
      <c r="C31" s="265"/>
      <c r="D31" s="265"/>
      <c r="E31" s="264">
        <f>'Sources and Uses Budget'!S31</f>
        <v>0</v>
      </c>
      <c r="F31" s="265"/>
      <c r="G31" s="265"/>
      <c r="H31" s="264">
        <f>'Sources and Uses Budget'!T31</f>
        <v>0</v>
      </c>
      <c r="I31" s="265"/>
      <c r="J31" s="265"/>
      <c r="K31" s="262"/>
    </row>
    <row r="32" spans="1:11" s="263" customFormat="1" ht="11.4">
      <c r="A32" s="195" t="s">
        <v>1781</v>
      </c>
      <c r="B32" s="264">
        <f>'Sources and Uses Budget'!C32</f>
        <v>0</v>
      </c>
      <c r="C32" s="265"/>
      <c r="D32" s="265"/>
      <c r="E32" s="264">
        <f>'Sources and Uses Budget'!S32</f>
        <v>0</v>
      </c>
      <c r="F32" s="265"/>
      <c r="G32" s="265"/>
      <c r="H32" s="264">
        <f>'Sources and Uses Budget'!T32</f>
        <v>0</v>
      </c>
      <c r="I32" s="265"/>
      <c r="J32" s="265"/>
      <c r="K32" s="262"/>
    </row>
    <row r="33" spans="1:11" s="263" customFormat="1" ht="11.4">
      <c r="A33" s="195" t="s">
        <v>1782</v>
      </c>
      <c r="B33" s="264">
        <f>'Sources and Uses Budget'!C33</f>
        <v>0</v>
      </c>
      <c r="C33" s="265"/>
      <c r="D33" s="265"/>
      <c r="E33" s="264">
        <f>'Sources and Uses Budget'!S33</f>
        <v>0</v>
      </c>
      <c r="F33" s="265"/>
      <c r="G33" s="265"/>
      <c r="H33" s="264">
        <f>'Sources and Uses Budget'!T33</f>
        <v>0</v>
      </c>
      <c r="I33" s="265"/>
      <c r="J33" s="265"/>
      <c r="K33" s="262"/>
    </row>
    <row r="34" spans="1:11" s="263" customFormat="1" ht="11.4">
      <c r="A34" s="195" t="s">
        <v>1783</v>
      </c>
      <c r="B34" s="264">
        <f>'Sources and Uses Budget'!C34</f>
        <v>0</v>
      </c>
      <c r="C34" s="265"/>
      <c r="D34" s="265"/>
      <c r="E34" s="264">
        <f>'Sources and Uses Budget'!S34</f>
        <v>0</v>
      </c>
      <c r="F34" s="265"/>
      <c r="G34" s="265"/>
      <c r="H34" s="264">
        <f>'Sources and Uses Budget'!T34</f>
        <v>0</v>
      </c>
      <c r="I34" s="265"/>
      <c r="J34" s="265"/>
      <c r="K34" s="262"/>
    </row>
    <row r="35" spans="1:11" s="263" customFormat="1" ht="11.4">
      <c r="A35" s="195" t="s">
        <v>1784</v>
      </c>
      <c r="B35" s="264">
        <f>'Sources and Uses Budget'!C35</f>
        <v>0</v>
      </c>
      <c r="C35" s="265"/>
      <c r="D35" s="265"/>
      <c r="E35" s="264">
        <f>'Sources and Uses Budget'!S35</f>
        <v>0</v>
      </c>
      <c r="F35" s="265"/>
      <c r="G35" s="265"/>
      <c r="H35" s="264">
        <f>'Sources and Uses Budget'!T35</f>
        <v>0</v>
      </c>
      <c r="I35" s="265"/>
      <c r="J35" s="265"/>
      <c r="K35" s="262"/>
    </row>
    <row r="36" spans="1:11" s="263" customFormat="1" ht="11.4">
      <c r="A36" s="409" t="s">
        <v>1785</v>
      </c>
      <c r="B36" s="264">
        <f>'Sources and Uses Budget'!C36</f>
        <v>0</v>
      </c>
      <c r="C36" s="265"/>
      <c r="D36" s="265"/>
      <c r="E36" s="264">
        <f>'Sources and Uses Budget'!S36</f>
        <v>0</v>
      </c>
      <c r="F36" s="265"/>
      <c r="G36" s="265"/>
      <c r="H36" s="264">
        <f>'Sources and Uses Budget'!T36</f>
        <v>0</v>
      </c>
      <c r="I36" s="265"/>
      <c r="J36" s="265"/>
      <c r="K36" s="262"/>
    </row>
    <row r="37" spans="1:11" s="263" customFormat="1" ht="11.4">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1790</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1.4">
      <c r="A39" s="260" t="s">
        <v>1791</v>
      </c>
      <c r="B39" s="261"/>
      <c r="C39" s="261"/>
      <c r="D39" s="261"/>
      <c r="E39" s="261"/>
      <c r="F39" s="261"/>
      <c r="G39" s="261"/>
      <c r="H39" s="261"/>
      <c r="I39" s="261"/>
      <c r="J39" s="261"/>
      <c r="K39" s="262"/>
    </row>
    <row r="40" spans="1:11" s="263" customFormat="1" ht="11.4">
      <c r="A40" s="267" t="s">
        <v>1792</v>
      </c>
      <c r="B40" s="264">
        <f>'Sources and Uses Budget'!C40</f>
        <v>220000</v>
      </c>
      <c r="C40" s="265">
        <f>B40</f>
        <v>220000</v>
      </c>
      <c r="D40" s="265"/>
      <c r="E40" s="264">
        <f>'Sources and Uses Budget'!S40</f>
        <v>220000</v>
      </c>
      <c r="F40" s="265">
        <f>E40</f>
        <v>220000</v>
      </c>
      <c r="G40" s="265"/>
      <c r="H40" s="264">
        <f>'Sources and Uses Budget'!T40</f>
        <v>0</v>
      </c>
      <c r="I40" s="265"/>
      <c r="J40" s="265"/>
      <c r="K40" s="262"/>
    </row>
    <row r="41" spans="1:11" s="263" customFormat="1" ht="11.4">
      <c r="A41" s="267" t="s">
        <v>1793</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1794</v>
      </c>
      <c r="B42" s="264">
        <f>'Sources and Uses Budget'!C42</f>
        <v>220000</v>
      </c>
      <c r="C42" s="264">
        <f>SUM(C39:C41)</f>
        <v>220000</v>
      </c>
      <c r="D42" s="264">
        <f>SUM(D39:D41)</f>
        <v>0</v>
      </c>
      <c r="E42" s="264">
        <f>'Sources and Uses Budget'!S42</f>
        <v>220000</v>
      </c>
      <c r="F42" s="270">
        <f>SUM(F40:F41)</f>
        <v>220000</v>
      </c>
      <c r="G42" s="270">
        <f>SUM(G40:G41)</f>
        <v>0</v>
      </c>
      <c r="H42" s="264">
        <f>'Sources and Uses Budget'!T42</f>
        <v>0</v>
      </c>
      <c r="I42" s="270">
        <f>SUM(I40:I41)</f>
        <v>0</v>
      </c>
      <c r="J42" s="270">
        <f>SUM(J40:J41)</f>
        <v>0</v>
      </c>
      <c r="K42" s="262"/>
    </row>
    <row r="43" spans="1:11" s="263" customFormat="1">
      <c r="A43" s="268" t="s">
        <v>1795</v>
      </c>
      <c r="B43" s="264">
        <f>'Sources and Uses Budget'!C43</f>
        <v>95000</v>
      </c>
      <c r="C43" s="265">
        <f>B43</f>
        <v>95000</v>
      </c>
      <c r="D43" s="265"/>
      <c r="E43" s="264">
        <f>'Sources and Uses Budget'!S43</f>
        <v>95000</v>
      </c>
      <c r="F43" s="265">
        <f>E43</f>
        <v>95000</v>
      </c>
      <c r="G43" s="265"/>
      <c r="H43" s="264">
        <f>'Sources and Uses Budget'!T43</f>
        <v>0</v>
      </c>
      <c r="I43" s="265"/>
      <c r="J43" s="265"/>
      <c r="K43" s="262"/>
    </row>
    <row r="44" spans="1:11" s="263" customFormat="1" ht="11.4">
      <c r="A44" s="260" t="s">
        <v>1796</v>
      </c>
      <c r="B44" s="261"/>
      <c r="C44" s="261"/>
      <c r="D44" s="261"/>
      <c r="E44" s="261"/>
      <c r="F44" s="261"/>
      <c r="G44" s="261"/>
      <c r="H44" s="261"/>
      <c r="I44" s="261"/>
      <c r="J44" s="261"/>
      <c r="K44" s="262"/>
    </row>
    <row r="45" spans="1:11" s="263" customFormat="1" ht="11.4">
      <c r="A45" s="267" t="s">
        <v>1797</v>
      </c>
      <c r="B45" s="264">
        <f>'Sources and Uses Budget'!C45</f>
        <v>5891103</v>
      </c>
      <c r="C45" s="265">
        <f>B45</f>
        <v>5891103</v>
      </c>
      <c r="D45" s="265"/>
      <c r="E45" s="264">
        <f>'Sources and Uses Budget'!S45</f>
        <v>4360000</v>
      </c>
      <c r="F45" s="265">
        <f>E45</f>
        <v>4360000</v>
      </c>
      <c r="G45" s="265"/>
      <c r="H45" s="264">
        <f>'Sources and Uses Budget'!T45</f>
        <v>0</v>
      </c>
      <c r="I45" s="265"/>
      <c r="J45" s="265"/>
      <c r="K45" s="262"/>
    </row>
    <row r="46" spans="1:11" s="263" customFormat="1" ht="11.4">
      <c r="A46" s="267" t="s">
        <v>1798</v>
      </c>
      <c r="B46" s="264">
        <f>'Sources and Uses Budget'!C46</f>
        <v>250000</v>
      </c>
      <c r="C46" s="265">
        <f t="shared" ref="C46:C53" si="2">B46</f>
        <v>250000</v>
      </c>
      <c r="D46" s="265"/>
      <c r="E46" s="264">
        <f>'Sources and Uses Budget'!S46</f>
        <v>250000</v>
      </c>
      <c r="F46" s="265">
        <f t="shared" ref="F46:F53" si="3">E46</f>
        <v>250000</v>
      </c>
      <c r="G46" s="265"/>
      <c r="H46" s="264">
        <f>'Sources and Uses Budget'!T46</f>
        <v>0</v>
      </c>
      <c r="I46" s="265"/>
      <c r="J46" s="265"/>
      <c r="K46" s="262"/>
    </row>
    <row r="47" spans="1:11" s="263" customFormat="1" ht="12" customHeight="1">
      <c r="A47" s="267" t="s">
        <v>1799</v>
      </c>
      <c r="B47" s="264">
        <f>'Sources and Uses Budget'!C47</f>
        <v>0</v>
      </c>
      <c r="C47" s="265">
        <f t="shared" si="2"/>
        <v>0</v>
      </c>
      <c r="D47" s="265"/>
      <c r="E47" s="264">
        <f>'Sources and Uses Budget'!S47</f>
        <v>0</v>
      </c>
      <c r="F47" s="265">
        <f t="shared" si="3"/>
        <v>0</v>
      </c>
      <c r="G47" s="265"/>
      <c r="H47" s="264">
        <f>'Sources and Uses Budget'!T47</f>
        <v>0</v>
      </c>
      <c r="I47" s="265"/>
      <c r="J47" s="265"/>
      <c r="K47" s="262"/>
    </row>
    <row r="48" spans="1:11" s="263" customFormat="1" ht="11.4">
      <c r="A48" s="267" t="s">
        <v>1800</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ht="11.4">
      <c r="A49" s="195" t="s">
        <v>1801</v>
      </c>
      <c r="B49" s="264">
        <f>'Sources and Uses Budget'!C49</f>
        <v>750000</v>
      </c>
      <c r="C49" s="265">
        <f t="shared" si="2"/>
        <v>750000</v>
      </c>
      <c r="D49" s="265"/>
      <c r="E49" s="264">
        <f>'Sources and Uses Budget'!S49</f>
        <v>0</v>
      </c>
      <c r="F49" s="265">
        <f t="shared" si="3"/>
        <v>0</v>
      </c>
      <c r="G49" s="265"/>
      <c r="H49" s="264">
        <f>'Sources and Uses Budget'!T49</f>
        <v>0</v>
      </c>
      <c r="I49" s="265"/>
      <c r="J49" s="265"/>
      <c r="K49" s="262"/>
    </row>
    <row r="50" spans="1:11" s="263" customFormat="1" ht="11.4">
      <c r="A50" s="267" t="s">
        <v>1802</v>
      </c>
      <c r="B50" s="264">
        <f>'Sources and Uses Budget'!C50</f>
        <v>55000</v>
      </c>
      <c r="C50" s="265">
        <f t="shared" si="2"/>
        <v>55000</v>
      </c>
      <c r="D50" s="265"/>
      <c r="E50" s="264">
        <f>'Sources and Uses Budget'!S50</f>
        <v>55000</v>
      </c>
      <c r="F50" s="265">
        <f t="shared" si="3"/>
        <v>55000</v>
      </c>
      <c r="G50" s="265"/>
      <c r="H50" s="264">
        <f>'Sources and Uses Budget'!T50</f>
        <v>0</v>
      </c>
      <c r="I50" s="265"/>
      <c r="J50" s="265"/>
      <c r="K50" s="262"/>
    </row>
    <row r="51" spans="1:11" s="263" customFormat="1" ht="11.4">
      <c r="A51" s="267" t="s">
        <v>1803</v>
      </c>
      <c r="B51" s="264">
        <f>'Sources and Uses Budget'!C51</f>
        <v>0</v>
      </c>
      <c r="C51" s="265">
        <f t="shared" si="2"/>
        <v>0</v>
      </c>
      <c r="D51" s="265"/>
      <c r="E51" s="264">
        <f>'Sources and Uses Budget'!S51</f>
        <v>0</v>
      </c>
      <c r="F51" s="265">
        <f t="shared" si="3"/>
        <v>0</v>
      </c>
      <c r="G51" s="265"/>
      <c r="H51" s="264">
        <f>'Sources and Uses Budget'!T51</f>
        <v>0</v>
      </c>
      <c r="I51" s="265"/>
      <c r="J51" s="265"/>
      <c r="K51" s="262"/>
    </row>
    <row r="52" spans="1:11" s="263" customFormat="1" ht="11.4">
      <c r="A52" s="267" t="s">
        <v>1568</v>
      </c>
      <c r="B52" s="264">
        <f>'Sources and Uses Budget'!C52</f>
        <v>150000</v>
      </c>
      <c r="C52" s="265">
        <f t="shared" si="2"/>
        <v>150000</v>
      </c>
      <c r="D52" s="265"/>
      <c r="E52" s="264">
        <f>'Sources and Uses Budget'!S52</f>
        <v>150000</v>
      </c>
      <c r="F52" s="265">
        <f t="shared" si="3"/>
        <v>150000</v>
      </c>
      <c r="G52" s="265"/>
      <c r="H52" s="264">
        <f>'Sources and Uses Budget'!T52</f>
        <v>0</v>
      </c>
      <c r="I52" s="265"/>
      <c r="J52" s="265"/>
      <c r="K52" s="262"/>
    </row>
    <row r="53" spans="1:11" s="263" customFormat="1" ht="11.4">
      <c r="A53" s="267" t="str">
        <f>'Sources and Uses Budget'!$A53</f>
        <v>Other: (Specify) Closing Costs</v>
      </c>
      <c r="B53" s="264">
        <f>'Sources and Uses Budget'!C53</f>
        <v>550000</v>
      </c>
      <c r="C53" s="265">
        <f t="shared" si="2"/>
        <v>550000</v>
      </c>
      <c r="D53" s="265"/>
      <c r="E53" s="264">
        <f>'Sources and Uses Budget'!S53</f>
        <v>428395</v>
      </c>
      <c r="F53" s="265">
        <f t="shared" si="3"/>
        <v>428395</v>
      </c>
      <c r="G53" s="265"/>
      <c r="H53" s="264">
        <f>'Sources and Uses Budget'!T53</f>
        <v>0</v>
      </c>
      <c r="I53" s="265"/>
      <c r="J53" s="265"/>
      <c r="K53" s="262"/>
    </row>
    <row r="54" spans="1:11" s="272" customFormat="1">
      <c r="A54" s="268" t="s">
        <v>1805</v>
      </c>
      <c r="B54" s="264">
        <f>'Sources and Uses Budget'!C54</f>
        <v>7646103</v>
      </c>
      <c r="C54" s="270">
        <f>SUM(C45:C53)</f>
        <v>7646103</v>
      </c>
      <c r="D54" s="270">
        <f>SUM(D45:D53)</f>
        <v>0</v>
      </c>
      <c r="E54" s="264">
        <f>'Sources and Uses Budget'!S54</f>
        <v>5243395</v>
      </c>
      <c r="F54" s="270">
        <f>SUM(F45:F53)</f>
        <v>5243395</v>
      </c>
      <c r="G54" s="270">
        <f>SUM(G45:G53)</f>
        <v>0</v>
      </c>
      <c r="H54" s="264">
        <f>'Sources and Uses Budget'!T54</f>
        <v>0</v>
      </c>
      <c r="I54" s="270">
        <f>SUM(I45:I53)</f>
        <v>0</v>
      </c>
      <c r="J54" s="270">
        <f>SUM(J45:J53)</f>
        <v>0</v>
      </c>
      <c r="K54" s="271"/>
    </row>
    <row r="55" spans="1:11" s="263" customFormat="1" ht="11.4">
      <c r="A55" s="260" t="s">
        <v>1367</v>
      </c>
      <c r="B55" s="261"/>
      <c r="C55" s="261"/>
      <c r="D55" s="261"/>
      <c r="E55" s="261"/>
      <c r="F55" s="261"/>
      <c r="G55" s="261"/>
      <c r="H55" s="261"/>
      <c r="I55" s="261"/>
      <c r="J55" s="261"/>
      <c r="K55" s="262"/>
    </row>
    <row r="56" spans="1:11" s="263" customFormat="1" ht="11.4">
      <c r="A56" s="267" t="s">
        <v>1806</v>
      </c>
      <c r="B56" s="264">
        <f>'Sources and Uses Budget'!C56</f>
        <v>762093</v>
      </c>
      <c r="C56" s="265">
        <f>B56</f>
        <v>762093</v>
      </c>
      <c r="D56" s="265"/>
      <c r="E56" s="266"/>
      <c r="F56" s="266"/>
      <c r="G56" s="266"/>
      <c r="H56" s="266"/>
      <c r="I56" s="266"/>
      <c r="J56" s="266"/>
      <c r="K56" s="262"/>
    </row>
    <row r="57" spans="1:11" s="263" customFormat="1" ht="12" customHeight="1">
      <c r="A57" s="267" t="s">
        <v>1799</v>
      </c>
      <c r="B57" s="264">
        <f>'Sources and Uses Budget'!C57</f>
        <v>610000</v>
      </c>
      <c r="C57" s="265">
        <f t="shared" ref="C57:C61" si="4">B57</f>
        <v>610000</v>
      </c>
      <c r="D57" s="265"/>
      <c r="E57" s="266"/>
      <c r="F57" s="266"/>
      <c r="G57" s="266"/>
      <c r="H57" s="266"/>
      <c r="I57" s="266"/>
      <c r="J57" s="266"/>
      <c r="K57" s="262"/>
    </row>
    <row r="58" spans="1:11" s="263" customFormat="1" ht="11.4">
      <c r="A58" s="267" t="s">
        <v>1802</v>
      </c>
      <c r="B58" s="264">
        <f>'Sources and Uses Budget'!C58</f>
        <v>55000</v>
      </c>
      <c r="C58" s="265">
        <f t="shared" si="4"/>
        <v>55000</v>
      </c>
      <c r="D58" s="265"/>
      <c r="E58" s="266"/>
      <c r="F58" s="266"/>
      <c r="G58" s="266"/>
      <c r="H58" s="266"/>
      <c r="I58" s="266"/>
      <c r="J58" s="266"/>
      <c r="K58" s="262"/>
    </row>
    <row r="59" spans="1:11" s="263" customFormat="1" ht="11.4">
      <c r="A59" s="267" t="s">
        <v>1803</v>
      </c>
      <c r="B59" s="264">
        <f>'Sources and Uses Budget'!C59</f>
        <v>0</v>
      </c>
      <c r="C59" s="265">
        <f t="shared" si="4"/>
        <v>0</v>
      </c>
      <c r="D59" s="265"/>
      <c r="E59" s="266"/>
      <c r="F59" s="266"/>
      <c r="G59" s="266"/>
      <c r="H59" s="266"/>
      <c r="I59" s="266"/>
      <c r="J59" s="266"/>
      <c r="K59" s="262"/>
    </row>
    <row r="60" spans="1:11" s="263" customFormat="1" ht="11.4">
      <c r="A60" s="267" t="s">
        <v>1568</v>
      </c>
      <c r="B60" s="264">
        <f>'Sources and Uses Budget'!C60</f>
        <v>0</v>
      </c>
      <c r="C60" s="265">
        <f t="shared" si="4"/>
        <v>0</v>
      </c>
      <c r="D60" s="265"/>
      <c r="E60" s="266"/>
      <c r="F60" s="266"/>
      <c r="G60" s="266"/>
      <c r="H60" s="266"/>
      <c r="I60" s="266"/>
      <c r="J60" s="266"/>
      <c r="K60" s="262"/>
    </row>
    <row r="61" spans="1:11" s="263" customFormat="1" ht="11.4">
      <c r="A61" s="267" t="str">
        <f>'Sources and Uses Budget'!$A61</f>
        <v>Other: (Specify) Other Financing Costs</v>
      </c>
      <c r="B61" s="264">
        <f>'Sources and Uses Budget'!C61</f>
        <v>15000</v>
      </c>
      <c r="C61" s="265">
        <f t="shared" si="4"/>
        <v>15000</v>
      </c>
      <c r="D61" s="265"/>
      <c r="E61" s="266"/>
      <c r="F61" s="266"/>
      <c r="G61" s="266"/>
      <c r="H61" s="266"/>
      <c r="I61" s="266"/>
      <c r="J61" s="266"/>
      <c r="K61" s="262"/>
    </row>
    <row r="62" spans="1:11" s="263" customFormat="1" ht="13.65" customHeight="1">
      <c r="A62" s="268" t="s">
        <v>1808</v>
      </c>
      <c r="B62" s="264">
        <f>'Sources and Uses Budget'!C62</f>
        <v>1442093</v>
      </c>
      <c r="C62" s="264">
        <f>SUM(C56:C61)</f>
        <v>1442093</v>
      </c>
      <c r="D62" s="264">
        <f>SUM(D56:D61)</f>
        <v>0</v>
      </c>
      <c r="E62" s="266"/>
      <c r="F62" s="266"/>
      <c r="G62" s="266"/>
      <c r="H62" s="266"/>
      <c r="I62" s="266"/>
      <c r="J62" s="266"/>
      <c r="K62" s="262"/>
    </row>
    <row r="63" spans="1:11" s="263" customFormat="1" ht="11.4">
      <c r="A63" s="273" t="s">
        <v>1809</v>
      </c>
      <c r="B63" s="264">
        <f>'Sources and Uses Budget'!C63</f>
        <v>74358446</v>
      </c>
      <c r="C63" s="264">
        <f>SUM(C8+C11+C13+C14+C15+C26+C27+C38+C42+C43+C54+C62)</f>
        <v>74358446</v>
      </c>
      <c r="D63" s="264">
        <f>SUM(D8+D11+D13+D14+D15+D26+D27+D38+D42+D43+D54+D62)</f>
        <v>0</v>
      </c>
      <c r="E63" s="264">
        <f>'Sources and Uses Budget'!S63</f>
        <v>19352395</v>
      </c>
      <c r="F63" s="264">
        <f>SUM(F10+F13+F14+F15+F26+F27+F38+F42+F43+F54)</f>
        <v>19352395</v>
      </c>
      <c r="G63" s="264">
        <f>SUM(G10+G13+G14+G15+G26+G27+G38+G42+G43+G54)</f>
        <v>0</v>
      </c>
      <c r="H63" s="264">
        <f>'Sources and Uses Budget'!T63</f>
        <v>51000000</v>
      </c>
      <c r="I63" s="264">
        <f>SUM(I11+I13+I14+I15+I26+I27+I38+I42+I43+I54)</f>
        <v>51000000</v>
      </c>
      <c r="J63" s="264">
        <f>SUM(J11+J13+J14+J15+J26+J27+J38+J42+J43+J54)</f>
        <v>0</v>
      </c>
      <c r="K63" s="262"/>
    </row>
    <row r="64" spans="1:11" s="263" customFormat="1" ht="22.8">
      <c r="A64" s="104" t="s">
        <v>1810</v>
      </c>
      <c r="B64" s="261"/>
      <c r="C64" s="261"/>
      <c r="D64" s="261"/>
      <c r="E64" s="261"/>
      <c r="F64" s="261"/>
      <c r="G64" s="261"/>
      <c r="H64" s="261"/>
      <c r="I64" s="261"/>
      <c r="J64" s="261"/>
      <c r="K64" s="262"/>
    </row>
    <row r="65" spans="1:11" s="263" customFormat="1" ht="11.4">
      <c r="A65" s="195" t="s">
        <v>1811</v>
      </c>
      <c r="B65" s="264">
        <f>'Sources and Uses Budget'!C65</f>
        <v>180000</v>
      </c>
      <c r="C65" s="265">
        <f>B65</f>
        <v>180000</v>
      </c>
      <c r="D65" s="265"/>
      <c r="E65" s="264">
        <f>'Sources and Uses Budget'!S65</f>
        <v>180000</v>
      </c>
      <c r="F65" s="265">
        <f>E65</f>
        <v>180000</v>
      </c>
      <c r="G65" s="265"/>
      <c r="H65" s="264">
        <f>'Sources and Uses Budget'!T65</f>
        <v>0</v>
      </c>
      <c r="I65" s="265"/>
      <c r="J65" s="265"/>
      <c r="K65" s="262"/>
    </row>
    <row r="66" spans="1:11" s="263" customFormat="1" ht="22.8">
      <c r="A66" s="195" t="s">
        <v>1812</v>
      </c>
      <c r="B66" s="264">
        <f>'Sources and Uses Budget'!C66</f>
        <v>0</v>
      </c>
      <c r="C66" s="265"/>
      <c r="D66" s="265"/>
      <c r="E66" s="264">
        <f>'Sources and Uses Budget'!S66</f>
        <v>0</v>
      </c>
      <c r="F66" s="265"/>
      <c r="G66" s="265"/>
      <c r="H66" s="264">
        <f>'Sources and Uses Budget'!T66</f>
        <v>0</v>
      </c>
      <c r="I66" s="265"/>
      <c r="J66" s="265"/>
      <c r="K66" s="262"/>
    </row>
    <row r="67" spans="1:11" s="263" customFormat="1" ht="22.8">
      <c r="A67" s="195" t="s">
        <v>1813</v>
      </c>
      <c r="B67" s="264">
        <f>'Sources and Uses Budget'!C67</f>
        <v>0</v>
      </c>
      <c r="C67" s="265"/>
      <c r="D67" s="265"/>
      <c r="E67" s="264">
        <f>'Sources and Uses Budget'!S67</f>
        <v>0</v>
      </c>
      <c r="F67" s="265"/>
      <c r="G67" s="265"/>
      <c r="H67" s="264">
        <f>'Sources and Uses Budget'!T67</f>
        <v>0</v>
      </c>
      <c r="I67" s="265"/>
      <c r="J67" s="265"/>
      <c r="K67" s="262"/>
    </row>
    <row r="68" spans="1:11" s="263" customFormat="1" ht="11.4">
      <c r="A68" s="195" t="s">
        <v>1814</v>
      </c>
      <c r="B68" s="264">
        <f>'Sources and Uses Budget'!C68</f>
        <v>0</v>
      </c>
      <c r="C68" s="265"/>
      <c r="D68" s="265"/>
      <c r="E68" s="264">
        <f>'Sources and Uses Budget'!S68</f>
        <v>0</v>
      </c>
      <c r="F68" s="265"/>
      <c r="G68" s="265"/>
      <c r="H68" s="264">
        <f>'Sources and Uses Budget'!T68</f>
        <v>0</v>
      </c>
      <c r="I68" s="265"/>
      <c r="J68" s="265"/>
      <c r="K68" s="262"/>
    </row>
    <row r="69" spans="1:11" s="263" customFormat="1" ht="11.4">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1893</v>
      </c>
      <c r="B70" s="264">
        <f>'Sources and Uses Budget'!C70</f>
        <v>180000</v>
      </c>
      <c r="C70" s="264">
        <f>SUM(C64:C69)</f>
        <v>180000</v>
      </c>
      <c r="D70" s="264">
        <f>SUM(D64:D69)</f>
        <v>0</v>
      </c>
      <c r="E70" s="264">
        <f>'Sources and Uses Budget'!S70</f>
        <v>180000</v>
      </c>
      <c r="F70" s="270">
        <f>SUM(F65:F69)</f>
        <v>180000</v>
      </c>
      <c r="G70" s="270">
        <f>SUM(G65:G69)</f>
        <v>0</v>
      </c>
      <c r="H70" s="264">
        <f>'Sources and Uses Budget'!T70</f>
        <v>0</v>
      </c>
      <c r="I70" s="270">
        <f>SUM(I65:I69)</f>
        <v>0</v>
      </c>
      <c r="J70" s="270">
        <f>SUM(J65:J69)</f>
        <v>0</v>
      </c>
      <c r="K70" s="262"/>
    </row>
    <row r="71" spans="1:11" s="263" customFormat="1" ht="11.4">
      <c r="A71" s="260" t="s">
        <v>1816</v>
      </c>
      <c r="B71" s="261"/>
      <c r="C71" s="261"/>
      <c r="D71" s="261"/>
      <c r="E71" s="261"/>
      <c r="F71" s="261"/>
      <c r="G71" s="261"/>
      <c r="H71" s="261"/>
      <c r="I71" s="261"/>
      <c r="J71" s="261"/>
      <c r="K71" s="262"/>
    </row>
    <row r="72" spans="1:11" s="263" customFormat="1" ht="11.4">
      <c r="A72" s="267" t="s">
        <v>1817</v>
      </c>
      <c r="B72" s="264">
        <f>'Sources and Uses Budget'!C72</f>
        <v>0</v>
      </c>
      <c r="C72" s="265"/>
      <c r="D72" s="265"/>
      <c r="E72" s="266"/>
      <c r="F72" s="266"/>
      <c r="G72" s="266"/>
      <c r="H72" s="266"/>
      <c r="I72" s="266"/>
      <c r="J72" s="266"/>
      <c r="K72" s="262"/>
    </row>
    <row r="73" spans="1:11" s="263" customFormat="1" ht="11.4">
      <c r="A73" s="267" t="s">
        <v>1818</v>
      </c>
      <c r="B73" s="264">
        <f>'Sources and Uses Budget'!C73</f>
        <v>0</v>
      </c>
      <c r="C73" s="265"/>
      <c r="D73" s="265"/>
      <c r="E73" s="266"/>
      <c r="F73" s="266"/>
      <c r="G73" s="266"/>
      <c r="H73" s="266"/>
      <c r="I73" s="266"/>
      <c r="J73" s="266"/>
      <c r="K73" s="262"/>
    </row>
    <row r="74" spans="1:11" s="263" customFormat="1" ht="11.4">
      <c r="A74" s="269" t="s">
        <v>1819</v>
      </c>
      <c r="B74" s="264">
        <f>'Sources and Uses Budget'!C74</f>
        <v>0</v>
      </c>
      <c r="C74" s="265"/>
      <c r="D74" s="265"/>
      <c r="E74" s="266"/>
      <c r="F74" s="266"/>
      <c r="G74" s="266"/>
      <c r="H74" s="266"/>
      <c r="I74" s="266"/>
      <c r="J74" s="266"/>
      <c r="K74" s="262"/>
    </row>
    <row r="75" spans="1:11" s="263" customFormat="1" ht="11.4">
      <c r="A75" s="267" t="s">
        <v>1820</v>
      </c>
      <c r="B75" s="264">
        <f>'Sources and Uses Budget'!C75</f>
        <v>2326745</v>
      </c>
      <c r="C75" s="265">
        <f>B75</f>
        <v>2326745</v>
      </c>
      <c r="D75" s="265"/>
      <c r="E75" s="266"/>
      <c r="F75" s="266"/>
      <c r="G75" s="266"/>
      <c r="H75" s="266"/>
      <c r="I75" s="266"/>
      <c r="J75" s="266"/>
      <c r="K75" s="262"/>
    </row>
    <row r="76" spans="1:11" s="263" customFormat="1" ht="11.4">
      <c r="A76" s="267" t="str">
        <f>'Sources and Uses Budget'!$A76</f>
        <v>Other: (Specify)</v>
      </c>
      <c r="B76" s="264">
        <f>'Sources and Uses Budget'!C76</f>
        <v>0</v>
      </c>
      <c r="C76" s="265"/>
      <c r="D76" s="265"/>
      <c r="E76" s="266"/>
      <c r="F76" s="266"/>
      <c r="G76" s="266"/>
      <c r="H76" s="266"/>
      <c r="I76" s="266"/>
      <c r="J76" s="266"/>
      <c r="K76" s="262"/>
    </row>
    <row r="77" spans="1:11" s="263" customFormat="1">
      <c r="A77" s="268" t="s">
        <v>1821</v>
      </c>
      <c r="B77" s="264">
        <f>'Sources and Uses Budget'!C77</f>
        <v>2326745</v>
      </c>
      <c r="C77" s="264">
        <f>SUM(C72:C76)</f>
        <v>2326745</v>
      </c>
      <c r="D77" s="264">
        <f>SUM(D72:D76)</f>
        <v>0</v>
      </c>
      <c r="E77" s="266"/>
      <c r="F77" s="266"/>
      <c r="G77" s="266"/>
      <c r="H77" s="266"/>
      <c r="I77" s="266"/>
      <c r="J77" s="266"/>
      <c r="K77" s="262"/>
    </row>
    <row r="78" spans="1:11" s="263" customFormat="1" ht="11.4">
      <c r="A78" s="260" t="s">
        <v>1822</v>
      </c>
      <c r="B78" s="261"/>
      <c r="C78" s="261"/>
      <c r="D78" s="261"/>
      <c r="E78" s="261"/>
      <c r="F78" s="261"/>
      <c r="G78" s="261"/>
      <c r="H78" s="261"/>
      <c r="I78" s="261"/>
      <c r="J78" s="261"/>
      <c r="K78" s="262"/>
    </row>
    <row r="79" spans="1:11" s="263" customFormat="1" ht="11.4">
      <c r="A79" s="267" t="s">
        <v>1823</v>
      </c>
      <c r="B79" s="264">
        <f>'Sources and Uses Budget'!C79</f>
        <v>2069100</v>
      </c>
      <c r="C79" s="265">
        <f>B79</f>
        <v>2069100</v>
      </c>
      <c r="D79" s="265"/>
      <c r="E79" s="264">
        <f>'Sources and Uses Budget'!S79</f>
        <v>2069100</v>
      </c>
      <c r="F79" s="265">
        <f>E79</f>
        <v>2069100</v>
      </c>
      <c r="G79" s="265"/>
      <c r="H79" s="264">
        <f>'Sources and Uses Budget'!T79</f>
        <v>0</v>
      </c>
      <c r="I79" s="265"/>
      <c r="J79" s="265"/>
      <c r="K79" s="262"/>
    </row>
    <row r="80" spans="1:11" s="263" customFormat="1" ht="11.4">
      <c r="A80" s="267" t="s">
        <v>1824</v>
      </c>
      <c r="B80" s="264">
        <f>'Sources and Uses Budget'!C80</f>
        <v>565000</v>
      </c>
      <c r="C80" s="265">
        <f>B80</f>
        <v>565000</v>
      </c>
      <c r="D80" s="265"/>
      <c r="E80" s="264">
        <f>'Sources and Uses Budget'!S80</f>
        <v>500000</v>
      </c>
      <c r="F80" s="265">
        <f>E80</f>
        <v>500000</v>
      </c>
      <c r="G80" s="265"/>
      <c r="H80" s="264">
        <f>'Sources and Uses Budget'!T80</f>
        <v>0</v>
      </c>
      <c r="I80" s="265"/>
      <c r="J80" s="265"/>
      <c r="K80" s="262"/>
    </row>
    <row r="81" spans="1:11" s="263" customFormat="1">
      <c r="A81" s="268" t="s">
        <v>1825</v>
      </c>
      <c r="B81" s="264">
        <f>'Sources and Uses Budget'!C81</f>
        <v>2634100</v>
      </c>
      <c r="C81" s="264">
        <f>SUM(C79:C80)</f>
        <v>2634100</v>
      </c>
      <c r="D81" s="264">
        <f>SUM(D79:D80)</f>
        <v>0</v>
      </c>
      <c r="E81" s="264">
        <f>'Sources and Uses Budget'!S81</f>
        <v>2569100</v>
      </c>
      <c r="F81" s="264">
        <f>SUM(F79:F80)</f>
        <v>2569100</v>
      </c>
      <c r="G81" s="264">
        <f>SUM(G79:G80)</f>
        <v>0</v>
      </c>
      <c r="H81" s="264">
        <f>'Sources and Uses Budget'!T81</f>
        <v>0</v>
      </c>
      <c r="I81" s="264">
        <f>SUM(I79:I80)</f>
        <v>0</v>
      </c>
      <c r="J81" s="264">
        <f>SUM(J79:J80)</f>
        <v>0</v>
      </c>
      <c r="K81" s="262"/>
    </row>
    <row r="82" spans="1:11" s="263" customFormat="1" ht="11.4">
      <c r="A82" s="260" t="s">
        <v>1826</v>
      </c>
      <c r="B82" s="261"/>
      <c r="C82" s="261"/>
      <c r="D82" s="261"/>
      <c r="E82" s="261"/>
      <c r="F82" s="261"/>
      <c r="G82" s="261"/>
      <c r="H82" s="261"/>
      <c r="I82" s="261"/>
      <c r="J82" s="261"/>
      <c r="K82" s="262"/>
    </row>
    <row r="83" spans="1:11" s="263" customFormat="1" ht="13.65" customHeight="1">
      <c r="A83" s="195" t="s">
        <v>1827</v>
      </c>
      <c r="B83" s="264">
        <f>'Sources and Uses Budget'!C83</f>
        <v>150000</v>
      </c>
      <c r="C83" s="265">
        <f>B83</f>
        <v>150000</v>
      </c>
      <c r="D83" s="265"/>
      <c r="E83" s="266"/>
      <c r="F83" s="266"/>
      <c r="G83" s="266"/>
      <c r="H83" s="266"/>
      <c r="I83" s="266"/>
      <c r="J83" s="266"/>
      <c r="K83" s="262"/>
    </row>
    <row r="84" spans="1:11" s="263" customFormat="1" ht="11.4">
      <c r="A84" s="195" t="s">
        <v>1828</v>
      </c>
      <c r="B84" s="264">
        <f>'Sources and Uses Budget'!C84</f>
        <v>50000</v>
      </c>
      <c r="C84" s="265">
        <f t="shared" ref="C84:C95" si="5">B84</f>
        <v>50000</v>
      </c>
      <c r="D84" s="265"/>
      <c r="E84" s="264">
        <f>'Sources and Uses Budget'!S84</f>
        <v>50000</v>
      </c>
      <c r="F84" s="265">
        <f>E84</f>
        <v>50000</v>
      </c>
      <c r="G84" s="265"/>
      <c r="H84" s="264">
        <f>'Sources and Uses Budget'!T84</f>
        <v>0</v>
      </c>
      <c r="I84" s="265"/>
      <c r="J84" s="265"/>
      <c r="K84" s="262"/>
    </row>
    <row r="85" spans="1:11" s="263" customFormat="1" ht="11.4">
      <c r="A85" s="195" t="s">
        <v>1829</v>
      </c>
      <c r="B85" s="264">
        <f>'Sources and Uses Budget'!C85</f>
        <v>50000</v>
      </c>
      <c r="C85" s="265">
        <f t="shared" si="5"/>
        <v>50000</v>
      </c>
      <c r="D85" s="265"/>
      <c r="E85" s="264">
        <f>'Sources and Uses Budget'!S85</f>
        <v>50000</v>
      </c>
      <c r="F85" s="265">
        <f t="shared" ref="F85:F86" si="6">E85</f>
        <v>50000</v>
      </c>
      <c r="G85" s="265"/>
      <c r="H85" s="264">
        <f>'Sources and Uses Budget'!T85</f>
        <v>0</v>
      </c>
      <c r="I85" s="265"/>
      <c r="J85" s="265"/>
      <c r="K85" s="262"/>
    </row>
    <row r="86" spans="1:11" s="263" customFormat="1" ht="11.4">
      <c r="A86" s="195" t="s">
        <v>1830</v>
      </c>
      <c r="B86" s="264">
        <f>'Sources and Uses Budget'!C86</f>
        <v>100000</v>
      </c>
      <c r="C86" s="265">
        <f t="shared" si="5"/>
        <v>100000</v>
      </c>
      <c r="D86" s="265"/>
      <c r="E86" s="264">
        <f>'Sources and Uses Budget'!S86</f>
        <v>100000</v>
      </c>
      <c r="F86" s="265">
        <f t="shared" si="6"/>
        <v>100000</v>
      </c>
      <c r="G86" s="265"/>
      <c r="H86" s="264">
        <f>'Sources and Uses Budget'!T86</f>
        <v>0</v>
      </c>
      <c r="I86" s="265"/>
      <c r="J86" s="265"/>
      <c r="K86" s="262"/>
    </row>
    <row r="87" spans="1:11" s="263" customFormat="1" ht="11.4">
      <c r="A87" s="195" t="s">
        <v>1831</v>
      </c>
      <c r="B87" s="264">
        <f>'Sources and Uses Budget'!C87</f>
        <v>0</v>
      </c>
      <c r="C87" s="265">
        <f t="shared" si="5"/>
        <v>0</v>
      </c>
      <c r="D87" s="265"/>
      <c r="E87" s="264">
        <f>'Sources and Uses Budget'!S87</f>
        <v>0</v>
      </c>
      <c r="F87" s="265"/>
      <c r="G87" s="265"/>
      <c r="H87" s="264">
        <f>'Sources and Uses Budget'!T87</f>
        <v>0</v>
      </c>
      <c r="I87" s="265"/>
      <c r="J87" s="265"/>
      <c r="K87" s="262"/>
    </row>
    <row r="88" spans="1:11" s="263" customFormat="1" ht="11.4">
      <c r="A88" s="195" t="s">
        <v>1832</v>
      </c>
      <c r="B88" s="264">
        <f>'Sources and Uses Budget'!C88</f>
        <v>0</v>
      </c>
      <c r="C88" s="265">
        <f t="shared" si="5"/>
        <v>0</v>
      </c>
      <c r="D88" s="265"/>
      <c r="E88" s="266"/>
      <c r="F88" s="266"/>
      <c r="G88" s="266"/>
      <c r="H88" s="266"/>
      <c r="I88" s="266"/>
      <c r="J88" s="266"/>
      <c r="K88" s="262"/>
    </row>
    <row r="89" spans="1:11" s="263" customFormat="1" ht="11.4">
      <c r="A89" s="195" t="s">
        <v>1833</v>
      </c>
      <c r="B89" s="264">
        <f>'Sources and Uses Budget'!C89</f>
        <v>0</v>
      </c>
      <c r="C89" s="265">
        <f t="shared" si="5"/>
        <v>0</v>
      </c>
      <c r="D89" s="265"/>
      <c r="E89" s="264">
        <f>'Sources and Uses Budget'!S89</f>
        <v>0</v>
      </c>
      <c r="F89" s="265"/>
      <c r="G89" s="265"/>
      <c r="H89" s="264">
        <f>'Sources and Uses Budget'!T89</f>
        <v>0</v>
      </c>
      <c r="I89" s="265"/>
      <c r="J89" s="265"/>
      <c r="K89" s="262"/>
    </row>
    <row r="90" spans="1:11" s="263" customFormat="1" ht="11.4">
      <c r="A90" s="195" t="s">
        <v>1834</v>
      </c>
      <c r="B90" s="264">
        <f>'Sources and Uses Budget'!C90</f>
        <v>25000</v>
      </c>
      <c r="C90" s="265">
        <f t="shared" si="5"/>
        <v>25000</v>
      </c>
      <c r="D90" s="265"/>
      <c r="E90" s="264">
        <f>'Sources and Uses Budget'!S90</f>
        <v>25000</v>
      </c>
      <c r="F90" s="265">
        <f t="shared" ref="F90:F94" si="7">E90</f>
        <v>25000</v>
      </c>
      <c r="G90" s="265"/>
      <c r="H90" s="264">
        <f>'Sources and Uses Budget'!T90</f>
        <v>0</v>
      </c>
      <c r="I90" s="265"/>
      <c r="J90" s="265"/>
      <c r="K90" s="262"/>
    </row>
    <row r="91" spans="1:11" s="263" customFormat="1" ht="11.4">
      <c r="A91" s="409" t="s">
        <v>1835</v>
      </c>
      <c r="B91" s="264">
        <f>'Sources and Uses Budget'!C91</f>
        <v>50000</v>
      </c>
      <c r="C91" s="265">
        <f t="shared" si="5"/>
        <v>50000</v>
      </c>
      <c r="D91" s="265"/>
      <c r="E91" s="264">
        <f>'Sources and Uses Budget'!S91</f>
        <v>50000</v>
      </c>
      <c r="F91" s="265">
        <f t="shared" si="7"/>
        <v>50000</v>
      </c>
      <c r="G91" s="265"/>
      <c r="H91" s="264">
        <f>'Sources and Uses Budget'!T91</f>
        <v>0</v>
      </c>
      <c r="I91" s="265"/>
      <c r="J91" s="265"/>
      <c r="K91" s="262"/>
    </row>
    <row r="92" spans="1:11" s="263" customFormat="1" ht="11.4">
      <c r="A92" s="409" t="s">
        <v>1836</v>
      </c>
      <c r="B92" s="264">
        <f>'Sources and Uses Budget'!C92</f>
        <v>25000</v>
      </c>
      <c r="C92" s="265">
        <f t="shared" si="5"/>
        <v>25000</v>
      </c>
      <c r="D92" s="265"/>
      <c r="E92" s="264">
        <f>'Sources and Uses Budget'!S92</f>
        <v>25000</v>
      </c>
      <c r="F92" s="265">
        <f t="shared" si="7"/>
        <v>25000</v>
      </c>
      <c r="G92" s="265"/>
      <c r="H92" s="264">
        <f>'Sources and Uses Budget'!T92</f>
        <v>0</v>
      </c>
      <c r="I92" s="265"/>
      <c r="J92" s="265"/>
      <c r="K92" s="262"/>
    </row>
    <row r="93" spans="1:11" s="263" customFormat="1" ht="11.4">
      <c r="A93" s="267" t="str">
        <f>'Sources and Uses Budget'!$A93</f>
        <v>Other: Inspection</v>
      </c>
      <c r="B93" s="264">
        <f>'Sources and Uses Budget'!C93</f>
        <v>50000</v>
      </c>
      <c r="C93" s="265">
        <f t="shared" si="5"/>
        <v>50000</v>
      </c>
      <c r="D93" s="265"/>
      <c r="E93" s="264">
        <f>'Sources and Uses Budget'!S93</f>
        <v>50000</v>
      </c>
      <c r="F93" s="265">
        <f t="shared" si="7"/>
        <v>50000</v>
      </c>
      <c r="G93" s="265"/>
      <c r="H93" s="264">
        <f>'Sources and Uses Budget'!T93</f>
        <v>0</v>
      </c>
      <c r="I93" s="265"/>
      <c r="J93" s="265"/>
      <c r="K93" s="262"/>
    </row>
    <row r="94" spans="1:11" s="263" customFormat="1" ht="11.4">
      <c r="A94" s="267" t="str">
        <f>'Sources and Uses Budget'!$A94</f>
        <v>Other: (Consulting)</v>
      </c>
      <c r="B94" s="264">
        <f>'Sources and Uses Budget'!C94</f>
        <v>100000</v>
      </c>
      <c r="C94" s="265">
        <f t="shared" si="5"/>
        <v>100000</v>
      </c>
      <c r="D94" s="265"/>
      <c r="E94" s="264">
        <f>'Sources and Uses Budget'!S94</f>
        <v>50000</v>
      </c>
      <c r="F94" s="265">
        <f t="shared" si="7"/>
        <v>50000</v>
      </c>
      <c r="G94" s="265"/>
      <c r="H94" s="264">
        <f>'Sources and Uses Budget'!T94</f>
        <v>0</v>
      </c>
      <c r="I94" s="265"/>
      <c r="J94" s="265"/>
      <c r="K94" s="262"/>
    </row>
    <row r="95" spans="1:11" s="263" customFormat="1" ht="11.4">
      <c r="A95" s="267" t="str">
        <f>'Sources and Uses Budget'!$A95</f>
        <v>Other:</v>
      </c>
      <c r="B95" s="264">
        <f>'Sources and Uses Budget'!C95</f>
        <v>0</v>
      </c>
      <c r="C95" s="265">
        <f t="shared" si="5"/>
        <v>0</v>
      </c>
      <c r="D95" s="265"/>
      <c r="E95" s="264">
        <f>'Sources and Uses Budget'!S95</f>
        <v>0</v>
      </c>
      <c r="F95" s="265">
        <f>C95</f>
        <v>0</v>
      </c>
      <c r="G95" s="265"/>
      <c r="H95" s="264">
        <f>'Sources and Uses Budget'!T95</f>
        <v>0</v>
      </c>
      <c r="I95" s="265"/>
      <c r="J95" s="265"/>
      <c r="K95" s="262"/>
    </row>
    <row r="96" spans="1:11" s="263" customFormat="1">
      <c r="A96" s="268" t="s">
        <v>1840</v>
      </c>
      <c r="B96" s="264">
        <f>'Sources and Uses Budget'!C96</f>
        <v>600000</v>
      </c>
      <c r="C96" s="264">
        <f>SUM(C83:C95)</f>
        <v>600000</v>
      </c>
      <c r="D96" s="264">
        <f>SUM(D83:D95)</f>
        <v>0</v>
      </c>
      <c r="E96" s="264">
        <f>'Sources and Uses Budget'!S96</f>
        <v>400000</v>
      </c>
      <c r="F96" s="270">
        <f>SUM(F84:F87,F89:F95)</f>
        <v>400000</v>
      </c>
      <c r="G96" s="270">
        <f>SUM(G84:G87,G89:G95)</f>
        <v>0</v>
      </c>
      <c r="H96" s="264">
        <f>'Sources and Uses Budget'!T96</f>
        <v>0</v>
      </c>
      <c r="I96" s="264">
        <f>SUM(I84:I87,I89:I95)</f>
        <v>0</v>
      </c>
      <c r="J96" s="264">
        <f>SUM(J84:J87,J89:J95)</f>
        <v>0</v>
      </c>
      <c r="K96" s="262"/>
    </row>
    <row r="97" spans="1:11" s="263" customFormat="1">
      <c r="A97" s="268" t="s">
        <v>1894</v>
      </c>
      <c r="B97" s="264">
        <f>'Sources and Uses Budget'!C97</f>
        <v>80099291</v>
      </c>
      <c r="C97" s="264">
        <f>SUM(C63+C70+C77+C81+C96)</f>
        <v>80099291</v>
      </c>
      <c r="D97" s="264">
        <f>SUM(D63+D70+D77+D81+D96)</f>
        <v>0</v>
      </c>
      <c r="E97" s="264">
        <f>'Sources and Uses Budget'!S97</f>
        <v>22501495</v>
      </c>
      <c r="F97" s="270">
        <f>SUM(+F63+F70+F81+F96)</f>
        <v>22501495</v>
      </c>
      <c r="G97" s="270">
        <f>SUM(+G63+G70+G81+G96)</f>
        <v>0</v>
      </c>
      <c r="H97" s="264">
        <f>'Sources and Uses Budget'!T97</f>
        <v>51000000</v>
      </c>
      <c r="I97" s="270">
        <f>SUM(I63+I70+I81+I96)</f>
        <v>51000000</v>
      </c>
      <c r="J97" s="270">
        <f>SUM(J63+J70+J81+J96)</f>
        <v>0</v>
      </c>
      <c r="K97" s="262"/>
    </row>
    <row r="98" spans="1:11" s="263" customFormat="1" ht="11.4">
      <c r="A98" s="260" t="s">
        <v>1842</v>
      </c>
      <c r="B98" s="261"/>
      <c r="C98" s="261"/>
      <c r="D98" s="261"/>
      <c r="E98" s="261"/>
      <c r="F98" s="261"/>
      <c r="G98" s="261"/>
      <c r="H98" s="261"/>
      <c r="I98" s="261"/>
      <c r="J98" s="261"/>
      <c r="K98" s="262"/>
    </row>
    <row r="99" spans="1:11" s="263" customFormat="1" ht="11.4">
      <c r="A99" s="195" t="s">
        <v>1843</v>
      </c>
      <c r="B99" s="264">
        <f>'Sources and Uses Budget'!C99</f>
        <v>4759298</v>
      </c>
      <c r="C99" s="265">
        <f>B99</f>
        <v>4759298</v>
      </c>
      <c r="D99" s="265"/>
      <c r="E99" s="264">
        <f>'Sources and Uses Budget'!S99</f>
        <v>4759298</v>
      </c>
      <c r="F99" s="265">
        <f>E99</f>
        <v>4759298</v>
      </c>
      <c r="G99" s="265"/>
      <c r="H99" s="264">
        <f>'Sources and Uses Budget'!T99</f>
        <v>0</v>
      </c>
      <c r="I99" s="265"/>
      <c r="J99" s="265"/>
      <c r="K99" s="262"/>
    </row>
    <row r="100" spans="1:11" s="263" customFormat="1" ht="11.4">
      <c r="A100" s="195" t="s">
        <v>1844</v>
      </c>
      <c r="B100" s="264">
        <f>'Sources and Uses Budget'!C100</f>
        <v>1189825</v>
      </c>
      <c r="C100" s="265">
        <f>B100</f>
        <v>1189825</v>
      </c>
      <c r="D100" s="265"/>
      <c r="E100" s="264">
        <f>'Sources and Uses Budget'!S100</f>
        <v>1189825</v>
      </c>
      <c r="F100" s="265">
        <f>E100</f>
        <v>1189825</v>
      </c>
      <c r="G100" s="265"/>
      <c r="H100" s="264">
        <f>'Sources and Uses Budget'!T100</f>
        <v>0</v>
      </c>
      <c r="I100" s="265"/>
      <c r="J100" s="265"/>
      <c r="K100" s="262"/>
    </row>
    <row r="101" spans="1:11" s="263" customFormat="1" ht="11.4">
      <c r="A101" s="195" t="s">
        <v>1845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1.4">
      <c r="A103" s="267" t="str">
        <f>'Sources and Uses Budget'!$A103</f>
        <v>Other: (Guarantee Fee)</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1847</v>
      </c>
      <c r="B104" s="264">
        <f>'Sources and Uses Budget'!C104</f>
        <v>5949123</v>
      </c>
      <c r="C104" s="264">
        <f>SUM(C99:C103)</f>
        <v>5949123</v>
      </c>
      <c r="D104" s="264">
        <f>SUM(D99:D103)</f>
        <v>0</v>
      </c>
      <c r="E104" s="264">
        <f>'Sources and Uses Budget'!S104</f>
        <v>5949123</v>
      </c>
      <c r="F104" s="270">
        <f>SUM(F99:F103)</f>
        <v>5949123</v>
      </c>
      <c r="G104" s="270">
        <f>SUM(G99:G103)</f>
        <v>0</v>
      </c>
      <c r="H104" s="264">
        <f>'Sources and Uses Budget'!T104</f>
        <v>0</v>
      </c>
      <c r="I104" s="270">
        <f>SUM(I99:I103)</f>
        <v>0</v>
      </c>
      <c r="J104" s="270">
        <f>SUM(J99:J103)</f>
        <v>0</v>
      </c>
      <c r="K104" s="262"/>
    </row>
    <row r="105" spans="1:11" s="263" customFormat="1">
      <c r="A105" s="268" t="s">
        <v>1895</v>
      </c>
      <c r="B105" s="264">
        <f>'Sources and Uses Budget'!C105</f>
        <v>86048414</v>
      </c>
      <c r="C105" s="270">
        <f>SUM(C97+C104)</f>
        <v>86048414</v>
      </c>
      <c r="D105" s="270">
        <f>SUM(D97+D104)</f>
        <v>0</v>
      </c>
      <c r="E105" s="264">
        <f>'Sources and Uses Budget'!S105</f>
        <v>28450618</v>
      </c>
      <c r="F105" s="270">
        <f>F97+F104</f>
        <v>28450618</v>
      </c>
      <c r="G105" s="270">
        <f>G97+G104</f>
        <v>0</v>
      </c>
      <c r="H105" s="264">
        <f>'Sources and Uses Budget'!T105</f>
        <v>51000000</v>
      </c>
      <c r="I105" s="270">
        <f>I97+I104</f>
        <v>51000000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1896</v>
      </c>
      <c r="E107" s="264">
        <f>'Sources and Uses Budget'!S107</f>
        <v>28450618</v>
      </c>
      <c r="F107" s="270">
        <f>F105+F106</f>
        <v>28450618</v>
      </c>
      <c r="G107" s="270">
        <f>G105+G106</f>
        <v>0</v>
      </c>
      <c r="H107" s="264">
        <f>'Sources and Uses Budget'!T107</f>
        <v>51000000</v>
      </c>
      <c r="I107" s="270">
        <f>I105+I106</f>
        <v>51000000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2">
      <c r="A111" s="280"/>
      <c r="B111" s="278"/>
      <c r="C111" s="278"/>
      <c r="D111" s="278"/>
      <c r="J111" s="279"/>
      <c r="K111" s="262"/>
    </row>
    <row r="112" spans="1:11" s="263" customFormat="1" ht="13.2">
      <c r="A112" s="280"/>
      <c r="B112" s="278"/>
      <c r="C112" s="278"/>
      <c r="D112" s="278"/>
      <c r="J112" s="279"/>
      <c r="K112" s="262"/>
    </row>
    <row r="113" spans="1:11" s="263" customFormat="1" ht="15.6">
      <c r="A113" s="281"/>
      <c r="B113" s="278"/>
      <c r="C113" s="278"/>
      <c r="D113" s="278"/>
      <c r="J113" s="279"/>
      <c r="K113" s="262"/>
    </row>
    <row r="114" spans="1:11" s="263" customFormat="1" ht="13.2">
      <c r="A114" s="280"/>
      <c r="J114" s="279"/>
      <c r="K114" s="262"/>
    </row>
    <row r="115" spans="1:11" s="263" customFormat="1" ht="15.6">
      <c r="A115" s="281"/>
      <c r="J115" s="279"/>
      <c r="K115" s="262"/>
    </row>
    <row r="116" spans="1:11" s="263" customFormat="1" ht="15.6">
      <c r="A116" s="281"/>
      <c r="J116" s="279"/>
      <c r="K116" s="262"/>
    </row>
    <row r="117" spans="1:11" s="263" customFormat="1" ht="11.4">
      <c r="B117" s="278"/>
      <c r="C117" s="278"/>
      <c r="D117" s="278"/>
      <c r="J117" s="279"/>
      <c r="K117" s="262"/>
    </row>
    <row r="118" spans="1:11" s="263" customFormat="1" ht="11.4">
      <c r="J118" s="279"/>
      <c r="K118" s="262"/>
    </row>
    <row r="119" spans="1:11" s="263" customFormat="1" ht="11.4">
      <c r="J119" s="279"/>
      <c r="K119" s="262"/>
    </row>
    <row r="120" spans="1:11" s="263" customFormat="1" ht="11.4">
      <c r="J120" s="279"/>
      <c r="K120" s="262"/>
    </row>
    <row r="121" spans="1:11" s="263" customFormat="1" ht="15.6">
      <c r="A121" s="281"/>
      <c r="J121" s="279"/>
      <c r="K121" s="262"/>
    </row>
    <row r="122" spans="1:11" s="283" customFormat="1" ht="15.6">
      <c r="A122" s="282"/>
      <c r="J122" s="284"/>
      <c r="K122" s="285"/>
    </row>
    <row r="123" spans="1:11" s="263" customFormat="1" ht="11.4">
      <c r="A123" s="286"/>
      <c r="J123" s="279"/>
      <c r="K123" s="262"/>
    </row>
    <row r="124" spans="1:11" s="263" customFormat="1" ht="11.4">
      <c r="B124" s="287"/>
      <c r="D124" s="1809"/>
      <c r="E124" s="1279"/>
      <c r="F124" s="1279"/>
      <c r="G124" s="1279"/>
      <c r="H124" s="1279"/>
      <c r="I124" s="1279"/>
      <c r="J124" s="279"/>
      <c r="K124" s="262"/>
    </row>
    <row r="125" spans="1:11" s="263" customFormat="1" ht="13.2">
      <c r="A125" s="288"/>
      <c r="B125" s="287"/>
      <c r="C125" s="288"/>
      <c r="D125" s="1279"/>
      <c r="E125" s="1279"/>
      <c r="F125" s="1279"/>
      <c r="G125" s="1279"/>
      <c r="H125" s="1279"/>
      <c r="I125" s="1279"/>
      <c r="J125" s="279"/>
      <c r="K125" s="262"/>
    </row>
    <row r="126" spans="1:11" s="263" customFormat="1" ht="13.2">
      <c r="A126" s="288"/>
      <c r="B126" s="287"/>
      <c r="C126" s="288"/>
      <c r="D126" s="1279"/>
      <c r="E126" s="1279"/>
      <c r="F126" s="1279"/>
      <c r="G126" s="1279"/>
      <c r="H126" s="1279"/>
      <c r="I126" s="1279"/>
      <c r="J126" s="279"/>
      <c r="K126" s="262"/>
    </row>
    <row r="127" spans="1:11" s="263" customFormat="1" ht="13.2">
      <c r="A127" s="288"/>
      <c r="B127" s="287"/>
      <c r="C127" s="288"/>
      <c r="D127" s="289"/>
      <c r="E127" s="288"/>
      <c r="F127" s="288"/>
      <c r="G127" s="288"/>
      <c r="J127" s="279"/>
      <c r="K127" s="262"/>
    </row>
    <row r="128" spans="1:11" s="263" customFormat="1" ht="13.2">
      <c r="A128" s="288"/>
      <c r="B128" s="287"/>
      <c r="C128" s="288"/>
      <c r="D128" s="289"/>
      <c r="E128" s="288"/>
      <c r="F128" s="288"/>
      <c r="G128" s="288"/>
      <c r="J128" s="279"/>
      <c r="K128" s="262"/>
    </row>
    <row r="129" spans="1:11" s="263" customFormat="1" ht="13.2">
      <c r="A129" s="288"/>
      <c r="B129" s="287"/>
      <c r="C129" s="288"/>
      <c r="D129" s="288"/>
      <c r="E129" s="288"/>
      <c r="F129" s="288"/>
      <c r="G129" s="288"/>
      <c r="J129" s="279"/>
      <c r="K129" s="262"/>
    </row>
    <row r="130" spans="1:11" s="263" customFormat="1" ht="13.2">
      <c r="A130" s="288"/>
      <c r="B130" s="287"/>
      <c r="C130" s="288"/>
      <c r="D130" s="288"/>
      <c r="E130" s="288"/>
      <c r="F130" s="288"/>
      <c r="G130" s="288"/>
      <c r="J130" s="279"/>
      <c r="K130" s="262"/>
    </row>
    <row r="131" spans="1:11" s="263" customFormat="1" ht="13.2">
      <c r="A131" s="288"/>
      <c r="B131" s="290"/>
      <c r="C131" s="288"/>
      <c r="D131" s="288"/>
      <c r="E131" s="288"/>
      <c r="F131" s="288"/>
      <c r="G131" s="288"/>
      <c r="J131" s="279"/>
      <c r="K131" s="262"/>
    </row>
    <row r="132" spans="1:11" s="263" customFormat="1" ht="13.2">
      <c r="A132" s="291"/>
      <c r="B132" s="292"/>
      <c r="C132" s="288"/>
      <c r="D132" s="293"/>
      <c r="E132" s="288"/>
      <c r="F132" s="288"/>
      <c r="G132" s="288"/>
      <c r="J132" s="279"/>
      <c r="K132" s="262"/>
    </row>
    <row r="133" spans="1:11" s="263" customFormat="1" ht="13.2">
      <c r="A133" s="294"/>
      <c r="B133" s="288"/>
      <c r="C133" s="288"/>
      <c r="D133" s="288"/>
      <c r="E133" s="288"/>
      <c r="F133" s="288"/>
      <c r="G133" s="288"/>
      <c r="J133" s="279"/>
      <c r="K133" s="262"/>
    </row>
    <row r="134" spans="1:11" s="263" customFormat="1" ht="13.2">
      <c r="A134" s="294"/>
      <c r="B134" s="288"/>
      <c r="C134" s="288"/>
      <c r="D134" s="288"/>
      <c r="E134" s="288"/>
      <c r="F134" s="288"/>
      <c r="G134" s="288"/>
      <c r="J134" s="279"/>
      <c r="K134" s="262"/>
    </row>
    <row r="135" spans="1:11" s="263" customFormat="1" ht="13.2">
      <c r="A135" s="295"/>
      <c r="B135" s="288"/>
      <c r="C135" s="288"/>
      <c r="D135" s="288"/>
      <c r="E135" s="288"/>
      <c r="F135" s="288"/>
      <c r="G135" s="288"/>
      <c r="J135" s="279"/>
      <c r="K135" s="262"/>
    </row>
    <row r="136" spans="1:11" s="263" customFormat="1" ht="13.2">
      <c r="A136" s="280"/>
      <c r="B136" s="288"/>
      <c r="C136" s="288"/>
      <c r="D136" s="288"/>
      <c r="E136" s="288"/>
      <c r="F136" s="288"/>
      <c r="G136" s="288"/>
      <c r="J136" s="279"/>
      <c r="K136" s="262"/>
    </row>
    <row r="137" spans="1:11" ht="13.2">
      <c r="A137" s="294"/>
      <c r="B137" s="288"/>
      <c r="C137" s="288"/>
      <c r="D137" s="288"/>
      <c r="E137" s="288"/>
      <c r="F137" s="288"/>
      <c r="G137" s="288"/>
    </row>
    <row r="138" spans="1:11" ht="12" customHeight="1">
      <c r="A138" s="294"/>
      <c r="B138" s="288"/>
      <c r="C138" s="288"/>
      <c r="D138" s="288"/>
      <c r="E138" s="288"/>
      <c r="F138" s="288"/>
      <c r="G138" s="288"/>
    </row>
    <row r="139" spans="1:11" ht="12" customHeight="1">
      <c r="A139" s="1810"/>
      <c r="B139" s="1279"/>
      <c r="C139" s="1279"/>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N10" sqref="N10:T10"/>
    </sheetView>
  </sheetViews>
  <sheetFormatPr defaultColWidth="2.6640625" defaultRowHeight="15.75" customHeight="1"/>
  <cols>
    <col min="1" max="8" width="2.6640625" style="1092"/>
    <col min="9" max="9" width="7.6640625" style="1092" customWidth="1"/>
    <col min="10" max="13" width="2.6640625" style="1092"/>
    <col min="14" max="14" width="4.6640625" style="1092" customWidth="1"/>
    <col min="15" max="19" width="2.6640625" style="1092"/>
    <col min="20" max="20" width="3.6640625" style="1092" customWidth="1"/>
    <col min="21" max="37" width="2.6640625" style="1092"/>
    <col min="38" max="38" width="3" style="1092" customWidth="1"/>
    <col min="39" max="45" width="2.6640625" style="1092"/>
    <col min="46" max="46" width="4.6640625" style="1092" customWidth="1"/>
    <col min="47" max="51" width="2.6640625" style="1092"/>
    <col min="52" max="52" width="3.5546875" style="1092" customWidth="1"/>
    <col min="53" max="53" width="2.6640625" style="1092"/>
    <col min="54" max="54" width="4.44140625" style="1092" customWidth="1"/>
    <col min="55" max="64" width="2.6640625" style="1092"/>
    <col min="65" max="65" width="10.44140625" style="1092" hidden="1" customWidth="1"/>
    <col min="66" max="66" width="5.5546875" style="1093" bestFit="1" customWidth="1"/>
    <col min="67" max="68" width="5.5546875" style="1093" customWidth="1"/>
    <col min="69" max="69" width="8" style="1093" customWidth="1"/>
    <col min="70" max="70" width="6" style="1093" customWidth="1"/>
    <col min="71" max="71" width="6.109375" style="1093" customWidth="1"/>
    <col min="72" max="76" width="5.5546875" style="1093" customWidth="1"/>
    <col min="77" max="77" width="6.109375" style="1093" bestFit="1" customWidth="1"/>
    <col min="78" max="78" width="5.5546875" style="1092" bestFit="1" customWidth="1"/>
    <col min="79" max="16384" width="2.6640625" style="1092"/>
  </cols>
  <sheetData>
    <row r="1" spans="1:65" ht="15.75" customHeight="1">
      <c r="A1" s="2250" t="s">
        <v>1897</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c r="AO1" s="2251"/>
      <c r="AP1" s="2251"/>
      <c r="AQ1" s="2251"/>
      <c r="AR1" s="2251"/>
      <c r="AS1" s="2251"/>
      <c r="AT1" s="2251"/>
      <c r="AU1" s="2251"/>
      <c r="AV1" s="2251"/>
      <c r="AW1" s="2251"/>
      <c r="AX1" s="2251"/>
      <c r="AY1" s="2251"/>
      <c r="AZ1" s="2251"/>
      <c r="BA1" s="2251"/>
      <c r="BB1" s="2251"/>
      <c r="BC1" s="2251"/>
      <c r="BD1" s="2251"/>
      <c r="BE1" s="2252"/>
    </row>
    <row r="2" spans="1:65" ht="15.75" customHeight="1">
      <c r="A2" s="2253" t="s">
        <v>1898</v>
      </c>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c r="AT2" s="2254"/>
      <c r="AU2" s="2254"/>
      <c r="AV2" s="2254"/>
      <c r="AW2" s="2254"/>
      <c r="AX2" s="2254"/>
      <c r="AY2" s="2254"/>
      <c r="AZ2" s="2254"/>
      <c r="BA2" s="2254"/>
      <c r="BB2" s="2254"/>
      <c r="BC2" s="2254"/>
      <c r="BD2" s="2254"/>
      <c r="BE2" s="2255"/>
      <c r="BF2" s="1094"/>
    </row>
    <row r="3" spans="1:65" ht="15.75" customHeight="1" thickBot="1">
      <c r="A3" s="1095"/>
      <c r="B3" s="1096"/>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c r="AT3" s="1096"/>
      <c r="AU3" s="1096"/>
      <c r="AV3" s="1096"/>
      <c r="AW3" s="1096"/>
      <c r="AX3" s="2104" t="s">
        <v>1899</v>
      </c>
      <c r="AY3" s="2105"/>
      <c r="AZ3" s="2105"/>
      <c r="BA3" s="2256"/>
      <c r="BB3" s="2104" t="s">
        <v>1900</v>
      </c>
      <c r="BC3" s="2105"/>
      <c r="BD3" s="2105"/>
      <c r="BE3" s="2256"/>
    </row>
    <row r="4" spans="1:65" ht="15.75" customHeight="1" thickBot="1">
      <c r="A4" s="1095"/>
      <c r="B4" s="1097" t="s">
        <v>77</v>
      </c>
      <c r="C4" s="1097"/>
      <c r="D4" s="1097"/>
      <c r="E4" s="1097"/>
      <c r="F4" s="1097"/>
      <c r="G4" s="1096"/>
      <c r="H4" s="1096"/>
      <c r="I4" s="1096"/>
      <c r="J4" s="1096"/>
      <c r="K4" s="1096"/>
      <c r="L4" s="2247" t="str">
        <f>IF(Application!H18="","",Application!H18)</f>
        <v>Ocean Beach Apartments II</v>
      </c>
      <c r="M4" s="2248"/>
      <c r="N4" s="2248"/>
      <c r="O4" s="2248"/>
      <c r="P4" s="2248"/>
      <c r="Q4" s="2248"/>
      <c r="R4" s="2248"/>
      <c r="S4" s="2248"/>
      <c r="T4" s="2248"/>
      <c r="U4" s="2248"/>
      <c r="V4" s="2248"/>
      <c r="W4" s="2248"/>
      <c r="X4" s="2248"/>
      <c r="Y4" s="2248"/>
      <c r="Z4" s="2248"/>
      <c r="AA4" s="2248"/>
      <c r="AB4" s="2248"/>
      <c r="AC4" s="2249"/>
      <c r="AD4" s="1096"/>
      <c r="AE4" s="1096"/>
      <c r="AF4" s="2236" t="s">
        <v>1901</v>
      </c>
      <c r="AG4" s="2236"/>
      <c r="AH4" s="2236"/>
      <c r="AI4" s="2236"/>
      <c r="AJ4" s="2236"/>
      <c r="AK4" s="2236"/>
      <c r="AL4" s="2236"/>
      <c r="AM4" s="2236"/>
      <c r="AN4" s="2236"/>
      <c r="AO4" s="2236"/>
      <c r="AP4" s="2237"/>
      <c r="AQ4" s="2238"/>
      <c r="AR4" s="2238"/>
      <c r="AS4" s="2238"/>
      <c r="AT4" s="2238"/>
      <c r="AU4" s="2238"/>
      <c r="AV4" s="1096"/>
      <c r="AW4" s="1096"/>
      <c r="AX4" s="2244" t="s">
        <v>1902</v>
      </c>
      <c r="AY4" s="2245"/>
      <c r="AZ4" s="2245"/>
      <c r="BA4" s="2246"/>
      <c r="BB4" s="1222">
        <f t="array" ref="BB4">ROUNDDOWN(SUM(IF((B19:I27&gt;0)*(B19:I27&lt;=30%),J19:O27,0))/J29,2)</f>
        <v>0.49</v>
      </c>
      <c r="BC4" s="1223"/>
      <c r="BD4" s="1223"/>
      <c r="BE4" s="1224"/>
    </row>
    <row r="5" spans="1:65" ht="15" thickBot="1">
      <c r="A5" s="1095"/>
      <c r="B5" s="1096"/>
      <c r="C5" s="1096"/>
      <c r="D5" s="1096"/>
      <c r="E5" s="1096"/>
      <c r="F5" s="1096"/>
      <c r="G5" s="1096"/>
      <c r="H5" s="1096"/>
      <c r="I5" s="1096"/>
      <c r="J5" s="1096"/>
      <c r="K5" s="1096"/>
      <c r="L5" s="1096"/>
      <c r="M5" s="1096"/>
      <c r="N5" s="1096"/>
      <c r="O5" s="1096"/>
      <c r="P5" s="1096"/>
      <c r="Q5" s="1096"/>
      <c r="R5" s="1096"/>
      <c r="S5" s="1096"/>
      <c r="T5" s="1096"/>
      <c r="U5" s="1096"/>
      <c r="V5" s="1096"/>
      <c r="W5" s="1096"/>
      <c r="X5" s="1096"/>
      <c r="Y5" s="1096"/>
      <c r="Z5" s="1096"/>
      <c r="AA5" s="1096"/>
      <c r="AB5" s="1096"/>
      <c r="AC5" s="1096"/>
      <c r="AD5" s="1096"/>
      <c r="AE5" s="1096"/>
      <c r="AF5" s="2236" t="s">
        <v>1903</v>
      </c>
      <c r="AG5" s="2236"/>
      <c r="AH5" s="2236"/>
      <c r="AI5" s="2236"/>
      <c r="AJ5" s="2236"/>
      <c r="AK5" s="2236"/>
      <c r="AL5" s="2236"/>
      <c r="AM5" s="2236"/>
      <c r="AN5" s="2236"/>
      <c r="AO5" s="2236"/>
      <c r="AP5" s="2237"/>
      <c r="AQ5" s="2238"/>
      <c r="AR5" s="2238"/>
      <c r="AS5" s="2238"/>
      <c r="AT5" s="2238"/>
      <c r="AU5" s="2238"/>
      <c r="AV5" s="1096"/>
      <c r="AW5" s="1096"/>
      <c r="AX5" s="2244" t="s">
        <v>1904</v>
      </c>
      <c r="AY5" s="2245"/>
      <c r="AZ5" s="2245"/>
      <c r="BA5" s="2246"/>
      <c r="BB5" s="1222">
        <f t="array" ref="BB5">ROUNDDOWN(SUM(IF((B19:I27&gt;0%)*(B19:I27&lt;=50%),J19:O27,0))/J29,2)</f>
        <v>0.92</v>
      </c>
      <c r="BC5" s="1223"/>
      <c r="BD5" s="1223"/>
      <c r="BE5" s="1224"/>
    </row>
    <row r="6" spans="1:65" ht="15.75" customHeight="1" thickBot="1">
      <c r="A6" s="1095"/>
      <c r="B6" s="1097" t="s">
        <v>1905</v>
      </c>
      <c r="C6" s="1096"/>
      <c r="D6" s="1096"/>
      <c r="E6" s="1096"/>
      <c r="F6" s="1096"/>
      <c r="G6" s="1096"/>
      <c r="H6" s="1096"/>
      <c r="I6" s="1096"/>
      <c r="J6" s="1096"/>
      <c r="K6" s="1096"/>
      <c r="L6" s="2247" t="str">
        <f>IF(Application!H16="","",Application!H16)</f>
        <v>Ocean Beach Apartments II, LP</v>
      </c>
      <c r="M6" s="2248"/>
      <c r="N6" s="2248"/>
      <c r="O6" s="2248"/>
      <c r="P6" s="2248"/>
      <c r="Q6" s="2248"/>
      <c r="R6" s="2248"/>
      <c r="S6" s="2248"/>
      <c r="T6" s="2248"/>
      <c r="U6" s="2248"/>
      <c r="V6" s="2248"/>
      <c r="W6" s="2248"/>
      <c r="X6" s="2248"/>
      <c r="Y6" s="2248"/>
      <c r="Z6" s="2248"/>
      <c r="AA6" s="2248"/>
      <c r="AB6" s="2248"/>
      <c r="AC6" s="2249"/>
      <c r="AD6" s="1096"/>
      <c r="AE6" s="1096"/>
      <c r="AF6" s="2239" t="s">
        <v>1906</v>
      </c>
      <c r="AG6" s="2239"/>
      <c r="AH6" s="2239"/>
      <c r="AI6" s="2239"/>
      <c r="AJ6" s="2239"/>
      <c r="AK6" s="2239"/>
      <c r="AL6" s="2239"/>
      <c r="AM6" s="2239"/>
      <c r="AN6" s="2239"/>
      <c r="AO6" s="2239"/>
      <c r="AP6" s="2240"/>
      <c r="AQ6" s="2240"/>
      <c r="AR6" s="2240"/>
      <c r="AS6" s="2240"/>
      <c r="AT6" s="2240"/>
      <c r="AU6" s="2240"/>
      <c r="AV6" s="1096"/>
      <c r="AW6" s="1096"/>
      <c r="AX6" s="2244" t="s">
        <v>1907</v>
      </c>
      <c r="AY6" s="2245"/>
      <c r="AZ6" s="2245"/>
      <c r="BA6" s="2246"/>
      <c r="BB6" s="1222">
        <f t="array" ref="BB6">ROUNDDOWN(SUM(IF((B19:I27&gt;60%)*(B19:I27&lt;=80%),J19:O27,0))/J29,2)</f>
        <v>0</v>
      </c>
      <c r="BC6" s="1223"/>
      <c r="BD6" s="1223"/>
      <c r="BE6" s="1224"/>
    </row>
    <row r="7" spans="1:65" ht="15" thickBot="1">
      <c r="A7" s="1095"/>
      <c r="B7" s="1096"/>
      <c r="C7" s="1096"/>
      <c r="D7" s="1096"/>
      <c r="E7" s="1096"/>
      <c r="F7" s="1096"/>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2239" t="s">
        <v>1908</v>
      </c>
      <c r="AG7" s="2239"/>
      <c r="AH7" s="2239"/>
      <c r="AI7" s="2239"/>
      <c r="AJ7" s="2239"/>
      <c r="AK7" s="2239"/>
      <c r="AL7" s="2239"/>
      <c r="AM7" s="2239"/>
      <c r="AN7" s="2239"/>
      <c r="AO7" s="2239"/>
      <c r="AP7" s="2240"/>
      <c r="AQ7" s="2240"/>
      <c r="AR7" s="2240"/>
      <c r="AS7" s="2240"/>
      <c r="AT7" s="2240"/>
      <c r="AU7" s="2240"/>
      <c r="AV7" s="1096"/>
      <c r="AW7" s="1096"/>
      <c r="AX7" s="1096"/>
      <c r="AY7" s="1096"/>
      <c r="AZ7" s="1096"/>
      <c r="BA7" s="1096"/>
      <c r="BB7" s="1096"/>
      <c r="BC7" s="1096"/>
      <c r="BD7" s="1096"/>
      <c r="BE7" s="1098"/>
    </row>
    <row r="8" spans="1:65" ht="15" thickBot="1">
      <c r="A8" s="1095"/>
      <c r="B8" s="1097" t="s">
        <v>1909</v>
      </c>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2241" t="str">
        <f>Application!T197</f>
        <v>No</v>
      </c>
      <c r="AC8" s="2242"/>
      <c r="AD8" s="2243"/>
      <c r="AE8" s="1096"/>
      <c r="AF8" s="2239" t="s">
        <v>1910</v>
      </c>
      <c r="AG8" s="2239"/>
      <c r="AH8" s="2239"/>
      <c r="AI8" s="2239"/>
      <c r="AJ8" s="2239"/>
      <c r="AK8" s="2239"/>
      <c r="AL8" s="2239"/>
      <c r="AM8" s="2239"/>
      <c r="AN8" s="2239"/>
      <c r="AO8" s="2239"/>
      <c r="AP8" s="2240" t="s">
        <v>1911</v>
      </c>
      <c r="AQ8" s="2240"/>
      <c r="AR8" s="2240"/>
      <c r="AS8" s="2240"/>
      <c r="AT8" s="2240"/>
      <c r="AU8" s="2240"/>
      <c r="AV8" s="1096"/>
      <c r="AW8" s="1096"/>
      <c r="AX8" s="1096"/>
      <c r="AY8" s="1096"/>
      <c r="AZ8" s="1096"/>
      <c r="BA8" s="1096"/>
      <c r="BB8" s="1096"/>
      <c r="BC8" s="1096"/>
      <c r="BD8" s="1096"/>
      <c r="BE8" s="1098"/>
      <c r="BM8" s="1092" t="s">
        <v>1912</v>
      </c>
    </row>
    <row r="9" spans="1:65" ht="14.4">
      <c r="A9" s="1096"/>
      <c r="B9" s="1096"/>
      <c r="C9" s="1096"/>
      <c r="D9" s="1096"/>
      <c r="E9" s="1096"/>
      <c r="F9" s="1096"/>
      <c r="G9" s="1096"/>
      <c r="H9" s="1096"/>
      <c r="I9" s="1096"/>
      <c r="J9" s="1096"/>
      <c r="K9" s="1096"/>
      <c r="L9" s="1096"/>
      <c r="M9" s="1096"/>
      <c r="N9" s="1096"/>
      <c r="O9" s="1096"/>
      <c r="P9" s="1096"/>
      <c r="Q9" s="1096"/>
      <c r="R9" s="1096"/>
      <c r="S9" s="1096"/>
      <c r="T9" s="1096"/>
      <c r="U9" s="1096"/>
      <c r="V9" s="1096"/>
      <c r="W9" s="1096"/>
      <c r="X9" s="1096"/>
      <c r="Y9" s="1096"/>
      <c r="Z9" s="1096"/>
      <c r="AA9" s="1096"/>
      <c r="AB9" s="1096"/>
      <c r="AC9" s="1096"/>
      <c r="AD9" s="1096"/>
      <c r="AE9" s="1096"/>
      <c r="AF9" s="2236" t="s">
        <v>1913</v>
      </c>
      <c r="AG9" s="2236"/>
      <c r="AH9" s="2236"/>
      <c r="AI9" s="2236"/>
      <c r="AJ9" s="2236"/>
      <c r="AK9" s="2236"/>
      <c r="AL9" s="2236"/>
      <c r="AM9" s="2236"/>
      <c r="AN9" s="2236"/>
      <c r="AO9" s="2236"/>
      <c r="AP9" s="2237"/>
      <c r="AQ9" s="2238"/>
      <c r="AR9" s="2238"/>
      <c r="AS9" s="2238"/>
      <c r="AT9" s="2238"/>
      <c r="AU9" s="2238"/>
      <c r="AV9" s="1096"/>
      <c r="AW9" s="1096"/>
      <c r="AX9" s="1096"/>
      <c r="AY9" s="1096"/>
      <c r="AZ9" s="1096"/>
      <c r="BA9" s="1096"/>
      <c r="BB9" s="1096"/>
      <c r="BC9" s="1096"/>
      <c r="BD9" s="1096"/>
      <c r="BE9" s="1098"/>
      <c r="BM9" s="1092" t="s">
        <v>1914</v>
      </c>
    </row>
    <row r="10" spans="1:65" ht="14.4">
      <c r="A10" s="1095"/>
      <c r="B10" s="1097" t="s">
        <v>1915</v>
      </c>
      <c r="C10" s="1097"/>
      <c r="D10" s="1097"/>
      <c r="E10" s="1097"/>
      <c r="F10" s="1097"/>
      <c r="G10" s="1097"/>
      <c r="H10" s="1097"/>
      <c r="I10" s="1097"/>
      <c r="J10" s="1097"/>
      <c r="K10" s="1097"/>
      <c r="L10" s="1097"/>
      <c r="M10" s="1096"/>
      <c r="N10" s="2235">
        <f>Application!AO635</f>
        <v>22306185</v>
      </c>
      <c r="O10" s="2235"/>
      <c r="P10" s="2235"/>
      <c r="Q10" s="2235"/>
      <c r="R10" s="2235"/>
      <c r="S10" s="2235"/>
      <c r="T10" s="2235"/>
      <c r="U10" s="1096"/>
      <c r="V10" s="1096"/>
      <c r="W10" s="1096"/>
      <c r="X10" s="1099"/>
      <c r="Y10" s="1099"/>
      <c r="Z10" s="1099"/>
      <c r="AA10" s="1099"/>
      <c r="AB10" s="1099"/>
      <c r="AC10" s="1099"/>
      <c r="AD10" s="1099"/>
      <c r="AE10" s="1099"/>
      <c r="AF10" s="2236" t="s">
        <v>1916</v>
      </c>
      <c r="AG10" s="2236"/>
      <c r="AH10" s="2236"/>
      <c r="AI10" s="2236"/>
      <c r="AJ10" s="2236"/>
      <c r="AK10" s="2236"/>
      <c r="AL10" s="2236"/>
      <c r="AM10" s="2236"/>
      <c r="AN10" s="2236"/>
      <c r="AO10" s="2236"/>
      <c r="AP10" s="2237"/>
      <c r="AQ10" s="2238"/>
      <c r="AR10" s="2238"/>
      <c r="AS10" s="2238"/>
      <c r="AT10" s="2238"/>
      <c r="AU10" s="2238"/>
      <c r="AV10" s="1099"/>
      <c r="AW10" s="1099"/>
      <c r="AX10" s="1096"/>
      <c r="AY10" s="1096"/>
      <c r="AZ10" s="1096"/>
      <c r="BA10" s="1096"/>
      <c r="BB10" s="1096"/>
      <c r="BC10" s="1096"/>
      <c r="BD10" s="1096"/>
      <c r="BE10" s="1098"/>
      <c r="BM10" s="1092" t="s">
        <v>1911</v>
      </c>
    </row>
    <row r="11" spans="1:65" ht="14.4">
      <c r="A11" s="1095"/>
      <c r="B11" s="1097" t="s">
        <v>1917</v>
      </c>
      <c r="C11" s="1097"/>
      <c r="D11" s="1097"/>
      <c r="E11" s="1097"/>
      <c r="F11" s="1097"/>
      <c r="G11" s="1097"/>
      <c r="H11" s="1097"/>
      <c r="I11" s="1097"/>
      <c r="J11" s="1097"/>
      <c r="K11" s="1097"/>
      <c r="L11" s="1097"/>
      <c r="M11" s="1096"/>
      <c r="N11" s="2235">
        <f>Application!AA943</f>
        <v>0</v>
      </c>
      <c r="O11" s="2235"/>
      <c r="P11" s="2235"/>
      <c r="Q11" s="2235"/>
      <c r="R11" s="2235"/>
      <c r="S11" s="2235"/>
      <c r="T11" s="2235"/>
      <c r="U11" s="1096"/>
      <c r="V11" s="1096"/>
      <c r="W11" s="1096"/>
      <c r="X11" s="1099"/>
      <c r="Y11" s="1099"/>
      <c r="Z11" s="1099"/>
      <c r="AA11" s="1099"/>
      <c r="AB11" s="1099"/>
      <c r="AC11" s="1099"/>
      <c r="AD11" s="1099"/>
      <c r="AE11" s="1099"/>
      <c r="AF11" s="2236" t="s">
        <v>1918</v>
      </c>
      <c r="AG11" s="2236"/>
      <c r="AH11" s="2236"/>
      <c r="AI11" s="2236"/>
      <c r="AJ11" s="2236"/>
      <c r="AK11" s="2236"/>
      <c r="AL11" s="2236"/>
      <c r="AM11" s="2236"/>
      <c r="AN11" s="2236"/>
      <c r="AO11" s="2236"/>
      <c r="AP11" s="2237"/>
      <c r="AQ11" s="2238"/>
      <c r="AR11" s="2238"/>
      <c r="AS11" s="2238"/>
      <c r="AT11" s="2238"/>
      <c r="AU11" s="2238"/>
      <c r="AV11" s="1099"/>
      <c r="AW11" s="1099"/>
      <c r="AX11" s="1096"/>
      <c r="AY11" s="1096"/>
      <c r="AZ11" s="1096"/>
      <c r="BA11" s="1096"/>
      <c r="BB11" s="1096"/>
      <c r="BC11" s="1096"/>
      <c r="BD11" s="1096"/>
      <c r="BE11" s="1098"/>
      <c r="BM11" s="1092" t="s">
        <v>690</v>
      </c>
    </row>
    <row r="12" spans="1:65" ht="15" thickBot="1">
      <c r="A12" s="1096"/>
      <c r="B12" s="1096"/>
      <c r="C12" s="1096"/>
      <c r="D12" s="1096"/>
      <c r="E12" s="1096"/>
      <c r="F12" s="1096"/>
      <c r="G12" s="1096"/>
      <c r="H12" s="1096"/>
      <c r="I12" s="1096"/>
      <c r="J12" s="1096"/>
      <c r="K12" s="1096"/>
      <c r="L12" s="1096"/>
      <c r="M12" s="1096"/>
      <c r="N12" s="1096"/>
      <c r="O12" s="1096"/>
      <c r="P12" s="1096"/>
      <c r="Q12" s="1096"/>
      <c r="R12" s="1096"/>
      <c r="S12" s="1096"/>
      <c r="T12" s="1096"/>
      <c r="U12" s="1096"/>
      <c r="V12" s="1096"/>
      <c r="W12" s="1096"/>
      <c r="X12" s="1099"/>
      <c r="Y12" s="1099"/>
      <c r="Z12" s="1099"/>
      <c r="AA12" s="1099"/>
      <c r="AB12" s="1099"/>
      <c r="AC12" s="1099"/>
      <c r="AD12" s="1099"/>
      <c r="AE12" s="1099"/>
      <c r="AF12" s="1099"/>
      <c r="AG12" s="1099"/>
      <c r="AH12" s="1099"/>
      <c r="AI12" s="1099"/>
      <c r="AJ12" s="1099"/>
      <c r="AK12" s="1099"/>
      <c r="AL12" s="1099"/>
      <c r="AM12" s="1099"/>
      <c r="AN12" s="1099"/>
      <c r="AO12" s="1099"/>
      <c r="AP12" s="1099"/>
      <c r="AQ12" s="1099"/>
      <c r="AR12" s="1099"/>
      <c r="AS12" s="1099"/>
      <c r="AT12" s="1099"/>
      <c r="AU12" s="1099"/>
      <c r="AV12" s="1096"/>
      <c r="AW12" s="1096"/>
      <c r="AX12" s="1096"/>
      <c r="AY12" s="1096"/>
      <c r="AZ12" s="1096"/>
      <c r="BA12" s="1096"/>
      <c r="BB12" s="1096"/>
      <c r="BC12" s="1096"/>
      <c r="BD12" s="1096"/>
      <c r="BE12" s="1100"/>
      <c r="BM12" s="1092" t="s">
        <v>1919</v>
      </c>
    </row>
    <row r="13" spans="1:65" ht="15" thickBot="1">
      <c r="A13" s="1096"/>
      <c r="B13" s="2226" t="s">
        <v>1920</v>
      </c>
      <c r="C13" s="2227"/>
      <c r="D13" s="2227"/>
      <c r="E13" s="2227"/>
      <c r="F13" s="2227"/>
      <c r="G13" s="2227"/>
      <c r="H13" s="2227"/>
      <c r="I13" s="2227"/>
      <c r="J13" s="2227"/>
      <c r="K13" s="2227"/>
      <c r="L13" s="2227"/>
      <c r="M13" s="2227"/>
      <c r="N13" s="2227"/>
      <c r="O13" s="2227"/>
      <c r="P13" s="2228"/>
      <c r="Q13" s="2229" t="s">
        <v>698</v>
      </c>
      <c r="R13" s="2230"/>
      <c r="S13" s="2230"/>
      <c r="T13" s="2231"/>
      <c r="U13" s="1099"/>
      <c r="V13" s="1096"/>
      <c r="W13" s="1096"/>
      <c r="X13" s="1096"/>
      <c r="Y13" s="1096"/>
      <c r="Z13" s="1096"/>
      <c r="AA13" s="2216" t="s">
        <v>1921</v>
      </c>
      <c r="AB13" s="2216"/>
      <c r="AC13" s="2216"/>
      <c r="AD13" s="2216"/>
      <c r="AE13" s="2216"/>
      <c r="AF13" s="2216"/>
      <c r="AG13" s="2216"/>
      <c r="AH13" s="2216"/>
      <c r="AI13" s="2216"/>
      <c r="AJ13" s="2216"/>
      <c r="AK13" s="2216"/>
      <c r="AL13" s="2216"/>
      <c r="AM13" s="2216"/>
      <c r="AN13" s="2216"/>
      <c r="AO13" s="2232">
        <f>Application!W481</f>
        <v>9</v>
      </c>
      <c r="AP13" s="2233"/>
      <c r="AQ13" s="2233"/>
      <c r="AR13" s="2233"/>
      <c r="AS13" s="2233"/>
      <c r="AT13" s="1099"/>
      <c r="AU13" s="1099"/>
      <c r="AV13" s="1099"/>
      <c r="AW13" s="1099"/>
      <c r="AX13" s="1099"/>
      <c r="AY13" s="1099"/>
      <c r="AZ13" s="1099"/>
      <c r="BA13" s="1099"/>
      <c r="BB13" s="1099"/>
      <c r="BC13" s="1099"/>
      <c r="BD13" s="1099"/>
      <c r="BE13" s="1100"/>
      <c r="BM13" s="1092" t="s">
        <v>1922</v>
      </c>
    </row>
    <row r="14" spans="1:65" ht="15" thickBot="1">
      <c r="A14" s="1096"/>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2234" t="s">
        <v>1923</v>
      </c>
      <c r="AB14" s="2234"/>
      <c r="AC14" s="2234"/>
      <c r="AD14" s="2234"/>
      <c r="AE14" s="2234"/>
      <c r="AF14" s="2234"/>
      <c r="AG14" s="2234"/>
      <c r="AH14" s="2234"/>
      <c r="AI14" s="2234"/>
      <c r="AJ14" s="2234"/>
      <c r="AK14" s="2234"/>
      <c r="AL14" s="2234"/>
      <c r="AM14" s="2234"/>
      <c r="AN14" s="2234"/>
      <c r="AO14" s="2217"/>
      <c r="AP14" s="2218"/>
      <c r="AQ14" s="2218"/>
      <c r="AR14" s="2218"/>
      <c r="AS14" s="2218"/>
      <c r="AT14" s="1099"/>
      <c r="AU14" s="1099"/>
      <c r="AV14" s="1099"/>
      <c r="AW14" s="1099"/>
      <c r="AX14" s="1099"/>
      <c r="AY14" s="1099"/>
      <c r="AZ14" s="1099"/>
      <c r="BA14" s="1099"/>
      <c r="BB14" s="1099"/>
      <c r="BC14" s="1099"/>
      <c r="BD14" s="1099"/>
      <c r="BE14" s="1100"/>
    </row>
    <row r="15" spans="1:65" ht="15" thickBot="1">
      <c r="A15" s="1096"/>
      <c r="B15" s="2211" t="s">
        <v>1924</v>
      </c>
      <c r="C15" s="2212"/>
      <c r="D15" s="2212"/>
      <c r="E15" s="2212"/>
      <c r="F15" s="2212"/>
      <c r="G15" s="2212"/>
      <c r="H15" s="2212"/>
      <c r="I15" s="2212"/>
      <c r="J15" s="2212"/>
      <c r="K15" s="2212"/>
      <c r="L15" s="2212"/>
      <c r="M15" s="2212"/>
      <c r="N15" s="2212"/>
      <c r="O15" s="2212"/>
      <c r="P15" s="2212"/>
      <c r="Q15" s="2212"/>
      <c r="R15" s="2213"/>
      <c r="S15" s="2214" t="str">
        <f>IF(Application!AB215="","",Application!AB215)</f>
        <v/>
      </c>
      <c r="T15" s="2214"/>
      <c r="U15" s="2214"/>
      <c r="V15" s="2214"/>
      <c r="W15" s="2215"/>
      <c r="X15" s="1099"/>
      <c r="Y15" s="1096"/>
      <c r="Z15" s="1096"/>
      <c r="AA15" s="2216" t="s">
        <v>1925</v>
      </c>
      <c r="AB15" s="2216"/>
      <c r="AC15" s="2216"/>
      <c r="AD15" s="2216"/>
      <c r="AE15" s="2216"/>
      <c r="AF15" s="2216"/>
      <c r="AG15" s="2216"/>
      <c r="AH15" s="2216"/>
      <c r="AI15" s="2216"/>
      <c r="AJ15" s="2216"/>
      <c r="AK15" s="2216"/>
      <c r="AL15" s="2216"/>
      <c r="AM15" s="2216"/>
      <c r="AN15" s="2216"/>
      <c r="AO15" s="2217"/>
      <c r="AP15" s="2218"/>
      <c r="AQ15" s="2218"/>
      <c r="AR15" s="2218"/>
      <c r="AS15" s="2218"/>
      <c r="AT15" s="1099"/>
      <c r="AU15" s="1099"/>
      <c r="AV15" s="1099"/>
      <c r="AW15" s="1099"/>
      <c r="AX15" s="1099"/>
      <c r="AY15" s="1099"/>
      <c r="AZ15" s="1099"/>
      <c r="BA15" s="1099"/>
      <c r="BB15" s="1099"/>
      <c r="BC15" s="1099"/>
      <c r="BD15" s="1099"/>
      <c r="BE15" s="1100"/>
    </row>
    <row r="16" spans="1:65" ht="15" thickBot="1">
      <c r="A16" s="1095"/>
      <c r="B16" s="1096"/>
      <c r="C16" s="1096"/>
      <c r="D16" s="1096"/>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D16" s="1096"/>
      <c r="BE16" s="1100"/>
    </row>
    <row r="17" spans="1:58" ht="14.4">
      <c r="A17" s="1096"/>
      <c r="B17" s="2039" t="s">
        <v>1926</v>
      </c>
      <c r="C17" s="2040"/>
      <c r="D17" s="2040"/>
      <c r="E17" s="2040"/>
      <c r="F17" s="2040"/>
      <c r="G17" s="2040"/>
      <c r="H17" s="2040"/>
      <c r="I17" s="2040"/>
      <c r="J17" s="2040"/>
      <c r="K17" s="2040"/>
      <c r="L17" s="2040"/>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c r="AS17" s="2040"/>
      <c r="AT17" s="2040"/>
      <c r="AU17" s="2040"/>
      <c r="AV17" s="2040"/>
      <c r="AW17" s="2040"/>
      <c r="AX17" s="2040"/>
      <c r="AY17" s="2041"/>
      <c r="AZ17" s="1096"/>
      <c r="BA17" s="1096"/>
      <c r="BB17" s="1096"/>
      <c r="BC17" s="1096"/>
      <c r="BD17" s="1096"/>
      <c r="BE17" s="1100"/>
      <c r="BF17" s="1094"/>
    </row>
    <row r="18" spans="1:58" ht="15.75" customHeight="1">
      <c r="A18" s="1096"/>
      <c r="B18" s="2219" t="s">
        <v>1927</v>
      </c>
      <c r="C18" s="2220"/>
      <c r="D18" s="2220"/>
      <c r="E18" s="2220"/>
      <c r="F18" s="2220"/>
      <c r="G18" s="2220"/>
      <c r="H18" s="2220"/>
      <c r="I18" s="2221"/>
      <c r="J18" s="2222" t="s">
        <v>1928</v>
      </c>
      <c r="K18" s="2223"/>
      <c r="L18" s="2223"/>
      <c r="M18" s="2223"/>
      <c r="N18" s="2223"/>
      <c r="O18" s="2224"/>
      <c r="P18" s="2222" t="s">
        <v>840</v>
      </c>
      <c r="Q18" s="2223"/>
      <c r="R18" s="2223"/>
      <c r="S18" s="2223"/>
      <c r="T18" s="2223"/>
      <c r="U18" s="2224"/>
      <c r="V18" s="2222" t="s">
        <v>841</v>
      </c>
      <c r="W18" s="2223"/>
      <c r="X18" s="2223"/>
      <c r="Y18" s="2223"/>
      <c r="Z18" s="2223"/>
      <c r="AA18" s="2224"/>
      <c r="AB18" s="2222" t="s">
        <v>842</v>
      </c>
      <c r="AC18" s="2223"/>
      <c r="AD18" s="2223"/>
      <c r="AE18" s="2223"/>
      <c r="AF18" s="2223"/>
      <c r="AG18" s="2224"/>
      <c r="AH18" s="2222" t="s">
        <v>843</v>
      </c>
      <c r="AI18" s="2223"/>
      <c r="AJ18" s="2223"/>
      <c r="AK18" s="2223"/>
      <c r="AL18" s="2223"/>
      <c r="AM18" s="2224"/>
      <c r="AN18" s="2222" t="s">
        <v>844</v>
      </c>
      <c r="AO18" s="2223"/>
      <c r="AP18" s="2223"/>
      <c r="AQ18" s="2223"/>
      <c r="AR18" s="2223"/>
      <c r="AS18" s="2224"/>
      <c r="AT18" s="2222" t="s">
        <v>1929</v>
      </c>
      <c r="AU18" s="2223"/>
      <c r="AV18" s="2223"/>
      <c r="AW18" s="2223"/>
      <c r="AX18" s="2223"/>
      <c r="AY18" s="2225"/>
      <c r="AZ18" s="1096"/>
      <c r="BA18" s="1096"/>
      <c r="BB18" s="1096"/>
      <c r="BC18" s="1096"/>
      <c r="BD18" s="1096"/>
      <c r="BE18" s="1100"/>
    </row>
    <row r="19" spans="1:58" ht="14.4">
      <c r="A19" s="1096"/>
      <c r="B19" s="2205">
        <v>0.3</v>
      </c>
      <c r="C19" s="2206"/>
      <c r="D19" s="2206"/>
      <c r="E19" s="2206"/>
      <c r="F19" s="2206"/>
      <c r="G19" s="2206"/>
      <c r="H19" s="2206"/>
      <c r="I19" s="2207"/>
      <c r="J19" s="2208">
        <f t="shared" ref="J19:J24" si="0">SUM(P19:AS19)</f>
        <v>45</v>
      </c>
      <c r="K19" s="2209"/>
      <c r="L19" s="2209"/>
      <c r="M19" s="2209"/>
      <c r="N19" s="2209"/>
      <c r="O19" s="2210"/>
      <c r="P19" s="2208" cm="1">
        <f t="array" ref="P19">SUMPRODUCT((Application!$B$726:$B$760 = 'CalHFA Addendum'!P$18)*(Application!$AC$726:$AC$760 = 'CalHFA Addendum'!$B19),Application!$G$726:$G$760)</f>
        <v>0</v>
      </c>
      <c r="Q19" s="2209"/>
      <c r="R19" s="2209"/>
      <c r="S19" s="2209"/>
      <c r="T19" s="2209"/>
      <c r="U19" s="2210"/>
      <c r="V19" s="2208" cm="1">
        <f t="array" ref="V19">SUMPRODUCT((Application!$B$726:$B$760 = 'CalHFA Addendum'!V$18)*(Application!$AC$726:$AC$760 = 'CalHFA Addendum'!$B19),Application!$G$726:$G$760)</f>
        <v>9</v>
      </c>
      <c r="W19" s="2209"/>
      <c r="X19" s="2209"/>
      <c r="Y19" s="2209"/>
      <c r="Z19" s="2209"/>
      <c r="AA19" s="2210"/>
      <c r="AB19" s="2208" cm="1">
        <f t="array" ref="AB19">SUMPRODUCT((Application!$B$726:$B$760 = 'CalHFA Addendum'!AB$18)*(Application!$AC$726:$AC$760 = 'CalHFA Addendum'!$B19),Application!$G$726:$G$760)</f>
        <v>36</v>
      </c>
      <c r="AC19" s="2209"/>
      <c r="AD19" s="2209"/>
      <c r="AE19" s="2209"/>
      <c r="AF19" s="2209"/>
      <c r="AG19" s="2210"/>
      <c r="AH19" s="2208" cm="1">
        <f t="array" ref="AH19">SUMPRODUCT((Application!$B$726:$B$760 = 'CalHFA Addendum'!AH$18)*(Application!$AC$726:$AC$760 = 'CalHFA Addendum'!$B19),Application!$G$726:$G$760)</f>
        <v>0</v>
      </c>
      <c r="AI19" s="2209"/>
      <c r="AJ19" s="2209"/>
      <c r="AK19" s="2209"/>
      <c r="AL19" s="2209"/>
      <c r="AM19" s="2210"/>
      <c r="AN19" s="2208" cm="1">
        <f t="array" ref="AN19">SUMPRODUCT((Application!$B$726:$B$760 = 'CalHFA Addendum'!AN$18)*(Application!$AC$726:$AC$760 = 'CalHFA Addendum'!$B19),Application!$G$726:$G$760)</f>
        <v>0</v>
      </c>
      <c r="AO19" s="2209"/>
      <c r="AP19" s="2209"/>
      <c r="AQ19" s="2209"/>
      <c r="AR19" s="2209"/>
      <c r="AS19" s="2210"/>
      <c r="AT19" s="2193">
        <f>J19/$J$29</f>
        <v>0.49450549450549453</v>
      </c>
      <c r="AU19" s="2194"/>
      <c r="AV19" s="2194"/>
      <c r="AW19" s="2194"/>
      <c r="AX19" s="2194"/>
      <c r="AY19" s="2195"/>
      <c r="AZ19" s="1101"/>
      <c r="BA19" s="1096"/>
      <c r="BB19" s="1096"/>
      <c r="BC19" s="1096"/>
      <c r="BD19" s="1096"/>
      <c r="BE19" s="1100"/>
    </row>
    <row r="20" spans="1:58" ht="15" customHeight="1">
      <c r="A20" s="1096"/>
      <c r="B20" s="2205">
        <v>0.4</v>
      </c>
      <c r="C20" s="2206"/>
      <c r="D20" s="2206"/>
      <c r="E20" s="2206"/>
      <c r="F20" s="2206"/>
      <c r="G20" s="2206"/>
      <c r="H20" s="2206"/>
      <c r="I20" s="2207"/>
      <c r="J20" s="2208">
        <f t="shared" si="0"/>
        <v>0</v>
      </c>
      <c r="K20" s="2209"/>
      <c r="L20" s="2209"/>
      <c r="M20" s="2209"/>
      <c r="N20" s="2209"/>
      <c r="O20" s="2210"/>
      <c r="P20" s="2208" cm="1">
        <f t="array" ref="P20">SUMPRODUCT((Application!$B$726:$B$760 = 'CalHFA Addendum'!P$18)*(Application!$AC$726:$AC$760 = 'CalHFA Addendum'!$B20),Application!$G$726:$G$760)</f>
        <v>0</v>
      </c>
      <c r="Q20" s="2209"/>
      <c r="R20" s="2209"/>
      <c r="S20" s="2209"/>
      <c r="T20" s="2209"/>
      <c r="U20" s="2210"/>
      <c r="V20" s="2208" cm="1">
        <f t="array" ref="V20">SUMPRODUCT((Application!$B$726:$B$760 = 'CalHFA Addendum'!V$18)*(Application!$AC$726:$AC$760 = 'CalHFA Addendum'!$B20),Application!$G$726:$G$760)</f>
        <v>0</v>
      </c>
      <c r="W20" s="2209"/>
      <c r="X20" s="2209"/>
      <c r="Y20" s="2209"/>
      <c r="Z20" s="2209"/>
      <c r="AA20" s="2210"/>
      <c r="AB20" s="2208" cm="1">
        <f t="array" ref="AB20">SUMPRODUCT((Application!$B$726:$B$760 = 'CalHFA Addendum'!AB$18)*(Application!$AC$726:$AC$760 = 'CalHFA Addendum'!$B20),Application!$G$726:$G$760)</f>
        <v>0</v>
      </c>
      <c r="AC20" s="2209"/>
      <c r="AD20" s="2209"/>
      <c r="AE20" s="2209"/>
      <c r="AF20" s="2209"/>
      <c r="AG20" s="2210"/>
      <c r="AH20" s="2208" cm="1">
        <f t="array" ref="AH20">SUMPRODUCT((Application!$B$726:$B$760 = 'CalHFA Addendum'!AH$18)*(Application!$AC$726:$AC$760 = 'CalHFA Addendum'!$B20),Application!$G$726:$G$760)</f>
        <v>0</v>
      </c>
      <c r="AI20" s="2209"/>
      <c r="AJ20" s="2209"/>
      <c r="AK20" s="2209"/>
      <c r="AL20" s="2209"/>
      <c r="AM20" s="2210"/>
      <c r="AN20" s="2208" cm="1">
        <f t="array" ref="AN20">SUMPRODUCT((Application!$B$726:$B$760 = 'CalHFA Addendum'!AN$18)*(Application!$AC$726:$AC$760 = 'CalHFA Addendum'!$B20),Application!$G$726:$G$760)</f>
        <v>0</v>
      </c>
      <c r="AO20" s="2209"/>
      <c r="AP20" s="2209"/>
      <c r="AQ20" s="2209"/>
      <c r="AR20" s="2209"/>
      <c r="AS20" s="2210"/>
      <c r="AT20" s="2193">
        <f t="shared" ref="AT20:AT29" si="1">J20/$J$29</f>
        <v>0</v>
      </c>
      <c r="AU20" s="2194"/>
      <c r="AV20" s="2194"/>
      <c r="AW20" s="2194"/>
      <c r="AX20" s="2194"/>
      <c r="AY20" s="2195"/>
      <c r="AZ20" s="1096"/>
      <c r="BA20" s="1096"/>
      <c r="BB20" s="1096"/>
      <c r="BC20" s="1096"/>
      <c r="BD20" s="1096"/>
      <c r="BE20" s="1100"/>
    </row>
    <row r="21" spans="1:58" ht="14.4">
      <c r="A21" s="1096"/>
      <c r="B21" s="2205">
        <v>0.5</v>
      </c>
      <c r="C21" s="2206"/>
      <c r="D21" s="2206"/>
      <c r="E21" s="2206"/>
      <c r="F21" s="2206"/>
      <c r="G21" s="2206"/>
      <c r="H21" s="2206"/>
      <c r="I21" s="2207"/>
      <c r="J21" s="2208">
        <f t="shared" si="0"/>
        <v>39</v>
      </c>
      <c r="K21" s="2209"/>
      <c r="L21" s="2209"/>
      <c r="M21" s="2209"/>
      <c r="N21" s="2209"/>
      <c r="O21" s="2210"/>
      <c r="P21" s="2208" cm="1">
        <f t="array" ref="P21">SUMPRODUCT((Application!$B$726:$B$760 = 'CalHFA Addendum'!P$18)*(Application!$AC$726:$AC$760 = 'CalHFA Addendum'!$B21),Application!$G$726:$G$760)</f>
        <v>0</v>
      </c>
      <c r="Q21" s="2209"/>
      <c r="R21" s="2209"/>
      <c r="S21" s="2209"/>
      <c r="T21" s="2209"/>
      <c r="U21" s="2210"/>
      <c r="V21" s="2208" cm="1">
        <f t="array" ref="V21">SUMPRODUCT((Application!$B$726:$B$760 = 'CalHFA Addendum'!V$18)*(Application!$AC$726:$AC$760 = 'CalHFA Addendum'!$B21),Application!$G$726:$G$760)</f>
        <v>18</v>
      </c>
      <c r="W21" s="2209"/>
      <c r="X21" s="2209"/>
      <c r="Y21" s="2209"/>
      <c r="Z21" s="2209"/>
      <c r="AA21" s="2210"/>
      <c r="AB21" s="2208" cm="1">
        <f t="array" ref="AB21">SUMPRODUCT((Application!$B$726:$B$760 = 'CalHFA Addendum'!AB$18)*(Application!$AC$726:$AC$760 = 'CalHFA Addendum'!$B21),Application!$G$726:$G$760)</f>
        <v>19</v>
      </c>
      <c r="AC21" s="2209"/>
      <c r="AD21" s="2209"/>
      <c r="AE21" s="2209"/>
      <c r="AF21" s="2209"/>
      <c r="AG21" s="2210"/>
      <c r="AH21" s="2208" cm="1">
        <f t="array" ref="AH21">SUMPRODUCT((Application!$B$726:$B$760 = 'CalHFA Addendum'!AH$18)*(Application!$AC$726:$AC$760 = 'CalHFA Addendum'!$B21),Application!$G$726:$G$760)</f>
        <v>2</v>
      </c>
      <c r="AI21" s="2209"/>
      <c r="AJ21" s="2209"/>
      <c r="AK21" s="2209"/>
      <c r="AL21" s="2209"/>
      <c r="AM21" s="2210"/>
      <c r="AN21" s="2208" cm="1">
        <f t="array" ref="AN21">SUMPRODUCT((Application!$B$726:$B$760 = 'CalHFA Addendum'!AN$18)*(Application!$AC$726:$AC$760 = 'CalHFA Addendum'!$B21),Application!$G$726:$G$760)</f>
        <v>0</v>
      </c>
      <c r="AO21" s="2209"/>
      <c r="AP21" s="2209"/>
      <c r="AQ21" s="2209"/>
      <c r="AR21" s="2209"/>
      <c r="AS21" s="2210"/>
      <c r="AT21" s="2193">
        <f t="shared" si="1"/>
        <v>0.42857142857142855</v>
      </c>
      <c r="AU21" s="2194"/>
      <c r="AV21" s="2194"/>
      <c r="AW21" s="2194"/>
      <c r="AX21" s="2194"/>
      <c r="AY21" s="2195"/>
      <c r="AZ21" s="1096"/>
      <c r="BA21" s="1096"/>
      <c r="BB21" s="1096"/>
      <c r="BC21" s="1096"/>
      <c r="BD21" s="1096"/>
      <c r="BE21" s="1100"/>
    </row>
    <row r="22" spans="1:58" ht="14.4">
      <c r="A22" s="1096"/>
      <c r="B22" s="2205">
        <v>0.6</v>
      </c>
      <c r="C22" s="2206"/>
      <c r="D22" s="2206"/>
      <c r="E22" s="2206"/>
      <c r="F22" s="2206"/>
      <c r="G22" s="2206"/>
      <c r="H22" s="2206"/>
      <c r="I22" s="2207"/>
      <c r="J22" s="2208">
        <f t="shared" si="0"/>
        <v>6</v>
      </c>
      <c r="K22" s="2209"/>
      <c r="L22" s="2209"/>
      <c r="M22" s="2209"/>
      <c r="N22" s="2209"/>
      <c r="O22" s="2210"/>
      <c r="P22" s="2208" cm="1">
        <f t="array" ref="P22">SUMPRODUCT((Application!$B$726:$B$760 = 'CalHFA Addendum'!P$18)*(Application!$AC$726:$AC$760 = 'CalHFA Addendum'!$B22),Application!$G$726:$G$760)</f>
        <v>1</v>
      </c>
      <c r="Q22" s="2209"/>
      <c r="R22" s="2209"/>
      <c r="S22" s="2209"/>
      <c r="T22" s="2209"/>
      <c r="U22" s="2210"/>
      <c r="V22" s="2208" cm="1">
        <f t="array" ref="V22">SUMPRODUCT((Application!$B$726:$B$760 = 'CalHFA Addendum'!V$18)*(Application!$AC$726:$AC$760 = 'CalHFA Addendum'!$B22),Application!$G$726:$G$760)</f>
        <v>5</v>
      </c>
      <c r="W22" s="2209"/>
      <c r="X22" s="2209"/>
      <c r="Y22" s="2209"/>
      <c r="Z22" s="2209"/>
      <c r="AA22" s="2210"/>
      <c r="AB22" s="2208" cm="1">
        <f t="array" ref="AB22">SUMPRODUCT((Application!$B$726:$B$760 = 'CalHFA Addendum'!AB$18)*(Application!$AC$726:$AC$760 = 'CalHFA Addendum'!$B22),Application!$G$726:$G$760)</f>
        <v>0</v>
      </c>
      <c r="AC22" s="2209"/>
      <c r="AD22" s="2209"/>
      <c r="AE22" s="2209"/>
      <c r="AF22" s="2209"/>
      <c r="AG22" s="2210"/>
      <c r="AH22" s="2208" cm="1">
        <f t="array" ref="AH22">SUMPRODUCT((Application!$B$726:$B$760 = 'CalHFA Addendum'!AH$18)*(Application!$AC$726:$AC$760 = 'CalHFA Addendum'!$B22),Application!$G$726:$G$760)</f>
        <v>0</v>
      </c>
      <c r="AI22" s="2209"/>
      <c r="AJ22" s="2209"/>
      <c r="AK22" s="2209"/>
      <c r="AL22" s="2209"/>
      <c r="AM22" s="2210"/>
      <c r="AN22" s="2208" cm="1">
        <f t="array" ref="AN22">SUMPRODUCT((Application!$B$726:$B$760 = 'CalHFA Addendum'!AN$18)*(Application!$AC$726:$AC$760 = 'CalHFA Addendum'!$B22),Application!$G$726:$G$760)</f>
        <v>0</v>
      </c>
      <c r="AO22" s="2209"/>
      <c r="AP22" s="2209"/>
      <c r="AQ22" s="2209"/>
      <c r="AR22" s="2209"/>
      <c r="AS22" s="2210"/>
      <c r="AT22" s="2193">
        <f t="shared" si="1"/>
        <v>6.5934065934065936E-2</v>
      </c>
      <c r="AU22" s="2194"/>
      <c r="AV22" s="2194"/>
      <c r="AW22" s="2194"/>
      <c r="AX22" s="2194"/>
      <c r="AY22" s="2195"/>
      <c r="AZ22" s="1096"/>
      <c r="BA22" s="1096"/>
      <c r="BB22" s="1096"/>
      <c r="BC22" s="1096"/>
      <c r="BD22" s="1096"/>
      <c r="BE22" s="1100"/>
    </row>
    <row r="23" spans="1:58" ht="14.4">
      <c r="A23" s="1096"/>
      <c r="B23" s="2205">
        <v>0.7</v>
      </c>
      <c r="C23" s="2206"/>
      <c r="D23" s="2206"/>
      <c r="E23" s="2206"/>
      <c r="F23" s="2206"/>
      <c r="G23" s="2206"/>
      <c r="H23" s="2206"/>
      <c r="I23" s="2207"/>
      <c r="J23" s="2208">
        <f t="shared" si="0"/>
        <v>0</v>
      </c>
      <c r="K23" s="2209"/>
      <c r="L23" s="2209"/>
      <c r="M23" s="2209"/>
      <c r="N23" s="2209"/>
      <c r="O23" s="2210"/>
      <c r="P23" s="2208" cm="1">
        <f t="array" ref="P23">SUMPRODUCT((Application!$B$726:$B$760 = 'CalHFA Addendum'!P$18)*(Application!$AC$726:$AC$760 = 'CalHFA Addendum'!$B23),Application!$G$726:$G$760)</f>
        <v>0</v>
      </c>
      <c r="Q23" s="2209"/>
      <c r="R23" s="2209"/>
      <c r="S23" s="2209"/>
      <c r="T23" s="2209"/>
      <c r="U23" s="2210"/>
      <c r="V23" s="2208" cm="1">
        <f t="array" ref="V23">SUMPRODUCT((Application!$B$726:$B$760 = 'CalHFA Addendum'!V$18)*(Application!$AC$726:$AC$760 = 'CalHFA Addendum'!$B23),Application!$G$726:$G$760)</f>
        <v>0</v>
      </c>
      <c r="W23" s="2209"/>
      <c r="X23" s="2209"/>
      <c r="Y23" s="2209"/>
      <c r="Z23" s="2209"/>
      <c r="AA23" s="2210"/>
      <c r="AB23" s="2208" cm="1">
        <f t="array" ref="AB23">SUMPRODUCT((Application!$B$726:$B$760 = 'CalHFA Addendum'!AB$18)*(Application!$AC$726:$AC$760 = 'CalHFA Addendum'!$B23),Application!$G$726:$G$760)</f>
        <v>0</v>
      </c>
      <c r="AC23" s="2209"/>
      <c r="AD23" s="2209"/>
      <c r="AE23" s="2209"/>
      <c r="AF23" s="2209"/>
      <c r="AG23" s="2210"/>
      <c r="AH23" s="2208" cm="1">
        <f t="array" ref="AH23">SUMPRODUCT((Application!$B$726:$B$760 = 'CalHFA Addendum'!AH$18)*(Application!$AC$726:$AC$760 = 'CalHFA Addendum'!$B23),Application!$G$726:$G$760)</f>
        <v>0</v>
      </c>
      <c r="AI23" s="2209"/>
      <c r="AJ23" s="2209"/>
      <c r="AK23" s="2209"/>
      <c r="AL23" s="2209"/>
      <c r="AM23" s="2210"/>
      <c r="AN23" s="2208" cm="1">
        <f t="array" ref="AN23">SUMPRODUCT((Application!$B$726:$B$760 = 'CalHFA Addendum'!AN$18)*(Application!$AC$726:$AC$760 = 'CalHFA Addendum'!$B23),Application!$G$726:$G$760)</f>
        <v>0</v>
      </c>
      <c r="AO23" s="2209"/>
      <c r="AP23" s="2209"/>
      <c r="AQ23" s="2209"/>
      <c r="AR23" s="2209"/>
      <c r="AS23" s="2210"/>
      <c r="AT23" s="2193">
        <f t="shared" si="1"/>
        <v>0</v>
      </c>
      <c r="AU23" s="2194"/>
      <c r="AV23" s="2194"/>
      <c r="AW23" s="2194"/>
      <c r="AX23" s="2194"/>
      <c r="AY23" s="2195"/>
      <c r="AZ23" s="1096"/>
      <c r="BA23" s="1096"/>
      <c r="BB23" s="1096"/>
      <c r="BC23" s="1096"/>
      <c r="BD23" s="1096"/>
      <c r="BE23" s="1100"/>
    </row>
    <row r="24" spans="1:58" ht="14.4">
      <c r="A24" s="1096"/>
      <c r="B24" s="2205">
        <v>0.8</v>
      </c>
      <c r="C24" s="2206"/>
      <c r="D24" s="2206"/>
      <c r="E24" s="2206"/>
      <c r="F24" s="2206"/>
      <c r="G24" s="2206"/>
      <c r="H24" s="2206"/>
      <c r="I24" s="2207"/>
      <c r="J24" s="2208">
        <f t="shared" si="0"/>
        <v>0</v>
      </c>
      <c r="K24" s="2209"/>
      <c r="L24" s="2209"/>
      <c r="M24" s="2209"/>
      <c r="N24" s="2209"/>
      <c r="O24" s="2210"/>
      <c r="P24" s="2208" cm="1">
        <f t="array" ref="P24">SUMPRODUCT((Application!$B$726:$B$760 = 'CalHFA Addendum'!P$18)*(Application!$AC$726:$AC$760 = 'CalHFA Addendum'!$B24),Application!$G$726:$G$760)</f>
        <v>0</v>
      </c>
      <c r="Q24" s="2209"/>
      <c r="R24" s="2209"/>
      <c r="S24" s="2209"/>
      <c r="T24" s="2209"/>
      <c r="U24" s="2210"/>
      <c r="V24" s="2208" cm="1">
        <f t="array" ref="V24">SUMPRODUCT((Application!$B$726:$B$760 = 'CalHFA Addendum'!V$18)*(Application!$AC$726:$AC$760 = 'CalHFA Addendum'!$B24),Application!$G$726:$G$760)</f>
        <v>0</v>
      </c>
      <c r="W24" s="2209"/>
      <c r="X24" s="2209"/>
      <c r="Y24" s="2209"/>
      <c r="Z24" s="2209"/>
      <c r="AA24" s="2210"/>
      <c r="AB24" s="2208" cm="1">
        <f t="array" ref="AB24">SUMPRODUCT((Application!$B$726:$B$760 = 'CalHFA Addendum'!AB$18)*(Application!$AC$726:$AC$760 = 'CalHFA Addendum'!$B24),Application!$G$726:$G$760)</f>
        <v>0</v>
      </c>
      <c r="AC24" s="2209"/>
      <c r="AD24" s="2209"/>
      <c r="AE24" s="2209"/>
      <c r="AF24" s="2209"/>
      <c r="AG24" s="2210"/>
      <c r="AH24" s="2208" cm="1">
        <f t="array" ref="AH24">SUMPRODUCT((Application!$B$726:$B$760 = 'CalHFA Addendum'!AH$18)*(Application!$AC$726:$AC$760 = 'CalHFA Addendum'!$B24),Application!$G$726:$G$760)</f>
        <v>0</v>
      </c>
      <c r="AI24" s="2209"/>
      <c r="AJ24" s="2209"/>
      <c r="AK24" s="2209"/>
      <c r="AL24" s="2209"/>
      <c r="AM24" s="2210"/>
      <c r="AN24" s="2208" cm="1">
        <f t="array" ref="AN24">SUMPRODUCT((Application!$B$726:$B$760 = 'CalHFA Addendum'!AN$18)*(Application!$AC$726:$AC$760 = 'CalHFA Addendum'!$B24),Application!$G$726:$G$760)</f>
        <v>0</v>
      </c>
      <c r="AO24" s="2209"/>
      <c r="AP24" s="2209"/>
      <c r="AQ24" s="2209"/>
      <c r="AR24" s="2209"/>
      <c r="AS24" s="2210"/>
      <c r="AT24" s="2193">
        <f t="shared" si="1"/>
        <v>0</v>
      </c>
      <c r="AU24" s="2194"/>
      <c r="AV24" s="2194"/>
      <c r="AW24" s="2194"/>
      <c r="AX24" s="2194"/>
      <c r="AY24" s="2195"/>
      <c r="AZ24" s="1096"/>
      <c r="BA24" s="1096"/>
      <c r="BB24" s="1096"/>
      <c r="BC24" s="1096"/>
      <c r="BD24" s="1096"/>
      <c r="BE24" s="1100"/>
    </row>
    <row r="25" spans="1:58" ht="14.4">
      <c r="A25" s="1096"/>
      <c r="B25" s="2205">
        <v>0.9</v>
      </c>
      <c r="C25" s="2206"/>
      <c r="D25" s="2206"/>
      <c r="E25" s="2206"/>
      <c r="F25" s="2206"/>
      <c r="G25" s="2206"/>
      <c r="H25" s="2206"/>
      <c r="I25" s="2207"/>
      <c r="J25" s="2190"/>
      <c r="K25" s="2191"/>
      <c r="L25" s="2191"/>
      <c r="M25" s="2191"/>
      <c r="N25" s="2191"/>
      <c r="O25" s="2192"/>
      <c r="P25" s="2190"/>
      <c r="Q25" s="2191"/>
      <c r="R25" s="2191"/>
      <c r="S25" s="2191"/>
      <c r="T25" s="2191"/>
      <c r="U25" s="2192"/>
      <c r="V25" s="2190"/>
      <c r="W25" s="2191"/>
      <c r="X25" s="2191"/>
      <c r="Y25" s="2191"/>
      <c r="Z25" s="2191"/>
      <c r="AA25" s="2192"/>
      <c r="AB25" s="2190"/>
      <c r="AC25" s="2191"/>
      <c r="AD25" s="2191"/>
      <c r="AE25" s="2191"/>
      <c r="AF25" s="2191"/>
      <c r="AG25" s="2192"/>
      <c r="AH25" s="2190"/>
      <c r="AI25" s="2191"/>
      <c r="AJ25" s="2191"/>
      <c r="AK25" s="2191"/>
      <c r="AL25" s="2191"/>
      <c r="AM25" s="2192"/>
      <c r="AN25" s="2190"/>
      <c r="AO25" s="2191"/>
      <c r="AP25" s="2191"/>
      <c r="AQ25" s="2191"/>
      <c r="AR25" s="2191"/>
      <c r="AS25" s="2192"/>
      <c r="AT25" s="2193">
        <f t="shared" si="1"/>
        <v>0</v>
      </c>
      <c r="AU25" s="2194"/>
      <c r="AV25" s="2194"/>
      <c r="AW25" s="2194"/>
      <c r="AX25" s="2194"/>
      <c r="AY25" s="2195"/>
      <c r="AZ25" s="1096"/>
      <c r="BA25" s="1096"/>
      <c r="BB25" s="1096"/>
      <c r="BC25" s="1096"/>
      <c r="BD25" s="1096"/>
      <c r="BE25" s="1100"/>
    </row>
    <row r="26" spans="1:58" ht="14.4">
      <c r="A26" s="1096"/>
      <c r="B26" s="2205">
        <v>1</v>
      </c>
      <c r="C26" s="2206"/>
      <c r="D26" s="2206"/>
      <c r="E26" s="2206"/>
      <c r="F26" s="2206"/>
      <c r="G26" s="2206"/>
      <c r="H26" s="2206"/>
      <c r="I26" s="2207"/>
      <c r="J26" s="2190"/>
      <c r="K26" s="2191"/>
      <c r="L26" s="2191"/>
      <c r="M26" s="2191"/>
      <c r="N26" s="2191"/>
      <c r="O26" s="2192"/>
      <c r="P26" s="2190"/>
      <c r="Q26" s="2191"/>
      <c r="R26" s="2191"/>
      <c r="S26" s="2191"/>
      <c r="T26" s="2191"/>
      <c r="U26" s="2192"/>
      <c r="V26" s="2190"/>
      <c r="W26" s="2191"/>
      <c r="X26" s="2191"/>
      <c r="Y26" s="2191"/>
      <c r="Z26" s="2191"/>
      <c r="AA26" s="2192"/>
      <c r="AB26" s="2190"/>
      <c r="AC26" s="2191"/>
      <c r="AD26" s="2191"/>
      <c r="AE26" s="2191"/>
      <c r="AF26" s="2191"/>
      <c r="AG26" s="2192"/>
      <c r="AH26" s="2190"/>
      <c r="AI26" s="2191"/>
      <c r="AJ26" s="2191"/>
      <c r="AK26" s="2191"/>
      <c r="AL26" s="2191"/>
      <c r="AM26" s="2192"/>
      <c r="AN26" s="2190"/>
      <c r="AO26" s="2191"/>
      <c r="AP26" s="2191"/>
      <c r="AQ26" s="2191"/>
      <c r="AR26" s="2191"/>
      <c r="AS26" s="2192"/>
      <c r="AT26" s="2193">
        <f t="shared" si="1"/>
        <v>0</v>
      </c>
      <c r="AU26" s="2194"/>
      <c r="AV26" s="2194"/>
      <c r="AW26" s="2194"/>
      <c r="AX26" s="2194"/>
      <c r="AY26" s="2195"/>
      <c r="AZ26" s="1096"/>
      <c r="BA26" s="1096"/>
      <c r="BB26" s="1096"/>
      <c r="BC26" s="1096"/>
      <c r="BD26" s="1096"/>
      <c r="BE26" s="1100"/>
    </row>
    <row r="27" spans="1:58" ht="14.4">
      <c r="A27" s="1096"/>
      <c r="B27" s="2205">
        <v>1.2</v>
      </c>
      <c r="C27" s="2206"/>
      <c r="D27" s="2206"/>
      <c r="E27" s="2206"/>
      <c r="F27" s="2206"/>
      <c r="G27" s="2206"/>
      <c r="H27" s="2206"/>
      <c r="I27" s="2207"/>
      <c r="J27" s="2190"/>
      <c r="K27" s="2191"/>
      <c r="L27" s="2191"/>
      <c r="M27" s="2191"/>
      <c r="N27" s="2191"/>
      <c r="O27" s="2192"/>
      <c r="P27" s="2190"/>
      <c r="Q27" s="2191"/>
      <c r="R27" s="2191"/>
      <c r="S27" s="2191"/>
      <c r="T27" s="2191"/>
      <c r="U27" s="2192"/>
      <c r="V27" s="2190"/>
      <c r="W27" s="2191"/>
      <c r="X27" s="2191"/>
      <c r="Y27" s="2191"/>
      <c r="Z27" s="2191"/>
      <c r="AA27" s="2192"/>
      <c r="AB27" s="2190"/>
      <c r="AC27" s="2191"/>
      <c r="AD27" s="2191"/>
      <c r="AE27" s="2191"/>
      <c r="AF27" s="2191"/>
      <c r="AG27" s="2192"/>
      <c r="AH27" s="2190"/>
      <c r="AI27" s="2191"/>
      <c r="AJ27" s="2191"/>
      <c r="AK27" s="2191"/>
      <c r="AL27" s="2191"/>
      <c r="AM27" s="2192"/>
      <c r="AN27" s="2190"/>
      <c r="AO27" s="2191"/>
      <c r="AP27" s="2191"/>
      <c r="AQ27" s="2191"/>
      <c r="AR27" s="2191"/>
      <c r="AS27" s="2192"/>
      <c r="AT27" s="2193">
        <f t="shared" si="1"/>
        <v>0</v>
      </c>
      <c r="AU27" s="2194"/>
      <c r="AV27" s="2194"/>
      <c r="AW27" s="2194"/>
      <c r="AX27" s="2194"/>
      <c r="AY27" s="2195"/>
      <c r="AZ27" s="1096"/>
      <c r="BA27" s="1096"/>
      <c r="BB27" s="1096"/>
      <c r="BC27" s="1096"/>
      <c r="BD27" s="1096"/>
      <c r="BE27" s="1100"/>
    </row>
    <row r="28" spans="1:58" ht="15" thickBot="1">
      <c r="A28" s="1096"/>
      <c r="B28" s="2196" t="s">
        <v>1930</v>
      </c>
      <c r="C28" s="2197"/>
      <c r="D28" s="2197"/>
      <c r="E28" s="2197"/>
      <c r="F28" s="2197"/>
      <c r="G28" s="2197"/>
      <c r="H28" s="2197"/>
      <c r="I28" s="2198"/>
      <c r="J28" s="2199">
        <f>SUM(P28:AS28)</f>
        <v>1</v>
      </c>
      <c r="K28" s="2200"/>
      <c r="L28" s="2200"/>
      <c r="M28" s="2200"/>
      <c r="N28" s="2200"/>
      <c r="O28" s="2201"/>
      <c r="P28" s="2199">
        <f>_xlfn.IFNA(VLOOKUP(P$18,Application!$J$781:$S$784,6,FALSE), 0)</f>
        <v>0</v>
      </c>
      <c r="Q28" s="2200"/>
      <c r="R28" s="2200"/>
      <c r="S28" s="2200"/>
      <c r="T28" s="2200"/>
      <c r="U28" s="2201"/>
      <c r="V28" s="2199">
        <f>_xlfn.IFNA(VLOOKUP(V$18,Application!$J$781:$S$784,6,FALSE), 0)</f>
        <v>0</v>
      </c>
      <c r="W28" s="2200"/>
      <c r="X28" s="2200"/>
      <c r="Y28" s="2200"/>
      <c r="Z28" s="2200"/>
      <c r="AA28" s="2201"/>
      <c r="AB28" s="2199">
        <f>_xlfn.IFNA(VLOOKUP(AB$18,Application!$J$781:$S$784,6,FALSE), 0)</f>
        <v>0</v>
      </c>
      <c r="AC28" s="2200"/>
      <c r="AD28" s="2200"/>
      <c r="AE28" s="2200"/>
      <c r="AF28" s="2200"/>
      <c r="AG28" s="2201"/>
      <c r="AH28" s="2199">
        <f>_xlfn.IFNA(VLOOKUP(AH$18,Application!$J$781:$S$784,6,FALSE), 0)</f>
        <v>1</v>
      </c>
      <c r="AI28" s="2200"/>
      <c r="AJ28" s="2200"/>
      <c r="AK28" s="2200"/>
      <c r="AL28" s="2200"/>
      <c r="AM28" s="2201"/>
      <c r="AN28" s="2199">
        <f>_xlfn.IFNA(VLOOKUP(AN$18,Application!$J$781:$S$784,6,FALSE), 0)</f>
        <v>0</v>
      </c>
      <c r="AO28" s="2200"/>
      <c r="AP28" s="2200"/>
      <c r="AQ28" s="2200"/>
      <c r="AR28" s="2200"/>
      <c r="AS28" s="2201"/>
      <c r="AT28" s="2202">
        <f t="shared" si="1"/>
        <v>1.098901098901099E-2</v>
      </c>
      <c r="AU28" s="2203"/>
      <c r="AV28" s="2203"/>
      <c r="AW28" s="2203"/>
      <c r="AX28" s="2203"/>
      <c r="AY28" s="2204"/>
      <c r="AZ28" s="1096"/>
      <c r="BA28" s="1096"/>
      <c r="BB28" s="1096"/>
      <c r="BC28" s="1096"/>
      <c r="BD28" s="1096"/>
      <c r="BE28" s="1100"/>
    </row>
    <row r="29" spans="1:58" ht="15" thickBot="1">
      <c r="A29" s="1096"/>
      <c r="B29" s="2179" t="s">
        <v>1928</v>
      </c>
      <c r="C29" s="2152"/>
      <c r="D29" s="2152"/>
      <c r="E29" s="2152"/>
      <c r="F29" s="2152"/>
      <c r="G29" s="2152"/>
      <c r="H29" s="2152"/>
      <c r="I29" s="2153"/>
      <c r="J29" s="2151">
        <f>SUM(J19:O28)</f>
        <v>91</v>
      </c>
      <c r="K29" s="2152"/>
      <c r="L29" s="2152"/>
      <c r="M29" s="2152"/>
      <c r="N29" s="2152"/>
      <c r="O29" s="2153"/>
      <c r="P29" s="2151">
        <f>SUM(P19:U28)</f>
        <v>1</v>
      </c>
      <c r="Q29" s="2152"/>
      <c r="R29" s="2152"/>
      <c r="S29" s="2152"/>
      <c r="T29" s="2152"/>
      <c r="U29" s="2153"/>
      <c r="V29" s="2151">
        <f>SUM(V19:AA28)</f>
        <v>32</v>
      </c>
      <c r="W29" s="2152"/>
      <c r="X29" s="2152"/>
      <c r="Y29" s="2152"/>
      <c r="Z29" s="2152"/>
      <c r="AA29" s="2153"/>
      <c r="AB29" s="2151">
        <f>SUM(AB19:AG28)</f>
        <v>55</v>
      </c>
      <c r="AC29" s="2152"/>
      <c r="AD29" s="2152"/>
      <c r="AE29" s="2152"/>
      <c r="AF29" s="2152"/>
      <c r="AG29" s="2153"/>
      <c r="AH29" s="2151">
        <f>SUM(AH19:AM28)</f>
        <v>3</v>
      </c>
      <c r="AI29" s="2152"/>
      <c r="AJ29" s="2152"/>
      <c r="AK29" s="2152"/>
      <c r="AL29" s="2152"/>
      <c r="AM29" s="2153"/>
      <c r="AN29" s="2151">
        <f>SUM(AN19:AS28)</f>
        <v>0</v>
      </c>
      <c r="AO29" s="2152"/>
      <c r="AP29" s="2152"/>
      <c r="AQ29" s="2152"/>
      <c r="AR29" s="2152"/>
      <c r="AS29" s="2153"/>
      <c r="AT29" s="2154">
        <f t="shared" si="1"/>
        <v>1</v>
      </c>
      <c r="AU29" s="2155"/>
      <c r="AV29" s="2155"/>
      <c r="AW29" s="2155"/>
      <c r="AX29" s="2155"/>
      <c r="AY29" s="2156"/>
      <c r="AZ29" s="1096"/>
      <c r="BA29" s="1096"/>
      <c r="BB29" s="1096"/>
      <c r="BC29" s="1096"/>
      <c r="BD29" s="1096"/>
      <c r="BE29" s="1100"/>
    </row>
    <row r="30" spans="1:58" ht="15" thickBot="1">
      <c r="A30" s="1095"/>
      <c r="B30" s="1096"/>
      <c r="C30" s="1096"/>
      <c r="D30" s="1096"/>
      <c r="E30" s="1096"/>
      <c r="F30" s="1096"/>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c r="AC30" s="1096"/>
      <c r="AD30" s="1096"/>
      <c r="AE30" s="1096"/>
      <c r="AF30" s="1096"/>
      <c r="AG30" s="1096"/>
      <c r="AH30" s="1096"/>
      <c r="AI30" s="1096"/>
      <c r="AJ30" s="1096"/>
      <c r="AK30" s="1096"/>
      <c r="AL30" s="1096"/>
      <c r="AM30" s="1096"/>
      <c r="AN30" s="1096"/>
      <c r="AO30" s="1096"/>
      <c r="AP30" s="1096"/>
      <c r="AQ30" s="1096"/>
      <c r="AR30" s="1096"/>
      <c r="AS30" s="1096"/>
      <c r="AT30" s="1096"/>
      <c r="AU30" s="1096"/>
      <c r="AV30" s="1096"/>
      <c r="AW30" s="1096"/>
      <c r="AX30" s="1096"/>
      <c r="AY30" s="1096"/>
      <c r="AZ30" s="1096"/>
      <c r="BA30" s="1096"/>
      <c r="BB30" s="1096"/>
      <c r="BC30" s="1096"/>
      <c r="BD30" s="1096"/>
      <c r="BE30" s="1100"/>
    </row>
    <row r="31" spans="1:58" ht="15" thickBot="1">
      <c r="A31" s="1096"/>
      <c r="B31" s="2157" t="s">
        <v>1931</v>
      </c>
      <c r="C31" s="2158"/>
      <c r="D31" s="2158"/>
      <c r="E31" s="2158"/>
      <c r="F31" s="2158"/>
      <c r="G31" s="2158"/>
      <c r="H31" s="2158"/>
      <c r="I31" s="2158"/>
      <c r="J31" s="2158"/>
      <c r="K31" s="2158"/>
      <c r="L31" s="2158"/>
      <c r="M31" s="2158"/>
      <c r="N31" s="2158"/>
      <c r="O31" s="2158"/>
      <c r="P31" s="2158"/>
      <c r="Q31" s="2158"/>
      <c r="R31" s="2158"/>
      <c r="S31" s="2158"/>
      <c r="T31" s="2158"/>
      <c r="U31" s="2158"/>
      <c r="V31" s="2158"/>
      <c r="W31" s="2158"/>
      <c r="X31" s="2158"/>
      <c r="Y31" s="2158"/>
      <c r="Z31" s="2158"/>
      <c r="AA31" s="2158"/>
      <c r="AB31" s="2158"/>
      <c r="AC31" s="2158"/>
      <c r="AD31" s="2158"/>
      <c r="AE31" s="2158"/>
      <c r="AF31" s="2158"/>
      <c r="AG31" s="2158"/>
      <c r="AH31" s="2158"/>
      <c r="AI31" s="2158"/>
      <c r="AJ31" s="2158"/>
      <c r="AK31" s="2158"/>
      <c r="AL31" s="2158"/>
      <c r="AM31" s="2158"/>
      <c r="AN31" s="2158"/>
      <c r="AO31" s="2158"/>
      <c r="AP31" s="2158"/>
      <c r="AQ31" s="2158"/>
      <c r="AR31" s="2158"/>
      <c r="AS31" s="2158"/>
      <c r="AT31" s="2158"/>
      <c r="AU31" s="2158"/>
      <c r="AV31" s="2158"/>
      <c r="AW31" s="2158"/>
      <c r="AX31" s="2158"/>
      <c r="AY31" s="2158"/>
      <c r="AZ31" s="2158"/>
      <c r="BA31" s="2158"/>
      <c r="BB31" s="2158"/>
      <c r="BC31" s="2158"/>
      <c r="BD31" s="2159"/>
      <c r="BE31" s="1100"/>
    </row>
    <row r="32" spans="1:58" ht="15" thickBot="1">
      <c r="A32" s="1096"/>
      <c r="B32" s="2160" t="s">
        <v>1932</v>
      </c>
      <c r="C32" s="2161"/>
      <c r="D32" s="2161"/>
      <c r="E32" s="2161"/>
      <c r="F32" s="2161"/>
      <c r="G32" s="2161"/>
      <c r="H32" s="2161"/>
      <c r="I32" s="2161"/>
      <c r="J32" s="2164" t="s">
        <v>1933</v>
      </c>
      <c r="K32" s="2165"/>
      <c r="L32" s="2165"/>
      <c r="M32" s="2165"/>
      <c r="N32" s="2164" t="s">
        <v>1934</v>
      </c>
      <c r="O32" s="2165"/>
      <c r="P32" s="2165"/>
      <c r="Q32" s="2167"/>
      <c r="R32" s="2169" t="s">
        <v>1935</v>
      </c>
      <c r="S32" s="2170"/>
      <c r="T32" s="2170"/>
      <c r="U32" s="2170"/>
      <c r="V32" s="2170"/>
      <c r="W32" s="2170"/>
      <c r="X32" s="2170"/>
      <c r="Y32" s="2170"/>
      <c r="Z32" s="2170"/>
      <c r="AA32" s="2170"/>
      <c r="AB32" s="2170"/>
      <c r="AC32" s="2170"/>
      <c r="AD32" s="2170"/>
      <c r="AE32" s="2170"/>
      <c r="AF32" s="2170"/>
      <c r="AG32" s="2170"/>
      <c r="AH32" s="2170"/>
      <c r="AI32" s="2170"/>
      <c r="AJ32" s="2170"/>
      <c r="AK32" s="2170"/>
      <c r="AL32" s="2170"/>
      <c r="AM32" s="2170"/>
      <c r="AN32" s="2170"/>
      <c r="AO32" s="2170"/>
      <c r="AP32" s="2170"/>
      <c r="AQ32" s="2170"/>
      <c r="AR32" s="2170"/>
      <c r="AS32" s="2170"/>
      <c r="AT32" s="2170"/>
      <c r="AU32" s="2170"/>
      <c r="AV32" s="2170"/>
      <c r="AW32" s="2170"/>
      <c r="AX32" s="2170"/>
      <c r="AY32" s="2170"/>
      <c r="AZ32" s="2170"/>
      <c r="BA32" s="2170"/>
      <c r="BB32" s="2170"/>
      <c r="BC32" s="2170"/>
      <c r="BD32" s="2171"/>
      <c r="BE32" s="1100"/>
    </row>
    <row r="33" spans="1:58" ht="15" customHeight="1">
      <c r="A33" s="1096"/>
      <c r="B33" s="2162"/>
      <c r="C33" s="2163"/>
      <c r="D33" s="2163"/>
      <c r="E33" s="2163"/>
      <c r="F33" s="2163"/>
      <c r="G33" s="2163"/>
      <c r="H33" s="2163"/>
      <c r="I33" s="2163"/>
      <c r="J33" s="2166"/>
      <c r="K33" s="2166"/>
      <c r="L33" s="2166"/>
      <c r="M33" s="2166"/>
      <c r="N33" s="2166"/>
      <c r="O33" s="2166"/>
      <c r="P33" s="2166"/>
      <c r="Q33" s="2168"/>
      <c r="R33" s="2172" t="s">
        <v>1936</v>
      </c>
      <c r="S33" s="2173"/>
      <c r="T33" s="2173"/>
      <c r="U33" s="2173"/>
      <c r="V33" s="2173"/>
      <c r="W33" s="2173"/>
      <c r="X33" s="2173"/>
      <c r="Y33" s="2173"/>
      <c r="Z33" s="2173"/>
      <c r="AA33" s="2173"/>
      <c r="AB33" s="2173"/>
      <c r="AC33" s="2173"/>
      <c r="AD33" s="2173"/>
      <c r="AE33" s="2173"/>
      <c r="AF33" s="2173"/>
      <c r="AG33" s="2173"/>
      <c r="AH33" s="2173"/>
      <c r="AI33" s="2173"/>
      <c r="AJ33" s="2173"/>
      <c r="AK33" s="2173"/>
      <c r="AL33" s="2173"/>
      <c r="AM33" s="2173"/>
      <c r="AN33" s="2173"/>
      <c r="AO33" s="2173"/>
      <c r="AP33" s="2173"/>
      <c r="AQ33" s="2173"/>
      <c r="AR33" s="2173"/>
      <c r="AS33" s="2173"/>
      <c r="AT33" s="2173"/>
      <c r="AU33" s="2173"/>
      <c r="AV33" s="2173"/>
      <c r="AW33" s="2173"/>
      <c r="AX33" s="2173"/>
      <c r="AY33" s="2173"/>
      <c r="AZ33" s="2173"/>
      <c r="BA33" s="2173"/>
      <c r="BB33" s="2173"/>
      <c r="BC33" s="2173"/>
      <c r="BD33" s="2174"/>
      <c r="BE33" s="1100"/>
    </row>
    <row r="34" spans="1:58" ht="15.75" customHeight="1" thickBot="1">
      <c r="A34" s="1096"/>
      <c r="B34" s="2162"/>
      <c r="C34" s="2163"/>
      <c r="D34" s="2163"/>
      <c r="E34" s="2163"/>
      <c r="F34" s="2163"/>
      <c r="G34" s="2163"/>
      <c r="H34" s="2163"/>
      <c r="I34" s="2163"/>
      <c r="J34" s="2166"/>
      <c r="K34" s="2166"/>
      <c r="L34" s="2166"/>
      <c r="M34" s="2166"/>
      <c r="N34" s="2166"/>
      <c r="O34" s="2166"/>
      <c r="P34" s="2166"/>
      <c r="Q34" s="2168"/>
      <c r="R34" s="2175"/>
      <c r="S34" s="2176"/>
      <c r="T34" s="2176"/>
      <c r="U34" s="2176"/>
      <c r="V34" s="2176"/>
      <c r="W34" s="2176"/>
      <c r="X34" s="2176"/>
      <c r="Y34" s="2176"/>
      <c r="Z34" s="2176"/>
      <c r="AA34" s="2176"/>
      <c r="AB34" s="2176"/>
      <c r="AC34" s="2176"/>
      <c r="AD34" s="2176"/>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176"/>
      <c r="BB34" s="2176"/>
      <c r="BC34" s="2176"/>
      <c r="BD34" s="2177"/>
      <c r="BE34" s="1100"/>
    </row>
    <row r="35" spans="1:58" ht="15.75" customHeight="1">
      <c r="A35" s="1096"/>
      <c r="B35" s="2162"/>
      <c r="C35" s="2163"/>
      <c r="D35" s="2163"/>
      <c r="E35" s="2163"/>
      <c r="F35" s="2163"/>
      <c r="G35" s="2163"/>
      <c r="H35" s="2163"/>
      <c r="I35" s="2163"/>
      <c r="J35" s="2166"/>
      <c r="K35" s="2166"/>
      <c r="L35" s="2166"/>
      <c r="M35" s="2166"/>
      <c r="N35" s="2166"/>
      <c r="O35" s="2166"/>
      <c r="P35" s="2166"/>
      <c r="Q35" s="2166"/>
      <c r="R35" s="2178">
        <v>0.3</v>
      </c>
      <c r="S35" s="2178"/>
      <c r="T35" s="2178"/>
      <c r="U35" s="2178"/>
      <c r="V35" s="2178">
        <v>0.4</v>
      </c>
      <c r="W35" s="2178"/>
      <c r="X35" s="2178"/>
      <c r="Y35" s="2178"/>
      <c r="Z35" s="2178">
        <v>0.5</v>
      </c>
      <c r="AA35" s="2178"/>
      <c r="AB35" s="2178"/>
      <c r="AC35" s="2178"/>
      <c r="AD35" s="2178">
        <v>0.6</v>
      </c>
      <c r="AE35" s="2178"/>
      <c r="AF35" s="2178"/>
      <c r="AG35" s="2178"/>
      <c r="AH35" s="2178">
        <v>0.7</v>
      </c>
      <c r="AI35" s="2178"/>
      <c r="AJ35" s="2178"/>
      <c r="AK35" s="2178"/>
      <c r="AL35" s="2183">
        <v>0.8</v>
      </c>
      <c r="AM35" s="2184"/>
      <c r="AN35" s="2184"/>
      <c r="AO35" s="2185"/>
      <c r="AP35" s="2186">
        <v>1.2</v>
      </c>
      <c r="AQ35" s="2187"/>
      <c r="AR35" s="2188"/>
      <c r="AS35" s="2180" t="s">
        <v>1937</v>
      </c>
      <c r="AT35" s="2181"/>
      <c r="AU35" s="2181"/>
      <c r="AV35" s="2181"/>
      <c r="AW35" s="2181"/>
      <c r="AX35" s="2189"/>
      <c r="AY35" s="2180" t="s">
        <v>1938</v>
      </c>
      <c r="AZ35" s="2181"/>
      <c r="BA35" s="2181"/>
      <c r="BB35" s="2181"/>
      <c r="BC35" s="2181"/>
      <c r="BD35" s="2182"/>
      <c r="BE35" s="1100"/>
    </row>
    <row r="36" spans="1:58" ht="15.75" customHeight="1">
      <c r="A36" s="1096"/>
      <c r="B36" s="2084" t="s">
        <v>1939</v>
      </c>
      <c r="C36" s="2085"/>
      <c r="D36" s="2085"/>
      <c r="E36" s="2085"/>
      <c r="F36" s="2085"/>
      <c r="G36" s="2085"/>
      <c r="H36" s="2085"/>
      <c r="I36" s="2085"/>
      <c r="J36" s="2149" t="s">
        <v>1940</v>
      </c>
      <c r="K36" s="2149"/>
      <c r="L36" s="2149"/>
      <c r="M36" s="2149"/>
      <c r="N36" s="2149">
        <v>55</v>
      </c>
      <c r="O36" s="2149"/>
      <c r="P36" s="2149"/>
      <c r="Q36" s="2149"/>
      <c r="R36" s="2150"/>
      <c r="S36" s="2150"/>
      <c r="T36" s="2150"/>
      <c r="U36" s="2150"/>
      <c r="V36" s="2150"/>
      <c r="W36" s="2150"/>
      <c r="X36" s="2150"/>
      <c r="Y36" s="2150"/>
      <c r="Z36" s="2150"/>
      <c r="AA36" s="2150"/>
      <c r="AB36" s="2150"/>
      <c r="AC36" s="2150"/>
      <c r="AD36" s="2150"/>
      <c r="AE36" s="2150"/>
      <c r="AF36" s="2150"/>
      <c r="AG36" s="2150"/>
      <c r="AH36" s="2150"/>
      <c r="AI36" s="2150"/>
      <c r="AJ36" s="2150"/>
      <c r="AK36" s="2150"/>
      <c r="AL36" s="2134"/>
      <c r="AM36" s="2135"/>
      <c r="AN36" s="2135"/>
      <c r="AO36" s="2136"/>
      <c r="AP36" s="2134"/>
      <c r="AQ36" s="2135"/>
      <c r="AR36" s="2136"/>
      <c r="AS36" s="2137">
        <f t="shared" ref="AS36:AS47" si="2">SUM(R36:AR36)</f>
        <v>0</v>
      </c>
      <c r="AT36" s="2138"/>
      <c r="AU36" s="2138"/>
      <c r="AV36" s="2138"/>
      <c r="AW36" s="2138"/>
      <c r="AX36" s="2139"/>
      <c r="AY36" s="2140">
        <f t="shared" ref="AY36:AY47" si="3">AS36/$J$29</f>
        <v>0</v>
      </c>
      <c r="AZ36" s="2141"/>
      <c r="BA36" s="2141"/>
      <c r="BB36" s="2141"/>
      <c r="BC36" s="2141"/>
      <c r="BD36" s="2142"/>
      <c r="BE36" s="1100"/>
    </row>
    <row r="37" spans="1:58" ht="15.75" customHeight="1">
      <c r="A37" s="1096"/>
      <c r="B37" s="2084" t="s">
        <v>1941</v>
      </c>
      <c r="C37" s="2085"/>
      <c r="D37" s="2085"/>
      <c r="E37" s="2085"/>
      <c r="F37" s="2085"/>
      <c r="G37" s="2085"/>
      <c r="H37" s="2085"/>
      <c r="I37" s="2085"/>
      <c r="J37" s="2149" t="s">
        <v>1942</v>
      </c>
      <c r="K37" s="2149"/>
      <c r="L37" s="2149"/>
      <c r="M37" s="2149"/>
      <c r="N37" s="2149">
        <v>55</v>
      </c>
      <c r="O37" s="2149"/>
      <c r="P37" s="2149"/>
      <c r="Q37" s="2149"/>
      <c r="R37" s="2150"/>
      <c r="S37" s="2150"/>
      <c r="T37" s="2150"/>
      <c r="U37" s="2150"/>
      <c r="V37" s="2150"/>
      <c r="W37" s="2150"/>
      <c r="X37" s="2150"/>
      <c r="Y37" s="2150"/>
      <c r="Z37" s="2150"/>
      <c r="AA37" s="2150"/>
      <c r="AB37" s="2150"/>
      <c r="AC37" s="2150"/>
      <c r="AD37" s="2150"/>
      <c r="AE37" s="2150"/>
      <c r="AF37" s="2150"/>
      <c r="AG37" s="2150"/>
      <c r="AH37" s="2150"/>
      <c r="AI37" s="2150"/>
      <c r="AJ37" s="2150"/>
      <c r="AK37" s="2150"/>
      <c r="AL37" s="2134"/>
      <c r="AM37" s="2135"/>
      <c r="AN37" s="2135"/>
      <c r="AO37" s="2136"/>
      <c r="AP37" s="2134"/>
      <c r="AQ37" s="2135"/>
      <c r="AR37" s="2136"/>
      <c r="AS37" s="2137">
        <f t="shared" si="2"/>
        <v>0</v>
      </c>
      <c r="AT37" s="2138"/>
      <c r="AU37" s="2138"/>
      <c r="AV37" s="2138"/>
      <c r="AW37" s="2138"/>
      <c r="AX37" s="2139"/>
      <c r="AY37" s="2140">
        <f t="shared" si="3"/>
        <v>0</v>
      </c>
      <c r="AZ37" s="2141"/>
      <c r="BA37" s="2141"/>
      <c r="BB37" s="2141"/>
      <c r="BC37" s="2141"/>
      <c r="BD37" s="2142"/>
      <c r="BE37" s="1100"/>
    </row>
    <row r="38" spans="1:58" ht="15.75" customHeight="1">
      <c r="A38" s="1096"/>
      <c r="B38" s="2084" t="s">
        <v>1943</v>
      </c>
      <c r="C38" s="2085"/>
      <c r="D38" s="2085"/>
      <c r="E38" s="2085"/>
      <c r="F38" s="2085"/>
      <c r="G38" s="2085"/>
      <c r="H38" s="2085"/>
      <c r="I38" s="2085"/>
      <c r="J38" s="2149" t="s">
        <v>1944</v>
      </c>
      <c r="K38" s="2149"/>
      <c r="L38" s="2149"/>
      <c r="M38" s="2149"/>
      <c r="N38" s="2149">
        <v>55</v>
      </c>
      <c r="O38" s="2149"/>
      <c r="P38" s="2149"/>
      <c r="Q38" s="2149"/>
      <c r="R38" s="2150"/>
      <c r="S38" s="2150"/>
      <c r="T38" s="2150"/>
      <c r="U38" s="2150"/>
      <c r="V38" s="2150"/>
      <c r="W38" s="2150"/>
      <c r="X38" s="2150"/>
      <c r="Y38" s="2150"/>
      <c r="Z38" s="2150"/>
      <c r="AA38" s="2150"/>
      <c r="AB38" s="2150"/>
      <c r="AC38" s="2150"/>
      <c r="AD38" s="2150"/>
      <c r="AE38" s="2150"/>
      <c r="AF38" s="2150"/>
      <c r="AG38" s="2150"/>
      <c r="AH38" s="2150"/>
      <c r="AI38" s="2150"/>
      <c r="AJ38" s="2150"/>
      <c r="AK38" s="2150"/>
      <c r="AL38" s="2134"/>
      <c r="AM38" s="2135"/>
      <c r="AN38" s="2135"/>
      <c r="AO38" s="2136"/>
      <c r="AP38" s="2134"/>
      <c r="AQ38" s="2135"/>
      <c r="AR38" s="2136"/>
      <c r="AS38" s="2137">
        <f t="shared" si="2"/>
        <v>0</v>
      </c>
      <c r="AT38" s="2138"/>
      <c r="AU38" s="2138"/>
      <c r="AV38" s="2138"/>
      <c r="AW38" s="2138"/>
      <c r="AX38" s="2139"/>
      <c r="AY38" s="2140">
        <f t="shared" si="3"/>
        <v>0</v>
      </c>
      <c r="AZ38" s="2141"/>
      <c r="BA38" s="2141"/>
      <c r="BB38" s="2141"/>
      <c r="BC38" s="2141"/>
      <c r="BD38" s="2142"/>
      <c r="BE38" s="1100"/>
    </row>
    <row r="39" spans="1:58" ht="15.75" customHeight="1">
      <c r="A39" s="1096"/>
      <c r="B39" s="2084" t="s">
        <v>1945</v>
      </c>
      <c r="C39" s="2085"/>
      <c r="D39" s="2085"/>
      <c r="E39" s="2085"/>
      <c r="F39" s="2085"/>
      <c r="G39" s="2085"/>
      <c r="H39" s="2085"/>
      <c r="I39" s="2085"/>
      <c r="J39" s="2149"/>
      <c r="K39" s="2149"/>
      <c r="L39" s="2149"/>
      <c r="M39" s="2149"/>
      <c r="N39" s="2149"/>
      <c r="O39" s="2149"/>
      <c r="P39" s="2149"/>
      <c r="Q39" s="2149"/>
      <c r="R39" s="2150"/>
      <c r="S39" s="2150"/>
      <c r="T39" s="2150"/>
      <c r="U39" s="2150"/>
      <c r="V39" s="2150"/>
      <c r="W39" s="2150"/>
      <c r="X39" s="2150"/>
      <c r="Y39" s="2150"/>
      <c r="Z39" s="2150"/>
      <c r="AA39" s="2150"/>
      <c r="AB39" s="2150"/>
      <c r="AC39" s="2150"/>
      <c r="AD39" s="2150"/>
      <c r="AE39" s="2150"/>
      <c r="AF39" s="2150"/>
      <c r="AG39" s="2150"/>
      <c r="AH39" s="2150"/>
      <c r="AI39" s="2150"/>
      <c r="AJ39" s="2150"/>
      <c r="AK39" s="2150"/>
      <c r="AL39" s="2134"/>
      <c r="AM39" s="2135"/>
      <c r="AN39" s="2135"/>
      <c r="AO39" s="2136"/>
      <c r="AP39" s="2134"/>
      <c r="AQ39" s="2135"/>
      <c r="AR39" s="2136"/>
      <c r="AS39" s="2137">
        <f t="shared" si="2"/>
        <v>0</v>
      </c>
      <c r="AT39" s="2138"/>
      <c r="AU39" s="2138"/>
      <c r="AV39" s="2138"/>
      <c r="AW39" s="2138"/>
      <c r="AX39" s="2139"/>
      <c r="AY39" s="2140">
        <f t="shared" si="3"/>
        <v>0</v>
      </c>
      <c r="AZ39" s="2141"/>
      <c r="BA39" s="2141"/>
      <c r="BB39" s="2141"/>
      <c r="BC39" s="2141"/>
      <c r="BD39" s="2142"/>
      <c r="BE39" s="1100"/>
    </row>
    <row r="40" spans="1:58" ht="15.75" customHeight="1">
      <c r="A40" s="1096"/>
      <c r="B40" s="2084" t="s">
        <v>1945</v>
      </c>
      <c r="C40" s="2085"/>
      <c r="D40" s="2085"/>
      <c r="E40" s="2085"/>
      <c r="F40" s="2085"/>
      <c r="G40" s="2085"/>
      <c r="H40" s="2085"/>
      <c r="I40" s="2085"/>
      <c r="J40" s="2149"/>
      <c r="K40" s="2149"/>
      <c r="L40" s="2149"/>
      <c r="M40" s="2149"/>
      <c r="N40" s="2149"/>
      <c r="O40" s="2149"/>
      <c r="P40" s="2149"/>
      <c r="Q40" s="2149"/>
      <c r="R40" s="2150"/>
      <c r="S40" s="2150"/>
      <c r="T40" s="2150"/>
      <c r="U40" s="2150"/>
      <c r="V40" s="2150"/>
      <c r="W40" s="2150"/>
      <c r="X40" s="2150"/>
      <c r="Y40" s="2150"/>
      <c r="Z40" s="2150"/>
      <c r="AA40" s="2150"/>
      <c r="AB40" s="2150"/>
      <c r="AC40" s="2150"/>
      <c r="AD40" s="2150"/>
      <c r="AE40" s="2150"/>
      <c r="AF40" s="2150"/>
      <c r="AG40" s="2150"/>
      <c r="AH40" s="2150"/>
      <c r="AI40" s="2150"/>
      <c r="AJ40" s="2150"/>
      <c r="AK40" s="2150"/>
      <c r="AL40" s="2134"/>
      <c r="AM40" s="2135"/>
      <c r="AN40" s="2135"/>
      <c r="AO40" s="2136"/>
      <c r="AP40" s="2134"/>
      <c r="AQ40" s="2135"/>
      <c r="AR40" s="2136"/>
      <c r="AS40" s="2137">
        <f t="shared" si="2"/>
        <v>0</v>
      </c>
      <c r="AT40" s="2138"/>
      <c r="AU40" s="2138"/>
      <c r="AV40" s="2138"/>
      <c r="AW40" s="2138"/>
      <c r="AX40" s="2139"/>
      <c r="AY40" s="2140">
        <f t="shared" si="3"/>
        <v>0</v>
      </c>
      <c r="AZ40" s="2141"/>
      <c r="BA40" s="2141"/>
      <c r="BB40" s="2141"/>
      <c r="BC40" s="2141"/>
      <c r="BD40" s="2142"/>
      <c r="BE40" s="1100"/>
    </row>
    <row r="41" spans="1:58" ht="15.75" customHeight="1">
      <c r="A41" s="1096"/>
      <c r="B41" s="2084" t="s">
        <v>1946</v>
      </c>
      <c r="C41" s="2085"/>
      <c r="D41" s="2085"/>
      <c r="E41" s="2085"/>
      <c r="F41" s="2085"/>
      <c r="G41" s="2085"/>
      <c r="H41" s="2085"/>
      <c r="I41" s="2085"/>
      <c r="J41" s="2149"/>
      <c r="K41" s="2149"/>
      <c r="L41" s="2149"/>
      <c r="M41" s="2149"/>
      <c r="N41" s="2149"/>
      <c r="O41" s="2149"/>
      <c r="P41" s="2149"/>
      <c r="Q41" s="2149"/>
      <c r="R41" s="2150"/>
      <c r="S41" s="2150"/>
      <c r="T41" s="2150"/>
      <c r="U41" s="2150"/>
      <c r="V41" s="2150"/>
      <c r="W41" s="2150"/>
      <c r="X41" s="2150"/>
      <c r="Y41" s="2150"/>
      <c r="Z41" s="2150"/>
      <c r="AA41" s="2150"/>
      <c r="AB41" s="2150"/>
      <c r="AC41" s="2150"/>
      <c r="AD41" s="2150"/>
      <c r="AE41" s="2150"/>
      <c r="AF41" s="2150"/>
      <c r="AG41" s="2150"/>
      <c r="AH41" s="2150"/>
      <c r="AI41" s="2150"/>
      <c r="AJ41" s="2150"/>
      <c r="AK41" s="2150"/>
      <c r="AL41" s="2134"/>
      <c r="AM41" s="2135"/>
      <c r="AN41" s="2135"/>
      <c r="AO41" s="2136"/>
      <c r="AP41" s="2134"/>
      <c r="AQ41" s="2135"/>
      <c r="AR41" s="2136"/>
      <c r="AS41" s="2137">
        <f t="shared" si="2"/>
        <v>0</v>
      </c>
      <c r="AT41" s="2138"/>
      <c r="AU41" s="2138"/>
      <c r="AV41" s="2138"/>
      <c r="AW41" s="2138"/>
      <c r="AX41" s="2139"/>
      <c r="AY41" s="2140">
        <f t="shared" si="3"/>
        <v>0</v>
      </c>
      <c r="AZ41" s="2141"/>
      <c r="BA41" s="2141"/>
      <c r="BB41" s="2141"/>
      <c r="BC41" s="2141"/>
      <c r="BD41" s="2142"/>
      <c r="BE41" s="1100"/>
    </row>
    <row r="42" spans="1:58" ht="15.75" customHeight="1">
      <c r="A42" s="1096"/>
      <c r="B42" s="2084" t="s">
        <v>1946</v>
      </c>
      <c r="C42" s="2085"/>
      <c r="D42" s="2085"/>
      <c r="E42" s="2085"/>
      <c r="F42" s="2085"/>
      <c r="G42" s="2085"/>
      <c r="H42" s="2085"/>
      <c r="I42" s="2085"/>
      <c r="J42" s="2149"/>
      <c r="K42" s="2149"/>
      <c r="L42" s="2149"/>
      <c r="M42" s="2149"/>
      <c r="N42" s="2149"/>
      <c r="O42" s="2149"/>
      <c r="P42" s="2149"/>
      <c r="Q42" s="2149"/>
      <c r="R42" s="2150"/>
      <c r="S42" s="2150"/>
      <c r="T42" s="2150"/>
      <c r="U42" s="2150"/>
      <c r="V42" s="2150"/>
      <c r="W42" s="2150"/>
      <c r="X42" s="2150"/>
      <c r="Y42" s="2150"/>
      <c r="Z42" s="2150"/>
      <c r="AA42" s="2150"/>
      <c r="AB42" s="2150"/>
      <c r="AC42" s="2150"/>
      <c r="AD42" s="2150"/>
      <c r="AE42" s="2150"/>
      <c r="AF42" s="2150"/>
      <c r="AG42" s="2150"/>
      <c r="AH42" s="2150"/>
      <c r="AI42" s="2150"/>
      <c r="AJ42" s="2150"/>
      <c r="AK42" s="2150"/>
      <c r="AL42" s="2134"/>
      <c r="AM42" s="2135"/>
      <c r="AN42" s="2135"/>
      <c r="AO42" s="2136"/>
      <c r="AP42" s="2134"/>
      <c r="AQ42" s="2135"/>
      <c r="AR42" s="2136"/>
      <c r="AS42" s="2137">
        <f t="shared" si="2"/>
        <v>0</v>
      </c>
      <c r="AT42" s="2138"/>
      <c r="AU42" s="2138"/>
      <c r="AV42" s="2138"/>
      <c r="AW42" s="2138"/>
      <c r="AX42" s="2139"/>
      <c r="AY42" s="2140">
        <f t="shared" si="3"/>
        <v>0</v>
      </c>
      <c r="AZ42" s="2141"/>
      <c r="BA42" s="2141"/>
      <c r="BB42" s="2141"/>
      <c r="BC42" s="2141"/>
      <c r="BD42" s="2142"/>
      <c r="BE42" s="1100"/>
    </row>
    <row r="43" spans="1:58" ht="15.75" customHeight="1">
      <c r="A43" s="1096"/>
      <c r="B43" s="2089" t="s">
        <v>1947</v>
      </c>
      <c r="C43" s="2090"/>
      <c r="D43" s="2090"/>
      <c r="E43" s="2090"/>
      <c r="F43" s="2090"/>
      <c r="G43" s="2090"/>
      <c r="H43" s="2090"/>
      <c r="I43" s="2090"/>
      <c r="J43" s="2149"/>
      <c r="K43" s="2149"/>
      <c r="L43" s="2149"/>
      <c r="M43" s="2149"/>
      <c r="N43" s="2149"/>
      <c r="O43" s="2149"/>
      <c r="P43" s="2149"/>
      <c r="Q43" s="2149"/>
      <c r="R43" s="2150"/>
      <c r="S43" s="2150"/>
      <c r="T43" s="2150"/>
      <c r="U43" s="2150"/>
      <c r="V43" s="2150"/>
      <c r="W43" s="2150"/>
      <c r="X43" s="2150"/>
      <c r="Y43" s="2150"/>
      <c r="Z43" s="2150"/>
      <c r="AA43" s="2150"/>
      <c r="AB43" s="2150"/>
      <c r="AC43" s="2150"/>
      <c r="AD43" s="2150"/>
      <c r="AE43" s="2150"/>
      <c r="AF43" s="2150"/>
      <c r="AG43" s="2150"/>
      <c r="AH43" s="2150"/>
      <c r="AI43" s="2150"/>
      <c r="AJ43" s="2150"/>
      <c r="AK43" s="2150"/>
      <c r="AL43" s="2134"/>
      <c r="AM43" s="2135"/>
      <c r="AN43" s="2135"/>
      <c r="AO43" s="2136"/>
      <c r="AP43" s="2134"/>
      <c r="AQ43" s="2135"/>
      <c r="AR43" s="2136"/>
      <c r="AS43" s="2137">
        <f t="shared" si="2"/>
        <v>0</v>
      </c>
      <c r="AT43" s="2138"/>
      <c r="AU43" s="2138"/>
      <c r="AV43" s="2138"/>
      <c r="AW43" s="2138"/>
      <c r="AX43" s="2139"/>
      <c r="AY43" s="2140">
        <f t="shared" si="3"/>
        <v>0</v>
      </c>
      <c r="AZ43" s="2141"/>
      <c r="BA43" s="2141"/>
      <c r="BB43" s="2141"/>
      <c r="BC43" s="2141"/>
      <c r="BD43" s="2142"/>
      <c r="BE43" s="1100"/>
    </row>
    <row r="44" spans="1:58" ht="15.75" customHeight="1">
      <c r="A44" s="1096"/>
      <c r="B44" s="2089" t="s">
        <v>1948</v>
      </c>
      <c r="C44" s="2090"/>
      <c r="D44" s="2090"/>
      <c r="E44" s="2090"/>
      <c r="F44" s="2090"/>
      <c r="G44" s="2090"/>
      <c r="H44" s="2090"/>
      <c r="I44" s="2090"/>
      <c r="J44" s="2149"/>
      <c r="K44" s="2149"/>
      <c r="L44" s="2149"/>
      <c r="M44" s="2149"/>
      <c r="N44" s="2149"/>
      <c r="O44" s="2149"/>
      <c r="P44" s="2149"/>
      <c r="Q44" s="2149"/>
      <c r="R44" s="2150"/>
      <c r="S44" s="2150"/>
      <c r="T44" s="2150"/>
      <c r="U44" s="2150"/>
      <c r="V44" s="2150"/>
      <c r="W44" s="2150"/>
      <c r="X44" s="2150"/>
      <c r="Y44" s="2150"/>
      <c r="Z44" s="2150"/>
      <c r="AA44" s="2150"/>
      <c r="AB44" s="2150"/>
      <c r="AC44" s="2150"/>
      <c r="AD44" s="2150"/>
      <c r="AE44" s="2150"/>
      <c r="AF44" s="2150"/>
      <c r="AG44" s="2150"/>
      <c r="AH44" s="2150"/>
      <c r="AI44" s="2150"/>
      <c r="AJ44" s="2150"/>
      <c r="AK44" s="2150"/>
      <c r="AL44" s="2134"/>
      <c r="AM44" s="2135"/>
      <c r="AN44" s="2135"/>
      <c r="AO44" s="2136"/>
      <c r="AP44" s="2134"/>
      <c r="AQ44" s="2135"/>
      <c r="AR44" s="2136"/>
      <c r="AS44" s="2137">
        <f t="shared" si="2"/>
        <v>0</v>
      </c>
      <c r="AT44" s="2138"/>
      <c r="AU44" s="2138"/>
      <c r="AV44" s="2138"/>
      <c r="AW44" s="2138"/>
      <c r="AX44" s="2139"/>
      <c r="AY44" s="2140">
        <f t="shared" si="3"/>
        <v>0</v>
      </c>
      <c r="AZ44" s="2141"/>
      <c r="BA44" s="2141"/>
      <c r="BB44" s="2141"/>
      <c r="BC44" s="2141"/>
      <c r="BD44" s="2142"/>
      <c r="BE44" s="1100"/>
    </row>
    <row r="45" spans="1:58" ht="15.75" customHeight="1">
      <c r="A45" s="1096"/>
      <c r="B45" s="2089" t="s">
        <v>1949</v>
      </c>
      <c r="C45" s="2090"/>
      <c r="D45" s="2090"/>
      <c r="E45" s="2090"/>
      <c r="F45" s="2090"/>
      <c r="G45" s="2090"/>
      <c r="H45" s="2090"/>
      <c r="I45" s="2090"/>
      <c r="J45" s="2149"/>
      <c r="K45" s="2149"/>
      <c r="L45" s="2149"/>
      <c r="M45" s="2149"/>
      <c r="N45" s="2149"/>
      <c r="O45" s="2149"/>
      <c r="P45" s="2149"/>
      <c r="Q45" s="2149"/>
      <c r="R45" s="2150"/>
      <c r="S45" s="2150"/>
      <c r="T45" s="2150"/>
      <c r="U45" s="2150"/>
      <c r="V45" s="2150"/>
      <c r="W45" s="2150"/>
      <c r="X45" s="2150"/>
      <c r="Y45" s="2150"/>
      <c r="Z45" s="2150"/>
      <c r="AA45" s="2150"/>
      <c r="AB45" s="2150"/>
      <c r="AC45" s="2150"/>
      <c r="AD45" s="2150"/>
      <c r="AE45" s="2150"/>
      <c r="AF45" s="2150"/>
      <c r="AG45" s="2150"/>
      <c r="AH45" s="2150"/>
      <c r="AI45" s="2150"/>
      <c r="AJ45" s="2150"/>
      <c r="AK45" s="2150"/>
      <c r="AL45" s="2134"/>
      <c r="AM45" s="2135"/>
      <c r="AN45" s="2135"/>
      <c r="AO45" s="2136"/>
      <c r="AP45" s="2134"/>
      <c r="AQ45" s="2135"/>
      <c r="AR45" s="2136"/>
      <c r="AS45" s="2137">
        <f t="shared" si="2"/>
        <v>0</v>
      </c>
      <c r="AT45" s="2138"/>
      <c r="AU45" s="2138"/>
      <c r="AV45" s="2138"/>
      <c r="AW45" s="2138"/>
      <c r="AX45" s="2139"/>
      <c r="AY45" s="2140">
        <f t="shared" si="3"/>
        <v>0</v>
      </c>
      <c r="AZ45" s="2141"/>
      <c r="BA45" s="2141"/>
      <c r="BB45" s="2141"/>
      <c r="BC45" s="2141"/>
      <c r="BD45" s="2142"/>
      <c r="BE45" s="1100"/>
    </row>
    <row r="46" spans="1:58" ht="15.75" customHeight="1">
      <c r="A46" s="1096"/>
      <c r="B46" s="2089" t="s">
        <v>1950</v>
      </c>
      <c r="C46" s="2090"/>
      <c r="D46" s="2090"/>
      <c r="E46" s="2090"/>
      <c r="F46" s="2090"/>
      <c r="G46" s="2090"/>
      <c r="H46" s="2090"/>
      <c r="I46" s="2090"/>
      <c r="J46" s="2149"/>
      <c r="K46" s="2149"/>
      <c r="L46" s="2149"/>
      <c r="M46" s="2149"/>
      <c r="N46" s="2149">
        <v>99</v>
      </c>
      <c r="O46" s="2149"/>
      <c r="P46" s="2149"/>
      <c r="Q46" s="2149"/>
      <c r="R46" s="2150"/>
      <c r="S46" s="2150"/>
      <c r="T46" s="2150"/>
      <c r="U46" s="2150"/>
      <c r="V46" s="2150"/>
      <c r="W46" s="2150"/>
      <c r="X46" s="2150"/>
      <c r="Y46" s="2150"/>
      <c r="Z46" s="2150"/>
      <c r="AA46" s="2150"/>
      <c r="AB46" s="2150"/>
      <c r="AC46" s="2150"/>
      <c r="AD46" s="2150"/>
      <c r="AE46" s="2150"/>
      <c r="AF46" s="2150"/>
      <c r="AG46" s="2150"/>
      <c r="AH46" s="2150"/>
      <c r="AI46" s="2150"/>
      <c r="AJ46" s="2150"/>
      <c r="AK46" s="2150"/>
      <c r="AL46" s="2134"/>
      <c r="AM46" s="2135"/>
      <c r="AN46" s="2135"/>
      <c r="AO46" s="2136"/>
      <c r="AP46" s="2134"/>
      <c r="AQ46" s="2135"/>
      <c r="AR46" s="2136"/>
      <c r="AS46" s="2137">
        <f t="shared" si="2"/>
        <v>0</v>
      </c>
      <c r="AT46" s="2138"/>
      <c r="AU46" s="2138"/>
      <c r="AV46" s="2138"/>
      <c r="AW46" s="2138"/>
      <c r="AX46" s="2139"/>
      <c r="AY46" s="2140">
        <f t="shared" si="3"/>
        <v>0</v>
      </c>
      <c r="AZ46" s="2141"/>
      <c r="BA46" s="2141"/>
      <c r="BB46" s="2141"/>
      <c r="BC46" s="2141"/>
      <c r="BD46" s="2142"/>
      <c r="BE46" s="1100"/>
    </row>
    <row r="47" spans="1:58" ht="15.75" customHeight="1" thickBot="1">
      <c r="A47" s="1096"/>
      <c r="B47" s="2143" t="s">
        <v>1061</v>
      </c>
      <c r="C47" s="2144"/>
      <c r="D47" s="2144"/>
      <c r="E47" s="2144"/>
      <c r="F47" s="2144"/>
      <c r="G47" s="2144"/>
      <c r="H47" s="2144"/>
      <c r="I47" s="2144"/>
      <c r="J47" s="2145"/>
      <c r="K47" s="2145"/>
      <c r="L47" s="2145"/>
      <c r="M47" s="2145"/>
      <c r="N47" s="2145"/>
      <c r="O47" s="2145"/>
      <c r="P47" s="2145"/>
      <c r="Q47" s="2145"/>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1"/>
      <c r="AM47" s="2132"/>
      <c r="AN47" s="2132"/>
      <c r="AO47" s="2133"/>
      <c r="AP47" s="2131"/>
      <c r="AQ47" s="2132"/>
      <c r="AR47" s="2133"/>
      <c r="AS47" s="2137">
        <f t="shared" si="2"/>
        <v>0</v>
      </c>
      <c r="AT47" s="2138"/>
      <c r="AU47" s="2138"/>
      <c r="AV47" s="2138"/>
      <c r="AW47" s="2138"/>
      <c r="AX47" s="2139"/>
      <c r="AY47" s="2146">
        <f t="shared" si="3"/>
        <v>0</v>
      </c>
      <c r="AZ47" s="2147"/>
      <c r="BA47" s="2147"/>
      <c r="BB47" s="2147"/>
      <c r="BC47" s="2147"/>
      <c r="BD47" s="2148"/>
      <c r="BE47" s="1100"/>
    </row>
    <row r="48" spans="1:58" ht="15.75" customHeight="1">
      <c r="A48" s="1096"/>
      <c r="B48" s="1102" t="s">
        <v>1951</v>
      </c>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096"/>
      <c r="AT48" s="1096"/>
      <c r="AU48" s="1096"/>
      <c r="AV48" s="1096"/>
      <c r="AW48" s="1096"/>
      <c r="AX48" s="1096"/>
      <c r="AY48" s="1096"/>
      <c r="AZ48" s="1096"/>
      <c r="BA48" s="1096"/>
      <c r="BB48" s="1096"/>
      <c r="BC48" s="1096"/>
      <c r="BD48" s="1096"/>
      <c r="BE48" s="1100"/>
      <c r="BF48" s="1094"/>
    </row>
    <row r="49" spans="1:77" ht="15.75" customHeight="1" thickBot="1">
      <c r="A49" s="1096"/>
      <c r="B49" s="1102" t="s">
        <v>1952</v>
      </c>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7"/>
      <c r="AQ49" s="1097"/>
      <c r="AR49" s="1097"/>
      <c r="AS49" s="1097"/>
      <c r="AT49" s="1097"/>
      <c r="AU49" s="1097"/>
      <c r="AV49" s="1097"/>
      <c r="AW49" s="1097"/>
      <c r="AX49" s="1096"/>
      <c r="AY49" s="1096"/>
      <c r="AZ49" s="1096"/>
      <c r="BA49" s="1096"/>
      <c r="BB49" s="1096"/>
      <c r="BC49" s="1096"/>
      <c r="BD49" s="1096"/>
      <c r="BE49" s="1100"/>
      <c r="BF49" s="1094"/>
    </row>
    <row r="50" spans="1:77" ht="15.75" customHeight="1">
      <c r="A50" s="1096"/>
      <c r="B50" s="2008" t="s">
        <v>1953</v>
      </c>
      <c r="C50" s="1964"/>
      <c r="D50" s="1964"/>
      <c r="E50" s="1964"/>
      <c r="F50" s="1964"/>
      <c r="G50" s="1964"/>
      <c r="H50" s="1964"/>
      <c r="I50" s="1964"/>
      <c r="J50" s="1964"/>
      <c r="K50" s="1964"/>
      <c r="L50" s="1964"/>
      <c r="M50" s="1964"/>
      <c r="N50" s="1964"/>
      <c r="O50" s="1964"/>
      <c r="P50" s="1964"/>
      <c r="Q50" s="1964"/>
      <c r="R50" s="1964"/>
      <c r="S50" s="1964"/>
      <c r="T50" s="1964"/>
      <c r="U50" s="1964"/>
      <c r="V50" s="1964"/>
      <c r="W50" s="1964"/>
      <c r="X50" s="1964"/>
      <c r="Y50" s="1964"/>
      <c r="Z50" s="1964"/>
      <c r="AA50" s="1964"/>
      <c r="AB50" s="1964"/>
      <c r="AC50" s="1964"/>
      <c r="AD50" s="1964"/>
      <c r="AE50" s="1964"/>
      <c r="AF50" s="1964"/>
      <c r="AG50" s="1964"/>
      <c r="AH50" s="1964"/>
      <c r="AI50" s="1964"/>
      <c r="AJ50" s="1964"/>
      <c r="AK50" s="1964"/>
      <c r="AL50" s="1964"/>
      <c r="AM50" s="1964"/>
      <c r="AN50" s="1964"/>
      <c r="AO50" s="1965"/>
      <c r="AP50" s="1097"/>
      <c r="AQ50" s="1097"/>
      <c r="AR50" s="1097"/>
      <c r="AS50" s="1097"/>
      <c r="AT50" s="1097"/>
      <c r="AU50" s="1097"/>
      <c r="AV50" s="1097"/>
      <c r="AW50" s="1097"/>
      <c r="AX50" s="1096"/>
      <c r="AY50" s="1096"/>
      <c r="AZ50" s="1096"/>
      <c r="BA50" s="1096"/>
      <c r="BB50" s="1096"/>
      <c r="BC50" s="1096"/>
      <c r="BD50" s="1096"/>
      <c r="BE50" s="1100"/>
    </row>
    <row r="51" spans="1:77" ht="33.75" customHeight="1">
      <c r="A51" s="1096"/>
      <c r="B51" s="2042" t="s">
        <v>1954</v>
      </c>
      <c r="C51" s="2036"/>
      <c r="D51" s="2036"/>
      <c r="E51" s="2036"/>
      <c r="F51" s="2036"/>
      <c r="G51" s="2036"/>
      <c r="H51" s="2036"/>
      <c r="I51" s="2036"/>
      <c r="J51" s="2036" t="s">
        <v>1955</v>
      </c>
      <c r="K51" s="2036"/>
      <c r="L51" s="2036"/>
      <c r="M51" s="2036"/>
      <c r="N51" s="2036"/>
      <c r="O51" s="2036"/>
      <c r="P51" s="2036"/>
      <c r="Q51" s="2036"/>
      <c r="R51" s="2128" t="s">
        <v>1956</v>
      </c>
      <c r="S51" s="2128"/>
      <c r="T51" s="2128"/>
      <c r="U51" s="2128"/>
      <c r="V51" s="2128"/>
      <c r="W51" s="2128"/>
      <c r="X51" s="2128"/>
      <c r="Y51" s="2128"/>
      <c r="Z51" s="2128" t="s">
        <v>1957</v>
      </c>
      <c r="AA51" s="2128"/>
      <c r="AB51" s="2128"/>
      <c r="AC51" s="2128"/>
      <c r="AD51" s="2128"/>
      <c r="AE51" s="2128"/>
      <c r="AF51" s="2128"/>
      <c r="AG51" s="2128"/>
      <c r="AH51" s="2128" t="s">
        <v>1958</v>
      </c>
      <c r="AI51" s="2128"/>
      <c r="AJ51" s="2128"/>
      <c r="AK51" s="2128"/>
      <c r="AL51" s="2128"/>
      <c r="AM51" s="2128"/>
      <c r="AN51" s="2128"/>
      <c r="AO51" s="2129"/>
      <c r="AP51" s="1097"/>
      <c r="AQ51" s="1097"/>
      <c r="AR51" s="1097"/>
      <c r="AS51" s="1097"/>
      <c r="AT51" s="1097"/>
      <c r="AU51" s="1097"/>
      <c r="AV51" s="1097"/>
      <c r="AW51" s="1097"/>
      <c r="AX51" s="1101"/>
      <c r="AY51" s="1096"/>
      <c r="AZ51" s="1096"/>
      <c r="BA51" s="1096"/>
      <c r="BB51" s="1096"/>
      <c r="BC51" s="1096"/>
      <c r="BD51" s="1096"/>
      <c r="BE51" s="1100"/>
    </row>
    <row r="52" spans="1:77" ht="15.75" customHeight="1">
      <c r="A52" s="1096"/>
      <c r="B52" s="2089" t="s">
        <v>1959</v>
      </c>
      <c r="C52" s="2090"/>
      <c r="D52" s="2090"/>
      <c r="E52" s="2090"/>
      <c r="F52" s="2090"/>
      <c r="G52" s="2090"/>
      <c r="H52" s="2090"/>
      <c r="I52" s="2090"/>
      <c r="J52" s="1925">
        <v>0</v>
      </c>
      <c r="K52" s="1925"/>
      <c r="L52" s="1925"/>
      <c r="M52" s="1925"/>
      <c r="N52" s="1925"/>
      <c r="O52" s="1925"/>
      <c r="P52" s="1925"/>
      <c r="Q52" s="1925"/>
      <c r="R52" s="2120">
        <v>0</v>
      </c>
      <c r="S52" s="2120"/>
      <c r="T52" s="2120"/>
      <c r="U52" s="2120"/>
      <c r="V52" s="2120"/>
      <c r="W52" s="2120"/>
      <c r="X52" s="2120"/>
      <c r="Y52" s="2120"/>
      <c r="Z52" s="2121">
        <v>0</v>
      </c>
      <c r="AA52" s="2121"/>
      <c r="AB52" s="2121"/>
      <c r="AC52" s="2121"/>
      <c r="AD52" s="2121"/>
      <c r="AE52" s="2121"/>
      <c r="AF52" s="2121"/>
      <c r="AG52" s="2121"/>
      <c r="AH52" s="2122"/>
      <c r="AI52" s="2122"/>
      <c r="AJ52" s="2122"/>
      <c r="AK52" s="2122"/>
      <c r="AL52" s="2122"/>
      <c r="AM52" s="2122"/>
      <c r="AN52" s="2122"/>
      <c r="AO52" s="2123"/>
      <c r="AP52" s="1097"/>
      <c r="AQ52" s="1097"/>
      <c r="AR52" s="1097"/>
      <c r="AS52" s="1097"/>
      <c r="AT52" s="1097"/>
      <c r="AU52" s="1097"/>
      <c r="AV52" s="1097"/>
      <c r="AW52" s="1097"/>
      <c r="AX52" s="1101"/>
      <c r="AY52" s="1096"/>
      <c r="AZ52" s="1096"/>
      <c r="BA52" s="1096"/>
      <c r="BB52" s="1096"/>
      <c r="BC52" s="1096"/>
      <c r="BD52" s="1096"/>
      <c r="BE52" s="1100"/>
    </row>
    <row r="53" spans="1:77" ht="15.75" customHeight="1">
      <c r="A53" s="1096"/>
      <c r="B53" s="2089" t="s">
        <v>1960</v>
      </c>
      <c r="C53" s="2090"/>
      <c r="D53" s="2090"/>
      <c r="E53" s="2090"/>
      <c r="F53" s="2090"/>
      <c r="G53" s="2090"/>
      <c r="H53" s="2090"/>
      <c r="I53" s="2090"/>
      <c r="J53" s="1925">
        <v>0</v>
      </c>
      <c r="K53" s="1925"/>
      <c r="L53" s="1925"/>
      <c r="M53" s="1925"/>
      <c r="N53" s="1925"/>
      <c r="O53" s="1925"/>
      <c r="P53" s="1925"/>
      <c r="Q53" s="1925"/>
      <c r="R53" s="2120">
        <v>0</v>
      </c>
      <c r="S53" s="2120"/>
      <c r="T53" s="2120"/>
      <c r="U53" s="2120"/>
      <c r="V53" s="2120"/>
      <c r="W53" s="2120"/>
      <c r="X53" s="2120"/>
      <c r="Y53" s="2120"/>
      <c r="Z53" s="2121">
        <v>0</v>
      </c>
      <c r="AA53" s="2121"/>
      <c r="AB53" s="2121"/>
      <c r="AC53" s="2121"/>
      <c r="AD53" s="2121"/>
      <c r="AE53" s="2121"/>
      <c r="AF53" s="2121"/>
      <c r="AG53" s="2121"/>
      <c r="AH53" s="2122"/>
      <c r="AI53" s="2122"/>
      <c r="AJ53" s="2122"/>
      <c r="AK53" s="2122"/>
      <c r="AL53" s="2122"/>
      <c r="AM53" s="2122"/>
      <c r="AN53" s="2122"/>
      <c r="AO53" s="2123"/>
      <c r="AP53" s="1097"/>
      <c r="AQ53" s="1097"/>
      <c r="AR53" s="1097"/>
      <c r="AS53" s="1097"/>
      <c r="AT53" s="1097"/>
      <c r="AU53" s="1097"/>
      <c r="AV53" s="1097"/>
      <c r="AW53" s="1097"/>
      <c r="AX53" s="1096"/>
      <c r="AY53" s="1096"/>
      <c r="AZ53" s="1096"/>
      <c r="BA53" s="1096"/>
      <c r="BB53" s="1096"/>
      <c r="BC53" s="1096"/>
      <c r="BD53" s="1096"/>
      <c r="BE53" s="1100"/>
    </row>
    <row r="54" spans="1:77" ht="15.75" customHeight="1">
      <c r="A54" s="1096"/>
      <c r="B54" s="2089"/>
      <c r="C54" s="2090"/>
      <c r="D54" s="2090"/>
      <c r="E54" s="2090"/>
      <c r="F54" s="2090"/>
      <c r="G54" s="2090"/>
      <c r="H54" s="2090"/>
      <c r="I54" s="2090"/>
      <c r="J54" s="1925"/>
      <c r="K54" s="1925"/>
      <c r="L54" s="1925"/>
      <c r="M54" s="1925"/>
      <c r="N54" s="1925"/>
      <c r="O54" s="1925"/>
      <c r="P54" s="1925"/>
      <c r="Q54" s="1925"/>
      <c r="R54" s="2120"/>
      <c r="S54" s="2120"/>
      <c r="T54" s="2120"/>
      <c r="U54" s="2120"/>
      <c r="V54" s="2120"/>
      <c r="W54" s="2120"/>
      <c r="X54" s="2120"/>
      <c r="Y54" s="2120"/>
      <c r="Z54" s="2121"/>
      <c r="AA54" s="2121"/>
      <c r="AB54" s="2121"/>
      <c r="AC54" s="2121"/>
      <c r="AD54" s="2121"/>
      <c r="AE54" s="2121"/>
      <c r="AF54" s="2121"/>
      <c r="AG54" s="2121"/>
      <c r="AH54" s="2122"/>
      <c r="AI54" s="2122"/>
      <c r="AJ54" s="2122"/>
      <c r="AK54" s="2122"/>
      <c r="AL54" s="2122"/>
      <c r="AM54" s="2122"/>
      <c r="AN54" s="2122"/>
      <c r="AO54" s="2123"/>
      <c r="AP54" s="1097"/>
      <c r="AQ54" s="1097"/>
      <c r="AR54" s="1097"/>
      <c r="AS54" s="1097"/>
      <c r="AT54" s="1097"/>
      <c r="AU54" s="1097"/>
      <c r="AV54" s="1097"/>
      <c r="AW54" s="1097"/>
      <c r="AX54" s="1096"/>
      <c r="AY54" s="1096"/>
      <c r="AZ54" s="1096"/>
      <c r="BA54" s="1096"/>
      <c r="BB54" s="1096"/>
      <c r="BC54" s="1096"/>
      <c r="BD54" s="1096"/>
      <c r="BE54" s="1100"/>
    </row>
    <row r="55" spans="1:77" ht="15.75" customHeight="1">
      <c r="A55" s="1096"/>
      <c r="B55" s="2089"/>
      <c r="C55" s="2090"/>
      <c r="D55" s="2090"/>
      <c r="E55" s="2090"/>
      <c r="F55" s="2090"/>
      <c r="G55" s="2090"/>
      <c r="H55" s="2090"/>
      <c r="I55" s="2090"/>
      <c r="J55" s="1925"/>
      <c r="K55" s="1925"/>
      <c r="L55" s="1925"/>
      <c r="M55" s="1925"/>
      <c r="N55" s="1925"/>
      <c r="O55" s="1925"/>
      <c r="P55" s="1925"/>
      <c r="Q55" s="1925"/>
      <c r="R55" s="2120"/>
      <c r="S55" s="2120"/>
      <c r="T55" s="2120"/>
      <c r="U55" s="2120"/>
      <c r="V55" s="2120"/>
      <c r="W55" s="2120"/>
      <c r="X55" s="2120"/>
      <c r="Y55" s="2120"/>
      <c r="Z55" s="2121"/>
      <c r="AA55" s="2121"/>
      <c r="AB55" s="2121"/>
      <c r="AC55" s="2121"/>
      <c r="AD55" s="2121"/>
      <c r="AE55" s="2121"/>
      <c r="AF55" s="2121"/>
      <c r="AG55" s="2121"/>
      <c r="AH55" s="2122"/>
      <c r="AI55" s="2122"/>
      <c r="AJ55" s="2122"/>
      <c r="AK55" s="2122"/>
      <c r="AL55" s="2122"/>
      <c r="AM55" s="2122"/>
      <c r="AN55" s="2122"/>
      <c r="AO55" s="2123"/>
      <c r="AP55" s="1097"/>
      <c r="AQ55" s="1097"/>
      <c r="AR55" s="1097"/>
      <c r="AS55" s="1097"/>
      <c r="AT55" s="1097" t="s">
        <v>254</v>
      </c>
      <c r="AU55" s="1097"/>
      <c r="AV55" s="1097"/>
      <c r="AW55" s="1097"/>
      <c r="AX55" s="1096"/>
      <c r="AY55" s="1096"/>
      <c r="AZ55" s="1096"/>
      <c r="BA55" s="1096"/>
      <c r="BB55" s="1096"/>
      <c r="BC55" s="1096"/>
      <c r="BD55" s="1096"/>
      <c r="BE55" s="1100"/>
    </row>
    <row r="56" spans="1:77" ht="15.75" customHeight="1">
      <c r="A56" s="1096"/>
      <c r="B56" s="2089"/>
      <c r="C56" s="2090"/>
      <c r="D56" s="2090"/>
      <c r="E56" s="2090"/>
      <c r="F56" s="2090"/>
      <c r="G56" s="2090"/>
      <c r="H56" s="2090"/>
      <c r="I56" s="2090"/>
      <c r="J56" s="1925"/>
      <c r="K56" s="1925"/>
      <c r="L56" s="1925"/>
      <c r="M56" s="1925"/>
      <c r="N56" s="1925"/>
      <c r="O56" s="1925"/>
      <c r="P56" s="1925"/>
      <c r="Q56" s="1925"/>
      <c r="R56" s="2120"/>
      <c r="S56" s="2120"/>
      <c r="T56" s="2120"/>
      <c r="U56" s="2120"/>
      <c r="V56" s="2120"/>
      <c r="W56" s="2120"/>
      <c r="X56" s="2120"/>
      <c r="Y56" s="2120"/>
      <c r="Z56" s="2121"/>
      <c r="AA56" s="2121"/>
      <c r="AB56" s="2121"/>
      <c r="AC56" s="2121"/>
      <c r="AD56" s="2121"/>
      <c r="AE56" s="2121"/>
      <c r="AF56" s="2121"/>
      <c r="AG56" s="2121"/>
      <c r="AH56" s="2122"/>
      <c r="AI56" s="2122"/>
      <c r="AJ56" s="2122"/>
      <c r="AK56" s="2122"/>
      <c r="AL56" s="2122"/>
      <c r="AM56" s="2122"/>
      <c r="AN56" s="2122"/>
      <c r="AO56" s="2123"/>
      <c r="AP56" s="1097"/>
      <c r="AQ56" s="1097"/>
      <c r="AR56" s="1097"/>
      <c r="AS56" s="1097"/>
      <c r="AT56" s="1097"/>
      <c r="AU56" s="1097"/>
      <c r="AV56" s="1097"/>
      <c r="AW56" s="1097"/>
      <c r="AX56" s="1096"/>
      <c r="AY56" s="1096"/>
      <c r="AZ56" s="1096"/>
      <c r="BA56" s="1096"/>
      <c r="BB56" s="1096"/>
      <c r="BC56" s="1096"/>
      <c r="BD56" s="1096"/>
      <c r="BE56" s="1100"/>
    </row>
    <row r="57" spans="1:77" s="1104" customFormat="1" ht="15.75" customHeight="1" thickBot="1">
      <c r="A57" s="1097"/>
      <c r="B57" s="2070" t="s">
        <v>1928</v>
      </c>
      <c r="C57" s="2071"/>
      <c r="D57" s="2071"/>
      <c r="E57" s="2071"/>
      <c r="F57" s="2071"/>
      <c r="G57" s="2071"/>
      <c r="H57" s="2071"/>
      <c r="I57" s="2071"/>
      <c r="J57" s="2071"/>
      <c r="K57" s="2071"/>
      <c r="L57" s="2071"/>
      <c r="M57" s="2071"/>
      <c r="N57" s="2071"/>
      <c r="O57" s="2071"/>
      <c r="P57" s="2071"/>
      <c r="Q57" s="2071"/>
      <c r="R57" s="2124">
        <f>SUM(R52:Y56)</f>
        <v>0</v>
      </c>
      <c r="S57" s="2124"/>
      <c r="T57" s="2124"/>
      <c r="U57" s="2124"/>
      <c r="V57" s="2124"/>
      <c r="W57" s="2124"/>
      <c r="X57" s="2124"/>
      <c r="Y57" s="2124"/>
      <c r="Z57" s="2125">
        <f>SUM(Z52:AG56)</f>
        <v>0</v>
      </c>
      <c r="AA57" s="2125"/>
      <c r="AB57" s="2125"/>
      <c r="AC57" s="2125"/>
      <c r="AD57" s="2125"/>
      <c r="AE57" s="2125"/>
      <c r="AF57" s="2125"/>
      <c r="AG57" s="2125"/>
      <c r="AH57" s="2126"/>
      <c r="AI57" s="2126"/>
      <c r="AJ57" s="2126"/>
      <c r="AK57" s="2126"/>
      <c r="AL57" s="2126"/>
      <c r="AM57" s="2126"/>
      <c r="AN57" s="2126"/>
      <c r="AO57" s="2127"/>
      <c r="AP57" s="1097"/>
      <c r="AQ57" s="1097"/>
      <c r="AR57" s="1097"/>
      <c r="AS57" s="1097"/>
      <c r="AT57" s="1097"/>
      <c r="AU57" s="1097"/>
      <c r="AV57" s="1097"/>
      <c r="AW57" s="1097"/>
      <c r="AX57" s="1097"/>
      <c r="AY57" s="1097"/>
      <c r="AZ57" s="1097"/>
      <c r="BA57" s="1097"/>
      <c r="BB57" s="1097"/>
      <c r="BC57" s="1097"/>
      <c r="BD57" s="1097"/>
      <c r="BE57" s="1103"/>
      <c r="BN57" s="1105"/>
      <c r="BO57" s="1105"/>
      <c r="BP57" s="1105"/>
      <c r="BQ57" s="1105"/>
      <c r="BR57" s="1105"/>
      <c r="BS57" s="1105"/>
      <c r="BT57" s="1105"/>
      <c r="BU57" s="1105"/>
      <c r="BV57" s="1105"/>
      <c r="BW57" s="1105"/>
      <c r="BX57" s="1105"/>
      <c r="BY57" s="1105"/>
    </row>
    <row r="58" spans="1:77" ht="15.75" customHeight="1" thickBot="1">
      <c r="A58" s="1096"/>
      <c r="B58" s="1096"/>
      <c r="C58" s="1096"/>
      <c r="D58" s="1096"/>
      <c r="E58" s="1096"/>
      <c r="F58" s="1096"/>
      <c r="G58" s="1096"/>
      <c r="H58" s="1096"/>
      <c r="I58" s="1096"/>
      <c r="J58" s="1096"/>
      <c r="K58" s="1096"/>
      <c r="L58" s="1096"/>
      <c r="M58" s="1096"/>
      <c r="N58" s="1096"/>
      <c r="O58" s="1096"/>
      <c r="P58" s="1096"/>
      <c r="Q58" s="1096"/>
      <c r="R58" s="1096"/>
      <c r="S58" s="1096"/>
      <c r="T58" s="1096"/>
      <c r="U58" s="1096"/>
      <c r="V58" s="1096"/>
      <c r="W58" s="1096"/>
      <c r="X58" s="1096"/>
      <c r="Y58" s="1096"/>
      <c r="Z58" s="1096"/>
      <c r="AA58" s="1096"/>
      <c r="AB58" s="1096"/>
      <c r="AC58" s="1096"/>
      <c r="AD58" s="1096"/>
      <c r="AE58" s="1096"/>
      <c r="AF58" s="1096"/>
      <c r="AG58" s="1096"/>
      <c r="AH58" s="1096"/>
      <c r="AI58" s="1096"/>
      <c r="AJ58" s="1096"/>
      <c r="AK58" s="1096"/>
      <c r="AL58" s="1096"/>
      <c r="AM58" s="1096"/>
      <c r="AN58" s="1096"/>
      <c r="AO58" s="1096"/>
      <c r="AP58" s="1096"/>
      <c r="AQ58" s="1096"/>
      <c r="AR58" s="1096"/>
      <c r="AS58" s="1096"/>
      <c r="AT58" s="1096"/>
      <c r="AU58" s="1096"/>
      <c r="AV58" s="1096"/>
      <c r="AW58" s="1096"/>
      <c r="AX58" s="1096"/>
      <c r="AY58" s="1096"/>
      <c r="AZ58" s="1096"/>
      <c r="BA58" s="1096"/>
      <c r="BB58" s="1096"/>
      <c r="BC58" s="1096"/>
      <c r="BD58" s="1096"/>
      <c r="BE58" s="1100"/>
    </row>
    <row r="59" spans="1:77" ht="15.75" customHeight="1">
      <c r="A59" s="1096"/>
      <c r="B59" s="2117" t="s">
        <v>1954</v>
      </c>
      <c r="C59" s="2118"/>
      <c r="D59" s="2118"/>
      <c r="E59" s="2118"/>
      <c r="F59" s="2118"/>
      <c r="G59" s="2118"/>
      <c r="H59" s="2118"/>
      <c r="I59" s="2119"/>
      <c r="J59" s="2040" t="s">
        <v>1961</v>
      </c>
      <c r="K59" s="2040"/>
      <c r="L59" s="2040"/>
      <c r="M59" s="2040"/>
      <c r="N59" s="2040"/>
      <c r="O59" s="2040"/>
      <c r="P59" s="2040"/>
      <c r="Q59" s="2040"/>
      <c r="R59" s="2040"/>
      <c r="S59" s="2040"/>
      <c r="T59" s="2040"/>
      <c r="U59" s="2040"/>
      <c r="V59" s="2040"/>
      <c r="W59" s="2040"/>
      <c r="X59" s="2040"/>
      <c r="Y59" s="2040"/>
      <c r="Z59" s="2040"/>
      <c r="AA59" s="2040"/>
      <c r="AB59" s="2040"/>
      <c r="AC59" s="2040"/>
      <c r="AD59" s="2040"/>
      <c r="AE59" s="2040"/>
      <c r="AF59" s="2040"/>
      <c r="AG59" s="2040"/>
      <c r="AH59" s="2040"/>
      <c r="AI59" s="2040"/>
      <c r="AJ59" s="2040"/>
      <c r="AK59" s="2040"/>
      <c r="AL59" s="2040"/>
      <c r="AM59" s="2040"/>
      <c r="AN59" s="2040"/>
      <c r="AO59" s="2040"/>
      <c r="AP59" s="2040"/>
      <c r="AQ59" s="2040"/>
      <c r="AR59" s="2040"/>
      <c r="AS59" s="2040"/>
      <c r="AT59" s="2040"/>
      <c r="AU59" s="2040"/>
      <c r="AV59" s="2040"/>
      <c r="AW59" s="2041"/>
      <c r="AX59" s="1096"/>
      <c r="AY59" s="1096"/>
      <c r="AZ59" s="1096"/>
      <c r="BA59" s="1096"/>
      <c r="BB59" s="1096"/>
      <c r="BC59" s="1096"/>
      <c r="BD59" s="1096"/>
      <c r="BE59" s="1100"/>
    </row>
    <row r="60" spans="1:77" ht="15.75" customHeight="1">
      <c r="A60" s="1096"/>
      <c r="B60" s="2109" t="str">
        <f>IF(B52="", "", B52)</f>
        <v>Services Company 1</v>
      </c>
      <c r="C60" s="2110"/>
      <c r="D60" s="2110"/>
      <c r="E60" s="2110"/>
      <c r="F60" s="2110"/>
      <c r="G60" s="2110"/>
      <c r="H60" s="2110"/>
      <c r="I60" s="2111"/>
      <c r="J60" s="2112"/>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8"/>
      <c r="AJ60" s="1928"/>
      <c r="AK60" s="1928"/>
      <c r="AL60" s="1928"/>
      <c r="AM60" s="1928"/>
      <c r="AN60" s="1928"/>
      <c r="AO60" s="1928"/>
      <c r="AP60" s="1928"/>
      <c r="AQ60" s="1928"/>
      <c r="AR60" s="1928"/>
      <c r="AS60" s="1928"/>
      <c r="AT60" s="1928"/>
      <c r="AU60" s="1928"/>
      <c r="AV60" s="1928"/>
      <c r="AW60" s="1929"/>
      <c r="AX60" s="1096"/>
      <c r="AY60" s="1096"/>
      <c r="AZ60" s="1096"/>
      <c r="BA60" s="1096"/>
      <c r="BB60" s="1096"/>
      <c r="BC60" s="1096"/>
      <c r="BD60" s="1096"/>
      <c r="BE60" s="1100"/>
    </row>
    <row r="61" spans="1:77" ht="15.75" customHeight="1">
      <c r="A61" s="1096"/>
      <c r="B61" s="2109" t="str">
        <f>IF(B53="", "", B53)</f>
        <v>Services Company 2</v>
      </c>
      <c r="C61" s="2110"/>
      <c r="D61" s="2110"/>
      <c r="E61" s="2110"/>
      <c r="F61" s="2110"/>
      <c r="G61" s="2110"/>
      <c r="H61" s="2110"/>
      <c r="I61" s="2111"/>
      <c r="J61" s="2112"/>
      <c r="K61" s="1928"/>
      <c r="L61" s="1928"/>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8"/>
      <c r="AJ61" s="1928"/>
      <c r="AK61" s="1928"/>
      <c r="AL61" s="1928"/>
      <c r="AM61" s="1928"/>
      <c r="AN61" s="1928"/>
      <c r="AO61" s="1928"/>
      <c r="AP61" s="1928"/>
      <c r="AQ61" s="1928"/>
      <c r="AR61" s="1928"/>
      <c r="AS61" s="1928"/>
      <c r="AT61" s="1928"/>
      <c r="AU61" s="1928"/>
      <c r="AV61" s="1928"/>
      <c r="AW61" s="1929"/>
      <c r="AX61" s="1096"/>
      <c r="AY61" s="1096"/>
      <c r="AZ61" s="1096"/>
      <c r="BA61" s="1096"/>
      <c r="BB61" s="1096"/>
      <c r="BC61" s="1096"/>
      <c r="BD61" s="1096"/>
      <c r="BE61" s="1100"/>
    </row>
    <row r="62" spans="1:77" ht="15.75" customHeight="1">
      <c r="A62" s="1096"/>
      <c r="B62" s="2109" t="str">
        <f>IF(B54="", "", B54)</f>
        <v/>
      </c>
      <c r="C62" s="2110"/>
      <c r="D62" s="2110"/>
      <c r="E62" s="2110"/>
      <c r="F62" s="2110"/>
      <c r="G62" s="2110"/>
      <c r="H62" s="2110"/>
      <c r="I62" s="2111"/>
      <c r="J62" s="2112"/>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8"/>
      <c r="AK62" s="1928"/>
      <c r="AL62" s="1928"/>
      <c r="AM62" s="1928"/>
      <c r="AN62" s="1928"/>
      <c r="AO62" s="1928"/>
      <c r="AP62" s="1928"/>
      <c r="AQ62" s="1928"/>
      <c r="AR62" s="1928"/>
      <c r="AS62" s="1928"/>
      <c r="AT62" s="1928"/>
      <c r="AU62" s="1928"/>
      <c r="AV62" s="1928"/>
      <c r="AW62" s="1929"/>
      <c r="AX62" s="1096"/>
      <c r="AY62" s="1096"/>
      <c r="AZ62" s="1096"/>
      <c r="BA62" s="1096"/>
      <c r="BB62" s="1096"/>
      <c r="BC62" s="1096"/>
      <c r="BD62" s="1096"/>
      <c r="BE62" s="1100"/>
    </row>
    <row r="63" spans="1:77" ht="15.75" customHeight="1">
      <c r="A63" s="1096"/>
      <c r="B63" s="2109" t="str">
        <f>IF(B55="", "", B55)</f>
        <v/>
      </c>
      <c r="C63" s="2110"/>
      <c r="D63" s="2110"/>
      <c r="E63" s="2110"/>
      <c r="F63" s="2110"/>
      <c r="G63" s="2110"/>
      <c r="H63" s="2110"/>
      <c r="I63" s="2111"/>
      <c r="J63" s="2112"/>
      <c r="K63" s="1928"/>
      <c r="L63" s="1928"/>
      <c r="M63" s="1928"/>
      <c r="N63" s="1928"/>
      <c r="O63" s="1928"/>
      <c r="P63" s="1928"/>
      <c r="Q63" s="1928"/>
      <c r="R63" s="1928"/>
      <c r="S63" s="1928"/>
      <c r="T63" s="1928"/>
      <c r="U63" s="1928"/>
      <c r="V63" s="1928"/>
      <c r="W63" s="1928"/>
      <c r="X63" s="1928"/>
      <c r="Y63" s="1928"/>
      <c r="Z63" s="1928"/>
      <c r="AA63" s="1928"/>
      <c r="AB63" s="1928"/>
      <c r="AC63" s="1928"/>
      <c r="AD63" s="1928"/>
      <c r="AE63" s="1928"/>
      <c r="AF63" s="1928"/>
      <c r="AG63" s="1928"/>
      <c r="AH63" s="1928"/>
      <c r="AI63" s="1928"/>
      <c r="AJ63" s="1928"/>
      <c r="AK63" s="1928"/>
      <c r="AL63" s="1928"/>
      <c r="AM63" s="1928"/>
      <c r="AN63" s="1928"/>
      <c r="AO63" s="1928"/>
      <c r="AP63" s="1928"/>
      <c r="AQ63" s="1928"/>
      <c r="AR63" s="1928"/>
      <c r="AS63" s="1928"/>
      <c r="AT63" s="1928"/>
      <c r="AU63" s="1928"/>
      <c r="AV63" s="1928"/>
      <c r="AW63" s="1929"/>
      <c r="AX63" s="1096"/>
      <c r="AY63" s="1096"/>
      <c r="AZ63" s="1096"/>
      <c r="BA63" s="1096"/>
      <c r="BB63" s="1096"/>
      <c r="BC63" s="1096"/>
      <c r="BD63" s="1096"/>
      <c r="BE63" s="1100"/>
    </row>
    <row r="64" spans="1:77" ht="15.75" customHeight="1" thickBot="1">
      <c r="A64" s="1096"/>
      <c r="B64" s="2113" t="str">
        <f>IF(B56="", "", B56)</f>
        <v/>
      </c>
      <c r="C64" s="2114"/>
      <c r="D64" s="2114"/>
      <c r="E64" s="2114"/>
      <c r="F64" s="2114"/>
      <c r="G64" s="2114"/>
      <c r="H64" s="2114"/>
      <c r="I64" s="2115"/>
      <c r="J64" s="2116"/>
      <c r="K64" s="2099"/>
      <c r="L64" s="2099"/>
      <c r="M64" s="2099"/>
      <c r="N64" s="2099"/>
      <c r="O64" s="2099"/>
      <c r="P64" s="2099"/>
      <c r="Q64" s="2099"/>
      <c r="R64" s="2099"/>
      <c r="S64" s="2099"/>
      <c r="T64" s="2099"/>
      <c r="U64" s="2099"/>
      <c r="V64" s="2099"/>
      <c r="W64" s="2099"/>
      <c r="X64" s="2099"/>
      <c r="Y64" s="2099"/>
      <c r="Z64" s="2099"/>
      <c r="AA64" s="2099"/>
      <c r="AB64" s="2099"/>
      <c r="AC64" s="2099"/>
      <c r="AD64" s="2099"/>
      <c r="AE64" s="2099"/>
      <c r="AF64" s="2099"/>
      <c r="AG64" s="2099"/>
      <c r="AH64" s="2099"/>
      <c r="AI64" s="2099"/>
      <c r="AJ64" s="2099"/>
      <c r="AK64" s="2099"/>
      <c r="AL64" s="2099"/>
      <c r="AM64" s="2099"/>
      <c r="AN64" s="2099"/>
      <c r="AO64" s="2099"/>
      <c r="AP64" s="2099"/>
      <c r="AQ64" s="2099"/>
      <c r="AR64" s="2099"/>
      <c r="AS64" s="2099"/>
      <c r="AT64" s="2099"/>
      <c r="AU64" s="2099"/>
      <c r="AV64" s="2099"/>
      <c r="AW64" s="2100"/>
      <c r="AX64" s="1096"/>
      <c r="AY64" s="1096"/>
      <c r="AZ64" s="1096"/>
      <c r="BA64" s="1096"/>
      <c r="BB64" s="1096"/>
      <c r="BC64" s="1096"/>
      <c r="BD64" s="1096"/>
      <c r="BE64" s="1100"/>
    </row>
    <row r="65" spans="1:94" ht="15.75" customHeight="1">
      <c r="A65" s="1096"/>
      <c r="B65" s="1096"/>
      <c r="C65" s="1096"/>
      <c r="D65" s="1096"/>
      <c r="E65" s="1096"/>
      <c r="F65" s="1096"/>
      <c r="G65" s="1096"/>
      <c r="H65" s="1096"/>
      <c r="I65" s="1096"/>
      <c r="J65" s="1096"/>
      <c r="K65" s="1096"/>
      <c r="L65" s="1096"/>
      <c r="M65" s="1096"/>
      <c r="N65" s="1096"/>
      <c r="O65" s="1096"/>
      <c r="P65" s="1096"/>
      <c r="Q65" s="1096"/>
      <c r="R65" s="1096"/>
      <c r="S65" s="1096"/>
      <c r="T65" s="1096"/>
      <c r="U65" s="1096"/>
      <c r="V65" s="1096"/>
      <c r="W65" s="1096"/>
      <c r="X65" s="1096"/>
      <c r="Y65" s="1096"/>
      <c r="Z65" s="1096"/>
      <c r="AA65" s="1096"/>
      <c r="AB65" s="1096"/>
      <c r="AC65" s="1096"/>
      <c r="AD65" s="1096"/>
      <c r="AE65" s="1096"/>
      <c r="AF65" s="1096"/>
      <c r="AG65" s="1096"/>
      <c r="AH65" s="1096"/>
      <c r="AI65" s="1096"/>
      <c r="AJ65" s="1096"/>
      <c r="AK65" s="1096"/>
      <c r="AL65" s="1096"/>
      <c r="AM65" s="1096"/>
      <c r="AN65" s="1096"/>
      <c r="AO65" s="1096"/>
      <c r="AP65" s="1096"/>
      <c r="AQ65" s="1096"/>
      <c r="AR65" s="1096"/>
      <c r="AS65" s="1096"/>
      <c r="AT65" s="1096"/>
      <c r="AU65" s="1096"/>
      <c r="AV65" s="1096"/>
      <c r="AW65" s="1096"/>
      <c r="AX65" s="1096"/>
      <c r="AY65" s="1096"/>
      <c r="AZ65" s="1096"/>
      <c r="BA65" s="1096"/>
      <c r="BB65" s="1096"/>
      <c r="BC65" s="1096"/>
      <c r="BD65" s="1096"/>
      <c r="BE65" s="1100"/>
    </row>
    <row r="66" spans="1:94" ht="15.75" customHeight="1">
      <c r="A66" s="1096"/>
      <c r="B66" s="1104" t="s">
        <v>1962</v>
      </c>
      <c r="C66" s="1104"/>
      <c r="D66" s="1104"/>
      <c r="E66" s="1104"/>
      <c r="F66" s="1104"/>
      <c r="G66" s="1104"/>
      <c r="H66" s="1104"/>
      <c r="I66" s="1104"/>
      <c r="J66" s="1104"/>
      <c r="K66" s="1104"/>
      <c r="L66" s="1096"/>
      <c r="M66" s="1096"/>
      <c r="N66" s="1096"/>
      <c r="O66" s="1096"/>
      <c r="P66" s="1096"/>
      <c r="Q66" s="1096"/>
      <c r="R66" s="1096"/>
      <c r="S66" s="1096"/>
      <c r="T66" s="1096"/>
      <c r="U66" s="1096"/>
      <c r="V66" s="1096"/>
      <c r="W66" s="1096"/>
      <c r="X66" s="1096"/>
      <c r="Y66" s="1096"/>
      <c r="Z66" s="1096"/>
      <c r="AA66" s="1096"/>
      <c r="AB66" s="1096"/>
      <c r="AC66" s="1096"/>
      <c r="AD66" s="1096"/>
      <c r="AE66" s="1096"/>
      <c r="AF66" s="1096"/>
      <c r="AG66" s="1096"/>
      <c r="AH66" s="1096"/>
      <c r="AI66" s="1096"/>
      <c r="AJ66" s="1096"/>
      <c r="AK66" s="1096"/>
      <c r="AL66" s="1096"/>
      <c r="AM66" s="1096"/>
      <c r="AN66" s="1096"/>
      <c r="AO66" s="1096"/>
      <c r="AP66" s="1096"/>
      <c r="AQ66" s="1096"/>
      <c r="AR66" s="1096"/>
      <c r="AS66" s="1096"/>
      <c r="AT66" s="1096"/>
      <c r="AU66" s="1096"/>
      <c r="AV66" s="1096"/>
      <c r="AW66" s="1096"/>
      <c r="AX66" s="1096"/>
      <c r="AY66" s="1096"/>
      <c r="AZ66" s="1096"/>
      <c r="BA66" s="1096"/>
      <c r="BB66" s="1096"/>
      <c r="BC66" s="1096"/>
      <c r="BD66" s="1096"/>
      <c r="BE66" s="1100"/>
    </row>
    <row r="67" spans="1:94" ht="15.75" customHeight="1" thickBot="1">
      <c r="A67" s="1096"/>
      <c r="B67" s="1096"/>
      <c r="C67" s="1096"/>
      <c r="D67" s="1096"/>
      <c r="E67" s="1096"/>
      <c r="F67" s="1096"/>
      <c r="G67" s="1096"/>
      <c r="H67" s="1096"/>
      <c r="I67" s="1096"/>
      <c r="J67" s="1096"/>
      <c r="K67" s="1096"/>
      <c r="L67" s="1096"/>
      <c r="M67" s="1096"/>
      <c r="N67" s="1096"/>
      <c r="O67" s="1096"/>
      <c r="P67" s="1096"/>
      <c r="Q67" s="1096"/>
      <c r="R67" s="1096"/>
      <c r="S67" s="1096"/>
      <c r="T67" s="1096"/>
      <c r="U67" s="1096"/>
      <c r="V67" s="1096"/>
      <c r="W67" s="1096"/>
      <c r="X67" s="1096"/>
      <c r="Y67" s="1096"/>
      <c r="Z67" s="1096"/>
      <c r="AA67" s="1096"/>
      <c r="AB67" s="1096"/>
      <c r="AC67" s="1096"/>
      <c r="AD67" s="1096"/>
      <c r="AE67" s="1096"/>
      <c r="AF67" s="1096"/>
      <c r="AG67" s="1096"/>
      <c r="AH67" s="1096"/>
      <c r="AI67" s="1096"/>
      <c r="AJ67" s="1096"/>
      <c r="AK67" s="1096"/>
      <c r="AL67" s="1096"/>
      <c r="AM67" s="1096"/>
      <c r="AN67" s="1096"/>
      <c r="AO67" s="1096"/>
      <c r="AP67" s="1096"/>
      <c r="AQ67" s="1096"/>
      <c r="AR67" s="1096"/>
      <c r="AS67" s="1096"/>
      <c r="AT67" s="1096"/>
      <c r="AU67" s="1096"/>
      <c r="AV67" s="1096"/>
      <c r="AW67" s="1096"/>
      <c r="AX67" s="1096"/>
      <c r="AY67" s="1096"/>
      <c r="AZ67" s="1096"/>
      <c r="BA67" s="1096"/>
      <c r="BB67" s="1096"/>
      <c r="BC67" s="1096"/>
      <c r="BD67" s="1096"/>
      <c r="BE67" s="1100"/>
    </row>
    <row r="68" spans="1:94" ht="15.75" customHeight="1" thickBot="1">
      <c r="A68" s="1096"/>
      <c r="B68" s="2039" t="s">
        <v>1963</v>
      </c>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40"/>
      <c r="Z68" s="2040"/>
      <c r="AA68" s="2041"/>
      <c r="AB68" s="1096"/>
      <c r="AC68" s="1962" t="s">
        <v>1964</v>
      </c>
      <c r="AD68" s="1963"/>
      <c r="AE68" s="1963"/>
      <c r="AF68" s="1963"/>
      <c r="AG68" s="1963"/>
      <c r="AH68" s="1963"/>
      <c r="AI68" s="1963"/>
      <c r="AJ68" s="1963"/>
      <c r="AK68" s="1963"/>
      <c r="AL68" s="1963"/>
      <c r="AM68" s="1963"/>
      <c r="AN68" s="1963"/>
      <c r="AO68" s="1963"/>
      <c r="AP68" s="1963"/>
      <c r="AQ68" s="1963"/>
      <c r="AR68" s="1963"/>
      <c r="AS68" s="1963"/>
      <c r="AT68" s="1963"/>
      <c r="AU68" s="1963"/>
      <c r="AV68" s="2101" t="s">
        <v>698</v>
      </c>
      <c r="AW68" s="2019"/>
      <c r="AX68" s="2019"/>
      <c r="AY68" s="2019"/>
      <c r="AZ68" s="2019"/>
      <c r="BA68" s="2019"/>
      <c r="BB68" s="2019"/>
      <c r="BC68" s="2020"/>
      <c r="BD68" s="1096"/>
      <c r="BE68" s="1100"/>
      <c r="BM68" s="1106" t="s">
        <v>1965</v>
      </c>
    </row>
    <row r="69" spans="1:94" ht="15.75" customHeight="1" thickTop="1" thickBot="1">
      <c r="A69" s="1096"/>
      <c r="B69" s="2102" t="s">
        <v>1966</v>
      </c>
      <c r="C69" s="2103"/>
      <c r="D69" s="2103"/>
      <c r="E69" s="2103"/>
      <c r="F69" s="2103"/>
      <c r="G69" s="2103"/>
      <c r="H69" s="2103"/>
      <c r="I69" s="2103"/>
      <c r="J69" s="2103"/>
      <c r="K69" s="2103"/>
      <c r="L69" s="2103"/>
      <c r="M69" s="2103"/>
      <c r="N69" s="2103"/>
      <c r="O69" s="2104" t="s">
        <v>1967</v>
      </c>
      <c r="P69" s="2105"/>
      <c r="Q69" s="2105"/>
      <c r="R69" s="2105"/>
      <c r="S69" s="2105"/>
      <c r="T69" s="2105"/>
      <c r="U69" s="2105"/>
      <c r="V69" s="2105"/>
      <c r="W69" s="2105"/>
      <c r="X69" s="2105"/>
      <c r="Y69" s="2105"/>
      <c r="Z69" s="2105"/>
      <c r="AA69" s="2106"/>
      <c r="AB69" s="1096"/>
      <c r="AC69" s="2107" t="s">
        <v>1968</v>
      </c>
      <c r="AD69" s="2108"/>
      <c r="AE69" s="2108"/>
      <c r="AF69" s="2108"/>
      <c r="AG69" s="2108"/>
      <c r="AH69" s="2108"/>
      <c r="AI69" s="2108"/>
      <c r="AJ69" s="2108"/>
      <c r="AK69" s="2108"/>
      <c r="AL69" s="2108"/>
      <c r="AM69" s="2108"/>
      <c r="AN69" s="2108"/>
      <c r="AO69" s="2108"/>
      <c r="AP69" s="2108"/>
      <c r="AQ69" s="2108"/>
      <c r="AR69" s="2108"/>
      <c r="AS69" s="2108"/>
      <c r="AT69" s="2108"/>
      <c r="AU69" s="2108"/>
      <c r="AV69" s="2101" t="s">
        <v>698</v>
      </c>
      <c r="AW69" s="2019"/>
      <c r="AX69" s="2019"/>
      <c r="AY69" s="2019"/>
      <c r="AZ69" s="2019"/>
      <c r="BA69" s="2019"/>
      <c r="BB69" s="2019"/>
      <c r="BC69" s="2020"/>
      <c r="BD69" s="1096"/>
      <c r="BE69" s="1100"/>
      <c r="BM69" s="1107" t="s">
        <v>856</v>
      </c>
    </row>
    <row r="70" spans="1:94" ht="15.75" customHeight="1">
      <c r="A70" s="1096"/>
      <c r="B70" s="2084" t="s">
        <v>1969</v>
      </c>
      <c r="C70" s="2085"/>
      <c r="D70" s="2085"/>
      <c r="E70" s="2085"/>
      <c r="F70" s="2085"/>
      <c r="G70" s="2085"/>
      <c r="H70" s="2085"/>
      <c r="I70" s="2085"/>
      <c r="J70" s="2085"/>
      <c r="K70" s="2085"/>
      <c r="L70" s="2085"/>
      <c r="M70" s="2085"/>
      <c r="N70" s="2085"/>
      <c r="O70" s="1970">
        <v>0</v>
      </c>
      <c r="P70" s="1970"/>
      <c r="Q70" s="1970"/>
      <c r="R70" s="1970"/>
      <c r="S70" s="1970"/>
      <c r="T70" s="1970"/>
      <c r="U70" s="1970"/>
      <c r="V70" s="1970"/>
      <c r="W70" s="1970"/>
      <c r="X70" s="1970"/>
      <c r="Y70" s="1970"/>
      <c r="Z70" s="1970"/>
      <c r="AA70" s="2086"/>
      <c r="AB70" s="1096"/>
      <c r="AC70" s="2008" t="s">
        <v>1970</v>
      </c>
      <c r="AD70" s="1964"/>
      <c r="AE70" s="1964"/>
      <c r="AF70" s="2095"/>
      <c r="AG70" s="2095"/>
      <c r="AH70" s="2095"/>
      <c r="AI70" s="2095"/>
      <c r="AJ70" s="2095"/>
      <c r="AK70" s="2095"/>
      <c r="AL70" s="2095"/>
      <c r="AM70" s="2095"/>
      <c r="AN70" s="2095"/>
      <c r="AO70" s="2095"/>
      <c r="AP70" s="2095"/>
      <c r="AQ70" s="2095"/>
      <c r="AR70" s="2095"/>
      <c r="AS70" s="2095"/>
      <c r="AT70" s="2095"/>
      <c r="AU70" s="2096"/>
      <c r="AV70" s="1096"/>
      <c r="AW70" s="1096"/>
      <c r="AX70" s="1096"/>
      <c r="AY70" s="1096"/>
      <c r="AZ70" s="1096"/>
      <c r="BA70" s="1096"/>
      <c r="BB70" s="1096"/>
      <c r="BC70" s="1096"/>
      <c r="BD70" s="1096"/>
      <c r="BE70" s="1100"/>
      <c r="BM70" s="1108" t="s">
        <v>698</v>
      </c>
    </row>
    <row r="71" spans="1:94" ht="15.75" customHeight="1" thickBot="1">
      <c r="A71" s="1096"/>
      <c r="B71" s="2084" t="s">
        <v>1971</v>
      </c>
      <c r="C71" s="2085"/>
      <c r="D71" s="2085"/>
      <c r="E71" s="2085"/>
      <c r="F71" s="2085"/>
      <c r="G71" s="2085"/>
      <c r="H71" s="2085"/>
      <c r="I71" s="2085"/>
      <c r="J71" s="2085"/>
      <c r="K71" s="2085"/>
      <c r="L71" s="2085"/>
      <c r="M71" s="2085"/>
      <c r="N71" s="2085"/>
      <c r="O71" s="1970">
        <v>0</v>
      </c>
      <c r="P71" s="1970"/>
      <c r="Q71" s="1970"/>
      <c r="R71" s="1970"/>
      <c r="S71" s="1970"/>
      <c r="T71" s="1970"/>
      <c r="U71" s="1970"/>
      <c r="V71" s="1970"/>
      <c r="W71" s="1970"/>
      <c r="X71" s="1970"/>
      <c r="Y71" s="1970"/>
      <c r="Z71" s="1970"/>
      <c r="AA71" s="2086"/>
      <c r="AB71" s="1096"/>
      <c r="AC71" s="2097" t="s">
        <v>1972</v>
      </c>
      <c r="AD71" s="2098"/>
      <c r="AE71" s="2098"/>
      <c r="AF71" s="2099"/>
      <c r="AG71" s="2099"/>
      <c r="AH71" s="2099"/>
      <c r="AI71" s="2099"/>
      <c r="AJ71" s="2099"/>
      <c r="AK71" s="2099"/>
      <c r="AL71" s="2099"/>
      <c r="AM71" s="2099"/>
      <c r="AN71" s="2099"/>
      <c r="AO71" s="2099"/>
      <c r="AP71" s="2099"/>
      <c r="AQ71" s="2099"/>
      <c r="AR71" s="2099"/>
      <c r="AS71" s="2099"/>
      <c r="AT71" s="2099"/>
      <c r="AU71" s="2100"/>
      <c r="AV71" s="1096"/>
      <c r="AW71" s="1096"/>
      <c r="AX71" s="1096"/>
      <c r="AY71" s="1096"/>
      <c r="AZ71" s="1096"/>
      <c r="BA71" s="1096"/>
      <c r="BB71" s="1096"/>
      <c r="BC71" s="1096"/>
      <c r="BD71" s="1096"/>
      <c r="BE71" s="1100"/>
      <c r="BM71" s="1092" t="s">
        <v>1973</v>
      </c>
    </row>
    <row r="72" spans="1:94" ht="15.75" customHeight="1">
      <c r="A72" s="1096"/>
      <c r="B72" s="2084" t="s">
        <v>1974</v>
      </c>
      <c r="C72" s="2085"/>
      <c r="D72" s="2085"/>
      <c r="E72" s="2085"/>
      <c r="F72" s="2085"/>
      <c r="G72" s="2085"/>
      <c r="H72" s="2085"/>
      <c r="I72" s="2085"/>
      <c r="J72" s="2085"/>
      <c r="K72" s="2085"/>
      <c r="L72" s="2085"/>
      <c r="M72" s="2085"/>
      <c r="N72" s="2085"/>
      <c r="O72" s="1970">
        <v>0</v>
      </c>
      <c r="P72" s="1970"/>
      <c r="Q72" s="1970"/>
      <c r="R72" s="1970"/>
      <c r="S72" s="1970"/>
      <c r="T72" s="1970"/>
      <c r="U72" s="1970"/>
      <c r="V72" s="1970"/>
      <c r="W72" s="1970"/>
      <c r="X72" s="1970"/>
      <c r="Y72" s="1970"/>
      <c r="Z72" s="1970"/>
      <c r="AA72" s="2086"/>
      <c r="AB72" s="1096"/>
      <c r="AC72" s="2087" t="s">
        <v>1975</v>
      </c>
      <c r="AD72" s="2088"/>
      <c r="AE72" s="2088"/>
      <c r="AF72" s="2088"/>
      <c r="AG72" s="2088"/>
      <c r="AH72" s="2088"/>
      <c r="AI72" s="2088"/>
      <c r="AJ72" s="2088"/>
      <c r="AK72" s="2088"/>
      <c r="AL72" s="2088"/>
      <c r="AM72" s="2088"/>
      <c r="AN72" s="2088"/>
      <c r="AO72" s="2088"/>
      <c r="AP72" s="2088"/>
      <c r="AQ72" s="2088"/>
      <c r="AR72" s="2088"/>
      <c r="AS72" s="2088"/>
      <c r="AT72" s="2088"/>
      <c r="AU72" s="2088"/>
      <c r="AV72" s="1964"/>
      <c r="AW72" s="1964"/>
      <c r="AX72" s="1964"/>
      <c r="AY72" s="1964"/>
      <c r="AZ72" s="1964"/>
      <c r="BA72" s="1964"/>
      <c r="BB72" s="1964"/>
      <c r="BC72" s="1965"/>
      <c r="BD72" s="1096"/>
      <c r="BE72" s="1100"/>
    </row>
    <row r="73" spans="1:94" ht="15.75" customHeight="1">
      <c r="A73" s="1096"/>
      <c r="B73" s="2089" t="s">
        <v>1976</v>
      </c>
      <c r="C73" s="2090"/>
      <c r="D73" s="2090"/>
      <c r="E73" s="2090"/>
      <c r="F73" s="2090"/>
      <c r="G73" s="2090"/>
      <c r="H73" s="2090"/>
      <c r="I73" s="2090"/>
      <c r="J73" s="2090"/>
      <c r="K73" s="2090"/>
      <c r="L73" s="2090"/>
      <c r="M73" s="2090"/>
      <c r="N73" s="2090"/>
      <c r="O73" s="1970">
        <v>0</v>
      </c>
      <c r="P73" s="1970"/>
      <c r="Q73" s="1970"/>
      <c r="R73" s="1970"/>
      <c r="S73" s="1970"/>
      <c r="T73" s="1970"/>
      <c r="U73" s="1970"/>
      <c r="V73" s="1970"/>
      <c r="W73" s="1970"/>
      <c r="X73" s="1970"/>
      <c r="Y73" s="1970"/>
      <c r="Z73" s="1970"/>
      <c r="AA73" s="2086"/>
      <c r="AB73" s="1096"/>
      <c r="AC73" s="1979" t="s">
        <v>1977</v>
      </c>
      <c r="AD73" s="1980"/>
      <c r="AE73" s="1980"/>
      <c r="AF73" s="1980"/>
      <c r="AG73" s="1980"/>
      <c r="AH73" s="1980"/>
      <c r="AI73" s="1980"/>
      <c r="AJ73" s="1980"/>
      <c r="AK73" s="1980"/>
      <c r="AL73" s="1980"/>
      <c r="AM73" s="1980"/>
      <c r="AN73" s="1980"/>
      <c r="AO73" s="1980"/>
      <c r="AP73" s="1980"/>
      <c r="AQ73" s="1980"/>
      <c r="AR73" s="1980"/>
      <c r="AS73" s="1980"/>
      <c r="AT73" s="1980"/>
      <c r="AU73" s="1980"/>
      <c r="AV73" s="1980"/>
      <c r="AW73" s="1980"/>
      <c r="AX73" s="1980"/>
      <c r="AY73" s="1980"/>
      <c r="AZ73" s="1980"/>
      <c r="BA73" s="1980"/>
      <c r="BB73" s="1980"/>
      <c r="BC73" s="1981"/>
      <c r="BD73" s="1096"/>
      <c r="BE73" s="1100"/>
      <c r="CK73" s="1094"/>
      <c r="CL73" s="1094"/>
      <c r="CM73" s="1094"/>
      <c r="CN73" s="1094"/>
      <c r="CO73" s="1094"/>
      <c r="CP73" s="1094"/>
    </row>
    <row r="74" spans="1:94" ht="15.75" customHeight="1">
      <c r="A74" s="1096"/>
      <c r="B74" s="1924"/>
      <c r="C74" s="1925"/>
      <c r="D74" s="1925"/>
      <c r="E74" s="1925"/>
      <c r="F74" s="1925"/>
      <c r="G74" s="1925"/>
      <c r="H74" s="1925"/>
      <c r="I74" s="1925"/>
      <c r="J74" s="1925"/>
      <c r="K74" s="1925"/>
      <c r="L74" s="1925"/>
      <c r="M74" s="1925"/>
      <c r="N74" s="1925"/>
      <c r="O74" s="1970"/>
      <c r="P74" s="1970"/>
      <c r="Q74" s="1970"/>
      <c r="R74" s="1970"/>
      <c r="S74" s="1970"/>
      <c r="T74" s="1970"/>
      <c r="U74" s="1970"/>
      <c r="V74" s="1970"/>
      <c r="W74" s="1970"/>
      <c r="X74" s="1970"/>
      <c r="Y74" s="1970"/>
      <c r="Z74" s="1970"/>
      <c r="AA74" s="2086"/>
      <c r="AB74" s="1096"/>
      <c r="AC74" s="1979"/>
      <c r="AD74" s="1980"/>
      <c r="AE74" s="1980"/>
      <c r="AF74" s="1980"/>
      <c r="AG74" s="1980"/>
      <c r="AH74" s="1980"/>
      <c r="AI74" s="1980"/>
      <c r="AJ74" s="1980"/>
      <c r="AK74" s="1980"/>
      <c r="AL74" s="1980"/>
      <c r="AM74" s="1980"/>
      <c r="AN74" s="1980"/>
      <c r="AO74" s="1980"/>
      <c r="AP74" s="1980"/>
      <c r="AQ74" s="1980"/>
      <c r="AR74" s="1980"/>
      <c r="AS74" s="1980"/>
      <c r="AT74" s="1980"/>
      <c r="AU74" s="1980"/>
      <c r="AV74" s="1980"/>
      <c r="AW74" s="1980"/>
      <c r="AX74" s="1980"/>
      <c r="AY74" s="1980"/>
      <c r="AZ74" s="1980"/>
      <c r="BA74" s="1980"/>
      <c r="BB74" s="1980"/>
      <c r="BC74" s="1981"/>
      <c r="BD74" s="1096"/>
      <c r="BE74" s="1100"/>
      <c r="CK74" s="1094"/>
      <c r="CL74" s="1094"/>
      <c r="CM74" s="1094"/>
      <c r="CN74" s="1094"/>
      <c r="CO74" s="1094"/>
      <c r="CP74" s="1094"/>
    </row>
    <row r="75" spans="1:94" ht="15.75" customHeight="1" thickBot="1">
      <c r="A75" s="1096"/>
      <c r="B75" s="2091" t="s">
        <v>1489</v>
      </c>
      <c r="C75" s="2092"/>
      <c r="D75" s="2092"/>
      <c r="E75" s="2092"/>
      <c r="F75" s="2092"/>
      <c r="G75" s="2092"/>
      <c r="H75" s="2092"/>
      <c r="I75" s="2092"/>
      <c r="J75" s="2092"/>
      <c r="K75" s="2092"/>
      <c r="L75" s="2092"/>
      <c r="M75" s="2092"/>
      <c r="N75" s="2092"/>
      <c r="O75" s="2093">
        <f>SUM(O70:AA74)</f>
        <v>0</v>
      </c>
      <c r="P75" s="2093"/>
      <c r="Q75" s="2093"/>
      <c r="R75" s="2093"/>
      <c r="S75" s="2093"/>
      <c r="T75" s="2093"/>
      <c r="U75" s="2093"/>
      <c r="V75" s="2093"/>
      <c r="W75" s="2093"/>
      <c r="X75" s="2093"/>
      <c r="Y75" s="2093"/>
      <c r="Z75" s="2093"/>
      <c r="AA75" s="2094"/>
      <c r="AB75" s="1096"/>
      <c r="AC75" s="1979"/>
      <c r="AD75" s="1980"/>
      <c r="AE75" s="1980"/>
      <c r="AF75" s="1980"/>
      <c r="AG75" s="1980"/>
      <c r="AH75" s="1980"/>
      <c r="AI75" s="1980"/>
      <c r="AJ75" s="1980"/>
      <c r="AK75" s="1980"/>
      <c r="AL75" s="1980"/>
      <c r="AM75" s="1980"/>
      <c r="AN75" s="1980"/>
      <c r="AO75" s="1980"/>
      <c r="AP75" s="1980"/>
      <c r="AQ75" s="1980"/>
      <c r="AR75" s="1980"/>
      <c r="AS75" s="1980"/>
      <c r="AT75" s="1980"/>
      <c r="AU75" s="1980"/>
      <c r="AV75" s="1980"/>
      <c r="AW75" s="1980"/>
      <c r="AX75" s="1980"/>
      <c r="AY75" s="1980"/>
      <c r="AZ75" s="1980"/>
      <c r="BA75" s="1980"/>
      <c r="BB75" s="1980"/>
      <c r="BC75" s="1981"/>
      <c r="BD75" s="1096"/>
      <c r="BE75" s="1100"/>
      <c r="CK75" s="1094"/>
      <c r="CL75" s="1094"/>
      <c r="CM75" s="1094"/>
      <c r="CN75" s="1094"/>
      <c r="CO75" s="1094"/>
      <c r="CP75" s="1094"/>
    </row>
    <row r="76" spans="1:94" ht="15.75" customHeight="1">
      <c r="A76" s="1096"/>
      <c r="B76" s="1096"/>
      <c r="C76" s="1096"/>
      <c r="D76" s="1096"/>
      <c r="E76" s="1096"/>
      <c r="F76" s="1096"/>
      <c r="G76" s="1096"/>
      <c r="H76" s="1096"/>
      <c r="I76" s="1096"/>
      <c r="J76" s="1096"/>
      <c r="K76" s="1096"/>
      <c r="L76" s="1096"/>
      <c r="M76" s="1096"/>
      <c r="N76" s="1096"/>
      <c r="O76" s="1096"/>
      <c r="P76" s="1096"/>
      <c r="Q76" s="1096"/>
      <c r="R76" s="1096"/>
      <c r="S76" s="1096"/>
      <c r="T76" s="1096"/>
      <c r="U76" s="1096"/>
      <c r="V76" s="1096"/>
      <c r="W76" s="1096"/>
      <c r="X76" s="1096"/>
      <c r="Y76" s="1096"/>
      <c r="Z76" s="1096"/>
      <c r="AA76" s="1096"/>
      <c r="AB76" s="1096"/>
      <c r="AC76" s="1979"/>
      <c r="AD76" s="1980"/>
      <c r="AE76" s="1980"/>
      <c r="AF76" s="1980"/>
      <c r="AG76" s="1980"/>
      <c r="AH76" s="1980"/>
      <c r="AI76" s="1980"/>
      <c r="AJ76" s="1980"/>
      <c r="AK76" s="1980"/>
      <c r="AL76" s="1980"/>
      <c r="AM76" s="1980"/>
      <c r="AN76" s="1980"/>
      <c r="AO76" s="1980"/>
      <c r="AP76" s="1980"/>
      <c r="AQ76" s="1980"/>
      <c r="AR76" s="1980"/>
      <c r="AS76" s="1980"/>
      <c r="AT76" s="1980"/>
      <c r="AU76" s="1980"/>
      <c r="AV76" s="1980"/>
      <c r="AW76" s="1980"/>
      <c r="AX76" s="1980"/>
      <c r="AY76" s="1980"/>
      <c r="AZ76" s="1980"/>
      <c r="BA76" s="1980"/>
      <c r="BB76" s="1980"/>
      <c r="BC76" s="1981"/>
      <c r="BD76" s="1096"/>
      <c r="BE76" s="1100"/>
      <c r="CK76" s="1094"/>
      <c r="CL76" s="1094"/>
      <c r="CM76" s="1094"/>
      <c r="CN76" s="1094"/>
      <c r="CO76" s="1094"/>
      <c r="CP76" s="1094"/>
    </row>
    <row r="77" spans="1:94" ht="15.75" customHeight="1" thickBot="1">
      <c r="A77" s="1096"/>
      <c r="B77" s="1096"/>
      <c r="C77" s="1096"/>
      <c r="D77" s="1096"/>
      <c r="E77" s="1096"/>
      <c r="F77" s="1096"/>
      <c r="G77" s="1096"/>
      <c r="H77" s="1096"/>
      <c r="I77" s="1096"/>
      <c r="J77" s="1096"/>
      <c r="K77" s="1096"/>
      <c r="L77" s="1096"/>
      <c r="M77" s="1096"/>
      <c r="N77" s="1096"/>
      <c r="O77" s="1096"/>
      <c r="P77" s="1096"/>
      <c r="Q77" s="1096"/>
      <c r="R77" s="1096"/>
      <c r="S77" s="1096"/>
      <c r="T77" s="1096"/>
      <c r="U77" s="1096"/>
      <c r="V77" s="1096"/>
      <c r="W77" s="1096"/>
      <c r="X77" s="1096"/>
      <c r="Y77" s="1096"/>
      <c r="Z77" s="1096"/>
      <c r="AA77" s="1096"/>
      <c r="AB77" s="1096"/>
      <c r="AC77" s="1982"/>
      <c r="AD77" s="1983"/>
      <c r="AE77" s="1983"/>
      <c r="AF77" s="1983"/>
      <c r="AG77" s="1983"/>
      <c r="AH77" s="1983"/>
      <c r="AI77" s="1983"/>
      <c r="AJ77" s="1983"/>
      <c r="AK77" s="1983"/>
      <c r="AL77" s="1983"/>
      <c r="AM77" s="1983"/>
      <c r="AN77" s="1983"/>
      <c r="AO77" s="1983"/>
      <c r="AP77" s="1983"/>
      <c r="AQ77" s="1983"/>
      <c r="AR77" s="1983"/>
      <c r="AS77" s="1983"/>
      <c r="AT77" s="1983"/>
      <c r="AU77" s="1983"/>
      <c r="AV77" s="1983"/>
      <c r="AW77" s="1983"/>
      <c r="AX77" s="1983"/>
      <c r="AY77" s="1983"/>
      <c r="AZ77" s="1983"/>
      <c r="BA77" s="1983"/>
      <c r="BB77" s="1983"/>
      <c r="BC77" s="1984"/>
      <c r="BD77" s="1096"/>
      <c r="BE77" s="1100"/>
      <c r="CK77" s="1094"/>
      <c r="CL77" s="1094"/>
      <c r="CM77" s="1094"/>
      <c r="CN77" s="1094"/>
      <c r="CO77" s="1094"/>
      <c r="CP77" s="1094"/>
    </row>
    <row r="78" spans="1:94" ht="15.75" customHeight="1" thickBot="1">
      <c r="A78" s="1096"/>
      <c r="B78" s="1109" t="s">
        <v>1978</v>
      </c>
      <c r="C78" s="1110"/>
      <c r="D78" s="1111"/>
      <c r="E78" s="1111"/>
      <c r="F78" s="1111"/>
      <c r="G78" s="1111"/>
      <c r="H78" s="1111"/>
      <c r="I78" s="1111"/>
      <c r="J78" s="1111"/>
      <c r="K78" s="1111"/>
      <c r="L78" s="1111"/>
      <c r="M78" s="1111"/>
      <c r="N78" s="1111"/>
      <c r="O78" s="1111"/>
      <c r="P78" s="1111"/>
      <c r="Q78" s="1111"/>
      <c r="R78" s="1111"/>
      <c r="S78" s="1111"/>
      <c r="T78" s="1112"/>
      <c r="U78" s="1096"/>
      <c r="V78" s="1096"/>
      <c r="W78" s="1096"/>
      <c r="X78" s="1096"/>
      <c r="Y78" s="1096"/>
      <c r="Z78" s="1096"/>
      <c r="AA78" s="1096"/>
      <c r="AB78" s="1096"/>
      <c r="AC78" s="1096"/>
      <c r="AD78" s="1096"/>
      <c r="AE78" s="1096"/>
      <c r="AF78" s="1096"/>
      <c r="AG78" s="1096"/>
      <c r="AH78" s="1096"/>
      <c r="AI78" s="1096"/>
      <c r="AJ78" s="1096"/>
      <c r="AK78" s="1096"/>
      <c r="AL78" s="1096"/>
      <c r="AM78" s="1096"/>
      <c r="AN78" s="1096"/>
      <c r="AO78" s="1096"/>
      <c r="AP78" s="1096"/>
      <c r="AQ78" s="1096"/>
      <c r="AR78" s="1096"/>
      <c r="AS78" s="1096"/>
      <c r="AT78" s="1096"/>
      <c r="AU78" s="1096"/>
      <c r="AV78" s="1096"/>
      <c r="AW78" s="1096"/>
      <c r="AX78" s="1096"/>
      <c r="AY78" s="1096"/>
      <c r="AZ78" s="1096"/>
      <c r="BA78" s="1096"/>
      <c r="BB78" s="1096"/>
      <c r="BC78" s="1096"/>
      <c r="BD78" s="1096"/>
      <c r="BE78" s="1100"/>
      <c r="CK78" s="1094"/>
      <c r="CL78" s="1094"/>
      <c r="CM78" s="1094"/>
      <c r="CN78" s="1094"/>
      <c r="CO78" s="1094"/>
      <c r="CP78" s="1094"/>
    </row>
    <row r="79" spans="1:94" ht="15.75" customHeight="1">
      <c r="A79" s="1096"/>
      <c r="B79" s="1109" t="s">
        <v>1979</v>
      </c>
      <c r="C79" s="1113"/>
      <c r="D79" s="1113"/>
      <c r="E79" s="1114"/>
      <c r="F79" s="2074"/>
      <c r="G79" s="2075"/>
      <c r="H79" s="2075"/>
      <c r="I79" s="2075"/>
      <c r="J79" s="2075"/>
      <c r="K79" s="2075"/>
      <c r="L79" s="2075"/>
      <c r="M79" s="2075"/>
      <c r="N79" s="2075"/>
      <c r="O79" s="2075"/>
      <c r="P79" s="2075"/>
      <c r="Q79" s="2075"/>
      <c r="R79" s="2075"/>
      <c r="S79" s="2075"/>
      <c r="T79" s="2076"/>
      <c r="U79" s="1096"/>
      <c r="V79" s="1096"/>
      <c r="W79" s="1096"/>
      <c r="X79" s="1096"/>
      <c r="Y79" s="1096"/>
      <c r="Z79" s="1096"/>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c r="AV79" s="1096"/>
      <c r="AW79" s="1096"/>
      <c r="AX79" s="1096"/>
      <c r="AY79" s="1096"/>
      <c r="AZ79" s="1096"/>
      <c r="BA79" s="1096"/>
      <c r="BB79" s="1096"/>
      <c r="BC79" s="1096"/>
      <c r="BD79" s="1096"/>
      <c r="BE79" s="1100"/>
      <c r="CK79" s="1094"/>
      <c r="CL79" s="1094"/>
      <c r="CM79" s="1094"/>
      <c r="CN79" s="1094"/>
      <c r="CO79" s="1094"/>
      <c r="CP79" s="1094"/>
    </row>
    <row r="80" spans="1:94" ht="15.75" customHeight="1" thickBot="1">
      <c r="A80" s="1096"/>
      <c r="B80" s="1096"/>
      <c r="C80" s="1096"/>
      <c r="D80" s="1096"/>
      <c r="E80" s="1096"/>
      <c r="F80" s="1096"/>
      <c r="G80" s="1096"/>
      <c r="H80" s="1096"/>
      <c r="I80" s="1096"/>
      <c r="J80" s="1096"/>
      <c r="K80" s="1096"/>
      <c r="L80" s="1096"/>
      <c r="M80" s="1096"/>
      <c r="N80" s="1096"/>
      <c r="O80" s="1096"/>
      <c r="P80" s="1096"/>
      <c r="Q80" s="1096"/>
      <c r="R80" s="1096"/>
      <c r="S80" s="1096"/>
      <c r="T80" s="1096"/>
      <c r="U80" s="1096"/>
      <c r="V80" s="1096"/>
      <c r="W80" s="1096"/>
      <c r="X80" s="1096"/>
      <c r="Y80" s="1096"/>
      <c r="Z80" s="1096"/>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c r="AV80" s="1096"/>
      <c r="AW80" s="1096"/>
      <c r="AX80" s="1096"/>
      <c r="AY80" s="1096"/>
      <c r="AZ80" s="1096"/>
      <c r="BA80" s="1096"/>
      <c r="BB80" s="1096"/>
      <c r="BC80" s="1096"/>
      <c r="BD80" s="1096"/>
      <c r="BE80" s="1100"/>
      <c r="CK80" s="1094"/>
      <c r="CL80" s="1094"/>
      <c r="CM80" s="1094"/>
      <c r="CN80" s="1094"/>
      <c r="CO80" s="1094"/>
      <c r="CP80" s="1094"/>
    </row>
    <row r="81" spans="1:94" ht="15.75" customHeight="1">
      <c r="A81" s="1096"/>
      <c r="B81" s="2077" t="s">
        <v>1980</v>
      </c>
      <c r="C81" s="2078"/>
      <c r="D81" s="2078"/>
      <c r="E81" s="2078"/>
      <c r="F81" s="2078"/>
      <c r="G81" s="2078"/>
      <c r="H81" s="2078"/>
      <c r="I81" s="2078"/>
      <c r="J81" s="2078"/>
      <c r="K81" s="2078"/>
      <c r="L81" s="2078"/>
      <c r="M81" s="2078"/>
      <c r="N81" s="2078"/>
      <c r="O81" s="2078"/>
      <c r="P81" s="2078"/>
      <c r="Q81" s="2078"/>
      <c r="R81" s="2078"/>
      <c r="S81" s="2078"/>
      <c r="T81" s="2078"/>
      <c r="U81" s="2078"/>
      <c r="V81" s="2078"/>
      <c r="W81" s="2078"/>
      <c r="X81" s="2078"/>
      <c r="Y81" s="2078"/>
      <c r="Z81" s="2078"/>
      <c r="AA81" s="2078"/>
      <c r="AB81" s="2078"/>
      <c r="AC81" s="2078"/>
      <c r="AD81" s="2078"/>
      <c r="AE81" s="2078"/>
      <c r="AF81" s="2078"/>
      <c r="AG81" s="2078"/>
      <c r="AH81" s="2079"/>
      <c r="AI81" s="1096"/>
      <c r="AJ81" s="2061" t="s">
        <v>1981</v>
      </c>
      <c r="AK81" s="2062"/>
      <c r="AL81" s="2062"/>
      <c r="AM81" s="2062"/>
      <c r="AN81" s="2062"/>
      <c r="AO81" s="2062"/>
      <c r="AP81" s="2062"/>
      <c r="AQ81" s="2062"/>
      <c r="AR81" s="2062"/>
      <c r="AS81" s="2062"/>
      <c r="AT81" s="2062"/>
      <c r="AU81" s="2062"/>
      <c r="AV81" s="2062"/>
      <c r="AW81" s="2062"/>
      <c r="AX81" s="2062"/>
      <c r="AY81" s="2080" t="s">
        <v>856</v>
      </c>
      <c r="AZ81" s="2080"/>
      <c r="BA81" s="2080"/>
      <c r="BB81" s="2081"/>
      <c r="BC81" s="1096"/>
      <c r="BD81" s="1096"/>
      <c r="BE81" s="1100"/>
      <c r="CK81" s="1094"/>
      <c r="CL81" s="1094"/>
      <c r="CM81" s="1094"/>
      <c r="CN81" s="1094"/>
      <c r="CO81" s="1094"/>
      <c r="CP81" s="1094"/>
    </row>
    <row r="82" spans="1:94" ht="15.75" customHeight="1">
      <c r="A82" s="1096"/>
      <c r="B82" s="2042"/>
      <c r="C82" s="2036"/>
      <c r="D82" s="2036"/>
      <c r="E82" s="2036"/>
      <c r="F82" s="2036"/>
      <c r="G82" s="2036"/>
      <c r="H82" s="2036"/>
      <c r="I82" s="2036" t="s">
        <v>1982</v>
      </c>
      <c r="J82" s="2036"/>
      <c r="K82" s="2036"/>
      <c r="L82" s="2036"/>
      <c r="M82" s="2036"/>
      <c r="N82" s="2036"/>
      <c r="O82" s="2036" t="s">
        <v>1983</v>
      </c>
      <c r="P82" s="2036"/>
      <c r="Q82" s="2036"/>
      <c r="R82" s="2036"/>
      <c r="S82" s="2036"/>
      <c r="T82" s="2036"/>
      <c r="U82" s="2036"/>
      <c r="V82" s="2072" t="s">
        <v>1984</v>
      </c>
      <c r="W82" s="2072"/>
      <c r="X82" s="2072"/>
      <c r="Y82" s="2072"/>
      <c r="Z82" s="2072"/>
      <c r="AA82" s="2072"/>
      <c r="AB82" s="2009" t="s">
        <v>1985</v>
      </c>
      <c r="AC82" s="2009"/>
      <c r="AD82" s="2009"/>
      <c r="AE82" s="2009"/>
      <c r="AF82" s="2009"/>
      <c r="AG82" s="2009"/>
      <c r="AH82" s="2073"/>
      <c r="AI82" s="1096"/>
      <c r="AJ82" s="2064"/>
      <c r="AK82" s="2065"/>
      <c r="AL82" s="2065"/>
      <c r="AM82" s="2065"/>
      <c r="AN82" s="2065"/>
      <c r="AO82" s="2065"/>
      <c r="AP82" s="2065"/>
      <c r="AQ82" s="2065"/>
      <c r="AR82" s="2065"/>
      <c r="AS82" s="2065"/>
      <c r="AT82" s="2065"/>
      <c r="AU82" s="2065"/>
      <c r="AV82" s="2065"/>
      <c r="AW82" s="2065"/>
      <c r="AX82" s="2065"/>
      <c r="AY82" s="2082"/>
      <c r="AZ82" s="2082"/>
      <c r="BA82" s="2082"/>
      <c r="BB82" s="2083"/>
      <c r="BC82" s="1096"/>
      <c r="BD82" s="1096"/>
      <c r="BE82" s="1100"/>
      <c r="CK82" s="1094"/>
      <c r="CL82" s="1094"/>
      <c r="CM82" s="1094"/>
      <c r="CN82" s="1094"/>
      <c r="CO82" s="1094"/>
      <c r="CP82" s="1094"/>
    </row>
    <row r="83" spans="1:94" ht="15.75" customHeight="1">
      <c r="A83" s="1096"/>
      <c r="B83" s="2042"/>
      <c r="C83" s="2036"/>
      <c r="D83" s="2036"/>
      <c r="E83" s="2036"/>
      <c r="F83" s="2036"/>
      <c r="G83" s="2036"/>
      <c r="H83" s="2036"/>
      <c r="I83" s="2036"/>
      <c r="J83" s="2036"/>
      <c r="K83" s="2036"/>
      <c r="L83" s="2036"/>
      <c r="M83" s="2036"/>
      <c r="N83" s="2036"/>
      <c r="O83" s="2036"/>
      <c r="P83" s="2036"/>
      <c r="Q83" s="2036"/>
      <c r="R83" s="2036"/>
      <c r="S83" s="2036"/>
      <c r="T83" s="2036"/>
      <c r="U83" s="2036"/>
      <c r="V83" s="2072"/>
      <c r="W83" s="2072"/>
      <c r="X83" s="2072"/>
      <c r="Y83" s="2072"/>
      <c r="Z83" s="2072"/>
      <c r="AA83" s="2072"/>
      <c r="AB83" s="2009"/>
      <c r="AC83" s="2009"/>
      <c r="AD83" s="2009"/>
      <c r="AE83" s="2009"/>
      <c r="AF83" s="2009"/>
      <c r="AG83" s="2009"/>
      <c r="AH83" s="2073"/>
      <c r="AI83" s="1096"/>
      <c r="AJ83" s="2064"/>
      <c r="AK83" s="2065"/>
      <c r="AL83" s="2065"/>
      <c r="AM83" s="2065"/>
      <c r="AN83" s="2065"/>
      <c r="AO83" s="2065"/>
      <c r="AP83" s="2065"/>
      <c r="AQ83" s="2065"/>
      <c r="AR83" s="2065"/>
      <c r="AS83" s="2065"/>
      <c r="AT83" s="2065"/>
      <c r="AU83" s="2065"/>
      <c r="AV83" s="2065"/>
      <c r="AW83" s="2065"/>
      <c r="AX83" s="2065"/>
      <c r="AY83" s="2082"/>
      <c r="AZ83" s="2082"/>
      <c r="BA83" s="2082"/>
      <c r="BB83" s="2083"/>
      <c r="BC83" s="1096"/>
      <c r="BD83" s="1096"/>
      <c r="BE83" s="1100"/>
      <c r="CK83" s="1094"/>
      <c r="CL83" s="1094"/>
      <c r="CM83" s="1094"/>
      <c r="CN83" s="1094"/>
      <c r="CO83" s="1094"/>
      <c r="CP83" s="1094"/>
    </row>
    <row r="84" spans="1:94" ht="15.75" customHeight="1">
      <c r="A84" s="1096"/>
      <c r="B84" s="2042" t="s">
        <v>1986</v>
      </c>
      <c r="C84" s="2036"/>
      <c r="D84" s="2036"/>
      <c r="E84" s="2036"/>
      <c r="F84" s="2036"/>
      <c r="G84" s="2036"/>
      <c r="H84" s="2036"/>
      <c r="I84" s="2012">
        <v>0</v>
      </c>
      <c r="J84" s="2012"/>
      <c r="K84" s="2012"/>
      <c r="L84" s="2012"/>
      <c r="M84" s="2012"/>
      <c r="N84" s="2012"/>
      <c r="O84" s="2012">
        <v>0</v>
      </c>
      <c r="P84" s="2012"/>
      <c r="Q84" s="2012"/>
      <c r="R84" s="2012"/>
      <c r="S84" s="2012"/>
      <c r="T84" s="2012"/>
      <c r="U84" s="2012"/>
      <c r="V84" s="2012">
        <v>0</v>
      </c>
      <c r="W84" s="2012"/>
      <c r="X84" s="2012"/>
      <c r="Y84" s="2012"/>
      <c r="Z84" s="2012"/>
      <c r="AA84" s="2012"/>
      <c r="AB84" s="2012">
        <v>0</v>
      </c>
      <c r="AC84" s="2012"/>
      <c r="AD84" s="2012"/>
      <c r="AE84" s="2012"/>
      <c r="AF84" s="2012"/>
      <c r="AG84" s="2012"/>
      <c r="AH84" s="2013"/>
      <c r="AI84" s="1096"/>
      <c r="AJ84" s="2064"/>
      <c r="AK84" s="2065"/>
      <c r="AL84" s="2065"/>
      <c r="AM84" s="2065"/>
      <c r="AN84" s="2065"/>
      <c r="AO84" s="2065"/>
      <c r="AP84" s="2065"/>
      <c r="AQ84" s="2065"/>
      <c r="AR84" s="2065"/>
      <c r="AS84" s="2065"/>
      <c r="AT84" s="2065"/>
      <c r="AU84" s="2065"/>
      <c r="AV84" s="2065"/>
      <c r="AW84" s="2065"/>
      <c r="AX84" s="2065"/>
      <c r="AY84" s="2082"/>
      <c r="AZ84" s="2082"/>
      <c r="BA84" s="2082"/>
      <c r="BB84" s="2083"/>
      <c r="BC84" s="1096"/>
      <c r="BD84" s="1096"/>
      <c r="BE84" s="1100"/>
      <c r="CK84" s="1094"/>
      <c r="CL84" s="1094"/>
      <c r="CM84" s="1094"/>
      <c r="CN84" s="1094"/>
      <c r="CO84" s="1094"/>
      <c r="CP84" s="1094"/>
    </row>
    <row r="85" spans="1:94" ht="15.75" customHeight="1">
      <c r="A85" s="1096"/>
      <c r="B85" s="2042" t="s">
        <v>1987</v>
      </c>
      <c r="C85" s="2036"/>
      <c r="D85" s="2036"/>
      <c r="E85" s="2036"/>
      <c r="F85" s="2036"/>
      <c r="G85" s="2036"/>
      <c r="H85" s="2036"/>
      <c r="I85" s="2012">
        <v>0</v>
      </c>
      <c r="J85" s="2012"/>
      <c r="K85" s="2012"/>
      <c r="L85" s="2012"/>
      <c r="M85" s="2012"/>
      <c r="N85" s="2012"/>
      <c r="O85" s="2012">
        <v>0</v>
      </c>
      <c r="P85" s="2012"/>
      <c r="Q85" s="2012"/>
      <c r="R85" s="2012"/>
      <c r="S85" s="2012"/>
      <c r="T85" s="2012"/>
      <c r="U85" s="2012"/>
      <c r="V85" s="2012">
        <v>0</v>
      </c>
      <c r="W85" s="2012"/>
      <c r="X85" s="2012"/>
      <c r="Y85" s="2012"/>
      <c r="Z85" s="2012"/>
      <c r="AA85" s="2012"/>
      <c r="AB85" s="2012">
        <v>0</v>
      </c>
      <c r="AC85" s="2012"/>
      <c r="AD85" s="2012"/>
      <c r="AE85" s="2012"/>
      <c r="AF85" s="2012"/>
      <c r="AG85" s="2012"/>
      <c r="AH85" s="2013"/>
      <c r="AI85" s="1096"/>
      <c r="AJ85" s="1979" t="s">
        <v>1988</v>
      </c>
      <c r="AK85" s="1980"/>
      <c r="AL85" s="1980"/>
      <c r="AM85" s="1980"/>
      <c r="AN85" s="1980"/>
      <c r="AO85" s="1980"/>
      <c r="AP85" s="1980"/>
      <c r="AQ85" s="1980"/>
      <c r="AR85" s="1980"/>
      <c r="AS85" s="1980"/>
      <c r="AT85" s="1980"/>
      <c r="AU85" s="1980"/>
      <c r="AV85" s="1980"/>
      <c r="AW85" s="1980"/>
      <c r="AX85" s="1980"/>
      <c r="AY85" s="1980"/>
      <c r="AZ85" s="1980"/>
      <c r="BA85" s="1980"/>
      <c r="BB85" s="1981"/>
      <c r="BC85" s="1096"/>
      <c r="BD85" s="1096"/>
      <c r="BE85" s="1100"/>
      <c r="CK85" s="1094"/>
      <c r="CL85" s="1094"/>
      <c r="CM85" s="1094"/>
      <c r="CN85" s="1094"/>
      <c r="CO85" s="1094"/>
      <c r="CP85" s="1094"/>
    </row>
    <row r="86" spans="1:94" ht="15.75" customHeight="1" thickBot="1">
      <c r="A86" s="1096"/>
      <c r="B86" s="2070" t="s">
        <v>1989</v>
      </c>
      <c r="C86" s="2071"/>
      <c r="D86" s="2071"/>
      <c r="E86" s="2071"/>
      <c r="F86" s="2071"/>
      <c r="G86" s="2071"/>
      <c r="H86" s="2071"/>
      <c r="I86" s="2006">
        <v>0</v>
      </c>
      <c r="J86" s="2006"/>
      <c r="K86" s="2006"/>
      <c r="L86" s="2006"/>
      <c r="M86" s="2006"/>
      <c r="N86" s="2006"/>
      <c r="O86" s="2006">
        <v>0</v>
      </c>
      <c r="P86" s="2006"/>
      <c r="Q86" s="2006"/>
      <c r="R86" s="2006"/>
      <c r="S86" s="2006"/>
      <c r="T86" s="2006"/>
      <c r="U86" s="2006"/>
      <c r="V86" s="2006">
        <v>0</v>
      </c>
      <c r="W86" s="2006"/>
      <c r="X86" s="2006"/>
      <c r="Y86" s="2006"/>
      <c r="Z86" s="2006"/>
      <c r="AA86" s="2006"/>
      <c r="AB86" s="2006">
        <v>0</v>
      </c>
      <c r="AC86" s="2006"/>
      <c r="AD86" s="2006"/>
      <c r="AE86" s="2006"/>
      <c r="AF86" s="2006"/>
      <c r="AG86" s="2006"/>
      <c r="AH86" s="2007"/>
      <c r="AI86" s="1096"/>
      <c r="AJ86" s="1982"/>
      <c r="AK86" s="1983"/>
      <c r="AL86" s="1983"/>
      <c r="AM86" s="1983"/>
      <c r="AN86" s="1983"/>
      <c r="AO86" s="1983"/>
      <c r="AP86" s="1983"/>
      <c r="AQ86" s="1983"/>
      <c r="AR86" s="1983"/>
      <c r="AS86" s="1983"/>
      <c r="AT86" s="1983"/>
      <c r="AU86" s="1983"/>
      <c r="AV86" s="1983"/>
      <c r="AW86" s="1983"/>
      <c r="AX86" s="1983"/>
      <c r="AY86" s="1983"/>
      <c r="AZ86" s="1983"/>
      <c r="BA86" s="1983"/>
      <c r="BB86" s="1984"/>
      <c r="BC86" s="1096"/>
      <c r="BD86" s="1096"/>
      <c r="BE86" s="1100"/>
      <c r="CK86" s="1094"/>
      <c r="CL86" s="1094"/>
      <c r="CM86" s="1094"/>
      <c r="CN86" s="1094"/>
      <c r="CO86" s="1094"/>
      <c r="CP86" s="1094"/>
    </row>
    <row r="87" spans="1:94" ht="15.75" customHeight="1">
      <c r="A87" s="1096"/>
      <c r="B87" s="1096"/>
      <c r="C87" s="1096"/>
      <c r="D87" s="1096"/>
      <c r="E87" s="1096"/>
      <c r="F87" s="1096"/>
      <c r="G87" s="1096"/>
      <c r="H87" s="1096"/>
      <c r="I87" s="1096"/>
      <c r="J87" s="1096"/>
      <c r="K87" s="1096"/>
      <c r="L87" s="1096"/>
      <c r="M87" s="1096"/>
      <c r="N87" s="1096"/>
      <c r="O87" s="1096"/>
      <c r="P87" s="1096"/>
      <c r="Q87" s="1096"/>
      <c r="R87" s="1096"/>
      <c r="S87" s="1096"/>
      <c r="T87" s="1096"/>
      <c r="U87" s="1096"/>
      <c r="V87" s="1096"/>
      <c r="W87" s="1096"/>
      <c r="X87" s="1096"/>
      <c r="Y87" s="1096"/>
      <c r="Z87" s="10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c r="AV87" s="1096"/>
      <c r="AW87" s="1096"/>
      <c r="AX87" s="1096"/>
      <c r="AY87" s="1096"/>
      <c r="AZ87" s="1096"/>
      <c r="BA87" s="1096"/>
      <c r="BB87" s="1096"/>
      <c r="BC87" s="1096"/>
      <c r="BD87" s="1096"/>
      <c r="BE87" s="1100"/>
      <c r="CM87" s="1094"/>
      <c r="CN87" s="1094"/>
      <c r="CO87" s="1094"/>
      <c r="CP87" s="1094"/>
    </row>
    <row r="88" spans="1:94" ht="15.75" customHeight="1" thickBot="1">
      <c r="A88" s="1096"/>
      <c r="B88" s="1096"/>
      <c r="C88" s="1096"/>
      <c r="D88" s="1096"/>
      <c r="E88" s="1096"/>
      <c r="F88" s="1096"/>
      <c r="G88" s="1096"/>
      <c r="H88" s="1096"/>
      <c r="I88" s="1096"/>
      <c r="J88" s="1096"/>
      <c r="K88" s="1096"/>
      <c r="L88" s="1096"/>
      <c r="M88" s="1096"/>
      <c r="N88" s="1096"/>
      <c r="O88" s="1096"/>
      <c r="P88" s="1096"/>
      <c r="Q88" s="1096"/>
      <c r="R88" s="1096"/>
      <c r="S88" s="1096"/>
      <c r="T88" s="1096"/>
      <c r="U88" s="1096"/>
      <c r="V88" s="1096"/>
      <c r="W88" s="1096"/>
      <c r="X88" s="1096"/>
      <c r="Y88" s="1096"/>
      <c r="Z88" s="1096"/>
      <c r="AA88" s="1096"/>
      <c r="AB88" s="1096"/>
      <c r="AC88" s="1096"/>
      <c r="AD88" s="1096"/>
      <c r="AE88" s="1096"/>
      <c r="AF88" s="1096"/>
      <c r="AG88" s="1096"/>
      <c r="AH88" s="1096"/>
      <c r="AI88" s="1096"/>
      <c r="AJ88" s="1096"/>
      <c r="AK88" s="1096"/>
      <c r="AL88" s="1096"/>
      <c r="AM88" s="1096"/>
      <c r="AN88" s="1096"/>
      <c r="AO88" s="1096"/>
      <c r="AP88" s="1096"/>
      <c r="AQ88" s="1096"/>
      <c r="AR88" s="1096"/>
      <c r="AS88" s="1096"/>
      <c r="AT88" s="1096"/>
      <c r="AU88" s="1096"/>
      <c r="AV88" s="1096"/>
      <c r="AW88" s="1096"/>
      <c r="AX88" s="1096"/>
      <c r="AY88" s="1096"/>
      <c r="AZ88" s="1096"/>
      <c r="BA88" s="1096"/>
      <c r="BB88" s="1096"/>
      <c r="BC88" s="1096"/>
      <c r="BD88" s="1096"/>
      <c r="BE88" s="1100"/>
      <c r="CM88" s="1094"/>
      <c r="CN88" s="1094"/>
      <c r="CO88" s="1094"/>
      <c r="CP88" s="1094"/>
    </row>
    <row r="89" spans="1:94" ht="15.75" customHeight="1" thickBot="1">
      <c r="A89" s="1096"/>
      <c r="B89" s="1109" t="s">
        <v>1990</v>
      </c>
      <c r="C89" s="1115"/>
      <c r="D89" s="1116"/>
      <c r="E89" s="1117"/>
      <c r="F89" s="1117"/>
      <c r="G89" s="1117"/>
      <c r="H89" s="1117"/>
      <c r="I89" s="1117"/>
      <c r="J89" s="1117"/>
      <c r="K89" s="1117"/>
      <c r="L89" s="1117"/>
      <c r="M89" s="1117"/>
      <c r="N89" s="1117"/>
      <c r="O89" s="1117"/>
      <c r="P89" s="1117"/>
      <c r="Q89" s="1117"/>
      <c r="R89" s="1117"/>
      <c r="S89" s="1117"/>
      <c r="T89" s="1118"/>
      <c r="U89" s="1096"/>
      <c r="V89" s="1096"/>
      <c r="W89" s="1096"/>
      <c r="X89" s="1096"/>
      <c r="Y89" s="1096"/>
      <c r="Z89" s="1096"/>
      <c r="AA89" s="1096"/>
      <c r="AB89" s="1096"/>
      <c r="AC89" s="1096"/>
      <c r="AD89" s="1096"/>
      <c r="AE89" s="1096"/>
      <c r="AF89" s="1096"/>
      <c r="AG89" s="1096"/>
      <c r="AH89" s="1096"/>
      <c r="AI89" s="1096"/>
      <c r="AJ89" s="1096"/>
      <c r="AK89" s="1096"/>
      <c r="AL89" s="1096"/>
      <c r="AM89" s="1096"/>
      <c r="AN89" s="1096"/>
      <c r="AO89" s="1096"/>
      <c r="AP89" s="1096"/>
      <c r="AQ89" s="1096"/>
      <c r="AR89" s="1096"/>
      <c r="AS89" s="1096"/>
      <c r="AT89" s="1096"/>
      <c r="AU89" s="1096"/>
      <c r="AV89" s="1096"/>
      <c r="AW89" s="1096"/>
      <c r="AX89" s="1096"/>
      <c r="AY89" s="1096"/>
      <c r="AZ89" s="1096"/>
      <c r="BA89" s="1096"/>
      <c r="BB89" s="1096"/>
      <c r="BC89" s="1096"/>
      <c r="BD89" s="1096"/>
      <c r="BE89" s="1100"/>
      <c r="BQ89" s="1078"/>
      <c r="CM89" s="1094"/>
      <c r="CN89" s="1094"/>
      <c r="CO89" s="1094"/>
      <c r="CP89" s="1094"/>
    </row>
    <row r="90" spans="1:94" ht="15.75" customHeight="1">
      <c r="A90" s="1096"/>
      <c r="B90" s="1119" t="s">
        <v>1979</v>
      </c>
      <c r="C90" s="1119"/>
      <c r="D90" s="1120"/>
      <c r="E90" s="1121"/>
      <c r="F90" s="2074"/>
      <c r="G90" s="2075"/>
      <c r="H90" s="2075"/>
      <c r="I90" s="2075"/>
      <c r="J90" s="2075"/>
      <c r="K90" s="2075"/>
      <c r="L90" s="2075"/>
      <c r="M90" s="2075"/>
      <c r="N90" s="2075"/>
      <c r="O90" s="2075"/>
      <c r="P90" s="2075"/>
      <c r="Q90" s="2075"/>
      <c r="R90" s="2075"/>
      <c r="S90" s="2075"/>
      <c r="T90" s="2076"/>
      <c r="U90" s="1096"/>
      <c r="V90" s="1096"/>
      <c r="W90" s="1096"/>
      <c r="X90" s="1096"/>
      <c r="Y90" s="1096"/>
      <c r="Z90" s="1096"/>
      <c r="AA90" s="1096"/>
      <c r="AB90" s="1096"/>
      <c r="AC90" s="1096"/>
      <c r="AD90" s="1096"/>
      <c r="AE90" s="1096"/>
      <c r="AF90" s="1096"/>
      <c r="AG90" s="1096"/>
      <c r="AH90" s="1096"/>
      <c r="AI90" s="1096"/>
      <c r="AJ90" s="1096"/>
      <c r="AK90" s="1096"/>
      <c r="AL90" s="1096"/>
      <c r="AM90" s="1096"/>
      <c r="AN90" s="1096"/>
      <c r="AO90" s="1096"/>
      <c r="AP90" s="1096"/>
      <c r="AQ90" s="1096"/>
      <c r="AR90" s="1096"/>
      <c r="AS90" s="1096"/>
      <c r="AT90" s="1096"/>
      <c r="AU90" s="1096"/>
      <c r="AV90" s="1096"/>
      <c r="AW90" s="1096"/>
      <c r="AX90" s="1096"/>
      <c r="AY90" s="1096"/>
      <c r="AZ90" s="1096"/>
      <c r="BA90" s="1096"/>
      <c r="BB90" s="1096"/>
      <c r="BC90" s="1096"/>
      <c r="BD90" s="1096"/>
      <c r="BE90" s="1100"/>
      <c r="CM90" s="1094"/>
      <c r="CN90" s="1094"/>
      <c r="CO90" s="1094"/>
      <c r="CP90" s="1094"/>
    </row>
    <row r="91" spans="1:94" ht="15.75" customHeight="1" thickBot="1">
      <c r="A91" s="1096"/>
      <c r="B91" s="1096"/>
      <c r="C91" s="1096"/>
      <c r="D91" s="1096"/>
      <c r="E91" s="1096"/>
      <c r="F91" s="1096"/>
      <c r="G91" s="1096"/>
      <c r="H91" s="1096"/>
      <c r="I91" s="1096"/>
      <c r="J91" s="1096"/>
      <c r="K91" s="1096"/>
      <c r="L91" s="1096"/>
      <c r="M91" s="1096"/>
      <c r="N91" s="1096"/>
      <c r="O91" s="1096"/>
      <c r="P91" s="1096"/>
      <c r="Q91" s="1096"/>
      <c r="R91" s="1096"/>
      <c r="S91" s="1096"/>
      <c r="T91" s="1096"/>
      <c r="U91" s="1096"/>
      <c r="V91" s="1096"/>
      <c r="W91" s="1096"/>
      <c r="X91" s="1096"/>
      <c r="Y91" s="1096"/>
      <c r="Z91" s="1096"/>
      <c r="AA91" s="1096"/>
      <c r="AB91" s="1096"/>
      <c r="AC91" s="1096"/>
      <c r="AD91" s="1096"/>
      <c r="AE91" s="1096"/>
      <c r="AF91" s="1096"/>
      <c r="AG91" s="1096"/>
      <c r="AH91" s="1096"/>
      <c r="AI91" s="1096"/>
      <c r="AJ91" s="1096"/>
      <c r="AK91" s="1096"/>
      <c r="AL91" s="1096"/>
      <c r="AM91" s="1096"/>
      <c r="AN91" s="1096"/>
      <c r="AO91" s="1096"/>
      <c r="AP91" s="1096"/>
      <c r="AQ91" s="1096"/>
      <c r="AR91" s="1096"/>
      <c r="AS91" s="1096"/>
      <c r="AT91" s="1096"/>
      <c r="AU91" s="1096"/>
      <c r="AV91" s="1096"/>
      <c r="AW91" s="1096"/>
      <c r="AX91" s="1096"/>
      <c r="AY91" s="1096"/>
      <c r="AZ91" s="1096"/>
      <c r="BA91" s="1096"/>
      <c r="BB91" s="1096"/>
      <c r="BC91" s="1096"/>
      <c r="BD91" s="1096"/>
      <c r="BE91" s="1100"/>
      <c r="BH91" s="1122"/>
      <c r="BI91" s="1122"/>
      <c r="BJ91" s="1122"/>
      <c r="BK91" s="1122"/>
      <c r="BL91" s="1122"/>
      <c r="BM91" s="1122"/>
      <c r="BN91" s="1122"/>
      <c r="BO91" s="1122"/>
      <c r="BP91" s="1122"/>
      <c r="BQ91" s="1122"/>
      <c r="BR91" s="1122"/>
      <c r="BS91" s="1122"/>
      <c r="CM91" s="1094"/>
      <c r="CN91" s="1094"/>
      <c r="CO91" s="1094"/>
      <c r="CP91" s="1094"/>
    </row>
    <row r="92" spans="1:94" ht="15.75" customHeight="1">
      <c r="A92" s="1096"/>
      <c r="B92" s="2077" t="s">
        <v>1991</v>
      </c>
      <c r="C92" s="2078"/>
      <c r="D92" s="2078"/>
      <c r="E92" s="2078"/>
      <c r="F92" s="2078"/>
      <c r="G92" s="2078"/>
      <c r="H92" s="2078"/>
      <c r="I92" s="2078"/>
      <c r="J92" s="2078"/>
      <c r="K92" s="2078"/>
      <c r="L92" s="2078"/>
      <c r="M92" s="2078"/>
      <c r="N92" s="2078"/>
      <c r="O92" s="2078"/>
      <c r="P92" s="2078"/>
      <c r="Q92" s="2078"/>
      <c r="R92" s="2078"/>
      <c r="S92" s="2078"/>
      <c r="T92" s="2078"/>
      <c r="U92" s="2078"/>
      <c r="V92" s="2078"/>
      <c r="W92" s="2078"/>
      <c r="X92" s="2078"/>
      <c r="Y92" s="2078"/>
      <c r="Z92" s="2078"/>
      <c r="AA92" s="2078"/>
      <c r="AB92" s="2078"/>
      <c r="AC92" s="2078"/>
      <c r="AD92" s="2078"/>
      <c r="AE92" s="2078"/>
      <c r="AF92" s="2078"/>
      <c r="AG92" s="2078"/>
      <c r="AH92" s="2079"/>
      <c r="AI92" s="1096"/>
      <c r="AJ92" s="2061" t="s">
        <v>1992</v>
      </c>
      <c r="AK92" s="2062"/>
      <c r="AL92" s="2062"/>
      <c r="AM92" s="2062"/>
      <c r="AN92" s="2062"/>
      <c r="AO92" s="2062"/>
      <c r="AP92" s="2062"/>
      <c r="AQ92" s="2062"/>
      <c r="AR92" s="2062"/>
      <c r="AS92" s="2062"/>
      <c r="AT92" s="2062"/>
      <c r="AU92" s="2062"/>
      <c r="AV92" s="2062"/>
      <c r="AW92" s="2062"/>
      <c r="AX92" s="2062"/>
      <c r="AY92" s="2080" t="s">
        <v>856</v>
      </c>
      <c r="AZ92" s="2080"/>
      <c r="BA92" s="2080"/>
      <c r="BB92" s="2081"/>
      <c r="BC92" s="1096"/>
      <c r="BD92" s="1096"/>
      <c r="BE92" s="1100"/>
      <c r="BH92" s="1122"/>
      <c r="BI92" s="1122"/>
      <c r="BJ92" s="1122"/>
      <c r="BK92" s="1122"/>
      <c r="BL92" s="1122"/>
      <c r="BM92" s="1122"/>
      <c r="BN92" s="1122"/>
      <c r="BO92" s="1122"/>
      <c r="BP92" s="1122"/>
      <c r="BQ92" s="1122"/>
      <c r="BR92" s="1123"/>
      <c r="BS92" s="1122"/>
      <c r="CM92" s="1094"/>
      <c r="CN92" s="1094"/>
      <c r="CO92" s="1094"/>
      <c r="CP92" s="1094"/>
    </row>
    <row r="93" spans="1:94" ht="15.75" customHeight="1">
      <c r="A93" s="1096"/>
      <c r="B93" s="2042"/>
      <c r="C93" s="2036"/>
      <c r="D93" s="2036"/>
      <c r="E93" s="2036"/>
      <c r="F93" s="2036"/>
      <c r="G93" s="2036"/>
      <c r="H93" s="2036"/>
      <c r="I93" s="2036" t="s">
        <v>1982</v>
      </c>
      <c r="J93" s="2036"/>
      <c r="K93" s="2036"/>
      <c r="L93" s="2036"/>
      <c r="M93" s="2036"/>
      <c r="N93" s="2036"/>
      <c r="O93" s="2036" t="s">
        <v>1983</v>
      </c>
      <c r="P93" s="2036"/>
      <c r="Q93" s="2036"/>
      <c r="R93" s="2036"/>
      <c r="S93" s="2036"/>
      <c r="T93" s="2036"/>
      <c r="U93" s="2036"/>
      <c r="V93" s="2072" t="s">
        <v>1984</v>
      </c>
      <c r="W93" s="2072"/>
      <c r="X93" s="2072"/>
      <c r="Y93" s="2072"/>
      <c r="Z93" s="2072"/>
      <c r="AA93" s="2072"/>
      <c r="AB93" s="2009" t="s">
        <v>1985</v>
      </c>
      <c r="AC93" s="2009"/>
      <c r="AD93" s="2009"/>
      <c r="AE93" s="2009"/>
      <c r="AF93" s="2009"/>
      <c r="AG93" s="2009"/>
      <c r="AH93" s="2073"/>
      <c r="AI93" s="1096"/>
      <c r="AJ93" s="2064"/>
      <c r="AK93" s="2065"/>
      <c r="AL93" s="2065"/>
      <c r="AM93" s="2065"/>
      <c r="AN93" s="2065"/>
      <c r="AO93" s="2065"/>
      <c r="AP93" s="2065"/>
      <c r="AQ93" s="2065"/>
      <c r="AR93" s="2065"/>
      <c r="AS93" s="2065"/>
      <c r="AT93" s="2065"/>
      <c r="AU93" s="2065"/>
      <c r="AV93" s="2065"/>
      <c r="AW93" s="2065"/>
      <c r="AX93" s="2065"/>
      <c r="AY93" s="2082"/>
      <c r="AZ93" s="2082"/>
      <c r="BA93" s="2082"/>
      <c r="BB93" s="2083"/>
      <c r="BC93" s="1096"/>
      <c r="BD93" s="1096"/>
      <c r="BE93" s="1100"/>
      <c r="BH93" s="1122"/>
      <c r="BI93" s="1122"/>
      <c r="BJ93" s="1122"/>
      <c r="BK93" s="1122"/>
      <c r="BL93" s="1122"/>
      <c r="BM93" s="1122"/>
      <c r="BN93" s="1122"/>
      <c r="BO93" s="1122"/>
      <c r="BP93" s="1122"/>
      <c r="BQ93" s="1122"/>
      <c r="BR93" s="1123"/>
      <c r="BS93" s="1122"/>
      <c r="CM93" s="1094"/>
      <c r="CN93" s="1094"/>
      <c r="CO93" s="1094"/>
      <c r="CP93" s="1094"/>
    </row>
    <row r="94" spans="1:94" ht="15.75" customHeight="1">
      <c r="A94" s="1096"/>
      <c r="B94" s="2042"/>
      <c r="C94" s="2036"/>
      <c r="D94" s="2036"/>
      <c r="E94" s="2036"/>
      <c r="F94" s="2036"/>
      <c r="G94" s="2036"/>
      <c r="H94" s="2036"/>
      <c r="I94" s="2036"/>
      <c r="J94" s="2036"/>
      <c r="K94" s="2036"/>
      <c r="L94" s="2036"/>
      <c r="M94" s="2036"/>
      <c r="N94" s="2036"/>
      <c r="O94" s="2036"/>
      <c r="P94" s="2036"/>
      <c r="Q94" s="2036"/>
      <c r="R94" s="2036"/>
      <c r="S94" s="2036"/>
      <c r="T94" s="2036"/>
      <c r="U94" s="2036"/>
      <c r="V94" s="2072"/>
      <c r="W94" s="2072"/>
      <c r="X94" s="2072"/>
      <c r="Y94" s="2072"/>
      <c r="Z94" s="2072"/>
      <c r="AA94" s="2072"/>
      <c r="AB94" s="2009"/>
      <c r="AC94" s="2009"/>
      <c r="AD94" s="2009"/>
      <c r="AE94" s="2009"/>
      <c r="AF94" s="2009"/>
      <c r="AG94" s="2009"/>
      <c r="AH94" s="2073"/>
      <c r="AI94" s="1096"/>
      <c r="AJ94" s="2064"/>
      <c r="AK94" s="2065"/>
      <c r="AL94" s="2065"/>
      <c r="AM94" s="2065"/>
      <c r="AN94" s="2065"/>
      <c r="AO94" s="2065"/>
      <c r="AP94" s="2065"/>
      <c r="AQ94" s="2065"/>
      <c r="AR94" s="2065"/>
      <c r="AS94" s="2065"/>
      <c r="AT94" s="2065"/>
      <c r="AU94" s="2065"/>
      <c r="AV94" s="2065"/>
      <c r="AW94" s="2065"/>
      <c r="AX94" s="2065"/>
      <c r="AY94" s="2082"/>
      <c r="AZ94" s="2082"/>
      <c r="BA94" s="2082"/>
      <c r="BB94" s="2083"/>
      <c r="BC94" s="1096"/>
      <c r="BD94" s="1096"/>
      <c r="BE94" s="1100"/>
      <c r="BH94" s="1122"/>
      <c r="BI94" s="1122"/>
      <c r="BJ94" s="1122"/>
      <c r="BK94" s="1122"/>
      <c r="BL94" s="1122"/>
      <c r="BM94" s="1122"/>
      <c r="BN94" s="1122"/>
      <c r="BO94" s="1122"/>
      <c r="BP94" s="1122"/>
      <c r="BQ94" s="1122"/>
      <c r="BR94" s="1123"/>
      <c r="BS94" s="1122"/>
      <c r="CM94" s="1094"/>
      <c r="CN94" s="1094"/>
      <c r="CO94" s="1094"/>
      <c r="CP94" s="1094"/>
    </row>
    <row r="95" spans="1:94" ht="15.75" customHeight="1">
      <c r="A95" s="1096"/>
      <c r="B95" s="2042" t="s">
        <v>1986</v>
      </c>
      <c r="C95" s="2036"/>
      <c r="D95" s="2036"/>
      <c r="E95" s="2036"/>
      <c r="F95" s="2036"/>
      <c r="G95" s="2036"/>
      <c r="H95" s="2036"/>
      <c r="I95" s="2012">
        <v>0</v>
      </c>
      <c r="J95" s="2012"/>
      <c r="K95" s="2012"/>
      <c r="L95" s="2012"/>
      <c r="M95" s="2012"/>
      <c r="N95" s="2012"/>
      <c r="O95" s="2012">
        <v>0</v>
      </c>
      <c r="P95" s="2012"/>
      <c r="Q95" s="2012"/>
      <c r="R95" s="2012"/>
      <c r="S95" s="2012"/>
      <c r="T95" s="2012"/>
      <c r="U95" s="2012"/>
      <c r="V95" s="2012">
        <v>0</v>
      </c>
      <c r="W95" s="2012"/>
      <c r="X95" s="2012"/>
      <c r="Y95" s="2012"/>
      <c r="Z95" s="2012"/>
      <c r="AA95" s="2012"/>
      <c r="AB95" s="2012">
        <v>0</v>
      </c>
      <c r="AC95" s="2012"/>
      <c r="AD95" s="2012"/>
      <c r="AE95" s="2012"/>
      <c r="AF95" s="2012"/>
      <c r="AG95" s="2012"/>
      <c r="AH95" s="2013"/>
      <c r="AI95" s="1096"/>
      <c r="AJ95" s="2064"/>
      <c r="AK95" s="2065"/>
      <c r="AL95" s="2065"/>
      <c r="AM95" s="2065"/>
      <c r="AN95" s="2065"/>
      <c r="AO95" s="2065"/>
      <c r="AP95" s="2065"/>
      <c r="AQ95" s="2065"/>
      <c r="AR95" s="2065"/>
      <c r="AS95" s="2065"/>
      <c r="AT95" s="2065"/>
      <c r="AU95" s="2065"/>
      <c r="AV95" s="2065"/>
      <c r="AW95" s="2065"/>
      <c r="AX95" s="2065"/>
      <c r="AY95" s="2082"/>
      <c r="AZ95" s="2082"/>
      <c r="BA95" s="2082"/>
      <c r="BB95" s="2083"/>
      <c r="BC95" s="1096"/>
      <c r="BD95" s="1096"/>
      <c r="BE95" s="1100"/>
      <c r="BH95" s="1122"/>
      <c r="BI95" s="1122"/>
      <c r="BJ95" s="1122"/>
      <c r="BK95" s="1122"/>
      <c r="BL95" s="1122"/>
      <c r="BM95" s="1122"/>
      <c r="BN95" s="1122"/>
      <c r="BO95" s="1122"/>
      <c r="BP95" s="1122"/>
      <c r="BQ95" s="1122"/>
      <c r="BR95" s="1122"/>
      <c r="BS95" s="1122"/>
      <c r="CM95" s="1094"/>
      <c r="CN95" s="1094"/>
      <c r="CO95" s="1094"/>
      <c r="CP95" s="1094"/>
    </row>
    <row r="96" spans="1:94" ht="15.75" customHeight="1">
      <c r="A96" s="1096"/>
      <c r="B96" s="2042" t="s">
        <v>1987</v>
      </c>
      <c r="C96" s="2036"/>
      <c r="D96" s="2036"/>
      <c r="E96" s="2036"/>
      <c r="F96" s="2036"/>
      <c r="G96" s="2036"/>
      <c r="H96" s="2036"/>
      <c r="I96" s="2012">
        <v>0</v>
      </c>
      <c r="J96" s="2012"/>
      <c r="K96" s="2012"/>
      <c r="L96" s="2012"/>
      <c r="M96" s="2012"/>
      <c r="N96" s="2012"/>
      <c r="O96" s="2012">
        <v>0</v>
      </c>
      <c r="P96" s="2012"/>
      <c r="Q96" s="2012"/>
      <c r="R96" s="2012"/>
      <c r="S96" s="2012"/>
      <c r="T96" s="2012"/>
      <c r="U96" s="2012"/>
      <c r="V96" s="2012">
        <v>0</v>
      </c>
      <c r="W96" s="2012"/>
      <c r="X96" s="2012"/>
      <c r="Y96" s="2012"/>
      <c r="Z96" s="2012"/>
      <c r="AA96" s="2012"/>
      <c r="AB96" s="2012">
        <v>0</v>
      </c>
      <c r="AC96" s="2012"/>
      <c r="AD96" s="2012"/>
      <c r="AE96" s="2012"/>
      <c r="AF96" s="2012"/>
      <c r="AG96" s="2012"/>
      <c r="AH96" s="2013"/>
      <c r="AI96" s="1096"/>
      <c r="AJ96" s="1979" t="s">
        <v>1988</v>
      </c>
      <c r="AK96" s="1980"/>
      <c r="AL96" s="1980"/>
      <c r="AM96" s="1980"/>
      <c r="AN96" s="1980"/>
      <c r="AO96" s="1980"/>
      <c r="AP96" s="1980"/>
      <c r="AQ96" s="1980"/>
      <c r="AR96" s="1980"/>
      <c r="AS96" s="1980"/>
      <c r="AT96" s="1980"/>
      <c r="AU96" s="1980"/>
      <c r="AV96" s="1980"/>
      <c r="AW96" s="1980"/>
      <c r="AX96" s="1980"/>
      <c r="AY96" s="1980"/>
      <c r="AZ96" s="1980"/>
      <c r="BA96" s="1980"/>
      <c r="BB96" s="1981"/>
      <c r="BC96" s="1096"/>
      <c r="BD96" s="1096"/>
      <c r="BE96" s="1100"/>
      <c r="BH96" s="1122"/>
      <c r="BI96" s="1122"/>
      <c r="BJ96" s="1122"/>
      <c r="BK96" s="1122"/>
      <c r="BL96" s="1122"/>
      <c r="BM96" s="1122"/>
      <c r="BN96" s="1122"/>
      <c r="BO96" s="1122"/>
      <c r="BP96" s="1122"/>
      <c r="BQ96" s="1122"/>
      <c r="BR96" s="1122"/>
      <c r="BS96" s="1122"/>
      <c r="CM96" s="1094"/>
      <c r="CN96" s="1094"/>
      <c r="CO96" s="1094"/>
      <c r="CP96" s="1094"/>
    </row>
    <row r="97" spans="1:94" ht="15.75" customHeight="1" thickBot="1">
      <c r="A97" s="1096"/>
      <c r="B97" s="2070" t="s">
        <v>1989</v>
      </c>
      <c r="C97" s="2071"/>
      <c r="D97" s="2071"/>
      <c r="E97" s="2071"/>
      <c r="F97" s="2071"/>
      <c r="G97" s="2071"/>
      <c r="H97" s="2071"/>
      <c r="I97" s="2006">
        <v>0</v>
      </c>
      <c r="J97" s="2006"/>
      <c r="K97" s="2006"/>
      <c r="L97" s="2006"/>
      <c r="M97" s="2006"/>
      <c r="N97" s="2006"/>
      <c r="O97" s="2006">
        <v>0</v>
      </c>
      <c r="P97" s="2006"/>
      <c r="Q97" s="2006"/>
      <c r="R97" s="2006"/>
      <c r="S97" s="2006"/>
      <c r="T97" s="2006"/>
      <c r="U97" s="2006"/>
      <c r="V97" s="2006">
        <v>0</v>
      </c>
      <c r="W97" s="2006"/>
      <c r="X97" s="2006"/>
      <c r="Y97" s="2006"/>
      <c r="Z97" s="2006"/>
      <c r="AA97" s="2006"/>
      <c r="AB97" s="2006">
        <v>0</v>
      </c>
      <c r="AC97" s="2006"/>
      <c r="AD97" s="2006"/>
      <c r="AE97" s="2006"/>
      <c r="AF97" s="2006"/>
      <c r="AG97" s="2006"/>
      <c r="AH97" s="2007"/>
      <c r="AI97" s="1096"/>
      <c r="AJ97" s="1982"/>
      <c r="AK97" s="1983"/>
      <c r="AL97" s="1983"/>
      <c r="AM97" s="1983"/>
      <c r="AN97" s="1983"/>
      <c r="AO97" s="1983"/>
      <c r="AP97" s="1983"/>
      <c r="AQ97" s="1983"/>
      <c r="AR97" s="1983"/>
      <c r="AS97" s="1983"/>
      <c r="AT97" s="1983"/>
      <c r="AU97" s="1983"/>
      <c r="AV97" s="1983"/>
      <c r="AW97" s="1983"/>
      <c r="AX97" s="1983"/>
      <c r="AY97" s="1983"/>
      <c r="AZ97" s="1983"/>
      <c r="BA97" s="1983"/>
      <c r="BB97" s="1984"/>
      <c r="BC97" s="1096"/>
      <c r="BD97" s="1096"/>
      <c r="BE97" s="1100"/>
      <c r="BH97" s="1122"/>
      <c r="BI97" s="1122"/>
      <c r="BJ97" s="1122"/>
      <c r="BK97" s="1122"/>
      <c r="BL97" s="1122"/>
      <c r="BM97" s="1122"/>
      <c r="BN97" s="1122"/>
      <c r="BO97" s="1122"/>
      <c r="BP97" s="1122"/>
      <c r="BQ97" s="1122"/>
      <c r="BR97" s="1122"/>
      <c r="BS97" s="1122"/>
      <c r="CM97" s="1094"/>
      <c r="CN97" s="1094"/>
      <c r="CO97" s="1094"/>
      <c r="CP97" s="1094"/>
    </row>
    <row r="98" spans="1:94" ht="15.75" customHeight="1" thickBot="1">
      <c r="A98" s="1096"/>
      <c r="B98" s="1096"/>
      <c r="C98" s="1096"/>
      <c r="D98" s="1096"/>
      <c r="E98" s="1096"/>
      <c r="F98" s="1096"/>
      <c r="G98" s="1096"/>
      <c r="H98" s="1096"/>
      <c r="I98" s="1096"/>
      <c r="J98" s="1096"/>
      <c r="K98" s="1096"/>
      <c r="L98" s="1096"/>
      <c r="M98" s="1096"/>
      <c r="N98" s="1096"/>
      <c r="O98" s="1096"/>
      <c r="P98" s="1096"/>
      <c r="Q98" s="1096"/>
      <c r="R98" s="1096"/>
      <c r="S98" s="1096"/>
      <c r="T98" s="1096"/>
      <c r="U98" s="1096"/>
      <c r="V98" s="1096"/>
      <c r="W98" s="1096"/>
      <c r="X98" s="10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100"/>
      <c r="BH98" s="1122"/>
      <c r="BI98" s="1122"/>
      <c r="BJ98" s="1122"/>
      <c r="BK98" s="1122"/>
      <c r="BL98" s="1122"/>
      <c r="BM98" s="1122"/>
      <c r="BN98" s="1122"/>
      <c r="BO98" s="1122"/>
      <c r="BP98" s="1122"/>
      <c r="BQ98" s="1122"/>
      <c r="BR98" s="1122"/>
      <c r="BS98" s="1122"/>
      <c r="CM98" s="1094"/>
      <c r="CN98" s="1094"/>
      <c r="CO98" s="1094"/>
      <c r="CP98" s="1094"/>
    </row>
    <row r="99" spans="1:94" ht="15.75" customHeight="1" thickBot="1">
      <c r="A99" s="1096"/>
      <c r="B99" s="1116" t="s">
        <v>1993</v>
      </c>
      <c r="C99" s="1110"/>
      <c r="D99" s="1111"/>
      <c r="E99" s="1111"/>
      <c r="F99" s="1124"/>
      <c r="G99" s="1124"/>
      <c r="H99" s="1124"/>
      <c r="I99" s="1124"/>
      <c r="J99" s="1124"/>
      <c r="K99" s="1124"/>
      <c r="L99" s="1124"/>
      <c r="M99" s="1124"/>
      <c r="N99" s="1124"/>
      <c r="O99" s="1125"/>
      <c r="P99" s="1124"/>
      <c r="Q99" s="1124"/>
      <c r="R99" s="1125"/>
      <c r="S99" s="1096" t="s">
        <v>254</v>
      </c>
      <c r="T99" s="1096"/>
      <c r="U99" s="1096"/>
      <c r="V99" s="1096"/>
      <c r="W99" s="1096"/>
      <c r="X99" s="10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c r="AV99" s="1096"/>
      <c r="AW99" s="1096"/>
      <c r="AX99" s="1096"/>
      <c r="AY99" s="1096"/>
      <c r="AZ99" s="1096"/>
      <c r="BA99" s="1096"/>
      <c r="BB99" s="1096"/>
      <c r="BC99" s="1096"/>
      <c r="BD99" s="1096"/>
      <c r="BE99" s="1100"/>
      <c r="BH99" s="1122"/>
      <c r="BI99" s="1122"/>
      <c r="BJ99" s="1122"/>
      <c r="BK99" s="1122"/>
      <c r="BL99" s="1122"/>
      <c r="BM99" s="1122"/>
      <c r="BN99" s="1122"/>
      <c r="BO99" s="1122"/>
      <c r="BP99" s="1122"/>
      <c r="BQ99" s="1122"/>
      <c r="BR99" s="1122"/>
      <c r="BS99" s="1122"/>
      <c r="CM99" s="1094"/>
      <c r="CN99" s="1094"/>
      <c r="CO99" s="1094"/>
      <c r="CP99" s="1094"/>
    </row>
    <row r="100" spans="1:94" ht="15.75" customHeight="1">
      <c r="A100" s="1096"/>
      <c r="B100" s="1119" t="s">
        <v>1979</v>
      </c>
      <c r="C100" s="1119"/>
      <c r="D100" s="1126"/>
      <c r="E100" s="1127"/>
      <c r="F100" s="2033"/>
      <c r="G100" s="2034"/>
      <c r="H100" s="2034"/>
      <c r="I100" s="2034"/>
      <c r="J100" s="2034"/>
      <c r="K100" s="2034"/>
      <c r="L100" s="2034"/>
      <c r="M100" s="2034"/>
      <c r="N100" s="2034"/>
      <c r="O100" s="2034"/>
      <c r="P100" s="2034"/>
      <c r="Q100" s="2034"/>
      <c r="R100" s="2035"/>
      <c r="S100" s="1096"/>
      <c r="T100" s="1096"/>
      <c r="U100" s="1096"/>
      <c r="V100" s="1096"/>
      <c r="W100" s="1096"/>
      <c r="X100" s="10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c r="AV100" s="1096"/>
      <c r="AW100" s="1096"/>
      <c r="AX100" s="1096"/>
      <c r="AY100" s="1096"/>
      <c r="AZ100" s="1096"/>
      <c r="BA100" s="1096"/>
      <c r="BB100" s="1096"/>
      <c r="BC100" s="1096"/>
      <c r="BD100" s="1096"/>
      <c r="BE100" s="1100"/>
      <c r="CM100" s="1094"/>
      <c r="CN100" s="1094"/>
      <c r="CO100" s="1094"/>
      <c r="CP100" s="1094"/>
    </row>
    <row r="101" spans="1:94" ht="15.75" customHeight="1" thickBot="1">
      <c r="A101" s="1096"/>
      <c r="B101" s="1096"/>
      <c r="C101" s="1096"/>
      <c r="D101" s="1096"/>
      <c r="E101" s="1096"/>
      <c r="F101" s="1096"/>
      <c r="G101" s="1096"/>
      <c r="H101" s="1096"/>
      <c r="I101" s="1096"/>
      <c r="J101" s="1096"/>
      <c r="K101" s="1096"/>
      <c r="L101" s="1096"/>
      <c r="M101" s="1096"/>
      <c r="N101" s="1096"/>
      <c r="O101" s="1096"/>
      <c r="P101" s="1128"/>
      <c r="Q101" s="1096"/>
      <c r="R101" s="1096"/>
      <c r="S101" s="1096"/>
      <c r="T101" s="1096"/>
      <c r="U101" s="1096"/>
      <c r="V101" s="1096"/>
      <c r="W101" s="1096"/>
      <c r="X101" s="1096"/>
      <c r="Y101" s="1096"/>
      <c r="Z101" s="1096"/>
      <c r="AA101" s="1096"/>
      <c r="AB101" s="1096"/>
      <c r="AC101" s="1096"/>
      <c r="AD101" s="1096"/>
      <c r="AE101" s="1096"/>
      <c r="AF101" s="1096"/>
      <c r="AG101" s="1096"/>
      <c r="AH101" s="1096"/>
      <c r="AI101" s="1096"/>
      <c r="AJ101" s="1096"/>
      <c r="AK101" s="1096"/>
      <c r="AL101" s="1096"/>
      <c r="AM101" s="1096"/>
      <c r="AN101" s="1096"/>
      <c r="AO101" s="1096"/>
      <c r="AP101" s="1096"/>
      <c r="AQ101" s="1096"/>
      <c r="AR101" s="1096"/>
      <c r="AS101" s="1096"/>
      <c r="AT101" s="1096"/>
      <c r="AU101" s="1096"/>
      <c r="AV101" s="1096"/>
      <c r="AW101" s="1096"/>
      <c r="AX101" s="1096"/>
      <c r="AY101" s="1096"/>
      <c r="AZ101" s="1096"/>
      <c r="BA101" s="1096"/>
      <c r="BB101" s="1096"/>
      <c r="BC101" s="1096"/>
      <c r="BD101" s="1096"/>
      <c r="BE101" s="1100"/>
      <c r="CM101" s="1094"/>
      <c r="CN101" s="1094"/>
      <c r="CO101" s="1094"/>
      <c r="CP101" s="1094"/>
    </row>
    <row r="102" spans="1:94" ht="15.75" customHeight="1">
      <c r="A102" s="1096"/>
      <c r="B102" s="1962" t="s">
        <v>1994</v>
      </c>
      <c r="C102" s="1963"/>
      <c r="D102" s="1963"/>
      <c r="E102" s="1963"/>
      <c r="F102" s="1963"/>
      <c r="G102" s="1963"/>
      <c r="H102" s="1963"/>
      <c r="I102" s="1963"/>
      <c r="J102" s="1963"/>
      <c r="K102" s="1963"/>
      <c r="L102" s="1963"/>
      <c r="M102" s="1963"/>
      <c r="N102" s="1963"/>
      <c r="O102" s="1963"/>
      <c r="P102" s="1963"/>
      <c r="Q102" s="1963"/>
      <c r="R102" s="1963"/>
      <c r="S102" s="1963"/>
      <c r="T102" s="1963"/>
      <c r="U102" s="1963"/>
      <c r="V102" s="1963"/>
      <c r="W102" s="1963"/>
      <c r="X102" s="1963"/>
      <c r="Y102" s="1963"/>
      <c r="Z102" s="1963"/>
      <c r="AA102" s="1963"/>
      <c r="AB102" s="1963"/>
      <c r="AC102" s="1963"/>
      <c r="AD102" s="1963"/>
      <c r="AE102" s="1963"/>
      <c r="AF102" s="1963"/>
      <c r="AG102" s="1963"/>
      <c r="AH102" s="1972"/>
      <c r="AI102" s="1096"/>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C102" s="1096"/>
      <c r="BD102" s="1096"/>
      <c r="BE102" s="1100"/>
      <c r="CM102" s="1094"/>
      <c r="CN102" s="1094"/>
      <c r="CO102" s="1094"/>
      <c r="CP102" s="1094"/>
    </row>
    <row r="103" spans="1:94" ht="16.5" customHeight="1">
      <c r="A103" s="1096"/>
      <c r="B103" s="2042"/>
      <c r="C103" s="2036"/>
      <c r="D103" s="2036"/>
      <c r="E103" s="2036"/>
      <c r="F103" s="2036"/>
      <c r="G103" s="2036"/>
      <c r="H103" s="2036"/>
      <c r="I103" s="2036" t="s">
        <v>1982</v>
      </c>
      <c r="J103" s="2036"/>
      <c r="K103" s="2036"/>
      <c r="L103" s="2036"/>
      <c r="M103" s="2036"/>
      <c r="N103" s="2036"/>
      <c r="O103" s="2036" t="s">
        <v>1983</v>
      </c>
      <c r="P103" s="2036"/>
      <c r="Q103" s="2036"/>
      <c r="R103" s="2036"/>
      <c r="S103" s="2036"/>
      <c r="T103" s="2036"/>
      <c r="U103" s="2036"/>
      <c r="V103" s="2072" t="s">
        <v>1984</v>
      </c>
      <c r="W103" s="2072"/>
      <c r="X103" s="2072"/>
      <c r="Y103" s="2072"/>
      <c r="Z103" s="2072"/>
      <c r="AA103" s="2072"/>
      <c r="AB103" s="2009" t="s">
        <v>1985</v>
      </c>
      <c r="AC103" s="2009"/>
      <c r="AD103" s="2009"/>
      <c r="AE103" s="2009"/>
      <c r="AF103" s="2009"/>
      <c r="AG103" s="2009"/>
      <c r="AH103" s="2073"/>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100"/>
      <c r="CM103" s="1094"/>
      <c r="CN103" s="1094"/>
      <c r="CO103" s="1094"/>
      <c r="CP103" s="1094"/>
    </row>
    <row r="104" spans="1:94" ht="16.5" customHeight="1">
      <c r="A104" s="1096"/>
      <c r="B104" s="2042"/>
      <c r="C104" s="2036"/>
      <c r="D104" s="2036"/>
      <c r="E104" s="2036"/>
      <c r="F104" s="2036"/>
      <c r="G104" s="2036"/>
      <c r="H104" s="2036"/>
      <c r="I104" s="2036"/>
      <c r="J104" s="2036"/>
      <c r="K104" s="2036"/>
      <c r="L104" s="2036"/>
      <c r="M104" s="2036"/>
      <c r="N104" s="2036"/>
      <c r="O104" s="2036"/>
      <c r="P104" s="2036"/>
      <c r="Q104" s="2036"/>
      <c r="R104" s="2036"/>
      <c r="S104" s="2036"/>
      <c r="T104" s="2036"/>
      <c r="U104" s="2036"/>
      <c r="V104" s="2072"/>
      <c r="W104" s="2072"/>
      <c r="X104" s="2072"/>
      <c r="Y104" s="2072"/>
      <c r="Z104" s="2072"/>
      <c r="AA104" s="2072"/>
      <c r="AB104" s="2009"/>
      <c r="AC104" s="2009"/>
      <c r="AD104" s="2009"/>
      <c r="AE104" s="2009"/>
      <c r="AF104" s="2009"/>
      <c r="AG104" s="2009"/>
      <c r="AH104" s="2073"/>
      <c r="AI104" s="1096"/>
      <c r="AJ104" s="1096"/>
      <c r="AK104" s="1096"/>
      <c r="AL104" s="1096"/>
      <c r="AM104" s="1096"/>
      <c r="AN104" s="1096"/>
      <c r="AO104" s="1096"/>
      <c r="AP104" s="1096"/>
      <c r="AQ104" s="1096"/>
      <c r="AR104" s="1096"/>
      <c r="AS104" s="1096"/>
      <c r="AT104" s="1096"/>
      <c r="AU104" s="1096"/>
      <c r="AV104" s="1096"/>
      <c r="AW104" s="1096"/>
      <c r="AX104" s="1096"/>
      <c r="AY104" s="1096"/>
      <c r="AZ104" s="1096"/>
      <c r="BA104" s="1096"/>
      <c r="BB104" s="1096"/>
      <c r="BC104" s="1096"/>
      <c r="BD104" s="1096"/>
      <c r="BE104" s="1100"/>
      <c r="CM104" s="1094"/>
      <c r="CN104" s="1094"/>
      <c r="CO104" s="1094"/>
      <c r="CP104" s="1094"/>
    </row>
    <row r="105" spans="1:94" ht="15.75" customHeight="1">
      <c r="A105" s="1096"/>
      <c r="B105" s="2042" t="s">
        <v>1986</v>
      </c>
      <c r="C105" s="2036"/>
      <c r="D105" s="2036"/>
      <c r="E105" s="2036"/>
      <c r="F105" s="2036"/>
      <c r="G105" s="2036"/>
      <c r="H105" s="2036"/>
      <c r="I105" s="2012">
        <v>0</v>
      </c>
      <c r="J105" s="2012"/>
      <c r="K105" s="2012"/>
      <c r="L105" s="2012"/>
      <c r="M105" s="2012"/>
      <c r="N105" s="2012"/>
      <c r="O105" s="2012">
        <v>0</v>
      </c>
      <c r="P105" s="2012"/>
      <c r="Q105" s="2012"/>
      <c r="R105" s="2012"/>
      <c r="S105" s="2012"/>
      <c r="T105" s="2012"/>
      <c r="U105" s="2012"/>
      <c r="V105" s="2012">
        <v>0</v>
      </c>
      <c r="W105" s="2012"/>
      <c r="X105" s="2012"/>
      <c r="Y105" s="2012"/>
      <c r="Z105" s="2012"/>
      <c r="AA105" s="2012"/>
      <c r="AB105" s="2012">
        <v>0</v>
      </c>
      <c r="AC105" s="2012"/>
      <c r="AD105" s="2012"/>
      <c r="AE105" s="2012"/>
      <c r="AF105" s="2012"/>
      <c r="AG105" s="2012"/>
      <c r="AH105" s="2013"/>
      <c r="AI105" s="1096"/>
      <c r="AJ105" s="1096"/>
      <c r="AK105" s="1096"/>
      <c r="AL105" s="1096"/>
      <c r="AM105" s="1096"/>
      <c r="AN105" s="1096"/>
      <c r="AO105" s="1096"/>
      <c r="AP105" s="1096"/>
      <c r="AQ105" s="1096"/>
      <c r="AR105" s="1096"/>
      <c r="AS105" s="1096"/>
      <c r="AT105" s="1096"/>
      <c r="AU105" s="1096"/>
      <c r="AV105" s="1096"/>
      <c r="AW105" s="1096"/>
      <c r="AX105" s="1096"/>
      <c r="AY105" s="1096"/>
      <c r="AZ105" s="1096"/>
      <c r="BA105" s="1096"/>
      <c r="BB105" s="1096"/>
      <c r="BC105" s="1096"/>
      <c r="BD105" s="1096"/>
      <c r="BE105" s="1100"/>
      <c r="CM105" s="1094"/>
      <c r="CN105" s="1094"/>
      <c r="CO105" s="1094"/>
      <c r="CP105" s="1094"/>
    </row>
    <row r="106" spans="1:94" ht="15.75" customHeight="1">
      <c r="A106" s="1096"/>
      <c r="B106" s="2042" t="s">
        <v>1987</v>
      </c>
      <c r="C106" s="2036"/>
      <c r="D106" s="2036"/>
      <c r="E106" s="2036"/>
      <c r="F106" s="2036"/>
      <c r="G106" s="2036"/>
      <c r="H106" s="2036"/>
      <c r="I106" s="2012">
        <v>0</v>
      </c>
      <c r="J106" s="2012"/>
      <c r="K106" s="2012"/>
      <c r="L106" s="2012"/>
      <c r="M106" s="2012"/>
      <c r="N106" s="2012"/>
      <c r="O106" s="2012">
        <v>0</v>
      </c>
      <c r="P106" s="2012"/>
      <c r="Q106" s="2012"/>
      <c r="R106" s="2012"/>
      <c r="S106" s="2012"/>
      <c r="T106" s="2012"/>
      <c r="U106" s="2012"/>
      <c r="V106" s="2012">
        <v>0</v>
      </c>
      <c r="W106" s="2012"/>
      <c r="X106" s="2012"/>
      <c r="Y106" s="2012"/>
      <c r="Z106" s="2012"/>
      <c r="AA106" s="2012"/>
      <c r="AB106" s="2012">
        <v>0</v>
      </c>
      <c r="AC106" s="2012"/>
      <c r="AD106" s="2012"/>
      <c r="AE106" s="2012"/>
      <c r="AF106" s="2012"/>
      <c r="AG106" s="2012"/>
      <c r="AH106" s="2013"/>
      <c r="AI106" s="1096"/>
      <c r="AJ106" s="1096"/>
      <c r="AK106" s="1096"/>
      <c r="AL106" s="1096"/>
      <c r="AM106" s="1096"/>
      <c r="AN106" s="1096"/>
      <c r="AO106" s="1096"/>
      <c r="AP106" s="1096"/>
      <c r="AQ106" s="1096"/>
      <c r="AR106" s="1096"/>
      <c r="AS106" s="1096"/>
      <c r="AT106" s="1096"/>
      <c r="AU106" s="1096"/>
      <c r="AV106" s="1096"/>
      <c r="AW106" s="1096"/>
      <c r="AX106" s="1096"/>
      <c r="AY106" s="1096"/>
      <c r="AZ106" s="1096"/>
      <c r="BA106" s="1096"/>
      <c r="BB106" s="1096"/>
      <c r="BC106" s="1096"/>
      <c r="BD106" s="1096"/>
      <c r="BE106" s="1100"/>
      <c r="CM106" s="1094"/>
      <c r="CN106" s="1094"/>
      <c r="CO106" s="1094"/>
      <c r="CP106" s="1094"/>
    </row>
    <row r="107" spans="1:94" ht="15.75" customHeight="1" thickBot="1">
      <c r="A107" s="1096"/>
      <c r="B107" s="2070" t="s">
        <v>1989</v>
      </c>
      <c r="C107" s="2071"/>
      <c r="D107" s="2071"/>
      <c r="E107" s="2071"/>
      <c r="F107" s="2071"/>
      <c r="G107" s="2071"/>
      <c r="H107" s="2071"/>
      <c r="I107" s="2006">
        <v>0</v>
      </c>
      <c r="J107" s="2006"/>
      <c r="K107" s="2006"/>
      <c r="L107" s="2006"/>
      <c r="M107" s="2006"/>
      <c r="N107" s="2006"/>
      <c r="O107" s="2006">
        <v>0</v>
      </c>
      <c r="P107" s="2006"/>
      <c r="Q107" s="2006"/>
      <c r="R107" s="2006"/>
      <c r="S107" s="2006"/>
      <c r="T107" s="2006"/>
      <c r="U107" s="2006"/>
      <c r="V107" s="2006">
        <v>0</v>
      </c>
      <c r="W107" s="2006"/>
      <c r="X107" s="2006"/>
      <c r="Y107" s="2006"/>
      <c r="Z107" s="2006"/>
      <c r="AA107" s="2006"/>
      <c r="AB107" s="2006">
        <v>0</v>
      </c>
      <c r="AC107" s="2006"/>
      <c r="AD107" s="2006"/>
      <c r="AE107" s="2006"/>
      <c r="AF107" s="2006"/>
      <c r="AG107" s="2006"/>
      <c r="AH107" s="2007"/>
      <c r="AI107" s="1096"/>
      <c r="AJ107" s="1096"/>
      <c r="AK107" s="1096"/>
      <c r="AL107" s="1096"/>
      <c r="AM107" s="1096"/>
      <c r="AN107" s="1096"/>
      <c r="AO107" s="1096"/>
      <c r="AP107" s="1096"/>
      <c r="AQ107" s="1096"/>
      <c r="AR107" s="1096"/>
      <c r="AS107" s="1096"/>
      <c r="AT107" s="1096"/>
      <c r="AU107" s="1096"/>
      <c r="AV107" s="1096"/>
      <c r="AW107" s="1096"/>
      <c r="AX107" s="1096"/>
      <c r="AY107" s="1096"/>
      <c r="AZ107" s="1096"/>
      <c r="BA107" s="1096"/>
      <c r="BB107" s="1096"/>
      <c r="BC107" s="1096"/>
      <c r="BD107" s="1096"/>
      <c r="BE107" s="1100"/>
      <c r="CM107" s="1094"/>
      <c r="CN107" s="1094"/>
      <c r="CO107" s="1094"/>
      <c r="CP107" s="1094"/>
    </row>
    <row r="108" spans="1:94" ht="15.75" customHeight="1" thickBot="1">
      <c r="A108" s="1096"/>
      <c r="B108" s="1096"/>
      <c r="C108" s="1096"/>
      <c r="D108" s="1096"/>
      <c r="E108" s="1096"/>
      <c r="F108" s="1096"/>
      <c r="G108" s="1096"/>
      <c r="H108" s="1096"/>
      <c r="I108" s="1096"/>
      <c r="J108" s="1096"/>
      <c r="K108" s="1096"/>
      <c r="L108" s="1096"/>
      <c r="M108" s="1096"/>
      <c r="N108" s="1096"/>
      <c r="O108" s="1096"/>
      <c r="P108" s="1096"/>
      <c r="Q108" s="1096"/>
      <c r="R108" s="1096"/>
      <c r="S108" s="1096"/>
      <c r="T108" s="1096"/>
      <c r="U108" s="1096" t="s">
        <v>254</v>
      </c>
      <c r="V108" s="1096"/>
      <c r="W108" s="1096"/>
      <c r="X108" s="1096"/>
      <c r="Y108" s="1096"/>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c r="AV108" s="1096"/>
      <c r="AW108" s="1096"/>
      <c r="AX108" s="1096"/>
      <c r="AY108" s="1096"/>
      <c r="AZ108" s="1096"/>
      <c r="BA108" s="1096"/>
      <c r="BB108" s="1096"/>
      <c r="BC108" s="1096"/>
      <c r="BD108" s="1096"/>
      <c r="BE108" s="1100"/>
    </row>
    <row r="109" spans="1:94" ht="15.75" customHeight="1" thickBot="1">
      <c r="A109" s="1096"/>
      <c r="B109" s="1109" t="s">
        <v>1995</v>
      </c>
      <c r="C109" s="1115"/>
      <c r="D109" s="1115"/>
      <c r="E109" s="1115"/>
      <c r="F109" s="1115"/>
      <c r="G109" s="1115"/>
      <c r="H109" s="1115"/>
      <c r="I109" s="1115"/>
      <c r="J109" s="1115"/>
      <c r="K109" s="1115"/>
      <c r="L109" s="1115"/>
      <c r="M109" s="1115"/>
      <c r="N109" s="1115"/>
      <c r="O109" s="1115"/>
      <c r="P109" s="1115"/>
      <c r="Q109" s="1115"/>
      <c r="R109" s="1129"/>
      <c r="S109" s="1096"/>
      <c r="T109" s="1096"/>
      <c r="U109" s="1096"/>
      <c r="V109" s="1096"/>
      <c r="W109" s="1096"/>
      <c r="X109" s="10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c r="AV109" s="1096"/>
      <c r="AW109" s="1096"/>
      <c r="AX109" s="1096"/>
      <c r="AY109" s="1096"/>
      <c r="AZ109" s="1096"/>
      <c r="BA109" s="1096"/>
      <c r="BB109" s="1096"/>
      <c r="BC109" s="1096"/>
      <c r="BD109" s="1096"/>
      <c r="BE109" s="1100"/>
    </row>
    <row r="110" spans="1:94" ht="15.75" customHeight="1">
      <c r="A110" s="1096"/>
      <c r="B110" s="1119" t="s">
        <v>1979</v>
      </c>
      <c r="C110" s="1119"/>
      <c r="D110" s="1126"/>
      <c r="E110" s="1127"/>
      <c r="F110" s="2033"/>
      <c r="G110" s="2034"/>
      <c r="H110" s="2034"/>
      <c r="I110" s="2034"/>
      <c r="J110" s="2034"/>
      <c r="K110" s="2034"/>
      <c r="L110" s="2034"/>
      <c r="M110" s="2034"/>
      <c r="N110" s="2034"/>
      <c r="O110" s="2034"/>
      <c r="P110" s="2034"/>
      <c r="Q110" s="2034"/>
      <c r="R110" s="2035"/>
      <c r="S110" s="1096"/>
      <c r="T110" s="1096"/>
      <c r="U110" s="1096"/>
      <c r="V110" s="1096"/>
      <c r="W110" s="1096"/>
      <c r="X110" s="1096"/>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c r="AV110" s="1096"/>
      <c r="AW110" s="1096"/>
      <c r="AX110" s="1096"/>
      <c r="AY110" s="1096"/>
      <c r="AZ110" s="1096"/>
      <c r="BA110" s="1096"/>
      <c r="BB110" s="1096"/>
      <c r="BC110" s="1096"/>
      <c r="BD110" s="1096"/>
      <c r="BE110" s="1100"/>
    </row>
    <row r="111" spans="1:94" ht="15.75" customHeight="1" thickBot="1">
      <c r="A111" s="1096"/>
      <c r="B111" s="1096"/>
      <c r="C111" s="1096"/>
      <c r="D111" s="1096"/>
      <c r="E111" s="1096"/>
      <c r="F111" s="1096"/>
      <c r="G111" s="1096"/>
      <c r="H111" s="1096"/>
      <c r="I111" s="1096"/>
      <c r="J111" s="1096"/>
      <c r="K111" s="1096"/>
      <c r="L111" s="1096"/>
      <c r="M111" s="1096"/>
      <c r="N111" s="1096"/>
      <c r="O111" s="1096"/>
      <c r="P111" s="1096"/>
      <c r="Q111" s="1096"/>
      <c r="R111" s="1096"/>
      <c r="S111" s="1096"/>
      <c r="T111" s="1096"/>
      <c r="U111" s="1096"/>
      <c r="V111" s="1096"/>
      <c r="W111" s="1096"/>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c r="AV111" s="1096"/>
      <c r="AW111" s="1096"/>
      <c r="AX111" s="1096"/>
      <c r="AY111" s="1096"/>
      <c r="AZ111" s="1096"/>
      <c r="BA111" s="1096"/>
      <c r="BB111" s="1096"/>
      <c r="BC111" s="1096"/>
      <c r="BD111" s="1096"/>
      <c r="BE111" s="1100"/>
    </row>
    <row r="112" spans="1:94" ht="15.75" customHeight="1">
      <c r="A112" s="1096"/>
      <c r="B112" s="2043" t="s">
        <v>1996</v>
      </c>
      <c r="C112" s="2044"/>
      <c r="D112" s="2044"/>
      <c r="E112" s="2044"/>
      <c r="F112" s="2044"/>
      <c r="G112" s="2044"/>
      <c r="H112" s="2044"/>
      <c r="I112" s="2044"/>
      <c r="J112" s="2044"/>
      <c r="K112" s="2044"/>
      <c r="L112" s="2044"/>
      <c r="M112" s="2044"/>
      <c r="N112" s="2044"/>
      <c r="O112" s="2044"/>
      <c r="P112" s="2044"/>
      <c r="Q112" s="2044"/>
      <c r="R112" s="2044"/>
      <c r="S112" s="2044"/>
      <c r="T112" s="2044"/>
      <c r="U112" s="2047" t="s">
        <v>856</v>
      </c>
      <c r="V112" s="2047"/>
      <c r="W112" s="2047"/>
      <c r="X112" s="2048"/>
      <c r="Y112" s="1096"/>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c r="AV112" s="1096"/>
      <c r="AW112" s="1096"/>
      <c r="AX112" s="1096"/>
      <c r="AY112" s="1096"/>
      <c r="AZ112" s="1096"/>
      <c r="BA112" s="1096"/>
      <c r="BB112" s="1096"/>
      <c r="BC112" s="1096"/>
      <c r="BD112" s="1096"/>
      <c r="BE112" s="1100"/>
    </row>
    <row r="113" spans="1:57" ht="15.75" customHeight="1">
      <c r="A113" s="1096"/>
      <c r="B113" s="2045"/>
      <c r="C113" s="2046"/>
      <c r="D113" s="2046"/>
      <c r="E113" s="2046"/>
      <c r="F113" s="2046"/>
      <c r="G113" s="2046"/>
      <c r="H113" s="2046"/>
      <c r="I113" s="2046"/>
      <c r="J113" s="2046"/>
      <c r="K113" s="2046"/>
      <c r="L113" s="2046"/>
      <c r="M113" s="2046"/>
      <c r="N113" s="2046"/>
      <c r="O113" s="2046"/>
      <c r="P113" s="2046"/>
      <c r="Q113" s="2046"/>
      <c r="R113" s="2046"/>
      <c r="S113" s="2046"/>
      <c r="T113" s="2046"/>
      <c r="U113" s="2049"/>
      <c r="V113" s="2049"/>
      <c r="W113" s="2049"/>
      <c r="X113" s="2050"/>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c r="AV113" s="1096"/>
      <c r="AW113" s="1096"/>
      <c r="AX113" s="1096"/>
      <c r="AY113" s="1096"/>
      <c r="AZ113" s="1096"/>
      <c r="BA113" s="1096"/>
      <c r="BB113" s="1096"/>
      <c r="BC113" s="1096"/>
      <c r="BD113" s="1096"/>
      <c r="BE113" s="1100"/>
    </row>
    <row r="114" spans="1:57" ht="15.75" customHeight="1">
      <c r="A114" s="1096"/>
      <c r="B114" s="2045"/>
      <c r="C114" s="2046"/>
      <c r="D114" s="2046"/>
      <c r="E114" s="2046"/>
      <c r="F114" s="2046"/>
      <c r="G114" s="2046"/>
      <c r="H114" s="2046"/>
      <c r="I114" s="2046"/>
      <c r="J114" s="2046"/>
      <c r="K114" s="2046"/>
      <c r="L114" s="2046"/>
      <c r="M114" s="2046"/>
      <c r="N114" s="2046"/>
      <c r="O114" s="2046"/>
      <c r="P114" s="2046"/>
      <c r="Q114" s="2046"/>
      <c r="R114" s="2046"/>
      <c r="S114" s="2046"/>
      <c r="T114" s="2046"/>
      <c r="U114" s="2049"/>
      <c r="V114" s="2049"/>
      <c r="W114" s="2049"/>
      <c r="X114" s="2050"/>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100"/>
    </row>
    <row r="115" spans="1:57" ht="15.75" customHeight="1">
      <c r="A115" s="1096"/>
      <c r="B115" s="2045"/>
      <c r="C115" s="2046"/>
      <c r="D115" s="2046"/>
      <c r="E115" s="2046"/>
      <c r="F115" s="2046"/>
      <c r="G115" s="2046"/>
      <c r="H115" s="2046"/>
      <c r="I115" s="2046"/>
      <c r="J115" s="2046"/>
      <c r="K115" s="2046"/>
      <c r="L115" s="2046"/>
      <c r="M115" s="2046"/>
      <c r="N115" s="2046"/>
      <c r="O115" s="2046"/>
      <c r="P115" s="2046"/>
      <c r="Q115" s="2046"/>
      <c r="R115" s="2046"/>
      <c r="S115" s="2046"/>
      <c r="T115" s="2046"/>
      <c r="U115" s="2049"/>
      <c r="V115" s="2049"/>
      <c r="W115" s="2049"/>
      <c r="X115" s="2050"/>
      <c r="Y115" s="1096"/>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100"/>
    </row>
    <row r="116" spans="1:57" ht="15.75" customHeight="1">
      <c r="A116" s="1096"/>
      <c r="B116" s="2051" t="s">
        <v>1996</v>
      </c>
      <c r="C116" s="2052"/>
      <c r="D116" s="2052"/>
      <c r="E116" s="2052"/>
      <c r="F116" s="2052"/>
      <c r="G116" s="2052"/>
      <c r="H116" s="2052"/>
      <c r="I116" s="2052"/>
      <c r="J116" s="2052"/>
      <c r="K116" s="2052"/>
      <c r="L116" s="2052"/>
      <c r="M116" s="2052"/>
      <c r="N116" s="2052"/>
      <c r="O116" s="2052"/>
      <c r="P116" s="2052"/>
      <c r="Q116" s="2052"/>
      <c r="R116" s="2052"/>
      <c r="S116" s="2052"/>
      <c r="T116" s="2052"/>
      <c r="U116" s="2055" t="s">
        <v>856</v>
      </c>
      <c r="V116" s="2055"/>
      <c r="W116" s="2055"/>
      <c r="X116" s="2056"/>
      <c r="Y116" s="1096"/>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c r="AV116" s="1096"/>
      <c r="AW116" s="1096"/>
      <c r="AX116" s="1096"/>
      <c r="AY116" s="1096"/>
      <c r="AZ116" s="1096"/>
      <c r="BA116" s="1096"/>
      <c r="BB116" s="1096"/>
      <c r="BC116" s="1096"/>
      <c r="BD116" s="1096"/>
      <c r="BE116" s="1100"/>
    </row>
    <row r="117" spans="1:57" ht="15.75" customHeight="1" thickBot="1">
      <c r="A117" s="1096"/>
      <c r="B117" s="2053"/>
      <c r="C117" s="2054"/>
      <c r="D117" s="2054"/>
      <c r="E117" s="2054"/>
      <c r="F117" s="2054"/>
      <c r="G117" s="2054"/>
      <c r="H117" s="2054"/>
      <c r="I117" s="2054"/>
      <c r="J117" s="2054"/>
      <c r="K117" s="2054"/>
      <c r="L117" s="2054"/>
      <c r="M117" s="2054"/>
      <c r="N117" s="2054"/>
      <c r="O117" s="2054"/>
      <c r="P117" s="2054"/>
      <c r="Q117" s="2054"/>
      <c r="R117" s="2054"/>
      <c r="S117" s="2054"/>
      <c r="T117" s="2054"/>
      <c r="U117" s="2057"/>
      <c r="V117" s="2057"/>
      <c r="W117" s="2057"/>
      <c r="X117" s="2058"/>
      <c r="Y117" s="1096"/>
      <c r="Z117" s="1096"/>
      <c r="AA117" s="1096"/>
      <c r="AB117" s="1096"/>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c r="AV117" s="1096"/>
      <c r="AW117" s="1096"/>
      <c r="AX117" s="1096"/>
      <c r="AY117" s="1096"/>
      <c r="AZ117" s="1096"/>
      <c r="BA117" s="1096"/>
      <c r="BB117" s="1096"/>
      <c r="BC117" s="1096"/>
      <c r="BD117" s="1096"/>
      <c r="BE117" s="1100"/>
    </row>
    <row r="118" spans="1:57" ht="15.75" customHeight="1" thickBot="1">
      <c r="A118" s="1096"/>
      <c r="B118" s="1096"/>
      <c r="C118" s="1096"/>
      <c r="D118" s="1096"/>
      <c r="E118" s="1096"/>
      <c r="F118" s="1096"/>
      <c r="G118" s="1096"/>
      <c r="H118" s="1096"/>
      <c r="I118" s="1096"/>
      <c r="J118" s="1096"/>
      <c r="K118" s="1096"/>
      <c r="L118" s="1096"/>
      <c r="M118" s="1096"/>
      <c r="N118" s="1096"/>
      <c r="O118" s="1096"/>
      <c r="P118" s="1096"/>
      <c r="Q118" s="1096"/>
      <c r="R118" s="1096"/>
      <c r="S118" s="1096"/>
      <c r="T118" s="1096"/>
      <c r="U118" s="1096"/>
      <c r="V118" s="1096"/>
      <c r="W118" s="1096"/>
      <c r="X118" s="1096"/>
      <c r="Y118" s="1096"/>
      <c r="Z118" s="1096"/>
      <c r="AA118" s="1096"/>
      <c r="AB118" s="1096"/>
      <c r="AC118" s="1096"/>
      <c r="AD118" s="1096"/>
      <c r="AE118" s="1096"/>
      <c r="AF118" s="1096"/>
      <c r="AG118" s="1096"/>
      <c r="AH118" s="1096"/>
      <c r="AI118" s="1096"/>
      <c r="AJ118" s="1096"/>
      <c r="AK118" s="1096"/>
      <c r="AL118" s="1096"/>
      <c r="AM118" s="1096"/>
      <c r="AN118" s="1096"/>
      <c r="AO118" s="1096"/>
      <c r="AP118" s="1096"/>
      <c r="AQ118" s="1096"/>
      <c r="AR118" s="1096"/>
      <c r="AS118" s="1096"/>
      <c r="AT118" s="1096"/>
      <c r="AU118" s="1096"/>
      <c r="AV118" s="1096"/>
      <c r="AW118" s="1096"/>
      <c r="AX118" s="1096"/>
      <c r="AY118" s="1096"/>
      <c r="AZ118" s="1096"/>
      <c r="BA118" s="1096"/>
      <c r="BB118" s="1096"/>
      <c r="BC118" s="1096"/>
      <c r="BD118" s="1096"/>
      <c r="BE118" s="1100"/>
    </row>
    <row r="119" spans="1:57" ht="15.75" customHeight="1" thickBot="1">
      <c r="A119" s="1096"/>
      <c r="B119" s="1116" t="s">
        <v>1997</v>
      </c>
      <c r="C119" s="1111"/>
      <c r="D119" s="1111"/>
      <c r="E119" s="1111"/>
      <c r="F119" s="1111"/>
      <c r="G119" s="1111"/>
      <c r="H119" s="1111"/>
      <c r="I119" s="1111"/>
      <c r="J119" s="1111"/>
      <c r="K119" s="1111"/>
      <c r="L119" s="1111"/>
      <c r="M119" s="1111"/>
      <c r="N119" s="1111"/>
      <c r="O119" s="1111"/>
      <c r="P119" s="1111"/>
      <c r="Q119" s="1111"/>
      <c r="R119" s="1112"/>
      <c r="S119" s="1096"/>
      <c r="T119" s="1096"/>
      <c r="U119" s="1096"/>
      <c r="V119" s="1096"/>
      <c r="W119" s="1096"/>
      <c r="X119" s="1096"/>
      <c r="Y119" s="1096"/>
      <c r="Z119" s="1096"/>
      <c r="AA119" s="1096"/>
      <c r="AB119" s="1096"/>
      <c r="AC119" s="1096"/>
      <c r="AD119" s="1096"/>
      <c r="AE119" s="1096"/>
      <c r="AF119" s="1096"/>
      <c r="AG119" s="1096"/>
      <c r="AH119" s="1096"/>
      <c r="AI119" s="1096"/>
      <c r="AJ119" s="1096"/>
      <c r="AK119" s="1096"/>
      <c r="AL119" s="1096"/>
      <c r="AM119" s="1096"/>
      <c r="AN119" s="1096"/>
      <c r="AO119" s="1096"/>
      <c r="AP119" s="1096"/>
      <c r="AQ119" s="1096"/>
      <c r="AR119" s="1096"/>
      <c r="AS119" s="1096"/>
      <c r="AT119" s="1096"/>
      <c r="AU119" s="1096"/>
      <c r="AV119" s="1096"/>
      <c r="AW119" s="1096"/>
      <c r="AX119" s="1096"/>
      <c r="AY119" s="1096"/>
      <c r="AZ119" s="1096"/>
      <c r="BA119" s="1096"/>
      <c r="BB119" s="1096"/>
      <c r="BC119" s="1096"/>
      <c r="BD119" s="1096"/>
      <c r="BE119" s="1100"/>
    </row>
    <row r="120" spans="1:57" ht="15.75" customHeight="1" thickBot="1">
      <c r="A120" s="1096"/>
      <c r="B120" s="1096"/>
      <c r="C120" s="1096"/>
      <c r="D120" s="1096"/>
      <c r="E120" s="1096"/>
      <c r="F120" s="1096"/>
      <c r="G120" s="1096"/>
      <c r="H120" s="1096"/>
      <c r="I120" s="1096"/>
      <c r="J120" s="1096"/>
      <c r="K120" s="1096"/>
      <c r="L120" s="1096"/>
      <c r="M120" s="1096"/>
      <c r="N120" s="1096"/>
      <c r="O120" s="1096"/>
      <c r="P120" s="1128"/>
      <c r="Q120" s="1096"/>
      <c r="R120" s="1096"/>
      <c r="S120" s="1096"/>
      <c r="T120" s="1096"/>
      <c r="U120" s="1096"/>
      <c r="V120" s="1096"/>
      <c r="W120" s="1096"/>
      <c r="X120" s="2061" t="s">
        <v>1998</v>
      </c>
      <c r="Y120" s="2062"/>
      <c r="Z120" s="2062"/>
      <c r="AA120" s="2062"/>
      <c r="AB120" s="2062"/>
      <c r="AC120" s="2062"/>
      <c r="AD120" s="2062"/>
      <c r="AE120" s="2062"/>
      <c r="AF120" s="2062"/>
      <c r="AG120" s="2062"/>
      <c r="AH120" s="2062"/>
      <c r="AI120" s="2062"/>
      <c r="AJ120" s="2062"/>
      <c r="AK120" s="2062"/>
      <c r="AL120" s="2062"/>
      <c r="AM120" s="2062"/>
      <c r="AN120" s="2062"/>
      <c r="AO120" s="2062"/>
      <c r="AP120" s="2062"/>
      <c r="AQ120" s="2062"/>
      <c r="AR120" s="2062"/>
      <c r="AS120" s="2062"/>
      <c r="AT120" s="2062"/>
      <c r="AU120" s="2062"/>
      <c r="AV120" s="2062"/>
      <c r="AW120" s="2062"/>
      <c r="AX120" s="2062"/>
      <c r="AY120" s="2062"/>
      <c r="AZ120" s="2062"/>
      <c r="BA120" s="2062"/>
      <c r="BB120" s="2062"/>
      <c r="BC120" s="2062"/>
      <c r="BD120" s="2063"/>
      <c r="BE120" s="1100"/>
    </row>
    <row r="121" spans="1:57" ht="15.75" customHeight="1">
      <c r="A121" s="1096"/>
      <c r="B121" s="2067" t="s">
        <v>1999</v>
      </c>
      <c r="C121" s="2068"/>
      <c r="D121" s="2068"/>
      <c r="E121" s="2068"/>
      <c r="F121" s="2068"/>
      <c r="G121" s="2068"/>
      <c r="H121" s="2068"/>
      <c r="I121" s="2068"/>
      <c r="J121" s="2068"/>
      <c r="K121" s="2068"/>
      <c r="L121" s="2068"/>
      <c r="M121" s="2068"/>
      <c r="N121" s="2068"/>
      <c r="O121" s="2068"/>
      <c r="P121" s="2068"/>
      <c r="Q121" s="2068"/>
      <c r="R121" s="2068"/>
      <c r="S121" s="2068"/>
      <c r="T121" s="2068"/>
      <c r="U121" s="2069"/>
      <c r="V121" s="1096"/>
      <c r="W121" s="1096"/>
      <c r="X121" s="2064"/>
      <c r="Y121" s="2065"/>
      <c r="Z121" s="2065"/>
      <c r="AA121" s="2065"/>
      <c r="AB121" s="2065"/>
      <c r="AC121" s="2065"/>
      <c r="AD121" s="2065"/>
      <c r="AE121" s="2065"/>
      <c r="AF121" s="2065"/>
      <c r="AG121" s="2065"/>
      <c r="AH121" s="2065"/>
      <c r="AI121" s="2065"/>
      <c r="AJ121" s="2065"/>
      <c r="AK121" s="2065"/>
      <c r="AL121" s="2065"/>
      <c r="AM121" s="2065"/>
      <c r="AN121" s="2065"/>
      <c r="AO121" s="2065"/>
      <c r="AP121" s="2065"/>
      <c r="AQ121" s="2065"/>
      <c r="AR121" s="2065"/>
      <c r="AS121" s="2065"/>
      <c r="AT121" s="2065"/>
      <c r="AU121" s="2065"/>
      <c r="AV121" s="2065"/>
      <c r="AW121" s="2065"/>
      <c r="AX121" s="2065"/>
      <c r="AY121" s="2065"/>
      <c r="AZ121" s="2065"/>
      <c r="BA121" s="2065"/>
      <c r="BB121" s="2065"/>
      <c r="BC121" s="2065"/>
      <c r="BD121" s="2066"/>
      <c r="BE121" s="1100"/>
    </row>
    <row r="122" spans="1:57" ht="15.75" customHeight="1">
      <c r="A122" s="1096"/>
      <c r="B122" s="1976"/>
      <c r="C122" s="1977"/>
      <c r="D122" s="1977"/>
      <c r="E122" s="1977"/>
      <c r="F122" s="1977"/>
      <c r="G122" s="1977"/>
      <c r="H122" s="1977"/>
      <c r="I122" s="2036" t="s">
        <v>2000</v>
      </c>
      <c r="J122" s="2036"/>
      <c r="K122" s="2036"/>
      <c r="L122" s="2036"/>
      <c r="M122" s="2036"/>
      <c r="N122" s="2036"/>
      <c r="O122" s="2037" t="s">
        <v>2001</v>
      </c>
      <c r="P122" s="2037"/>
      <c r="Q122" s="2037"/>
      <c r="R122" s="2037"/>
      <c r="S122" s="2037"/>
      <c r="T122" s="2037"/>
      <c r="U122" s="2038"/>
      <c r="V122" s="1096"/>
      <c r="W122" s="1096"/>
      <c r="X122" s="1979" t="s">
        <v>1977</v>
      </c>
      <c r="Y122" s="1980"/>
      <c r="Z122" s="1980"/>
      <c r="AA122" s="1980"/>
      <c r="AB122" s="1980"/>
      <c r="AC122" s="1980"/>
      <c r="AD122" s="1980"/>
      <c r="AE122" s="1980"/>
      <c r="AF122" s="1980"/>
      <c r="AG122" s="1980"/>
      <c r="AH122" s="1980"/>
      <c r="AI122" s="1980"/>
      <c r="AJ122" s="1980"/>
      <c r="AK122" s="1980"/>
      <c r="AL122" s="1980"/>
      <c r="AM122" s="1980"/>
      <c r="AN122" s="1980"/>
      <c r="AO122" s="1980"/>
      <c r="AP122" s="1980"/>
      <c r="AQ122" s="1980"/>
      <c r="AR122" s="1980"/>
      <c r="AS122" s="1980"/>
      <c r="AT122" s="1980"/>
      <c r="AU122" s="1980"/>
      <c r="AV122" s="1980"/>
      <c r="AW122" s="1980"/>
      <c r="AX122" s="1980"/>
      <c r="AY122" s="1980"/>
      <c r="AZ122" s="1980"/>
      <c r="BA122" s="1980"/>
      <c r="BB122" s="1980"/>
      <c r="BC122" s="1980"/>
      <c r="BD122" s="1981"/>
      <c r="BE122" s="1100"/>
    </row>
    <row r="123" spans="1:57" ht="15.75" customHeight="1">
      <c r="A123" s="1096"/>
      <c r="B123" s="2010" t="s">
        <v>2002</v>
      </c>
      <c r="C123" s="2011"/>
      <c r="D123" s="2011"/>
      <c r="E123" s="2011"/>
      <c r="F123" s="2011"/>
      <c r="G123" s="2011"/>
      <c r="H123" s="2011"/>
      <c r="I123" s="2012">
        <v>0</v>
      </c>
      <c r="J123" s="2012"/>
      <c r="K123" s="2012"/>
      <c r="L123" s="2012"/>
      <c r="M123" s="2012"/>
      <c r="N123" s="2012"/>
      <c r="O123" s="2012">
        <v>0</v>
      </c>
      <c r="P123" s="2012"/>
      <c r="Q123" s="2012"/>
      <c r="R123" s="2012"/>
      <c r="S123" s="2012"/>
      <c r="T123" s="2012"/>
      <c r="U123" s="2013"/>
      <c r="V123" s="1096"/>
      <c r="W123" s="1096"/>
      <c r="X123" s="1979"/>
      <c r="Y123" s="1980"/>
      <c r="Z123" s="1980"/>
      <c r="AA123" s="1980"/>
      <c r="AB123" s="1980"/>
      <c r="AC123" s="1980"/>
      <c r="AD123" s="1980"/>
      <c r="AE123" s="1980"/>
      <c r="AF123" s="1980"/>
      <c r="AG123" s="1980"/>
      <c r="AH123" s="1980"/>
      <c r="AI123" s="1980"/>
      <c r="AJ123" s="1980"/>
      <c r="AK123" s="1980"/>
      <c r="AL123" s="1980"/>
      <c r="AM123" s="1980"/>
      <c r="AN123" s="1980"/>
      <c r="AO123" s="1980"/>
      <c r="AP123" s="1980"/>
      <c r="AQ123" s="1980"/>
      <c r="AR123" s="1980"/>
      <c r="AS123" s="1980"/>
      <c r="AT123" s="1980"/>
      <c r="AU123" s="1980"/>
      <c r="AV123" s="1980"/>
      <c r="AW123" s="1980"/>
      <c r="AX123" s="1980"/>
      <c r="AY123" s="1980"/>
      <c r="AZ123" s="1980"/>
      <c r="BA123" s="1980"/>
      <c r="BB123" s="1980"/>
      <c r="BC123" s="1980"/>
      <c r="BD123" s="1981"/>
      <c r="BE123" s="1100"/>
    </row>
    <row r="124" spans="1:57" ht="15.75" customHeight="1" thickBot="1">
      <c r="A124" s="1096"/>
      <c r="B124" s="2004" t="s">
        <v>2003</v>
      </c>
      <c r="C124" s="2005"/>
      <c r="D124" s="2005"/>
      <c r="E124" s="2005"/>
      <c r="F124" s="2005"/>
      <c r="G124" s="2005"/>
      <c r="H124" s="2005"/>
      <c r="I124" s="2006">
        <v>0</v>
      </c>
      <c r="J124" s="2006"/>
      <c r="K124" s="2006"/>
      <c r="L124" s="2006"/>
      <c r="M124" s="2006"/>
      <c r="N124" s="2006"/>
      <c r="O124" s="2059"/>
      <c r="P124" s="2059"/>
      <c r="Q124" s="2059"/>
      <c r="R124" s="2059"/>
      <c r="S124" s="2059"/>
      <c r="T124" s="2059"/>
      <c r="U124" s="2060"/>
      <c r="V124" s="1096"/>
      <c r="W124" s="1096"/>
      <c r="X124" s="1979"/>
      <c r="Y124" s="1980"/>
      <c r="Z124" s="1980"/>
      <c r="AA124" s="1980"/>
      <c r="AB124" s="1980"/>
      <c r="AC124" s="1980"/>
      <c r="AD124" s="1980"/>
      <c r="AE124" s="1980"/>
      <c r="AF124" s="1980"/>
      <c r="AG124" s="1980"/>
      <c r="AH124" s="1980"/>
      <c r="AI124" s="1980"/>
      <c r="AJ124" s="1980"/>
      <c r="AK124" s="1980"/>
      <c r="AL124" s="1980"/>
      <c r="AM124" s="1980"/>
      <c r="AN124" s="1980"/>
      <c r="AO124" s="1980"/>
      <c r="AP124" s="1980"/>
      <c r="AQ124" s="1980"/>
      <c r="AR124" s="1980"/>
      <c r="AS124" s="1980"/>
      <c r="AT124" s="1980"/>
      <c r="AU124" s="1980"/>
      <c r="AV124" s="1980"/>
      <c r="AW124" s="1980"/>
      <c r="AX124" s="1980"/>
      <c r="AY124" s="1980"/>
      <c r="AZ124" s="1980"/>
      <c r="BA124" s="1980"/>
      <c r="BB124" s="1980"/>
      <c r="BC124" s="1980"/>
      <c r="BD124" s="1981"/>
      <c r="BE124" s="1100"/>
    </row>
    <row r="125" spans="1:57" ht="15.75" customHeight="1" thickBot="1">
      <c r="A125" s="1096"/>
      <c r="B125" s="1096"/>
      <c r="C125" s="1096"/>
      <c r="D125" s="1096"/>
      <c r="E125" s="1096"/>
      <c r="F125" s="1096"/>
      <c r="G125" s="1096"/>
      <c r="H125" s="1096"/>
      <c r="I125" s="1096"/>
      <c r="J125" s="1096"/>
      <c r="K125" s="1096"/>
      <c r="L125" s="1096"/>
      <c r="M125" s="1096"/>
      <c r="N125" s="1096"/>
      <c r="O125" s="1096"/>
      <c r="P125" s="1096"/>
      <c r="Q125" s="1096"/>
      <c r="R125" s="1096"/>
      <c r="S125" s="1096"/>
      <c r="T125" s="1096"/>
      <c r="U125" s="1096"/>
      <c r="V125" s="1096"/>
      <c r="W125" s="1096"/>
      <c r="X125" s="1979"/>
      <c r="Y125" s="1980"/>
      <c r="Z125" s="1980"/>
      <c r="AA125" s="1980"/>
      <c r="AB125" s="1980"/>
      <c r="AC125" s="1980"/>
      <c r="AD125" s="1980"/>
      <c r="AE125" s="1980"/>
      <c r="AF125" s="1980"/>
      <c r="AG125" s="1980"/>
      <c r="AH125" s="1980"/>
      <c r="AI125" s="1980"/>
      <c r="AJ125" s="1980"/>
      <c r="AK125" s="1980"/>
      <c r="AL125" s="1980"/>
      <c r="AM125" s="1980"/>
      <c r="AN125" s="1980"/>
      <c r="AO125" s="1980"/>
      <c r="AP125" s="1980"/>
      <c r="AQ125" s="1980"/>
      <c r="AR125" s="1980"/>
      <c r="AS125" s="1980"/>
      <c r="AT125" s="1980"/>
      <c r="AU125" s="1980"/>
      <c r="AV125" s="1980"/>
      <c r="AW125" s="1980"/>
      <c r="AX125" s="1980"/>
      <c r="AY125" s="1980"/>
      <c r="AZ125" s="1980"/>
      <c r="BA125" s="1980"/>
      <c r="BB125" s="1980"/>
      <c r="BC125" s="1980"/>
      <c r="BD125" s="1981"/>
      <c r="BE125" s="1100"/>
    </row>
    <row r="126" spans="1:57" ht="15.75" customHeight="1" thickBot="1">
      <c r="A126" s="1096"/>
      <c r="B126" s="1116" t="s">
        <v>2004</v>
      </c>
      <c r="C126" s="1117"/>
      <c r="D126" s="1117"/>
      <c r="E126" s="1117"/>
      <c r="F126" s="1117"/>
      <c r="G126" s="1117"/>
      <c r="H126" s="1117"/>
      <c r="I126" s="1117"/>
      <c r="J126" s="1117"/>
      <c r="K126" s="1117"/>
      <c r="L126" s="1117"/>
      <c r="M126" s="1117"/>
      <c r="N126" s="1117"/>
      <c r="O126" s="1117"/>
      <c r="P126" s="1118"/>
      <c r="Q126" s="1101" t="s">
        <v>254</v>
      </c>
      <c r="R126" s="1101" t="s">
        <v>254</v>
      </c>
      <c r="S126" s="1096"/>
      <c r="T126" s="1096"/>
      <c r="U126" s="1096"/>
      <c r="V126" s="1096" t="s">
        <v>254</v>
      </c>
      <c r="W126" s="1096"/>
      <c r="X126" s="1979"/>
      <c r="Y126" s="1980"/>
      <c r="Z126" s="1980"/>
      <c r="AA126" s="1980"/>
      <c r="AB126" s="1980"/>
      <c r="AC126" s="1980"/>
      <c r="AD126" s="1980"/>
      <c r="AE126" s="1980"/>
      <c r="AF126" s="1980"/>
      <c r="AG126" s="1980"/>
      <c r="AH126" s="1980"/>
      <c r="AI126" s="1980"/>
      <c r="AJ126" s="1980"/>
      <c r="AK126" s="1980"/>
      <c r="AL126" s="1980"/>
      <c r="AM126" s="1980"/>
      <c r="AN126" s="1980"/>
      <c r="AO126" s="1980"/>
      <c r="AP126" s="1980"/>
      <c r="AQ126" s="1980"/>
      <c r="AR126" s="1980"/>
      <c r="AS126" s="1980"/>
      <c r="AT126" s="1980"/>
      <c r="AU126" s="1980"/>
      <c r="AV126" s="1980"/>
      <c r="AW126" s="1980"/>
      <c r="AX126" s="1980"/>
      <c r="AY126" s="1980"/>
      <c r="AZ126" s="1980"/>
      <c r="BA126" s="1980"/>
      <c r="BB126" s="1980"/>
      <c r="BC126" s="1980"/>
      <c r="BD126" s="1981"/>
      <c r="BE126" s="1100"/>
    </row>
    <row r="127" spans="1:57" ht="15.75" customHeight="1" thickBot="1">
      <c r="A127" s="1096"/>
      <c r="B127" s="1096"/>
      <c r="C127" s="1096"/>
      <c r="D127" s="1096"/>
      <c r="E127" s="1096"/>
      <c r="F127" s="1096"/>
      <c r="G127" s="1096"/>
      <c r="H127" s="1096"/>
      <c r="I127" s="1096"/>
      <c r="J127" s="1096"/>
      <c r="K127" s="1096"/>
      <c r="L127" s="1096"/>
      <c r="M127" s="1096"/>
      <c r="N127" s="1096"/>
      <c r="O127" s="1096"/>
      <c r="P127" s="1096"/>
      <c r="Q127" s="1096"/>
      <c r="R127" s="1096"/>
      <c r="S127" s="1096"/>
      <c r="T127" s="1096"/>
      <c r="U127" s="1096"/>
      <c r="V127" s="1096"/>
      <c r="W127" s="1096"/>
      <c r="X127" s="1979"/>
      <c r="Y127" s="1980"/>
      <c r="Z127" s="1980"/>
      <c r="AA127" s="1980"/>
      <c r="AB127" s="1980"/>
      <c r="AC127" s="1980"/>
      <c r="AD127" s="1980"/>
      <c r="AE127" s="1980"/>
      <c r="AF127" s="1980"/>
      <c r="AG127" s="1980"/>
      <c r="AH127" s="1980"/>
      <c r="AI127" s="1980"/>
      <c r="AJ127" s="1980"/>
      <c r="AK127" s="1980"/>
      <c r="AL127" s="1980"/>
      <c r="AM127" s="1980"/>
      <c r="AN127" s="1980"/>
      <c r="AO127" s="1980"/>
      <c r="AP127" s="1980"/>
      <c r="AQ127" s="1980"/>
      <c r="AR127" s="1980"/>
      <c r="AS127" s="1980"/>
      <c r="AT127" s="1980"/>
      <c r="AU127" s="1980"/>
      <c r="AV127" s="1980"/>
      <c r="AW127" s="1980"/>
      <c r="AX127" s="1980"/>
      <c r="AY127" s="1980"/>
      <c r="AZ127" s="1980"/>
      <c r="BA127" s="1980"/>
      <c r="BB127" s="1980"/>
      <c r="BC127" s="1980"/>
      <c r="BD127" s="1981"/>
      <c r="BE127" s="1100"/>
    </row>
    <row r="128" spans="1:57" ht="15.75" customHeight="1">
      <c r="A128" s="1096"/>
      <c r="B128" s="2039" t="s">
        <v>2005</v>
      </c>
      <c r="C128" s="2040"/>
      <c r="D128" s="2040"/>
      <c r="E128" s="2040"/>
      <c r="F128" s="2040"/>
      <c r="G128" s="2040"/>
      <c r="H128" s="2040"/>
      <c r="I128" s="2040"/>
      <c r="J128" s="2040"/>
      <c r="K128" s="2040"/>
      <c r="L128" s="2040"/>
      <c r="M128" s="2040"/>
      <c r="N128" s="2040"/>
      <c r="O128" s="2040"/>
      <c r="P128" s="2040"/>
      <c r="Q128" s="2040"/>
      <c r="R128" s="2040"/>
      <c r="S128" s="2040"/>
      <c r="T128" s="2040"/>
      <c r="U128" s="2041"/>
      <c r="V128" s="1096"/>
      <c r="W128" s="1096"/>
      <c r="X128" s="1979"/>
      <c r="Y128" s="1980"/>
      <c r="Z128" s="1980"/>
      <c r="AA128" s="1980"/>
      <c r="AB128" s="1980"/>
      <c r="AC128" s="1980"/>
      <c r="AD128" s="1980"/>
      <c r="AE128" s="1980"/>
      <c r="AF128" s="1980"/>
      <c r="AG128" s="1980"/>
      <c r="AH128" s="1980"/>
      <c r="AI128" s="1980"/>
      <c r="AJ128" s="1980"/>
      <c r="AK128" s="1980"/>
      <c r="AL128" s="1980"/>
      <c r="AM128" s="1980"/>
      <c r="AN128" s="1980"/>
      <c r="AO128" s="1980"/>
      <c r="AP128" s="1980"/>
      <c r="AQ128" s="1980"/>
      <c r="AR128" s="1980"/>
      <c r="AS128" s="1980"/>
      <c r="AT128" s="1980"/>
      <c r="AU128" s="1980"/>
      <c r="AV128" s="1980"/>
      <c r="AW128" s="1980"/>
      <c r="AX128" s="1980"/>
      <c r="AY128" s="1980"/>
      <c r="AZ128" s="1980"/>
      <c r="BA128" s="1980"/>
      <c r="BB128" s="1980"/>
      <c r="BC128" s="1980"/>
      <c r="BD128" s="1981"/>
      <c r="BE128" s="1100"/>
    </row>
    <row r="129" spans="1:57" ht="15.75" customHeight="1">
      <c r="A129" s="1096"/>
      <c r="B129" s="1976"/>
      <c r="C129" s="1977"/>
      <c r="D129" s="1977"/>
      <c r="E129" s="1977"/>
      <c r="F129" s="1977"/>
      <c r="G129" s="1977"/>
      <c r="H129" s="1977"/>
      <c r="I129" s="2014" t="s">
        <v>1983</v>
      </c>
      <c r="J129" s="2014"/>
      <c r="K129" s="2014"/>
      <c r="L129" s="2014"/>
      <c r="M129" s="2014"/>
      <c r="N129" s="2014"/>
      <c r="O129" s="2014"/>
      <c r="P129" s="2014" t="s">
        <v>1984</v>
      </c>
      <c r="Q129" s="2014"/>
      <c r="R129" s="2014"/>
      <c r="S129" s="2014"/>
      <c r="T129" s="2014"/>
      <c r="U129" s="2015"/>
      <c r="V129" s="1096"/>
      <c r="W129" s="1096"/>
      <c r="X129" s="1979"/>
      <c r="Y129" s="1980"/>
      <c r="Z129" s="1980"/>
      <c r="AA129" s="1980"/>
      <c r="AB129" s="1980"/>
      <c r="AC129" s="1980"/>
      <c r="AD129" s="1980"/>
      <c r="AE129" s="1980"/>
      <c r="AF129" s="1980"/>
      <c r="AG129" s="1980"/>
      <c r="AH129" s="1980"/>
      <c r="AI129" s="1980"/>
      <c r="AJ129" s="1980"/>
      <c r="AK129" s="1980"/>
      <c r="AL129" s="1980"/>
      <c r="AM129" s="1980"/>
      <c r="AN129" s="1980"/>
      <c r="AO129" s="1980"/>
      <c r="AP129" s="1980"/>
      <c r="AQ129" s="1980"/>
      <c r="AR129" s="1980"/>
      <c r="AS129" s="1980"/>
      <c r="AT129" s="1980"/>
      <c r="AU129" s="1980"/>
      <c r="AV129" s="1980"/>
      <c r="AW129" s="1980"/>
      <c r="AX129" s="1980"/>
      <c r="AY129" s="1980"/>
      <c r="AZ129" s="1980"/>
      <c r="BA129" s="1980"/>
      <c r="BB129" s="1980"/>
      <c r="BC129" s="1980"/>
      <c r="BD129" s="1981"/>
      <c r="BE129" s="1100"/>
    </row>
    <row r="130" spans="1:57" ht="15.75" customHeight="1">
      <c r="A130" s="1096"/>
      <c r="B130" s="1976"/>
      <c r="C130" s="1977"/>
      <c r="D130" s="1977"/>
      <c r="E130" s="1977"/>
      <c r="F130" s="1977"/>
      <c r="G130" s="1977"/>
      <c r="H130" s="1977"/>
      <c r="I130" s="2014"/>
      <c r="J130" s="2014"/>
      <c r="K130" s="2014"/>
      <c r="L130" s="2014"/>
      <c r="M130" s="2014"/>
      <c r="N130" s="2014"/>
      <c r="O130" s="2014"/>
      <c r="P130" s="2014"/>
      <c r="Q130" s="2014"/>
      <c r="R130" s="2014"/>
      <c r="S130" s="2014"/>
      <c r="T130" s="2014"/>
      <c r="U130" s="2015"/>
      <c r="V130" s="1096"/>
      <c r="W130" s="1096"/>
      <c r="X130" s="1979"/>
      <c r="Y130" s="1980"/>
      <c r="Z130" s="1980"/>
      <c r="AA130" s="1980"/>
      <c r="AB130" s="1980"/>
      <c r="AC130" s="1980"/>
      <c r="AD130" s="1980"/>
      <c r="AE130" s="1980"/>
      <c r="AF130" s="1980"/>
      <c r="AG130" s="1980"/>
      <c r="AH130" s="1980"/>
      <c r="AI130" s="1980"/>
      <c r="AJ130" s="1980"/>
      <c r="AK130" s="1980"/>
      <c r="AL130" s="1980"/>
      <c r="AM130" s="1980"/>
      <c r="AN130" s="1980"/>
      <c r="AO130" s="1980"/>
      <c r="AP130" s="1980"/>
      <c r="AQ130" s="1980"/>
      <c r="AR130" s="1980"/>
      <c r="AS130" s="1980"/>
      <c r="AT130" s="1980"/>
      <c r="AU130" s="1980"/>
      <c r="AV130" s="1980"/>
      <c r="AW130" s="1980"/>
      <c r="AX130" s="1980"/>
      <c r="AY130" s="1980"/>
      <c r="AZ130" s="1980"/>
      <c r="BA130" s="1980"/>
      <c r="BB130" s="1980"/>
      <c r="BC130" s="1980"/>
      <c r="BD130" s="1981"/>
      <c r="BE130" s="1100"/>
    </row>
    <row r="131" spans="1:57" ht="15.75" customHeight="1">
      <c r="A131" s="1096"/>
      <c r="B131" s="2010" t="s">
        <v>2002</v>
      </c>
      <c r="C131" s="2011"/>
      <c r="D131" s="2011"/>
      <c r="E131" s="2011"/>
      <c r="F131" s="2011"/>
      <c r="G131" s="2011"/>
      <c r="H131" s="2011"/>
      <c r="I131" s="2012">
        <v>0</v>
      </c>
      <c r="J131" s="2012"/>
      <c r="K131" s="2012"/>
      <c r="L131" s="2012"/>
      <c r="M131" s="2012"/>
      <c r="N131" s="2012"/>
      <c r="O131" s="2012"/>
      <c r="P131" s="2012">
        <v>0</v>
      </c>
      <c r="Q131" s="2012"/>
      <c r="R131" s="2012"/>
      <c r="S131" s="2012"/>
      <c r="T131" s="2012"/>
      <c r="U131" s="2013"/>
      <c r="V131" s="1096"/>
      <c r="W131" s="1096"/>
      <c r="X131" s="1979"/>
      <c r="Y131" s="1980"/>
      <c r="Z131" s="1980"/>
      <c r="AA131" s="1980"/>
      <c r="AB131" s="1980"/>
      <c r="AC131" s="1980"/>
      <c r="AD131" s="1980"/>
      <c r="AE131" s="1980"/>
      <c r="AF131" s="1980"/>
      <c r="AG131" s="1980"/>
      <c r="AH131" s="1980"/>
      <c r="AI131" s="1980"/>
      <c r="AJ131" s="1980"/>
      <c r="AK131" s="1980"/>
      <c r="AL131" s="1980"/>
      <c r="AM131" s="1980"/>
      <c r="AN131" s="1980"/>
      <c r="AO131" s="1980"/>
      <c r="AP131" s="1980"/>
      <c r="AQ131" s="1980"/>
      <c r="AR131" s="1980"/>
      <c r="AS131" s="1980"/>
      <c r="AT131" s="1980"/>
      <c r="AU131" s="1980"/>
      <c r="AV131" s="1980"/>
      <c r="AW131" s="1980"/>
      <c r="AX131" s="1980"/>
      <c r="AY131" s="1980"/>
      <c r="AZ131" s="1980"/>
      <c r="BA131" s="1980"/>
      <c r="BB131" s="1980"/>
      <c r="BC131" s="1980"/>
      <c r="BD131" s="1981"/>
      <c r="BE131" s="1100"/>
    </row>
    <row r="132" spans="1:57" ht="15.75" customHeight="1" thickBot="1">
      <c r="A132" s="1096"/>
      <c r="B132" s="2004" t="s">
        <v>2003</v>
      </c>
      <c r="C132" s="2005"/>
      <c r="D132" s="2005"/>
      <c r="E132" s="2005"/>
      <c r="F132" s="2005"/>
      <c r="G132" s="2005"/>
      <c r="H132" s="2005"/>
      <c r="I132" s="2006">
        <v>0</v>
      </c>
      <c r="J132" s="2006"/>
      <c r="K132" s="2006"/>
      <c r="L132" s="2006"/>
      <c r="M132" s="2006"/>
      <c r="N132" s="2006"/>
      <c r="O132" s="2006"/>
      <c r="P132" s="2006">
        <v>0</v>
      </c>
      <c r="Q132" s="2006"/>
      <c r="R132" s="2006"/>
      <c r="S132" s="2006"/>
      <c r="T132" s="2006"/>
      <c r="U132" s="2007"/>
      <c r="V132" s="1096"/>
      <c r="W132" s="1096"/>
      <c r="X132" s="1982"/>
      <c r="Y132" s="1983"/>
      <c r="Z132" s="1983"/>
      <c r="AA132" s="1983"/>
      <c r="AB132" s="1983"/>
      <c r="AC132" s="1983"/>
      <c r="AD132" s="1983"/>
      <c r="AE132" s="1983"/>
      <c r="AF132" s="1983"/>
      <c r="AG132" s="1983"/>
      <c r="AH132" s="1983"/>
      <c r="AI132" s="1983"/>
      <c r="AJ132" s="1983"/>
      <c r="AK132" s="1983"/>
      <c r="AL132" s="1983"/>
      <c r="AM132" s="1983"/>
      <c r="AN132" s="1983"/>
      <c r="AO132" s="1983"/>
      <c r="AP132" s="1983"/>
      <c r="AQ132" s="1983"/>
      <c r="AR132" s="1983"/>
      <c r="AS132" s="1983"/>
      <c r="AT132" s="1983"/>
      <c r="AU132" s="1983"/>
      <c r="AV132" s="1983"/>
      <c r="AW132" s="1983"/>
      <c r="AX132" s="1983"/>
      <c r="AY132" s="1983"/>
      <c r="AZ132" s="1983"/>
      <c r="BA132" s="1983"/>
      <c r="BB132" s="1983"/>
      <c r="BC132" s="1983"/>
      <c r="BD132" s="1984"/>
      <c r="BE132" s="1100"/>
    </row>
    <row r="133" spans="1:57" ht="15.75" customHeight="1" thickBot="1">
      <c r="A133" s="1096"/>
      <c r="B133" s="1096"/>
      <c r="C133" s="1096"/>
      <c r="D133" s="1096"/>
      <c r="E133" s="1096"/>
      <c r="F133" s="1096"/>
      <c r="G133" s="1096"/>
      <c r="H133" s="1096"/>
      <c r="I133" s="1096"/>
      <c r="J133" s="1096"/>
      <c r="K133" s="1096"/>
      <c r="L133" s="1096"/>
      <c r="M133" s="1096"/>
      <c r="N133" s="1096"/>
      <c r="O133" s="1096"/>
      <c r="P133" s="1096"/>
      <c r="Q133" s="1130"/>
      <c r="R133" s="1096"/>
      <c r="S133" s="1096"/>
      <c r="T133" s="1096"/>
      <c r="U133" s="1096"/>
      <c r="V133" s="1096"/>
      <c r="W133" s="1096"/>
      <c r="X133" s="1096"/>
      <c r="Y133" s="1096"/>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c r="AV133" s="1096"/>
      <c r="AW133" s="1096"/>
      <c r="AX133" s="1096"/>
      <c r="AY133" s="1096"/>
      <c r="AZ133" s="1096"/>
      <c r="BA133" s="1096"/>
      <c r="BB133" s="1096"/>
      <c r="BC133" s="1096"/>
      <c r="BD133" s="1096"/>
      <c r="BE133" s="1100"/>
    </row>
    <row r="134" spans="1:57" ht="15.75" customHeight="1">
      <c r="A134" s="1096"/>
      <c r="B134" s="2031" t="s">
        <v>2006</v>
      </c>
      <c r="C134" s="2032"/>
      <c r="D134" s="2032"/>
      <c r="E134" s="2032"/>
      <c r="F134" s="2032"/>
      <c r="G134" s="2032"/>
      <c r="H134" s="2032"/>
      <c r="I134" s="2032"/>
      <c r="J134" s="2032"/>
      <c r="K134" s="2032"/>
      <c r="L134" s="2032"/>
      <c r="M134" s="2032"/>
      <c r="N134" s="2032"/>
      <c r="O134" s="2032"/>
      <c r="P134" s="2032"/>
      <c r="Q134" s="2032"/>
      <c r="R134" s="2032"/>
      <c r="S134" s="2032"/>
      <c r="T134" s="2032"/>
      <c r="U134" s="2032"/>
      <c r="V134" s="2032"/>
      <c r="W134" s="2032"/>
      <c r="X134" s="2032"/>
      <c r="Y134" s="2032"/>
      <c r="Z134" s="2032"/>
      <c r="AA134" s="2032"/>
      <c r="AB134" s="2032"/>
      <c r="AC134" s="2032"/>
      <c r="AD134" s="2032"/>
      <c r="AE134" s="2032"/>
      <c r="AF134" s="2032"/>
      <c r="AG134" s="2032"/>
      <c r="AH134" s="2019" t="s">
        <v>856</v>
      </c>
      <c r="AI134" s="2019"/>
      <c r="AJ134" s="2019"/>
      <c r="AK134" s="2019"/>
      <c r="AL134" s="2019"/>
      <c r="AM134" s="2019"/>
      <c r="AN134" s="2019"/>
      <c r="AO134" s="2019"/>
      <c r="AP134" s="2019"/>
      <c r="AQ134" s="2019"/>
      <c r="AR134" s="2019"/>
      <c r="AS134" s="2019"/>
      <c r="AT134" s="2019"/>
      <c r="AU134" s="2019"/>
      <c r="AV134" s="2019"/>
      <c r="AW134" s="2019"/>
      <c r="AX134" s="2020"/>
      <c r="AY134" s="1096"/>
      <c r="AZ134" s="1096"/>
      <c r="BA134" s="1096"/>
      <c r="BB134" s="1096"/>
      <c r="BC134" s="1096"/>
      <c r="BD134" s="1096"/>
      <c r="BE134" s="1100"/>
    </row>
    <row r="135" spans="1:57" ht="15.75" customHeight="1" thickBot="1">
      <c r="A135" s="1096"/>
      <c r="B135" s="2016" t="s">
        <v>2007</v>
      </c>
      <c r="C135" s="2017"/>
      <c r="D135" s="2017"/>
      <c r="E135" s="2017"/>
      <c r="F135" s="2017"/>
      <c r="G135" s="2017"/>
      <c r="H135" s="2017"/>
      <c r="I135" s="2017"/>
      <c r="J135" s="2017"/>
      <c r="K135" s="2017"/>
      <c r="L135" s="2017"/>
      <c r="M135" s="2017"/>
      <c r="N135" s="2017"/>
      <c r="O135" s="2017"/>
      <c r="P135" s="2017"/>
      <c r="Q135" s="2017"/>
      <c r="R135" s="2017"/>
      <c r="S135" s="2017"/>
      <c r="T135" s="2017"/>
      <c r="U135" s="2017"/>
      <c r="V135" s="2017"/>
      <c r="W135" s="2017"/>
      <c r="X135" s="2017"/>
      <c r="Y135" s="2017"/>
      <c r="Z135" s="2017"/>
      <c r="AA135" s="2017"/>
      <c r="AB135" s="2017"/>
      <c r="AC135" s="2017"/>
      <c r="AD135" s="2017"/>
      <c r="AE135" s="2017"/>
      <c r="AF135" s="2017"/>
      <c r="AG135" s="2018"/>
      <c r="AH135" s="2033"/>
      <c r="AI135" s="2034"/>
      <c r="AJ135" s="2034"/>
      <c r="AK135" s="2034"/>
      <c r="AL135" s="2034"/>
      <c r="AM135" s="2034"/>
      <c r="AN135" s="2034"/>
      <c r="AO135" s="2034"/>
      <c r="AP135" s="2034"/>
      <c r="AQ135" s="2034"/>
      <c r="AR135" s="2034"/>
      <c r="AS135" s="2034"/>
      <c r="AT135" s="2034"/>
      <c r="AU135" s="2034"/>
      <c r="AV135" s="2034"/>
      <c r="AW135" s="2034"/>
      <c r="AX135" s="2035"/>
      <c r="AY135" s="1096"/>
      <c r="AZ135" s="1096"/>
      <c r="BA135" s="1096"/>
      <c r="BB135" s="1096"/>
      <c r="BC135" s="1096"/>
      <c r="BD135" s="1096"/>
      <c r="BE135" s="1100"/>
    </row>
    <row r="136" spans="1:57" ht="15.75" customHeight="1">
      <c r="A136" s="1096"/>
      <c r="B136" s="2016" t="s">
        <v>2008</v>
      </c>
      <c r="C136" s="2017"/>
      <c r="D136" s="2017"/>
      <c r="E136" s="2017"/>
      <c r="F136" s="2017"/>
      <c r="G136" s="2017"/>
      <c r="H136" s="2017"/>
      <c r="I136" s="2017"/>
      <c r="J136" s="2017"/>
      <c r="K136" s="2017"/>
      <c r="L136" s="2017"/>
      <c r="M136" s="2017"/>
      <c r="N136" s="2017"/>
      <c r="O136" s="2017"/>
      <c r="P136" s="2017"/>
      <c r="Q136" s="2017"/>
      <c r="R136" s="2017"/>
      <c r="S136" s="2017"/>
      <c r="T136" s="2017"/>
      <c r="U136" s="2017"/>
      <c r="V136" s="2017"/>
      <c r="W136" s="2017"/>
      <c r="X136" s="2017"/>
      <c r="Y136" s="2017"/>
      <c r="Z136" s="2017"/>
      <c r="AA136" s="2017"/>
      <c r="AB136" s="2017"/>
      <c r="AC136" s="2017"/>
      <c r="AD136" s="2017"/>
      <c r="AE136" s="2017"/>
      <c r="AF136" s="2017"/>
      <c r="AG136" s="2018"/>
      <c r="AH136" s="2019" t="s">
        <v>856</v>
      </c>
      <c r="AI136" s="2019"/>
      <c r="AJ136" s="2019"/>
      <c r="AK136" s="2019"/>
      <c r="AL136" s="2019"/>
      <c r="AM136" s="2019"/>
      <c r="AN136" s="2019"/>
      <c r="AO136" s="2019"/>
      <c r="AP136" s="2019"/>
      <c r="AQ136" s="2019"/>
      <c r="AR136" s="2019"/>
      <c r="AS136" s="2019"/>
      <c r="AT136" s="2019"/>
      <c r="AU136" s="2019"/>
      <c r="AV136" s="2019"/>
      <c r="AW136" s="2019"/>
      <c r="AX136" s="2020"/>
      <c r="AY136" s="1096"/>
      <c r="AZ136" s="1096"/>
      <c r="BA136" s="1096"/>
      <c r="BB136" s="1096"/>
      <c r="BC136" s="1096"/>
      <c r="BD136" s="1096"/>
      <c r="BE136" s="1100"/>
    </row>
    <row r="137" spans="1:57" ht="15.75" customHeight="1">
      <c r="A137" s="1096"/>
      <c r="B137" s="2021" t="s">
        <v>2009</v>
      </c>
      <c r="C137" s="2022"/>
      <c r="D137" s="2022"/>
      <c r="E137" s="2022"/>
      <c r="F137" s="2022"/>
      <c r="G137" s="2022"/>
      <c r="H137" s="2022"/>
      <c r="I137" s="2022"/>
      <c r="J137" s="2022"/>
      <c r="K137" s="2022"/>
      <c r="L137" s="2022"/>
      <c r="M137" s="2022"/>
      <c r="N137" s="2022"/>
      <c r="O137" s="2022"/>
      <c r="P137" s="2022"/>
      <c r="Q137" s="2022"/>
      <c r="R137" s="2023" t="s">
        <v>2010</v>
      </c>
      <c r="S137" s="2023"/>
      <c r="T137" s="2023"/>
      <c r="U137" s="2023"/>
      <c r="V137" s="2023"/>
      <c r="W137" s="2023"/>
      <c r="X137" s="2023"/>
      <c r="Y137" s="2023"/>
      <c r="Z137" s="2023"/>
      <c r="AA137" s="2023"/>
      <c r="AB137" s="2023"/>
      <c r="AC137" s="2023"/>
      <c r="AD137" s="2023"/>
      <c r="AE137" s="2023"/>
      <c r="AF137" s="2023"/>
      <c r="AG137" s="2023"/>
      <c r="AH137" s="2023"/>
      <c r="AI137" s="2023"/>
      <c r="AJ137" s="2023"/>
      <c r="AK137" s="2023"/>
      <c r="AL137" s="2023"/>
      <c r="AM137" s="2023"/>
      <c r="AN137" s="2023"/>
      <c r="AO137" s="2023"/>
      <c r="AP137" s="2023"/>
      <c r="AQ137" s="2023"/>
      <c r="AR137" s="2023"/>
      <c r="AS137" s="2023"/>
      <c r="AT137" s="2023"/>
      <c r="AU137" s="2023"/>
      <c r="AV137" s="2023"/>
      <c r="AW137" s="2023"/>
      <c r="AX137" s="2024"/>
      <c r="AY137" s="1096"/>
      <c r="AZ137" s="1096"/>
      <c r="BA137" s="1096"/>
      <c r="BB137" s="1096"/>
      <c r="BC137" s="1096" t="s">
        <v>254</v>
      </c>
      <c r="BD137" s="1096"/>
      <c r="BE137" s="1100"/>
    </row>
    <row r="138" spans="1:57" ht="15.75" customHeight="1">
      <c r="A138" s="1096"/>
      <c r="B138" s="2025" t="s">
        <v>2011</v>
      </c>
      <c r="C138" s="2026"/>
      <c r="D138" s="2026"/>
      <c r="E138" s="2026"/>
      <c r="F138" s="2026"/>
      <c r="G138" s="2026"/>
      <c r="H138" s="2026"/>
      <c r="I138" s="2026"/>
      <c r="J138" s="2026"/>
      <c r="K138" s="2026"/>
      <c r="L138" s="2026"/>
      <c r="M138" s="2026"/>
      <c r="N138" s="2026"/>
      <c r="O138" s="2026"/>
      <c r="P138" s="2026"/>
      <c r="Q138" s="2026"/>
      <c r="R138" s="2026"/>
      <c r="S138" s="2026"/>
      <c r="T138" s="2026"/>
      <c r="U138" s="2026"/>
      <c r="V138" s="2026"/>
      <c r="W138" s="2026"/>
      <c r="X138" s="2026"/>
      <c r="Y138" s="2026"/>
      <c r="Z138" s="2026"/>
      <c r="AA138" s="2026"/>
      <c r="AB138" s="2026"/>
      <c r="AC138" s="2026"/>
      <c r="AD138" s="2026"/>
      <c r="AE138" s="2026"/>
      <c r="AF138" s="2026"/>
      <c r="AG138" s="2026"/>
      <c r="AH138" s="2026"/>
      <c r="AI138" s="2026"/>
      <c r="AJ138" s="2026"/>
      <c r="AK138" s="2026"/>
      <c r="AL138" s="2026"/>
      <c r="AM138" s="2026"/>
      <c r="AN138" s="2026"/>
      <c r="AO138" s="2026"/>
      <c r="AP138" s="2026"/>
      <c r="AQ138" s="2026"/>
      <c r="AR138" s="2026"/>
      <c r="AS138" s="2026"/>
      <c r="AT138" s="2026"/>
      <c r="AU138" s="2026"/>
      <c r="AV138" s="2026"/>
      <c r="AW138" s="2026"/>
      <c r="AX138" s="2027"/>
      <c r="AY138" s="1096"/>
      <c r="AZ138" s="1096"/>
      <c r="BA138" s="1096"/>
      <c r="BB138" s="1096"/>
      <c r="BC138" s="1096"/>
      <c r="BD138" s="1096"/>
      <c r="BE138" s="1100"/>
    </row>
    <row r="139" spans="1:57" ht="15.75" customHeight="1">
      <c r="A139" s="1096"/>
      <c r="B139" s="2025"/>
      <c r="C139" s="2026"/>
      <c r="D139" s="2026"/>
      <c r="E139" s="2026"/>
      <c r="F139" s="2026"/>
      <c r="G139" s="2026"/>
      <c r="H139" s="2026"/>
      <c r="I139" s="2026"/>
      <c r="J139" s="2026"/>
      <c r="K139" s="2026"/>
      <c r="L139" s="2026"/>
      <c r="M139" s="2026"/>
      <c r="N139" s="2026"/>
      <c r="O139" s="2026"/>
      <c r="P139" s="2026"/>
      <c r="Q139" s="2026"/>
      <c r="R139" s="2026"/>
      <c r="S139" s="2026"/>
      <c r="T139" s="2026"/>
      <c r="U139" s="2026"/>
      <c r="V139" s="2026"/>
      <c r="W139" s="2026"/>
      <c r="X139" s="2026"/>
      <c r="Y139" s="2026"/>
      <c r="Z139" s="2026"/>
      <c r="AA139" s="2026"/>
      <c r="AB139" s="2026"/>
      <c r="AC139" s="2026"/>
      <c r="AD139" s="2026"/>
      <c r="AE139" s="2026"/>
      <c r="AF139" s="2026"/>
      <c r="AG139" s="2026"/>
      <c r="AH139" s="2026"/>
      <c r="AI139" s="2026"/>
      <c r="AJ139" s="2026"/>
      <c r="AK139" s="2026"/>
      <c r="AL139" s="2026"/>
      <c r="AM139" s="2026"/>
      <c r="AN139" s="2026"/>
      <c r="AO139" s="2026"/>
      <c r="AP139" s="2026"/>
      <c r="AQ139" s="2026"/>
      <c r="AR139" s="2026"/>
      <c r="AS139" s="2026"/>
      <c r="AT139" s="2026"/>
      <c r="AU139" s="2026"/>
      <c r="AV139" s="2026"/>
      <c r="AW139" s="2026"/>
      <c r="AX139" s="2027"/>
      <c r="AY139" s="1096"/>
      <c r="AZ139" s="1096"/>
      <c r="BA139" s="1096"/>
      <c r="BB139" s="1096"/>
      <c r="BC139" s="1096"/>
      <c r="BD139" s="1096"/>
      <c r="BE139" s="1100"/>
    </row>
    <row r="140" spans="1:57" ht="15.75" customHeight="1">
      <c r="A140" s="1096"/>
      <c r="B140" s="2025"/>
      <c r="C140" s="2026"/>
      <c r="D140" s="2026"/>
      <c r="E140" s="2026"/>
      <c r="F140" s="2026"/>
      <c r="G140" s="2026"/>
      <c r="H140" s="2026"/>
      <c r="I140" s="2026"/>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c r="AG140" s="2026"/>
      <c r="AH140" s="2026"/>
      <c r="AI140" s="2026"/>
      <c r="AJ140" s="2026"/>
      <c r="AK140" s="2026"/>
      <c r="AL140" s="2026"/>
      <c r="AM140" s="2026"/>
      <c r="AN140" s="2026"/>
      <c r="AO140" s="2026"/>
      <c r="AP140" s="2026"/>
      <c r="AQ140" s="2026"/>
      <c r="AR140" s="2026"/>
      <c r="AS140" s="2026"/>
      <c r="AT140" s="2026"/>
      <c r="AU140" s="2026"/>
      <c r="AV140" s="2026"/>
      <c r="AW140" s="2026"/>
      <c r="AX140" s="2027"/>
      <c r="AY140" s="1096"/>
      <c r="AZ140" s="1096"/>
      <c r="BA140" s="1096"/>
      <c r="BB140" s="1096"/>
      <c r="BC140" s="1096"/>
      <c r="BD140" s="1096"/>
      <c r="BE140" s="1100"/>
    </row>
    <row r="141" spans="1:57" ht="15.75" customHeight="1">
      <c r="A141" s="1096"/>
      <c r="B141" s="2025"/>
      <c r="C141" s="2026"/>
      <c r="D141" s="2026"/>
      <c r="E141" s="2026"/>
      <c r="F141" s="2026"/>
      <c r="G141" s="2026"/>
      <c r="H141" s="2026"/>
      <c r="I141" s="2026"/>
      <c r="J141" s="2026"/>
      <c r="K141" s="2026"/>
      <c r="L141" s="2026"/>
      <c r="M141" s="2026"/>
      <c r="N141" s="2026"/>
      <c r="O141" s="2026"/>
      <c r="P141" s="2026"/>
      <c r="Q141" s="2026"/>
      <c r="R141" s="2026"/>
      <c r="S141" s="2026"/>
      <c r="T141" s="2026"/>
      <c r="U141" s="2026"/>
      <c r="V141" s="2026"/>
      <c r="W141" s="2026"/>
      <c r="X141" s="2026"/>
      <c r="Y141" s="2026"/>
      <c r="Z141" s="2026"/>
      <c r="AA141" s="2026"/>
      <c r="AB141" s="2026"/>
      <c r="AC141" s="2026"/>
      <c r="AD141" s="2026"/>
      <c r="AE141" s="2026"/>
      <c r="AF141" s="2026"/>
      <c r="AG141" s="2026"/>
      <c r="AH141" s="2026"/>
      <c r="AI141" s="2026"/>
      <c r="AJ141" s="2026"/>
      <c r="AK141" s="2026"/>
      <c r="AL141" s="2026"/>
      <c r="AM141" s="2026"/>
      <c r="AN141" s="2026"/>
      <c r="AO141" s="2026"/>
      <c r="AP141" s="2026"/>
      <c r="AQ141" s="2026"/>
      <c r="AR141" s="2026"/>
      <c r="AS141" s="2026"/>
      <c r="AT141" s="2026"/>
      <c r="AU141" s="2026"/>
      <c r="AV141" s="2026"/>
      <c r="AW141" s="2026"/>
      <c r="AX141" s="2027"/>
      <c r="AY141" s="1096"/>
      <c r="AZ141" s="1096"/>
      <c r="BA141" s="1096"/>
      <c r="BB141" s="1096"/>
      <c r="BC141" s="1096"/>
      <c r="BD141" s="1096"/>
      <c r="BE141" s="1100"/>
    </row>
    <row r="142" spans="1:57" ht="15.75" customHeight="1">
      <c r="A142" s="1096"/>
      <c r="B142" s="2025"/>
      <c r="C142" s="2026"/>
      <c r="D142" s="2026"/>
      <c r="E142" s="2026"/>
      <c r="F142" s="2026"/>
      <c r="G142" s="2026"/>
      <c r="H142" s="2026"/>
      <c r="I142" s="2026"/>
      <c r="J142" s="2026"/>
      <c r="K142" s="2026"/>
      <c r="L142" s="2026"/>
      <c r="M142" s="2026"/>
      <c r="N142" s="2026"/>
      <c r="O142" s="2026"/>
      <c r="P142" s="2026"/>
      <c r="Q142" s="2026"/>
      <c r="R142" s="2026"/>
      <c r="S142" s="2026"/>
      <c r="T142" s="2026"/>
      <c r="U142" s="2026"/>
      <c r="V142" s="2026"/>
      <c r="W142" s="2026"/>
      <c r="X142" s="2026"/>
      <c r="Y142" s="2026"/>
      <c r="Z142" s="2026"/>
      <c r="AA142" s="2026"/>
      <c r="AB142" s="2026"/>
      <c r="AC142" s="2026"/>
      <c r="AD142" s="2026"/>
      <c r="AE142" s="2026"/>
      <c r="AF142" s="2026"/>
      <c r="AG142" s="2026"/>
      <c r="AH142" s="2026"/>
      <c r="AI142" s="2026"/>
      <c r="AJ142" s="2026"/>
      <c r="AK142" s="2026"/>
      <c r="AL142" s="2026"/>
      <c r="AM142" s="2026"/>
      <c r="AN142" s="2026"/>
      <c r="AO142" s="2026"/>
      <c r="AP142" s="2026"/>
      <c r="AQ142" s="2026"/>
      <c r="AR142" s="2026"/>
      <c r="AS142" s="2026"/>
      <c r="AT142" s="2026"/>
      <c r="AU142" s="2026"/>
      <c r="AV142" s="2026"/>
      <c r="AW142" s="2026"/>
      <c r="AX142" s="2027"/>
      <c r="AY142" s="1096"/>
      <c r="AZ142" s="1096"/>
      <c r="BA142" s="1096"/>
      <c r="BB142" s="1096"/>
      <c r="BC142" s="1096"/>
      <c r="BD142" s="1096"/>
      <c r="BE142" s="1100"/>
    </row>
    <row r="143" spans="1:57" ht="15.75" customHeight="1">
      <c r="A143" s="1096"/>
      <c r="B143" s="2025"/>
      <c r="C143" s="2026"/>
      <c r="D143" s="2026"/>
      <c r="E143" s="2026"/>
      <c r="F143" s="2026"/>
      <c r="G143" s="2026"/>
      <c r="H143" s="2026"/>
      <c r="I143" s="2026"/>
      <c r="J143" s="2026"/>
      <c r="K143" s="2026"/>
      <c r="L143" s="2026"/>
      <c r="M143" s="2026"/>
      <c r="N143" s="2026"/>
      <c r="O143" s="2026"/>
      <c r="P143" s="2026"/>
      <c r="Q143" s="2026"/>
      <c r="R143" s="2026"/>
      <c r="S143" s="2026"/>
      <c r="T143" s="2026"/>
      <c r="U143" s="2026"/>
      <c r="V143" s="2026"/>
      <c r="W143" s="2026"/>
      <c r="X143" s="2026"/>
      <c r="Y143" s="2026"/>
      <c r="Z143" s="2026"/>
      <c r="AA143" s="2026"/>
      <c r="AB143" s="2026"/>
      <c r="AC143" s="2026"/>
      <c r="AD143" s="2026"/>
      <c r="AE143" s="2026"/>
      <c r="AF143" s="2026"/>
      <c r="AG143" s="2026"/>
      <c r="AH143" s="2026"/>
      <c r="AI143" s="2026"/>
      <c r="AJ143" s="2026"/>
      <c r="AK143" s="2026"/>
      <c r="AL143" s="2026"/>
      <c r="AM143" s="2026"/>
      <c r="AN143" s="2026"/>
      <c r="AO143" s="2026"/>
      <c r="AP143" s="2026"/>
      <c r="AQ143" s="2026"/>
      <c r="AR143" s="2026"/>
      <c r="AS143" s="2026"/>
      <c r="AT143" s="2026"/>
      <c r="AU143" s="2026"/>
      <c r="AV143" s="2026"/>
      <c r="AW143" s="2026"/>
      <c r="AX143" s="2027"/>
      <c r="AY143" s="1096"/>
      <c r="AZ143" s="1096"/>
      <c r="BA143" s="1096"/>
      <c r="BB143" s="1096"/>
      <c r="BC143" s="1096"/>
      <c r="BD143" s="1096"/>
      <c r="BE143" s="1100"/>
    </row>
    <row r="144" spans="1:57" ht="15.75" customHeight="1">
      <c r="A144" s="1096"/>
      <c r="B144" s="2025"/>
      <c r="C144" s="2026"/>
      <c r="D144" s="2026"/>
      <c r="E144" s="2026"/>
      <c r="F144" s="2026"/>
      <c r="G144" s="2026"/>
      <c r="H144" s="2026"/>
      <c r="I144" s="2026"/>
      <c r="J144" s="2026"/>
      <c r="K144" s="2026"/>
      <c r="L144" s="2026"/>
      <c r="M144" s="2026"/>
      <c r="N144" s="2026"/>
      <c r="O144" s="2026"/>
      <c r="P144" s="2026"/>
      <c r="Q144" s="2026"/>
      <c r="R144" s="2026"/>
      <c r="S144" s="2026"/>
      <c r="T144" s="2026"/>
      <c r="U144" s="2026"/>
      <c r="V144" s="2026"/>
      <c r="W144" s="2026"/>
      <c r="X144" s="2026"/>
      <c r="Y144" s="2026"/>
      <c r="Z144" s="2026"/>
      <c r="AA144" s="2026"/>
      <c r="AB144" s="2026"/>
      <c r="AC144" s="2026"/>
      <c r="AD144" s="2026"/>
      <c r="AE144" s="2026"/>
      <c r="AF144" s="2026"/>
      <c r="AG144" s="2026"/>
      <c r="AH144" s="2026"/>
      <c r="AI144" s="2026"/>
      <c r="AJ144" s="2026"/>
      <c r="AK144" s="2026"/>
      <c r="AL144" s="2026"/>
      <c r="AM144" s="2026"/>
      <c r="AN144" s="2026"/>
      <c r="AO144" s="2026"/>
      <c r="AP144" s="2026"/>
      <c r="AQ144" s="2026"/>
      <c r="AR144" s="2026"/>
      <c r="AS144" s="2026"/>
      <c r="AT144" s="2026"/>
      <c r="AU144" s="2026"/>
      <c r="AV144" s="2026"/>
      <c r="AW144" s="2026"/>
      <c r="AX144" s="2027"/>
      <c r="AY144" s="1096"/>
      <c r="AZ144" s="1096"/>
      <c r="BA144" s="1096"/>
      <c r="BB144" s="1096"/>
      <c r="BC144" s="1096"/>
      <c r="BD144" s="1096"/>
      <c r="BE144" s="1100"/>
    </row>
    <row r="145" spans="1:57" ht="15.75" customHeight="1">
      <c r="A145" s="1096"/>
      <c r="B145" s="2025"/>
      <c r="C145" s="2026"/>
      <c r="D145" s="2026"/>
      <c r="E145" s="2026"/>
      <c r="F145" s="2026"/>
      <c r="G145" s="2026"/>
      <c r="H145" s="2026"/>
      <c r="I145" s="2026"/>
      <c r="J145" s="2026"/>
      <c r="K145" s="2026"/>
      <c r="L145" s="2026"/>
      <c r="M145" s="2026"/>
      <c r="N145" s="2026"/>
      <c r="O145" s="2026"/>
      <c r="P145" s="2026"/>
      <c r="Q145" s="2026"/>
      <c r="R145" s="2026"/>
      <c r="S145" s="2026"/>
      <c r="T145" s="2026"/>
      <c r="U145" s="2026"/>
      <c r="V145" s="2026"/>
      <c r="W145" s="2026"/>
      <c r="X145" s="2026"/>
      <c r="Y145" s="2026"/>
      <c r="Z145" s="2026"/>
      <c r="AA145" s="2026"/>
      <c r="AB145" s="2026"/>
      <c r="AC145" s="2026"/>
      <c r="AD145" s="2026"/>
      <c r="AE145" s="2026"/>
      <c r="AF145" s="2026"/>
      <c r="AG145" s="2026"/>
      <c r="AH145" s="2026"/>
      <c r="AI145" s="2026"/>
      <c r="AJ145" s="2026"/>
      <c r="AK145" s="2026"/>
      <c r="AL145" s="2026"/>
      <c r="AM145" s="2026"/>
      <c r="AN145" s="2026"/>
      <c r="AO145" s="2026"/>
      <c r="AP145" s="2026"/>
      <c r="AQ145" s="2026"/>
      <c r="AR145" s="2026"/>
      <c r="AS145" s="2026"/>
      <c r="AT145" s="2026"/>
      <c r="AU145" s="2026"/>
      <c r="AV145" s="2026"/>
      <c r="AW145" s="2026"/>
      <c r="AX145" s="2027"/>
      <c r="AY145" s="1096"/>
      <c r="AZ145" s="1096"/>
      <c r="BA145" s="1096"/>
      <c r="BB145" s="1096"/>
      <c r="BC145" s="1096"/>
      <c r="BD145" s="1096"/>
      <c r="BE145" s="1100"/>
    </row>
    <row r="146" spans="1:57" ht="15.75" customHeight="1">
      <c r="A146" s="1096"/>
      <c r="B146" s="2025"/>
      <c r="C146" s="2026"/>
      <c r="D146" s="2026"/>
      <c r="E146" s="2026"/>
      <c r="F146" s="2026"/>
      <c r="G146" s="2026"/>
      <c r="H146" s="2026"/>
      <c r="I146" s="2026"/>
      <c r="J146" s="2026"/>
      <c r="K146" s="2026"/>
      <c r="L146" s="2026"/>
      <c r="M146" s="2026"/>
      <c r="N146" s="2026"/>
      <c r="O146" s="2026"/>
      <c r="P146" s="2026"/>
      <c r="Q146" s="2026"/>
      <c r="R146" s="2026"/>
      <c r="S146" s="2026"/>
      <c r="T146" s="2026"/>
      <c r="U146" s="2026"/>
      <c r="V146" s="2026"/>
      <c r="W146" s="2026"/>
      <c r="X146" s="2026"/>
      <c r="Y146" s="2026"/>
      <c r="Z146" s="2026"/>
      <c r="AA146" s="2026"/>
      <c r="AB146" s="2026"/>
      <c r="AC146" s="2026"/>
      <c r="AD146" s="2026"/>
      <c r="AE146" s="2026"/>
      <c r="AF146" s="2026"/>
      <c r="AG146" s="2026"/>
      <c r="AH146" s="2026"/>
      <c r="AI146" s="2026"/>
      <c r="AJ146" s="2026"/>
      <c r="AK146" s="2026"/>
      <c r="AL146" s="2026"/>
      <c r="AM146" s="2026"/>
      <c r="AN146" s="2026"/>
      <c r="AO146" s="2026"/>
      <c r="AP146" s="2026"/>
      <c r="AQ146" s="2026"/>
      <c r="AR146" s="2026"/>
      <c r="AS146" s="2026"/>
      <c r="AT146" s="2026"/>
      <c r="AU146" s="2026"/>
      <c r="AV146" s="2026"/>
      <c r="AW146" s="2026"/>
      <c r="AX146" s="2027"/>
      <c r="AY146" s="1096"/>
      <c r="AZ146" s="1096"/>
      <c r="BA146" s="1096"/>
      <c r="BB146" s="1096"/>
      <c r="BC146" s="1096"/>
      <c r="BD146" s="1096"/>
      <c r="BE146" s="1100"/>
    </row>
    <row r="147" spans="1:57" ht="15.75" customHeight="1" thickBot="1">
      <c r="A147" s="1096"/>
      <c r="B147" s="2028"/>
      <c r="C147" s="2029"/>
      <c r="D147" s="2029"/>
      <c r="E147" s="2029"/>
      <c r="F147" s="2029"/>
      <c r="G147" s="2029"/>
      <c r="H147" s="2029"/>
      <c r="I147" s="2029"/>
      <c r="J147" s="2029"/>
      <c r="K147" s="2029"/>
      <c r="L147" s="2029"/>
      <c r="M147" s="2029"/>
      <c r="N147" s="2029"/>
      <c r="O147" s="2029"/>
      <c r="P147" s="2029"/>
      <c r="Q147" s="2029"/>
      <c r="R147" s="2029"/>
      <c r="S147" s="2029"/>
      <c r="T147" s="2029"/>
      <c r="U147" s="2029"/>
      <c r="V147" s="2029"/>
      <c r="W147" s="2029"/>
      <c r="X147" s="2029"/>
      <c r="Y147" s="2029"/>
      <c r="Z147" s="2029"/>
      <c r="AA147" s="2029"/>
      <c r="AB147" s="2029"/>
      <c r="AC147" s="2029"/>
      <c r="AD147" s="2029"/>
      <c r="AE147" s="2029"/>
      <c r="AF147" s="2029"/>
      <c r="AG147" s="2029"/>
      <c r="AH147" s="2029"/>
      <c r="AI147" s="2029"/>
      <c r="AJ147" s="2029"/>
      <c r="AK147" s="2029"/>
      <c r="AL147" s="2029"/>
      <c r="AM147" s="2029"/>
      <c r="AN147" s="2029"/>
      <c r="AO147" s="2029"/>
      <c r="AP147" s="2029"/>
      <c r="AQ147" s="2029"/>
      <c r="AR147" s="2029"/>
      <c r="AS147" s="2029"/>
      <c r="AT147" s="2029"/>
      <c r="AU147" s="2029"/>
      <c r="AV147" s="2029"/>
      <c r="AW147" s="2029"/>
      <c r="AX147" s="2030"/>
      <c r="AY147" s="1096"/>
      <c r="AZ147" s="1096"/>
      <c r="BA147" s="1096"/>
      <c r="BB147" s="1096"/>
      <c r="BC147" s="1096"/>
      <c r="BD147" s="1096"/>
      <c r="BE147" s="1100"/>
    </row>
    <row r="148" spans="1:57" ht="15.75" customHeight="1" thickBot="1">
      <c r="A148" s="1096"/>
      <c r="B148" s="1096"/>
      <c r="C148" s="1096"/>
      <c r="D148" s="1096"/>
      <c r="E148" s="1096"/>
      <c r="F148" s="1096"/>
      <c r="G148" s="1096"/>
      <c r="H148" s="1096"/>
      <c r="I148" s="1096"/>
      <c r="J148" s="1096"/>
      <c r="K148" s="1096"/>
      <c r="L148" s="1096"/>
      <c r="M148" s="1096"/>
      <c r="N148" s="1096"/>
      <c r="O148" s="1096"/>
      <c r="P148" s="1096"/>
      <c r="Q148" s="1096"/>
      <c r="R148" s="1096"/>
      <c r="S148" s="1096"/>
      <c r="T148" s="1096"/>
      <c r="U148" s="1096"/>
      <c r="V148" s="1096"/>
      <c r="W148" s="1096"/>
      <c r="X148" s="1096"/>
      <c r="Y148" s="1096"/>
      <c r="Z148" s="1096"/>
      <c r="AA148" s="1096"/>
      <c r="AB148" s="1096"/>
      <c r="AC148" s="1096"/>
      <c r="AD148" s="1096"/>
      <c r="AE148" s="1096"/>
      <c r="AF148" s="1096"/>
      <c r="AG148" s="1096"/>
      <c r="AH148" s="1096"/>
      <c r="AI148" s="1096"/>
      <c r="AJ148" s="1096"/>
      <c r="AK148" s="1096"/>
      <c r="AL148" s="1096"/>
      <c r="AM148" s="1096"/>
      <c r="AN148" s="1096"/>
      <c r="AO148" s="1096"/>
      <c r="AP148" s="1096"/>
      <c r="AQ148" s="1096"/>
      <c r="AR148" s="1096"/>
      <c r="AS148" s="1096"/>
      <c r="AT148" s="1096"/>
      <c r="AU148" s="1096"/>
      <c r="AV148" s="1096"/>
      <c r="AW148" s="1096"/>
      <c r="AX148" s="1096"/>
      <c r="AY148" s="1096"/>
      <c r="AZ148" s="1096"/>
      <c r="BA148" s="1096"/>
      <c r="BB148" s="1096"/>
      <c r="BC148" s="1096"/>
      <c r="BD148" s="1096"/>
      <c r="BE148" s="1100"/>
    </row>
    <row r="149" spans="1:57" ht="15.75" customHeight="1" thickBot="1">
      <c r="A149" s="1096"/>
      <c r="B149" s="1116" t="s">
        <v>2012</v>
      </c>
      <c r="C149" s="1117"/>
      <c r="D149" s="1117"/>
      <c r="E149" s="1117"/>
      <c r="F149" s="1117"/>
      <c r="G149" s="1117"/>
      <c r="H149" s="1117"/>
      <c r="I149" s="1117"/>
      <c r="J149" s="1117"/>
      <c r="K149" s="1117"/>
      <c r="L149" s="1117"/>
      <c r="M149" s="1118"/>
      <c r="N149" s="1101"/>
      <c r="O149" s="1101"/>
      <c r="P149" s="1096"/>
      <c r="Q149" s="1096"/>
      <c r="R149" s="1096"/>
      <c r="S149" s="1096"/>
      <c r="T149" s="1096"/>
      <c r="U149" s="1096" t="s">
        <v>254</v>
      </c>
      <c r="V149" s="1096"/>
      <c r="W149" s="1096"/>
      <c r="X149" s="1116" t="s">
        <v>2013</v>
      </c>
      <c r="Y149" s="1117"/>
      <c r="Z149" s="1117"/>
      <c r="AA149" s="1117"/>
      <c r="AB149" s="1117"/>
      <c r="AC149" s="1117"/>
      <c r="AD149" s="1117"/>
      <c r="AE149" s="1117"/>
      <c r="AF149" s="1117"/>
      <c r="AG149" s="1117"/>
      <c r="AH149" s="1117"/>
      <c r="AI149" s="1117"/>
      <c r="AJ149" s="1117"/>
      <c r="AK149" s="1111"/>
      <c r="AL149" s="1111"/>
      <c r="AM149" s="1112"/>
      <c r="AN149" s="1096"/>
      <c r="AO149" s="1096"/>
      <c r="AP149" s="1096"/>
      <c r="AQ149" s="1096"/>
      <c r="AR149" s="1096"/>
      <c r="AS149" s="1096"/>
      <c r="AT149" s="1096"/>
      <c r="AU149" s="1096"/>
      <c r="AV149" s="1096"/>
      <c r="AW149" s="1096"/>
      <c r="AX149" s="1096"/>
      <c r="AY149" s="1096"/>
      <c r="AZ149" s="1096"/>
      <c r="BA149" s="1096"/>
      <c r="BB149" s="1096"/>
      <c r="BC149" s="1096"/>
      <c r="BD149" s="1096"/>
      <c r="BE149" s="1100"/>
    </row>
    <row r="150" spans="1:57" ht="15.75" customHeight="1" thickBot="1">
      <c r="A150" s="1096"/>
      <c r="B150" s="1096"/>
      <c r="C150" s="1096"/>
      <c r="D150" s="1096"/>
      <c r="E150" s="1096"/>
      <c r="F150" s="1096"/>
      <c r="G150" s="1096"/>
      <c r="H150" s="1096"/>
      <c r="I150" s="1096"/>
      <c r="J150" s="1096"/>
      <c r="K150" s="1096"/>
      <c r="L150" s="1096"/>
      <c r="M150" s="1096"/>
      <c r="N150" s="1096"/>
      <c r="O150" s="1096"/>
      <c r="P150" s="1101"/>
      <c r="Q150" s="1096"/>
      <c r="R150" s="1096"/>
      <c r="S150" s="1096"/>
      <c r="T150" s="1096"/>
      <c r="U150" s="1096"/>
      <c r="V150" s="1096"/>
      <c r="W150" s="1096"/>
      <c r="X150" s="1096"/>
      <c r="Y150" s="1096"/>
      <c r="Z150" s="1096"/>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c r="AV150" s="1096"/>
      <c r="AW150" s="1096"/>
      <c r="AX150" s="1096"/>
      <c r="AY150" s="1096"/>
      <c r="AZ150" s="1096"/>
      <c r="BA150" s="1096"/>
      <c r="BB150" s="1096"/>
      <c r="BC150" s="1096"/>
      <c r="BD150" s="1096"/>
      <c r="BE150" s="1100"/>
    </row>
    <row r="151" spans="1:57" ht="15.75" customHeight="1">
      <c r="A151" s="1096"/>
      <c r="B151" s="2008" t="s">
        <v>2014</v>
      </c>
      <c r="C151" s="1964"/>
      <c r="D151" s="1964"/>
      <c r="E151" s="1964"/>
      <c r="F151" s="1964"/>
      <c r="G151" s="1964"/>
      <c r="H151" s="1964"/>
      <c r="I151" s="1964"/>
      <c r="J151" s="1964"/>
      <c r="K151" s="1964"/>
      <c r="L151" s="1964"/>
      <c r="M151" s="1964"/>
      <c r="N151" s="1964"/>
      <c r="O151" s="1964"/>
      <c r="P151" s="1964"/>
      <c r="Q151" s="1964"/>
      <c r="R151" s="1964"/>
      <c r="S151" s="1964"/>
      <c r="T151" s="1964"/>
      <c r="U151" s="1965"/>
      <c r="V151" s="1096"/>
      <c r="W151" s="1097"/>
      <c r="X151" s="2008" t="s">
        <v>2015</v>
      </c>
      <c r="Y151" s="1964"/>
      <c r="Z151" s="1964"/>
      <c r="AA151" s="1964"/>
      <c r="AB151" s="1964"/>
      <c r="AC151" s="1964"/>
      <c r="AD151" s="1964"/>
      <c r="AE151" s="1964"/>
      <c r="AF151" s="1964"/>
      <c r="AG151" s="1964"/>
      <c r="AH151" s="1964"/>
      <c r="AI151" s="1964"/>
      <c r="AJ151" s="1964"/>
      <c r="AK151" s="1964"/>
      <c r="AL151" s="1964"/>
      <c r="AM151" s="1964"/>
      <c r="AN151" s="1964"/>
      <c r="AO151" s="1964"/>
      <c r="AP151" s="1964"/>
      <c r="AQ151" s="1965"/>
      <c r="AR151" s="1096"/>
      <c r="AS151" s="1096"/>
      <c r="AT151" s="1096"/>
      <c r="AU151" s="1096"/>
      <c r="AV151" s="1096"/>
      <c r="AW151" s="1096"/>
      <c r="AX151" s="1096"/>
      <c r="AY151" s="1096"/>
      <c r="AZ151" s="1096"/>
      <c r="BA151" s="1096"/>
      <c r="BB151" s="1096"/>
      <c r="BC151" s="1096"/>
      <c r="BD151" s="1096"/>
      <c r="BE151" s="1100"/>
    </row>
    <row r="152" spans="1:57" ht="15.75" customHeight="1">
      <c r="A152" s="1096"/>
      <c r="B152" s="1976"/>
      <c r="C152" s="1977"/>
      <c r="D152" s="1977"/>
      <c r="E152" s="1977"/>
      <c r="F152" s="1977"/>
      <c r="G152" s="1977"/>
      <c r="H152" s="1977"/>
      <c r="I152" s="2014" t="s">
        <v>1983</v>
      </c>
      <c r="J152" s="2014"/>
      <c r="K152" s="2014"/>
      <c r="L152" s="2014"/>
      <c r="M152" s="2014"/>
      <c r="N152" s="2014"/>
      <c r="O152" s="2014"/>
      <c r="P152" s="2014" t="s">
        <v>2016</v>
      </c>
      <c r="Q152" s="2014"/>
      <c r="R152" s="2014"/>
      <c r="S152" s="2014"/>
      <c r="T152" s="2014"/>
      <c r="U152" s="2015"/>
      <c r="V152" s="1096"/>
      <c r="W152" s="1096"/>
      <c r="X152" s="1976"/>
      <c r="Y152" s="1977"/>
      <c r="Z152" s="1977"/>
      <c r="AA152" s="1977"/>
      <c r="AB152" s="1977"/>
      <c r="AC152" s="1977"/>
      <c r="AD152" s="1977"/>
      <c r="AE152" s="2014" t="s">
        <v>1983</v>
      </c>
      <c r="AF152" s="2014"/>
      <c r="AG152" s="2014"/>
      <c r="AH152" s="2014"/>
      <c r="AI152" s="2014"/>
      <c r="AJ152" s="2014"/>
      <c r="AK152" s="2014"/>
      <c r="AL152" s="2014" t="s">
        <v>1984</v>
      </c>
      <c r="AM152" s="2014"/>
      <c r="AN152" s="2014"/>
      <c r="AO152" s="2014"/>
      <c r="AP152" s="2014"/>
      <c r="AQ152" s="2015"/>
      <c r="AR152" s="1096"/>
      <c r="AS152" s="1096"/>
      <c r="AT152" s="1096"/>
      <c r="AU152" s="1096"/>
      <c r="AV152" s="1096"/>
      <c r="AW152" s="1096"/>
      <c r="AX152" s="1096"/>
      <c r="AY152" s="1096"/>
      <c r="AZ152" s="1096"/>
      <c r="BA152" s="1096"/>
      <c r="BB152" s="1096"/>
      <c r="BC152" s="1096"/>
      <c r="BD152" s="1096"/>
      <c r="BE152" s="1100"/>
    </row>
    <row r="153" spans="1:57" ht="15.75" customHeight="1">
      <c r="A153" s="1096"/>
      <c r="B153" s="1976"/>
      <c r="C153" s="1977"/>
      <c r="D153" s="1977"/>
      <c r="E153" s="1977"/>
      <c r="F153" s="1977"/>
      <c r="G153" s="1977"/>
      <c r="H153" s="1977"/>
      <c r="I153" s="2014"/>
      <c r="J153" s="2014"/>
      <c r="K153" s="2014"/>
      <c r="L153" s="2014"/>
      <c r="M153" s="2014"/>
      <c r="N153" s="2014"/>
      <c r="O153" s="2014"/>
      <c r="P153" s="2014"/>
      <c r="Q153" s="2014"/>
      <c r="R153" s="2014"/>
      <c r="S153" s="2014"/>
      <c r="T153" s="2014"/>
      <c r="U153" s="2015"/>
      <c r="V153" s="1096"/>
      <c r="W153" s="1096"/>
      <c r="X153" s="1976"/>
      <c r="Y153" s="1977"/>
      <c r="Z153" s="1977"/>
      <c r="AA153" s="1977"/>
      <c r="AB153" s="1977"/>
      <c r="AC153" s="1977"/>
      <c r="AD153" s="1977"/>
      <c r="AE153" s="2014"/>
      <c r="AF153" s="2014"/>
      <c r="AG153" s="2014"/>
      <c r="AH153" s="2014"/>
      <c r="AI153" s="2014"/>
      <c r="AJ153" s="2014"/>
      <c r="AK153" s="2014"/>
      <c r="AL153" s="2014"/>
      <c r="AM153" s="2014"/>
      <c r="AN153" s="2014"/>
      <c r="AO153" s="2014"/>
      <c r="AP153" s="2014"/>
      <c r="AQ153" s="2015"/>
      <c r="AR153" s="1096"/>
      <c r="AS153" s="1096"/>
      <c r="AT153" s="1096"/>
      <c r="AU153" s="1096"/>
      <c r="AV153" s="1096"/>
      <c r="AW153" s="1096"/>
      <c r="AX153" s="1096"/>
      <c r="AY153" s="1096"/>
      <c r="AZ153" s="1096"/>
      <c r="BA153" s="1096"/>
      <c r="BB153" s="1096"/>
      <c r="BC153" s="1096"/>
      <c r="BD153" s="1096"/>
      <c r="BE153" s="1100"/>
    </row>
    <row r="154" spans="1:57" ht="15.75" customHeight="1" thickBot="1">
      <c r="A154" s="1096"/>
      <c r="B154" s="2010" t="s">
        <v>2002</v>
      </c>
      <c r="C154" s="2011"/>
      <c r="D154" s="2011"/>
      <c r="E154" s="2011"/>
      <c r="F154" s="2011"/>
      <c r="G154" s="2011"/>
      <c r="H154" s="2011"/>
      <c r="I154" s="2012">
        <v>0</v>
      </c>
      <c r="J154" s="2012"/>
      <c r="K154" s="2012"/>
      <c r="L154" s="2012"/>
      <c r="M154" s="2012"/>
      <c r="N154" s="2012"/>
      <c r="O154" s="2012"/>
      <c r="P154" s="2012">
        <v>0</v>
      </c>
      <c r="Q154" s="2012"/>
      <c r="R154" s="2012"/>
      <c r="S154" s="2012"/>
      <c r="T154" s="2012"/>
      <c r="U154" s="2013"/>
      <c r="V154" s="1096"/>
      <c r="W154" s="1096"/>
      <c r="X154" s="2004" t="s">
        <v>2002</v>
      </c>
      <c r="Y154" s="2005"/>
      <c r="Z154" s="2005"/>
      <c r="AA154" s="2005"/>
      <c r="AB154" s="2005"/>
      <c r="AC154" s="2005"/>
      <c r="AD154" s="2005"/>
      <c r="AE154" s="2006">
        <v>0</v>
      </c>
      <c r="AF154" s="2006"/>
      <c r="AG154" s="2006"/>
      <c r="AH154" s="2006"/>
      <c r="AI154" s="2006"/>
      <c r="AJ154" s="2006"/>
      <c r="AK154" s="2006"/>
      <c r="AL154" s="2006">
        <v>0</v>
      </c>
      <c r="AM154" s="2006"/>
      <c r="AN154" s="2006"/>
      <c r="AO154" s="2006"/>
      <c r="AP154" s="2006"/>
      <c r="AQ154" s="2007"/>
      <c r="AR154" s="1096"/>
      <c r="AS154" s="1096"/>
      <c r="AT154" s="1096"/>
      <c r="AU154" s="1096"/>
      <c r="AV154" s="1096"/>
      <c r="AW154" s="1096"/>
      <c r="AX154" s="1096"/>
      <c r="AY154" s="1096"/>
      <c r="AZ154" s="1096"/>
      <c r="BA154" s="1096"/>
      <c r="BB154" s="1096"/>
      <c r="BC154" s="1096"/>
      <c r="BD154" s="1096"/>
      <c r="BE154" s="1100"/>
    </row>
    <row r="155" spans="1:57" ht="15.75" customHeight="1" thickBot="1">
      <c r="A155" s="1096"/>
      <c r="B155" s="2004" t="s">
        <v>2003</v>
      </c>
      <c r="C155" s="2005"/>
      <c r="D155" s="2005"/>
      <c r="E155" s="2005"/>
      <c r="F155" s="2005"/>
      <c r="G155" s="2005"/>
      <c r="H155" s="2005"/>
      <c r="I155" s="2006">
        <v>0</v>
      </c>
      <c r="J155" s="2006"/>
      <c r="K155" s="2006"/>
      <c r="L155" s="2006"/>
      <c r="M155" s="2006"/>
      <c r="N155" s="2006"/>
      <c r="O155" s="2006"/>
      <c r="P155" s="2006">
        <v>0</v>
      </c>
      <c r="Q155" s="2006"/>
      <c r="R155" s="2006"/>
      <c r="S155" s="2006"/>
      <c r="T155" s="2006"/>
      <c r="U155" s="2007"/>
      <c r="V155" s="1096"/>
      <c r="W155" s="1096"/>
      <c r="X155" s="1096"/>
      <c r="Y155" s="1096"/>
      <c r="Z155" s="1096"/>
      <c r="AA155" s="1096"/>
      <c r="AB155" s="1096"/>
      <c r="AC155" s="1096"/>
      <c r="AD155" s="1096"/>
      <c r="AE155" s="1096"/>
      <c r="AF155" s="1096"/>
      <c r="AG155" s="1096"/>
      <c r="AH155" s="1096"/>
      <c r="AI155" s="1096"/>
      <c r="AJ155" s="1096"/>
      <c r="AK155" s="1096"/>
      <c r="AL155" s="1096"/>
      <c r="AM155" s="1096"/>
      <c r="AN155" s="1096"/>
      <c r="AO155" s="1096"/>
      <c r="AP155" s="1096"/>
      <c r="AQ155" s="1096"/>
      <c r="AR155" s="1096"/>
      <c r="AS155" s="1096"/>
      <c r="AT155" s="1096"/>
      <c r="AU155" s="1096"/>
      <c r="AV155" s="1096"/>
      <c r="AW155" s="1096"/>
      <c r="AX155" s="1096"/>
      <c r="AY155" s="1096"/>
      <c r="AZ155" s="1096"/>
      <c r="BA155" s="1096"/>
      <c r="BB155" s="1096"/>
      <c r="BC155" s="1096"/>
      <c r="BD155" s="1096"/>
      <c r="BE155" s="1100"/>
    </row>
    <row r="156" spans="1:57" ht="15.75" customHeight="1" thickBot="1">
      <c r="A156" s="1096"/>
      <c r="B156" s="1096"/>
      <c r="C156" s="1096"/>
      <c r="D156" s="1096"/>
      <c r="E156" s="1096"/>
      <c r="F156" s="1096"/>
      <c r="G156" s="1096"/>
      <c r="H156" s="1096"/>
      <c r="I156" s="1096"/>
      <c r="J156" s="1096"/>
      <c r="K156" s="1096"/>
      <c r="L156" s="1096"/>
      <c r="M156" s="1096"/>
      <c r="N156" s="1096"/>
      <c r="O156" s="1096"/>
      <c r="P156" s="1096"/>
      <c r="Q156" s="1096"/>
      <c r="R156" s="1096"/>
      <c r="S156" s="1096"/>
      <c r="T156" s="1096"/>
      <c r="U156" s="1096"/>
      <c r="V156" s="1096"/>
      <c r="W156" s="1096"/>
      <c r="X156" s="1096"/>
      <c r="Y156" s="1096"/>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c r="AV156" s="1096"/>
      <c r="AW156" s="1096"/>
      <c r="AX156" s="1096"/>
      <c r="AY156" s="1096"/>
      <c r="AZ156" s="1096"/>
      <c r="BA156" s="1096"/>
      <c r="BB156" s="1096"/>
      <c r="BC156" s="1096"/>
      <c r="BD156" s="1096"/>
      <c r="BE156" s="1100"/>
    </row>
    <row r="157" spans="1:57" ht="15.75" customHeight="1">
      <c r="A157" s="1096"/>
      <c r="B157" s="1096"/>
      <c r="C157" s="2008" t="s">
        <v>2017</v>
      </c>
      <c r="D157" s="1964"/>
      <c r="E157" s="1964"/>
      <c r="F157" s="1964"/>
      <c r="G157" s="1964"/>
      <c r="H157" s="1964"/>
      <c r="I157" s="1964"/>
      <c r="J157" s="1964"/>
      <c r="K157" s="1964"/>
      <c r="L157" s="1964"/>
      <c r="M157" s="1964"/>
      <c r="N157" s="1964"/>
      <c r="O157" s="1964"/>
      <c r="P157" s="1964"/>
      <c r="Q157" s="1964"/>
      <c r="R157" s="1964"/>
      <c r="S157" s="1964"/>
      <c r="T157" s="1964"/>
      <c r="U157" s="1964"/>
      <c r="V157" s="1964"/>
      <c r="W157" s="1964"/>
      <c r="X157" s="1964"/>
      <c r="Y157" s="1964"/>
      <c r="Z157" s="1964"/>
      <c r="AA157" s="1964"/>
      <c r="AB157" s="1964"/>
      <c r="AC157" s="1964"/>
      <c r="AD157" s="1964"/>
      <c r="AE157" s="1964"/>
      <c r="AF157" s="1964"/>
      <c r="AG157" s="1965"/>
      <c r="AH157" s="1096"/>
      <c r="AI157" s="1096"/>
      <c r="AJ157" s="1096"/>
      <c r="AK157" s="1096"/>
      <c r="AL157" s="1096"/>
      <c r="AM157" s="1096"/>
      <c r="AN157" s="1096"/>
      <c r="AO157" s="1096"/>
      <c r="AP157" s="1096"/>
      <c r="AQ157" s="1096"/>
      <c r="AR157" s="1096"/>
      <c r="AS157" s="1096"/>
      <c r="AT157" s="1096"/>
      <c r="AU157" s="1096"/>
      <c r="AV157" s="1096"/>
      <c r="AW157" s="1096"/>
      <c r="AX157" s="1096"/>
      <c r="AY157" s="1096"/>
      <c r="AZ157" s="1096"/>
      <c r="BA157" s="1096"/>
      <c r="BB157" s="1096"/>
      <c r="BC157" s="1096"/>
      <c r="BD157" s="1096"/>
      <c r="BE157" s="1100"/>
    </row>
    <row r="158" spans="1:57" ht="15.75" customHeight="1">
      <c r="A158" s="1096"/>
      <c r="B158" s="1096"/>
      <c r="C158" s="1976" t="s">
        <v>2018</v>
      </c>
      <c r="D158" s="1977"/>
      <c r="E158" s="1977"/>
      <c r="F158" s="1977"/>
      <c r="G158" s="1977"/>
      <c r="H158" s="1977"/>
      <c r="I158" s="1977"/>
      <c r="J158" s="1977"/>
      <c r="K158" s="1977"/>
      <c r="L158" s="1977"/>
      <c r="M158" s="1977"/>
      <c r="N158" s="1977"/>
      <c r="O158" s="1977"/>
      <c r="P158" s="1977"/>
      <c r="Q158" s="1977" t="s">
        <v>2019</v>
      </c>
      <c r="R158" s="1977"/>
      <c r="S158" s="1977"/>
      <c r="T158" s="2009" t="s">
        <v>2020</v>
      </c>
      <c r="U158" s="2009"/>
      <c r="V158" s="2009"/>
      <c r="W158" s="2009"/>
      <c r="X158" s="2009"/>
      <c r="Y158" s="2009"/>
      <c r="Z158" s="2009"/>
      <c r="AA158" s="2009"/>
      <c r="AB158" s="1977" t="s">
        <v>2021</v>
      </c>
      <c r="AC158" s="1977"/>
      <c r="AD158" s="1977"/>
      <c r="AE158" s="1977"/>
      <c r="AF158" s="1977"/>
      <c r="AG158" s="1978"/>
      <c r="AH158" s="1096"/>
      <c r="AI158" s="1096"/>
      <c r="AJ158" s="1096"/>
      <c r="AK158" s="1096"/>
      <c r="AL158" s="1096"/>
      <c r="AM158" s="1096"/>
      <c r="AN158" s="1096"/>
      <c r="AO158" s="1096"/>
      <c r="AP158" s="1096"/>
      <c r="AQ158" s="1096"/>
      <c r="AR158" s="1096"/>
      <c r="AS158" s="1096"/>
      <c r="AT158" s="1096"/>
      <c r="AU158" s="1096"/>
      <c r="AV158" s="1096"/>
      <c r="AW158" s="1096"/>
      <c r="AX158" s="1096"/>
      <c r="AY158" s="1096"/>
      <c r="AZ158" s="1096"/>
      <c r="BA158" s="1096"/>
      <c r="BB158" s="1096"/>
      <c r="BC158" s="1096"/>
      <c r="BD158" s="1096"/>
      <c r="BE158" s="1100"/>
    </row>
    <row r="159" spans="1:57" ht="15.75" customHeight="1">
      <c r="A159" s="1096"/>
      <c r="B159" s="1096"/>
      <c r="C159" s="1991" t="s">
        <v>2022</v>
      </c>
      <c r="D159" s="1992"/>
      <c r="E159" s="1992"/>
      <c r="F159" s="1992"/>
      <c r="G159" s="1992"/>
      <c r="H159" s="1992"/>
      <c r="I159" s="1992"/>
      <c r="J159" s="1992"/>
      <c r="K159" s="1992"/>
      <c r="L159" s="1992"/>
      <c r="M159" s="1992"/>
      <c r="N159" s="1992"/>
      <c r="O159" s="1992"/>
      <c r="P159" s="1992"/>
      <c r="Q159" s="1934">
        <v>55</v>
      </c>
      <c r="R159" s="1934"/>
      <c r="S159" s="1934"/>
      <c r="T159" s="1985"/>
      <c r="U159" s="1985"/>
      <c r="V159" s="1985"/>
      <c r="W159" s="1985"/>
      <c r="X159" s="1985"/>
      <c r="Y159" s="1985"/>
      <c r="Z159" s="1985"/>
      <c r="AA159" s="1985"/>
      <c r="AB159" s="1131"/>
      <c r="AC159" s="1131"/>
      <c r="AD159" s="1131"/>
      <c r="AE159" s="1131"/>
      <c r="AF159" s="1131"/>
      <c r="AG159" s="1132"/>
      <c r="AH159" s="1096"/>
      <c r="AI159" s="1096"/>
      <c r="AJ159" s="1096"/>
      <c r="AK159" s="1096"/>
      <c r="AL159" s="1096"/>
      <c r="AM159" s="1096"/>
      <c r="AN159" s="1096"/>
      <c r="AO159" s="1096"/>
      <c r="AP159" s="1096" t="s">
        <v>254</v>
      </c>
      <c r="AQ159" s="1096"/>
      <c r="AR159" s="1096"/>
      <c r="AS159" s="1096"/>
      <c r="AT159" s="1096"/>
      <c r="AU159" s="1096"/>
      <c r="AV159" s="1096"/>
      <c r="AW159" s="1096"/>
      <c r="AX159" s="1096"/>
      <c r="AY159" s="1096"/>
      <c r="AZ159" s="1096"/>
      <c r="BA159" s="1096"/>
      <c r="BB159" s="1096"/>
      <c r="BC159" s="1096"/>
      <c r="BD159" s="1096"/>
      <c r="BE159" s="1100"/>
    </row>
    <row r="160" spans="1:57" ht="15.75" customHeight="1">
      <c r="A160" s="1096"/>
      <c r="B160" s="1096"/>
      <c r="C160" s="1991" t="s">
        <v>2023</v>
      </c>
      <c r="D160" s="1992"/>
      <c r="E160" s="1992"/>
      <c r="F160" s="1992"/>
      <c r="G160" s="1992"/>
      <c r="H160" s="1992"/>
      <c r="I160" s="1992"/>
      <c r="J160" s="1992"/>
      <c r="K160" s="1992"/>
      <c r="L160" s="1992"/>
      <c r="M160" s="1992"/>
      <c r="N160" s="1992"/>
      <c r="O160" s="1992"/>
      <c r="P160" s="1992"/>
      <c r="Q160" s="1934">
        <v>55</v>
      </c>
      <c r="R160" s="1934"/>
      <c r="S160" s="1934"/>
      <c r="T160" s="1994"/>
      <c r="U160" s="1994"/>
      <c r="V160" s="1994"/>
      <c r="W160" s="1994"/>
      <c r="X160" s="1994"/>
      <c r="Y160" s="1994"/>
      <c r="Z160" s="1994"/>
      <c r="AA160" s="1994"/>
      <c r="AB160" s="1131"/>
      <c r="AC160" s="1131"/>
      <c r="AD160" s="1131"/>
      <c r="AE160" s="1131"/>
      <c r="AF160" s="1131"/>
      <c r="AG160" s="1132"/>
      <c r="AH160" s="1096"/>
      <c r="AI160" s="1096"/>
      <c r="AJ160" s="1096"/>
      <c r="AK160" s="1096"/>
      <c r="AL160" s="1096"/>
      <c r="AM160" s="1096"/>
      <c r="AN160" s="1096"/>
      <c r="AO160" s="1096"/>
      <c r="AP160" s="1096"/>
      <c r="AQ160" s="1096"/>
      <c r="AR160" s="1096"/>
      <c r="AS160" s="1096"/>
      <c r="AT160" s="1096"/>
      <c r="AU160" s="1096"/>
      <c r="AV160" s="1096"/>
      <c r="AW160" s="1096"/>
      <c r="AX160" s="1096"/>
      <c r="AY160" s="1096"/>
      <c r="AZ160" s="1096"/>
      <c r="BA160" s="1096"/>
      <c r="BB160" s="1096"/>
      <c r="BC160" s="1096"/>
      <c r="BD160" s="1096"/>
      <c r="BE160" s="1100"/>
    </row>
    <row r="161" spans="1:57" ht="15.75" customHeight="1">
      <c r="A161" s="1096"/>
      <c r="B161" s="1096"/>
      <c r="C161" s="1991" t="s">
        <v>2024</v>
      </c>
      <c r="D161" s="1992"/>
      <c r="E161" s="1992"/>
      <c r="F161" s="1992"/>
      <c r="G161" s="1992"/>
      <c r="H161" s="1992"/>
      <c r="I161" s="1992"/>
      <c r="J161" s="1992"/>
      <c r="K161" s="1992"/>
      <c r="L161" s="1992"/>
      <c r="M161" s="1992"/>
      <c r="N161" s="1992"/>
      <c r="O161" s="1992"/>
      <c r="P161" s="1992"/>
      <c r="Q161" s="1934">
        <v>55</v>
      </c>
      <c r="R161" s="1934"/>
      <c r="S161" s="1934"/>
      <c r="T161" s="1985"/>
      <c r="U161" s="1985"/>
      <c r="V161" s="1985"/>
      <c r="W161" s="1985"/>
      <c r="X161" s="1985"/>
      <c r="Y161" s="1985"/>
      <c r="Z161" s="1985"/>
      <c r="AA161" s="1985"/>
      <c r="AB161" s="1131"/>
      <c r="AC161" s="1131"/>
      <c r="AD161" s="1131"/>
      <c r="AE161" s="1131"/>
      <c r="AF161" s="1131"/>
      <c r="AG161" s="1132"/>
      <c r="AH161" s="1096"/>
      <c r="AI161" s="1096"/>
      <c r="AJ161" s="1096"/>
      <c r="AK161" s="1096"/>
      <c r="AL161" s="1096"/>
      <c r="AM161" s="1096"/>
      <c r="AN161" s="1096"/>
      <c r="AO161" s="1096"/>
      <c r="AP161" s="1096"/>
      <c r="AQ161" s="1096"/>
      <c r="AR161" s="1096"/>
      <c r="AS161" s="1096"/>
      <c r="AT161" s="1096"/>
      <c r="AU161" s="1096"/>
      <c r="AV161" s="1096"/>
      <c r="AW161" s="1096"/>
      <c r="AX161" s="1096"/>
      <c r="AY161" s="1096"/>
      <c r="AZ161" s="1096"/>
      <c r="BA161" s="1096"/>
      <c r="BB161" s="1096"/>
      <c r="BC161" s="1096"/>
      <c r="BD161" s="1096"/>
      <c r="BE161" s="1100"/>
    </row>
    <row r="162" spans="1:57" ht="15.75" customHeight="1">
      <c r="A162" s="1096"/>
      <c r="B162" s="1096"/>
      <c r="C162" s="1991" t="s">
        <v>1950</v>
      </c>
      <c r="D162" s="1992"/>
      <c r="E162" s="1992"/>
      <c r="F162" s="1992"/>
      <c r="G162" s="1992"/>
      <c r="H162" s="1992"/>
      <c r="I162" s="1992"/>
      <c r="J162" s="1992"/>
      <c r="K162" s="1992"/>
      <c r="L162" s="1992"/>
      <c r="M162" s="1992"/>
      <c r="N162" s="1992"/>
      <c r="O162" s="1992"/>
      <c r="P162" s="1992"/>
      <c r="Q162" s="1934">
        <v>55</v>
      </c>
      <c r="R162" s="1934"/>
      <c r="S162" s="1934"/>
      <c r="T162" s="1985"/>
      <c r="U162" s="1985"/>
      <c r="V162" s="1985"/>
      <c r="W162" s="1985"/>
      <c r="X162" s="1985"/>
      <c r="Y162" s="1985"/>
      <c r="Z162" s="1985"/>
      <c r="AA162" s="1985"/>
      <c r="AB162" s="1995">
        <v>0</v>
      </c>
      <c r="AC162" s="1995"/>
      <c r="AD162" s="1995"/>
      <c r="AE162" s="1995"/>
      <c r="AF162" s="1995"/>
      <c r="AG162" s="1996"/>
      <c r="AH162" s="1096"/>
      <c r="AI162" s="1096"/>
      <c r="AJ162" s="1096"/>
      <c r="AK162" s="1096"/>
      <c r="AL162" s="1096"/>
      <c r="AM162" s="1096"/>
      <c r="AN162" s="1096"/>
      <c r="AO162" s="1096"/>
      <c r="AP162" s="1096"/>
      <c r="AQ162" s="1096"/>
      <c r="AR162" s="1096"/>
      <c r="AS162" s="1096"/>
      <c r="AT162" s="1096"/>
      <c r="AU162" s="1096"/>
      <c r="AV162" s="1096"/>
      <c r="AW162" s="1096"/>
      <c r="AX162" s="1096"/>
      <c r="AY162" s="1096"/>
      <c r="AZ162" s="1096"/>
      <c r="BA162" s="1096"/>
      <c r="BB162" s="1096"/>
      <c r="BC162" s="1096"/>
      <c r="BD162" s="1096"/>
      <c r="BE162" s="1100"/>
    </row>
    <row r="163" spans="1:57" ht="15.75" customHeight="1">
      <c r="A163" s="1096"/>
      <c r="B163" s="1096"/>
      <c r="C163" s="1991" t="s">
        <v>233</v>
      </c>
      <c r="D163" s="1992"/>
      <c r="E163" s="1992"/>
      <c r="F163" s="1993" t="s">
        <v>2025</v>
      </c>
      <c r="G163" s="1993"/>
      <c r="H163" s="1993"/>
      <c r="I163" s="1993"/>
      <c r="J163" s="1993"/>
      <c r="K163" s="1993"/>
      <c r="L163" s="1993"/>
      <c r="M163" s="1993"/>
      <c r="N163" s="1993"/>
      <c r="O163" s="1993"/>
      <c r="P163" s="1993"/>
      <c r="Q163" s="1934">
        <v>55</v>
      </c>
      <c r="R163" s="1934"/>
      <c r="S163" s="1934"/>
      <c r="T163" s="1994"/>
      <c r="U163" s="1994"/>
      <c r="V163" s="1994"/>
      <c r="W163" s="1994"/>
      <c r="X163" s="1994"/>
      <c r="Y163" s="1994"/>
      <c r="Z163" s="1994"/>
      <c r="AA163" s="1994"/>
      <c r="AB163" s="1995">
        <v>0</v>
      </c>
      <c r="AC163" s="1995"/>
      <c r="AD163" s="1995"/>
      <c r="AE163" s="1995"/>
      <c r="AF163" s="1995"/>
      <c r="AG163" s="1996"/>
      <c r="AH163" s="1096"/>
      <c r="AI163" s="1096"/>
      <c r="AJ163" s="1096"/>
      <c r="AK163" s="1096"/>
      <c r="AL163" s="1096"/>
      <c r="AM163" s="1096"/>
      <c r="AN163" s="1096"/>
      <c r="AO163" s="1096"/>
      <c r="AP163" s="1096"/>
      <c r="AQ163" s="1096"/>
      <c r="AR163" s="1096"/>
      <c r="AS163" s="1096"/>
      <c r="AT163" s="1096"/>
      <c r="AU163" s="1096"/>
      <c r="AV163" s="1096"/>
      <c r="AW163" s="1096"/>
      <c r="AX163" s="1096"/>
      <c r="AY163" s="1096"/>
      <c r="AZ163" s="1096"/>
      <c r="BA163" s="1096"/>
      <c r="BB163" s="1096"/>
      <c r="BC163" s="1096"/>
      <c r="BD163" s="1096"/>
      <c r="BE163" s="1100"/>
    </row>
    <row r="164" spans="1:57" ht="15.75" customHeight="1">
      <c r="A164" s="1096"/>
      <c r="B164" s="1096"/>
      <c r="C164" s="1991" t="s">
        <v>233</v>
      </c>
      <c r="D164" s="1992"/>
      <c r="E164" s="1992"/>
      <c r="F164" s="1993" t="s">
        <v>2025</v>
      </c>
      <c r="G164" s="1993"/>
      <c r="H164" s="1993"/>
      <c r="I164" s="1993"/>
      <c r="J164" s="1993"/>
      <c r="K164" s="1993"/>
      <c r="L164" s="1993"/>
      <c r="M164" s="1993"/>
      <c r="N164" s="1993"/>
      <c r="O164" s="1993"/>
      <c r="P164" s="1993"/>
      <c r="Q164" s="1934">
        <v>55</v>
      </c>
      <c r="R164" s="1934"/>
      <c r="S164" s="1934"/>
      <c r="T164" s="1994"/>
      <c r="U164" s="1994"/>
      <c r="V164" s="1994"/>
      <c r="W164" s="1994"/>
      <c r="X164" s="1994"/>
      <c r="Y164" s="1994"/>
      <c r="Z164" s="1994"/>
      <c r="AA164" s="1994"/>
      <c r="AB164" s="1995">
        <v>0</v>
      </c>
      <c r="AC164" s="1995"/>
      <c r="AD164" s="1995"/>
      <c r="AE164" s="1995"/>
      <c r="AF164" s="1995"/>
      <c r="AG164" s="1996"/>
      <c r="AH164" s="1096"/>
      <c r="AI164" s="1096"/>
      <c r="AJ164" s="1096"/>
      <c r="AK164" s="1096" t="s">
        <v>254</v>
      </c>
      <c r="AL164" s="1096"/>
      <c r="AM164" s="1096"/>
      <c r="AN164" s="1096"/>
      <c r="AO164" s="1096"/>
      <c r="AP164" s="1096"/>
      <c r="AQ164" s="1096"/>
      <c r="AR164" s="1096"/>
      <c r="AS164" s="1096"/>
      <c r="AT164" s="1096"/>
      <c r="AU164" s="1096"/>
      <c r="AV164" s="1096"/>
      <c r="AW164" s="1096"/>
      <c r="AX164" s="1096"/>
      <c r="AY164" s="1096"/>
      <c r="AZ164" s="1096"/>
      <c r="BA164" s="1096"/>
      <c r="BB164" s="1096"/>
      <c r="BC164" s="1096"/>
      <c r="BD164" s="1096"/>
      <c r="BE164" s="1100"/>
    </row>
    <row r="165" spans="1:57" ht="15.75" customHeight="1" thickBot="1">
      <c r="A165" s="1096"/>
      <c r="B165" s="1096"/>
      <c r="C165" s="1997" t="s">
        <v>233</v>
      </c>
      <c r="D165" s="1998"/>
      <c r="E165" s="1998"/>
      <c r="F165" s="1999" t="s">
        <v>2025</v>
      </c>
      <c r="G165" s="1999"/>
      <c r="H165" s="1999"/>
      <c r="I165" s="1999"/>
      <c r="J165" s="1999"/>
      <c r="K165" s="1999"/>
      <c r="L165" s="1999"/>
      <c r="M165" s="1999"/>
      <c r="N165" s="1999"/>
      <c r="O165" s="1999"/>
      <c r="P165" s="1999"/>
      <c r="Q165" s="2000">
        <v>55</v>
      </c>
      <c r="R165" s="2000"/>
      <c r="S165" s="2000"/>
      <c r="T165" s="2001"/>
      <c r="U165" s="2001"/>
      <c r="V165" s="2001"/>
      <c r="W165" s="2001"/>
      <c r="X165" s="2001"/>
      <c r="Y165" s="2001"/>
      <c r="Z165" s="2001"/>
      <c r="AA165" s="2001"/>
      <c r="AB165" s="2002">
        <v>0</v>
      </c>
      <c r="AC165" s="2002"/>
      <c r="AD165" s="2002"/>
      <c r="AE165" s="2002"/>
      <c r="AF165" s="2002"/>
      <c r="AG165" s="2003"/>
      <c r="AH165" s="1096"/>
      <c r="AI165" s="1096"/>
      <c r="AJ165" s="1096"/>
      <c r="AK165" s="1096"/>
      <c r="AL165" s="1096"/>
      <c r="AM165" s="1096"/>
      <c r="AN165" s="1096"/>
      <c r="AO165" s="1096"/>
      <c r="AP165" s="1096"/>
      <c r="AQ165" s="1096"/>
      <c r="AR165" s="1096"/>
      <c r="AS165" s="1096"/>
      <c r="AT165" s="1096"/>
      <c r="AU165" s="1096"/>
      <c r="AV165" s="1096"/>
      <c r="AW165" s="1096"/>
      <c r="AX165" s="1096"/>
      <c r="AY165" s="1096"/>
      <c r="AZ165" s="1096"/>
      <c r="BA165" s="1096"/>
      <c r="BB165" s="1096"/>
      <c r="BC165" s="1096"/>
      <c r="BD165" s="1096"/>
      <c r="BE165" s="1100"/>
    </row>
    <row r="166" spans="1:57" ht="15.75" customHeight="1" thickBot="1">
      <c r="A166" s="1096"/>
      <c r="B166" s="1096"/>
      <c r="C166" s="1096"/>
      <c r="D166" s="1096"/>
      <c r="E166" s="1096"/>
      <c r="F166" s="1096"/>
      <c r="G166" s="1096"/>
      <c r="H166" s="1096"/>
      <c r="I166" s="1096"/>
      <c r="J166" s="1096"/>
      <c r="K166" s="1096"/>
      <c r="L166" s="1096"/>
      <c r="M166" s="1096"/>
      <c r="N166" s="1096"/>
      <c r="O166" s="1096"/>
      <c r="P166" s="1096"/>
      <c r="Q166" s="1096"/>
      <c r="R166" s="1096"/>
      <c r="S166" s="1096"/>
      <c r="T166" s="1096"/>
      <c r="U166" s="1096"/>
      <c r="V166" s="1096"/>
      <c r="W166" s="1096"/>
      <c r="X166" s="1096"/>
      <c r="Y166" s="1096"/>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c r="AV166" s="1096"/>
      <c r="AW166" s="1096"/>
      <c r="AX166" s="1096"/>
      <c r="AY166" s="1096"/>
      <c r="AZ166" s="1096"/>
      <c r="BA166" s="1096"/>
      <c r="BB166" s="1096"/>
      <c r="BC166" s="1096"/>
      <c r="BD166" s="1096"/>
      <c r="BE166" s="1100"/>
    </row>
    <row r="167" spans="1:57" ht="15.75" customHeight="1">
      <c r="A167" s="1096"/>
      <c r="B167" s="1096"/>
      <c r="C167" s="1962" t="s">
        <v>2026</v>
      </c>
      <c r="D167" s="1963"/>
      <c r="E167" s="1963"/>
      <c r="F167" s="1963"/>
      <c r="G167" s="1963"/>
      <c r="H167" s="1963"/>
      <c r="I167" s="1963"/>
      <c r="J167" s="1963"/>
      <c r="K167" s="1963"/>
      <c r="L167" s="1963"/>
      <c r="M167" s="1963"/>
      <c r="N167" s="1972"/>
      <c r="O167" s="1096"/>
      <c r="P167" s="1973" t="s">
        <v>2027</v>
      </c>
      <c r="Q167" s="1974"/>
      <c r="R167" s="1974"/>
      <c r="S167" s="1974"/>
      <c r="T167" s="1974"/>
      <c r="U167" s="1974"/>
      <c r="V167" s="1974"/>
      <c r="W167" s="1974"/>
      <c r="X167" s="1974"/>
      <c r="Y167" s="1974"/>
      <c r="Z167" s="1974"/>
      <c r="AA167" s="1974"/>
      <c r="AB167" s="1974"/>
      <c r="AC167" s="1974"/>
      <c r="AD167" s="1974"/>
      <c r="AE167" s="1974"/>
      <c r="AF167" s="1974"/>
      <c r="AG167" s="1974"/>
      <c r="AH167" s="1974"/>
      <c r="AI167" s="1974"/>
      <c r="AJ167" s="1974"/>
      <c r="AK167" s="1974"/>
      <c r="AL167" s="1974"/>
      <c r="AM167" s="1974"/>
      <c r="AN167" s="1974"/>
      <c r="AO167" s="1975"/>
      <c r="AP167" s="1096"/>
      <c r="AQ167" s="1096"/>
      <c r="AR167" s="1096"/>
      <c r="AS167" s="1096"/>
      <c r="AT167" s="1096"/>
      <c r="AU167" s="1096"/>
      <c r="AV167" s="1096"/>
      <c r="AW167" s="1096"/>
      <c r="AX167" s="1096"/>
      <c r="AY167" s="1096"/>
      <c r="AZ167" s="1096"/>
      <c r="BA167" s="1096"/>
      <c r="BB167" s="1096"/>
      <c r="BC167" s="1096"/>
      <c r="BD167" s="1096"/>
      <c r="BE167" s="1100"/>
    </row>
    <row r="168" spans="1:57" ht="15.75" customHeight="1">
      <c r="A168" s="1096"/>
      <c r="B168" s="1096"/>
      <c r="C168" s="1976" t="s">
        <v>2028</v>
      </c>
      <c r="D168" s="1977"/>
      <c r="E168" s="1977"/>
      <c r="F168" s="1977"/>
      <c r="G168" s="1977"/>
      <c r="H168" s="1977"/>
      <c r="I168" s="1977" t="s">
        <v>2029</v>
      </c>
      <c r="J168" s="1977"/>
      <c r="K168" s="1977"/>
      <c r="L168" s="1977"/>
      <c r="M168" s="1977"/>
      <c r="N168" s="1978"/>
      <c r="O168" s="1096"/>
      <c r="P168" s="1979" t="s">
        <v>1977</v>
      </c>
      <c r="Q168" s="1980"/>
      <c r="R168" s="1980"/>
      <c r="S168" s="1980"/>
      <c r="T168" s="1980"/>
      <c r="U168" s="1980"/>
      <c r="V168" s="1980"/>
      <c r="W168" s="1980"/>
      <c r="X168" s="1980"/>
      <c r="Y168" s="1980"/>
      <c r="Z168" s="1980"/>
      <c r="AA168" s="1980"/>
      <c r="AB168" s="1980"/>
      <c r="AC168" s="1980"/>
      <c r="AD168" s="1980"/>
      <c r="AE168" s="1980"/>
      <c r="AF168" s="1980"/>
      <c r="AG168" s="1980"/>
      <c r="AH168" s="1980"/>
      <c r="AI168" s="1980"/>
      <c r="AJ168" s="1980"/>
      <c r="AK168" s="1980"/>
      <c r="AL168" s="1980"/>
      <c r="AM168" s="1980"/>
      <c r="AN168" s="1980"/>
      <c r="AO168" s="1981"/>
      <c r="AP168" s="1096"/>
      <c r="AQ168" s="1096"/>
      <c r="AR168" s="1096"/>
      <c r="AS168" s="1096"/>
      <c r="AT168" s="1096"/>
      <c r="AU168" s="1096"/>
      <c r="AV168" s="1096"/>
      <c r="AW168" s="1096"/>
      <c r="AX168" s="1096"/>
      <c r="AY168" s="1096"/>
      <c r="AZ168" s="1096"/>
      <c r="BA168" s="1096"/>
      <c r="BB168" s="1096"/>
      <c r="BC168" s="1096"/>
      <c r="BD168" s="1096"/>
      <c r="BE168" s="1100"/>
    </row>
    <row r="169" spans="1:57" ht="15.75" customHeight="1">
      <c r="A169" s="1096"/>
      <c r="B169" s="1096"/>
      <c r="C169" s="1924"/>
      <c r="D169" s="1925"/>
      <c r="E169" s="1925"/>
      <c r="F169" s="1925"/>
      <c r="G169" s="1925"/>
      <c r="H169" s="1925"/>
      <c r="I169" s="1985"/>
      <c r="J169" s="1985"/>
      <c r="K169" s="1985"/>
      <c r="L169" s="1985"/>
      <c r="M169" s="1985"/>
      <c r="N169" s="1986"/>
      <c r="O169" s="1096"/>
      <c r="P169" s="1979"/>
      <c r="Q169" s="1980"/>
      <c r="R169" s="1980"/>
      <c r="S169" s="1980"/>
      <c r="T169" s="1980"/>
      <c r="U169" s="1980"/>
      <c r="V169" s="1980"/>
      <c r="W169" s="1980"/>
      <c r="X169" s="1980"/>
      <c r="Y169" s="1980"/>
      <c r="Z169" s="1980"/>
      <c r="AA169" s="1980"/>
      <c r="AB169" s="1980"/>
      <c r="AC169" s="1980"/>
      <c r="AD169" s="1980"/>
      <c r="AE169" s="1980"/>
      <c r="AF169" s="1980"/>
      <c r="AG169" s="1980"/>
      <c r="AH169" s="1980"/>
      <c r="AI169" s="1980"/>
      <c r="AJ169" s="1980"/>
      <c r="AK169" s="1980"/>
      <c r="AL169" s="1980"/>
      <c r="AM169" s="1980"/>
      <c r="AN169" s="1980"/>
      <c r="AO169" s="1981"/>
      <c r="AP169" s="1096"/>
      <c r="AQ169" s="1096"/>
      <c r="AR169" s="1096"/>
      <c r="AS169" s="1096"/>
      <c r="AT169" s="1096"/>
      <c r="AU169" s="1096"/>
      <c r="AV169" s="1096"/>
      <c r="AW169" s="1096"/>
      <c r="AX169" s="1096"/>
      <c r="AY169" s="1096"/>
      <c r="AZ169" s="1096"/>
      <c r="BA169" s="1096"/>
      <c r="BB169" s="1096"/>
      <c r="BC169" s="1096"/>
      <c r="BD169" s="1096"/>
      <c r="BE169" s="1100"/>
    </row>
    <row r="170" spans="1:57" ht="15.75" customHeight="1">
      <c r="A170" s="1096"/>
      <c r="B170" s="1096"/>
      <c r="C170" s="1924"/>
      <c r="D170" s="1925"/>
      <c r="E170" s="1925"/>
      <c r="F170" s="1925"/>
      <c r="G170" s="1925"/>
      <c r="H170" s="1925"/>
      <c r="I170" s="1985"/>
      <c r="J170" s="1985"/>
      <c r="K170" s="1985"/>
      <c r="L170" s="1985"/>
      <c r="M170" s="1985"/>
      <c r="N170" s="1986"/>
      <c r="O170" s="1096"/>
      <c r="P170" s="1979"/>
      <c r="Q170" s="1980"/>
      <c r="R170" s="1980"/>
      <c r="S170" s="1980"/>
      <c r="T170" s="1980"/>
      <c r="U170" s="1980"/>
      <c r="V170" s="1980"/>
      <c r="W170" s="1980"/>
      <c r="X170" s="1980"/>
      <c r="Y170" s="1980"/>
      <c r="Z170" s="1980"/>
      <c r="AA170" s="1980"/>
      <c r="AB170" s="1980"/>
      <c r="AC170" s="1980"/>
      <c r="AD170" s="1980"/>
      <c r="AE170" s="1980"/>
      <c r="AF170" s="1980"/>
      <c r="AG170" s="1980"/>
      <c r="AH170" s="1980"/>
      <c r="AI170" s="1980"/>
      <c r="AJ170" s="1980"/>
      <c r="AK170" s="1980"/>
      <c r="AL170" s="1980"/>
      <c r="AM170" s="1980"/>
      <c r="AN170" s="1980"/>
      <c r="AO170" s="1981"/>
      <c r="AP170" s="1096"/>
      <c r="AQ170" s="1096"/>
      <c r="AR170" s="1096"/>
      <c r="AS170" s="1096"/>
      <c r="AT170" s="1096"/>
      <c r="AU170" s="1096"/>
      <c r="AV170" s="1096"/>
      <c r="AW170" s="1096"/>
      <c r="AX170" s="1096"/>
      <c r="AY170" s="1096"/>
      <c r="AZ170" s="1096"/>
      <c r="BA170" s="1096"/>
      <c r="BB170" s="1096"/>
      <c r="BC170" s="1096"/>
      <c r="BD170" s="1096"/>
      <c r="BE170" s="1100"/>
    </row>
    <row r="171" spans="1:57" ht="15.75" customHeight="1">
      <c r="A171" s="1096"/>
      <c r="B171" s="1096"/>
      <c r="C171" s="1924"/>
      <c r="D171" s="1925"/>
      <c r="E171" s="1925"/>
      <c r="F171" s="1925"/>
      <c r="G171" s="1925"/>
      <c r="H171" s="1925"/>
      <c r="I171" s="1985"/>
      <c r="J171" s="1985"/>
      <c r="K171" s="1985"/>
      <c r="L171" s="1985"/>
      <c r="M171" s="1985"/>
      <c r="N171" s="1986"/>
      <c r="O171" s="1096"/>
      <c r="P171" s="1979"/>
      <c r="Q171" s="1980"/>
      <c r="R171" s="1980"/>
      <c r="S171" s="1980"/>
      <c r="T171" s="1980"/>
      <c r="U171" s="1980"/>
      <c r="V171" s="1980"/>
      <c r="W171" s="1980"/>
      <c r="X171" s="1980"/>
      <c r="Y171" s="1980"/>
      <c r="Z171" s="1980"/>
      <c r="AA171" s="1980"/>
      <c r="AB171" s="1980"/>
      <c r="AC171" s="1980"/>
      <c r="AD171" s="1980"/>
      <c r="AE171" s="1980"/>
      <c r="AF171" s="1980"/>
      <c r="AG171" s="1980"/>
      <c r="AH171" s="1980"/>
      <c r="AI171" s="1980"/>
      <c r="AJ171" s="1980"/>
      <c r="AK171" s="1980"/>
      <c r="AL171" s="1980"/>
      <c r="AM171" s="1980"/>
      <c r="AN171" s="1980"/>
      <c r="AO171" s="1981"/>
      <c r="AP171" s="1096"/>
      <c r="AQ171" s="1096"/>
      <c r="AR171" s="1096"/>
      <c r="AS171" s="1096"/>
      <c r="AT171" s="1096"/>
      <c r="AU171" s="1096"/>
      <c r="AV171" s="1096"/>
      <c r="AW171" s="1096"/>
      <c r="AX171" s="1096"/>
      <c r="AY171" s="1096"/>
      <c r="AZ171" s="1096"/>
      <c r="BA171" s="1096"/>
      <c r="BB171" s="1096"/>
      <c r="BC171" s="1096"/>
      <c r="BD171" s="1096"/>
      <c r="BE171" s="1100"/>
    </row>
    <row r="172" spans="1:57" ht="15.75" customHeight="1">
      <c r="A172" s="1096"/>
      <c r="B172" s="1096"/>
      <c r="C172" s="1924"/>
      <c r="D172" s="1925"/>
      <c r="E172" s="1925"/>
      <c r="F172" s="1925"/>
      <c r="G172" s="1925"/>
      <c r="H172" s="1925"/>
      <c r="I172" s="1985"/>
      <c r="J172" s="1985"/>
      <c r="K172" s="1985"/>
      <c r="L172" s="1985"/>
      <c r="M172" s="1985"/>
      <c r="N172" s="1986"/>
      <c r="O172" s="1096"/>
      <c r="P172" s="1979"/>
      <c r="Q172" s="1980"/>
      <c r="R172" s="1980"/>
      <c r="S172" s="1980"/>
      <c r="T172" s="1980"/>
      <c r="U172" s="1980"/>
      <c r="V172" s="1980"/>
      <c r="W172" s="1980"/>
      <c r="X172" s="1980"/>
      <c r="Y172" s="1980"/>
      <c r="Z172" s="1980"/>
      <c r="AA172" s="1980"/>
      <c r="AB172" s="1980"/>
      <c r="AC172" s="1980"/>
      <c r="AD172" s="1980"/>
      <c r="AE172" s="1980"/>
      <c r="AF172" s="1980"/>
      <c r="AG172" s="1980"/>
      <c r="AH172" s="1980"/>
      <c r="AI172" s="1980"/>
      <c r="AJ172" s="1980"/>
      <c r="AK172" s="1980"/>
      <c r="AL172" s="1980"/>
      <c r="AM172" s="1980"/>
      <c r="AN172" s="1980"/>
      <c r="AO172" s="1981"/>
      <c r="AP172" s="1096"/>
      <c r="AQ172" s="1096"/>
      <c r="AR172" s="1096"/>
      <c r="AS172" s="1096"/>
      <c r="AT172" s="1096"/>
      <c r="AU172" s="1096"/>
      <c r="AV172" s="1096"/>
      <c r="AW172" s="1096"/>
      <c r="AX172" s="1096"/>
      <c r="AY172" s="1096"/>
      <c r="AZ172" s="1096"/>
      <c r="BA172" s="1096"/>
      <c r="BB172" s="1096"/>
      <c r="BC172" s="1096"/>
      <c r="BD172" s="1096"/>
      <c r="BE172" s="1100"/>
    </row>
    <row r="173" spans="1:57" ht="15.75" customHeight="1">
      <c r="A173" s="1096"/>
      <c r="B173" s="1096"/>
      <c r="C173" s="1924"/>
      <c r="D173" s="1925"/>
      <c r="E173" s="1925"/>
      <c r="F173" s="1925"/>
      <c r="G173" s="1925"/>
      <c r="H173" s="1925"/>
      <c r="I173" s="1985"/>
      <c r="J173" s="1985"/>
      <c r="K173" s="1985"/>
      <c r="L173" s="1985"/>
      <c r="M173" s="1985"/>
      <c r="N173" s="1986"/>
      <c r="O173" s="1096"/>
      <c r="P173" s="1979"/>
      <c r="Q173" s="1980"/>
      <c r="R173" s="1980"/>
      <c r="S173" s="1980"/>
      <c r="T173" s="1980"/>
      <c r="U173" s="1980"/>
      <c r="V173" s="1980"/>
      <c r="W173" s="1980"/>
      <c r="X173" s="1980"/>
      <c r="Y173" s="1980"/>
      <c r="Z173" s="1980"/>
      <c r="AA173" s="1980"/>
      <c r="AB173" s="1980"/>
      <c r="AC173" s="1980"/>
      <c r="AD173" s="1980"/>
      <c r="AE173" s="1980"/>
      <c r="AF173" s="1980"/>
      <c r="AG173" s="1980"/>
      <c r="AH173" s="1980"/>
      <c r="AI173" s="1980"/>
      <c r="AJ173" s="1980"/>
      <c r="AK173" s="1980"/>
      <c r="AL173" s="1980"/>
      <c r="AM173" s="1980"/>
      <c r="AN173" s="1980"/>
      <c r="AO173" s="1981"/>
      <c r="AP173" s="1096"/>
      <c r="AQ173" s="1096"/>
      <c r="AR173" s="1096"/>
      <c r="AS173" s="1096"/>
      <c r="AT173" s="1096"/>
      <c r="AU173" s="1096"/>
      <c r="AV173" s="1096"/>
      <c r="AW173" s="1096"/>
      <c r="AX173" s="1096"/>
      <c r="AY173" s="1096"/>
      <c r="AZ173" s="1096"/>
      <c r="BA173" s="1096"/>
      <c r="BB173" s="1096"/>
      <c r="BC173" s="1096"/>
      <c r="BD173" s="1096"/>
      <c r="BE173" s="1100"/>
    </row>
    <row r="174" spans="1:57" ht="15.75" customHeight="1">
      <c r="A174" s="1096"/>
      <c r="B174" s="1096"/>
      <c r="C174" s="1924"/>
      <c r="D174" s="1925"/>
      <c r="E174" s="1925"/>
      <c r="F174" s="1925"/>
      <c r="G174" s="1925"/>
      <c r="H174" s="1925"/>
      <c r="I174" s="1985"/>
      <c r="J174" s="1985"/>
      <c r="K174" s="1985"/>
      <c r="L174" s="1985"/>
      <c r="M174" s="1985"/>
      <c r="N174" s="1986"/>
      <c r="O174" s="1096"/>
      <c r="P174" s="1979"/>
      <c r="Q174" s="1980"/>
      <c r="R174" s="1980"/>
      <c r="S174" s="1980"/>
      <c r="T174" s="1980"/>
      <c r="U174" s="1980"/>
      <c r="V174" s="1980"/>
      <c r="W174" s="1980"/>
      <c r="X174" s="1980"/>
      <c r="Y174" s="1980"/>
      <c r="Z174" s="1980"/>
      <c r="AA174" s="1980"/>
      <c r="AB174" s="1980"/>
      <c r="AC174" s="1980"/>
      <c r="AD174" s="1980"/>
      <c r="AE174" s="1980"/>
      <c r="AF174" s="1980"/>
      <c r="AG174" s="1980"/>
      <c r="AH174" s="1980"/>
      <c r="AI174" s="1980"/>
      <c r="AJ174" s="1980"/>
      <c r="AK174" s="1980"/>
      <c r="AL174" s="1980"/>
      <c r="AM174" s="1980"/>
      <c r="AN174" s="1980"/>
      <c r="AO174" s="1981"/>
      <c r="AP174" s="1096"/>
      <c r="AQ174" s="1096"/>
      <c r="AR174" s="1096"/>
      <c r="AS174" s="1096"/>
      <c r="AT174" s="1096"/>
      <c r="AU174" s="1096"/>
      <c r="AV174" s="1096"/>
      <c r="AW174" s="1096"/>
      <c r="AX174" s="1096"/>
      <c r="AY174" s="1096"/>
      <c r="AZ174" s="1096"/>
      <c r="BA174" s="1096"/>
      <c r="BB174" s="1096"/>
      <c r="BC174" s="1096"/>
      <c r="BD174" s="1096"/>
      <c r="BE174" s="1100"/>
    </row>
    <row r="175" spans="1:57" ht="15.75" customHeight="1" thickBot="1">
      <c r="A175" s="1096"/>
      <c r="B175" s="1096"/>
      <c r="C175" s="1987"/>
      <c r="D175" s="1988"/>
      <c r="E175" s="1988"/>
      <c r="F175" s="1988"/>
      <c r="G175" s="1988"/>
      <c r="H175" s="1988"/>
      <c r="I175" s="1989"/>
      <c r="J175" s="1989"/>
      <c r="K175" s="1989"/>
      <c r="L175" s="1989"/>
      <c r="M175" s="1989"/>
      <c r="N175" s="1990"/>
      <c r="O175" s="1096"/>
      <c r="P175" s="1982"/>
      <c r="Q175" s="1983"/>
      <c r="R175" s="1983"/>
      <c r="S175" s="1983"/>
      <c r="T175" s="1983"/>
      <c r="U175" s="1983"/>
      <c r="V175" s="1983"/>
      <c r="W175" s="1983"/>
      <c r="X175" s="1983"/>
      <c r="Y175" s="1983"/>
      <c r="Z175" s="1983"/>
      <c r="AA175" s="1983"/>
      <c r="AB175" s="1983"/>
      <c r="AC175" s="1983"/>
      <c r="AD175" s="1983"/>
      <c r="AE175" s="1983"/>
      <c r="AF175" s="1983"/>
      <c r="AG175" s="1983"/>
      <c r="AH175" s="1983"/>
      <c r="AI175" s="1983"/>
      <c r="AJ175" s="1983"/>
      <c r="AK175" s="1983"/>
      <c r="AL175" s="1983"/>
      <c r="AM175" s="1983"/>
      <c r="AN175" s="1983"/>
      <c r="AO175" s="1984"/>
      <c r="AP175" s="1096"/>
      <c r="AQ175" s="1096"/>
      <c r="AR175" s="1096"/>
      <c r="AS175" s="1096"/>
      <c r="AT175" s="1096"/>
      <c r="AU175" s="1096"/>
      <c r="AV175" s="1096"/>
      <c r="AW175" s="1096"/>
      <c r="AX175" s="1096"/>
      <c r="AY175" s="1096"/>
      <c r="AZ175" s="1096"/>
      <c r="BA175" s="1096"/>
      <c r="BB175" s="1096"/>
      <c r="BC175" s="1096"/>
      <c r="BD175" s="1096"/>
      <c r="BE175" s="1100"/>
    </row>
    <row r="176" spans="1:57" ht="15.75" customHeight="1" thickBot="1">
      <c r="A176" s="1096"/>
      <c r="B176" s="1096"/>
      <c r="C176" s="1096"/>
      <c r="D176" s="1096"/>
      <c r="E176" s="1096"/>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c r="AZ176" s="1096"/>
      <c r="BA176" s="1096"/>
      <c r="BB176" s="1096"/>
      <c r="BC176" s="1096"/>
      <c r="BD176" s="1096"/>
      <c r="BE176" s="1100"/>
    </row>
    <row r="177" spans="1:57" ht="15.75" customHeight="1">
      <c r="A177" s="1096"/>
      <c r="B177" s="1096"/>
      <c r="C177" s="1953" t="s">
        <v>2030</v>
      </c>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1954"/>
      <c r="AE177" s="1955"/>
      <c r="AF177" s="1096"/>
      <c r="AG177" s="1096"/>
      <c r="AH177" s="1838"/>
      <c r="AI177" s="1838"/>
      <c r="AJ177" s="1838"/>
      <c r="AK177" s="1838"/>
      <c r="AL177" s="1838"/>
      <c r="AM177" s="1838"/>
      <c r="AN177" s="1838"/>
      <c r="AO177" s="1838"/>
      <c r="AP177" s="1838"/>
      <c r="AQ177" s="1838"/>
      <c r="AR177" s="1838"/>
      <c r="AS177" s="1838"/>
      <c r="AT177" s="1838"/>
      <c r="AU177" s="1838"/>
      <c r="AV177" s="1838"/>
      <c r="AW177" s="1838"/>
      <c r="AX177" s="1838"/>
      <c r="AY177" s="1838"/>
      <c r="AZ177" s="1838"/>
      <c r="BA177" s="1838"/>
      <c r="BB177" s="1838"/>
      <c r="BC177" s="1838"/>
      <c r="BD177" s="1838"/>
      <c r="BE177" s="1838"/>
    </row>
    <row r="178" spans="1:57" ht="15.75" customHeight="1" thickBot="1">
      <c r="A178" s="1096"/>
      <c r="B178" s="1096"/>
      <c r="C178" s="1956"/>
      <c r="D178" s="1957"/>
      <c r="E178" s="1957"/>
      <c r="F178" s="1957"/>
      <c r="G178" s="1957"/>
      <c r="H178" s="1957"/>
      <c r="I178" s="1957"/>
      <c r="J178" s="1957"/>
      <c r="K178" s="1957"/>
      <c r="L178" s="1957"/>
      <c r="M178" s="1957"/>
      <c r="N178" s="1957"/>
      <c r="O178" s="1957"/>
      <c r="P178" s="1957"/>
      <c r="Q178" s="1957"/>
      <c r="R178" s="1957"/>
      <c r="S178" s="1957"/>
      <c r="T178" s="1957"/>
      <c r="U178" s="1957"/>
      <c r="V178" s="1957"/>
      <c r="W178" s="1957"/>
      <c r="X178" s="1957"/>
      <c r="Y178" s="1957"/>
      <c r="Z178" s="1957"/>
      <c r="AA178" s="1957"/>
      <c r="AB178" s="1957"/>
      <c r="AC178" s="1957"/>
      <c r="AD178" s="1957"/>
      <c r="AE178" s="1958"/>
      <c r="AF178" s="1096"/>
      <c r="AG178" s="1096"/>
      <c r="AH178" s="1838"/>
      <c r="AI178" s="1838"/>
      <c r="AJ178" s="1838"/>
      <c r="AK178" s="1838"/>
      <c r="AL178" s="1838"/>
      <c r="AM178" s="1838"/>
      <c r="AN178" s="1838"/>
      <c r="AO178" s="1838"/>
      <c r="AP178" s="1838"/>
      <c r="AQ178" s="1838"/>
      <c r="AR178" s="1838"/>
      <c r="AS178" s="1838"/>
      <c r="AT178" s="1838"/>
      <c r="AU178" s="1838"/>
      <c r="AV178" s="1838"/>
      <c r="AW178" s="1838"/>
      <c r="AX178" s="1838"/>
      <c r="AY178" s="1838"/>
      <c r="AZ178" s="1838"/>
      <c r="BA178" s="1838"/>
      <c r="BB178" s="1838"/>
      <c r="BC178" s="1838"/>
      <c r="BD178" s="1838"/>
      <c r="BE178" s="1838"/>
    </row>
    <row r="179" spans="1:57" ht="15.75" customHeight="1">
      <c r="A179" s="1096"/>
      <c r="B179" s="1096"/>
      <c r="C179" s="1962" t="s">
        <v>2018</v>
      </c>
      <c r="D179" s="1963"/>
      <c r="E179" s="1963"/>
      <c r="F179" s="1963"/>
      <c r="G179" s="1963"/>
      <c r="H179" s="1963"/>
      <c r="I179" s="1963"/>
      <c r="J179" s="1963"/>
      <c r="K179" s="1963"/>
      <c r="L179" s="1963"/>
      <c r="M179" s="1963"/>
      <c r="N179" s="1963" t="s">
        <v>2031</v>
      </c>
      <c r="O179" s="1963"/>
      <c r="P179" s="1963"/>
      <c r="Q179" s="1963"/>
      <c r="R179" s="1963"/>
      <c r="S179" s="1963"/>
      <c r="T179" s="1963"/>
      <c r="U179" s="1964" t="s">
        <v>2018</v>
      </c>
      <c r="V179" s="1964"/>
      <c r="W179" s="1964"/>
      <c r="X179" s="1964"/>
      <c r="Y179" s="1964"/>
      <c r="Z179" s="1964"/>
      <c r="AA179" s="1964"/>
      <c r="AB179" s="1964"/>
      <c r="AC179" s="1964"/>
      <c r="AD179" s="1964"/>
      <c r="AE179" s="1965"/>
      <c r="AF179" s="1096"/>
      <c r="AG179" s="1096"/>
      <c r="AH179" s="1838"/>
      <c r="AI179" s="1838"/>
      <c r="AJ179" s="1838"/>
      <c r="AK179" s="1838"/>
      <c r="AL179" s="1838"/>
      <c r="AM179" s="1838"/>
      <c r="AN179" s="1838"/>
      <c r="AO179" s="1838"/>
      <c r="AP179" s="1838"/>
      <c r="AQ179" s="1838"/>
      <c r="AR179" s="1838"/>
      <c r="AS179" s="1838"/>
      <c r="AT179" s="1838"/>
      <c r="AU179" s="1838"/>
      <c r="AV179" s="1838"/>
      <c r="AW179" s="1838"/>
      <c r="AX179" s="1838"/>
      <c r="AY179" s="1838"/>
      <c r="AZ179" s="1838"/>
      <c r="BA179" s="1838"/>
      <c r="BB179" s="1838"/>
      <c r="BC179" s="1838"/>
      <c r="BD179" s="1838"/>
      <c r="BE179" s="1838"/>
    </row>
    <row r="180" spans="1:57" ht="15.75" customHeight="1">
      <c r="A180" s="1096"/>
      <c r="B180" s="1096"/>
      <c r="C180" s="1941" t="s">
        <v>2032</v>
      </c>
      <c r="D180" s="1942"/>
      <c r="E180" s="1942"/>
      <c r="F180" s="1942"/>
      <c r="G180" s="1942"/>
      <c r="H180" s="1942"/>
      <c r="I180" s="1942"/>
      <c r="J180" s="1942"/>
      <c r="K180" s="1942"/>
      <c r="L180" s="1942"/>
      <c r="M180" s="1942"/>
      <c r="N180" s="1952">
        <f>'Sources and Uses Budget'!B105</f>
        <v>86048414</v>
      </c>
      <c r="O180" s="1952"/>
      <c r="P180" s="1952"/>
      <c r="Q180" s="1952"/>
      <c r="R180" s="1952"/>
      <c r="S180" s="1952"/>
      <c r="T180" s="1952"/>
      <c r="U180" s="1966"/>
      <c r="V180" s="1966"/>
      <c r="W180" s="1966"/>
      <c r="X180" s="1966"/>
      <c r="Y180" s="1966"/>
      <c r="Z180" s="1966"/>
      <c r="AA180" s="1966"/>
      <c r="AB180" s="1966"/>
      <c r="AC180" s="1966"/>
      <c r="AD180" s="1966"/>
      <c r="AE180" s="1967"/>
      <c r="AF180" s="1096"/>
      <c r="AG180" s="1096"/>
      <c r="AH180" s="1838"/>
      <c r="AI180" s="1838"/>
      <c r="AJ180" s="1838"/>
      <c r="AK180" s="1838"/>
      <c r="AL180" s="1838"/>
      <c r="AM180" s="1838"/>
      <c r="AN180" s="1838"/>
      <c r="AO180" s="1838"/>
      <c r="AP180" s="1838"/>
      <c r="AQ180" s="1838"/>
      <c r="AR180" s="1838"/>
      <c r="AS180" s="1838"/>
      <c r="AT180" s="1838"/>
      <c r="AU180" s="1838"/>
      <c r="AV180" s="1838"/>
      <c r="AW180" s="1838"/>
      <c r="AX180" s="1838"/>
      <c r="AY180" s="1838"/>
      <c r="AZ180" s="1838"/>
      <c r="BA180" s="1838"/>
      <c r="BB180" s="1838"/>
      <c r="BC180" s="1838"/>
      <c r="BD180" s="1838"/>
      <c r="BE180" s="1838"/>
    </row>
    <row r="181" spans="1:57" ht="15.75" customHeight="1">
      <c r="A181" s="1096"/>
      <c r="B181" s="1096"/>
      <c r="C181" s="1941" t="s">
        <v>2033</v>
      </c>
      <c r="D181" s="1942"/>
      <c r="E181" s="1942"/>
      <c r="F181" s="1942"/>
      <c r="G181" s="1942"/>
      <c r="H181" s="1942"/>
      <c r="I181" s="1942"/>
      <c r="J181" s="1942"/>
      <c r="K181" s="1942"/>
      <c r="L181" s="1942"/>
      <c r="M181" s="1942"/>
      <c r="N181" s="1952">
        <f>N180/J29</f>
        <v>945586.96703296702</v>
      </c>
      <c r="O181" s="1952"/>
      <c r="P181" s="1952"/>
      <c r="Q181" s="1952"/>
      <c r="R181" s="1952"/>
      <c r="S181" s="1952"/>
      <c r="T181" s="1952"/>
      <c r="U181" s="1133"/>
      <c r="V181" s="1133"/>
      <c r="W181" s="1133"/>
      <c r="X181" s="1133"/>
      <c r="Y181" s="1133"/>
      <c r="Z181" s="1133"/>
      <c r="AA181" s="1133"/>
      <c r="AB181" s="1133"/>
      <c r="AC181" s="1133"/>
      <c r="AD181" s="1133"/>
      <c r="AE181" s="1134"/>
      <c r="AF181" s="1096"/>
      <c r="AG181" s="1096"/>
      <c r="AH181" s="1838"/>
      <c r="AI181" s="1838"/>
      <c r="AJ181" s="1838"/>
      <c r="AK181" s="1838"/>
      <c r="AL181" s="1838"/>
      <c r="AM181" s="1838"/>
      <c r="AN181" s="1838"/>
      <c r="AO181" s="1838"/>
      <c r="AP181" s="1838"/>
      <c r="AQ181" s="1838"/>
      <c r="AR181" s="1838"/>
      <c r="AS181" s="1838"/>
      <c r="AT181" s="1838"/>
      <c r="AU181" s="1838"/>
      <c r="AV181" s="1838"/>
      <c r="AW181" s="1838"/>
      <c r="AX181" s="1838"/>
      <c r="AY181" s="1838"/>
      <c r="AZ181" s="1838"/>
      <c r="BA181" s="1838"/>
      <c r="BB181" s="1838"/>
      <c r="BC181" s="1838"/>
      <c r="BD181" s="1838"/>
      <c r="BE181" s="1838"/>
    </row>
    <row r="182" spans="1:57" ht="15.75" customHeight="1">
      <c r="A182" s="1096"/>
      <c r="B182" s="1096"/>
      <c r="C182" s="1968" t="s">
        <v>2034</v>
      </c>
      <c r="D182" s="1969"/>
      <c r="E182" s="1969"/>
      <c r="F182" s="1969"/>
      <c r="G182" s="1969"/>
      <c r="H182" s="1969"/>
      <c r="I182" s="1969"/>
      <c r="J182" s="1969"/>
      <c r="K182" s="1969"/>
      <c r="L182" s="1969"/>
      <c r="M182" s="1969"/>
      <c r="N182" s="1970">
        <v>0</v>
      </c>
      <c r="O182" s="1970"/>
      <c r="P182" s="1970"/>
      <c r="Q182" s="1970"/>
      <c r="R182" s="1970"/>
      <c r="S182" s="1970"/>
      <c r="T182" s="1970"/>
      <c r="U182" s="1928"/>
      <c r="V182" s="1928"/>
      <c r="W182" s="1928"/>
      <c r="X182" s="1928"/>
      <c r="Y182" s="1928"/>
      <c r="Z182" s="1928"/>
      <c r="AA182" s="1928"/>
      <c r="AB182" s="1928"/>
      <c r="AC182" s="1928"/>
      <c r="AD182" s="1928"/>
      <c r="AE182" s="1929"/>
      <c r="AF182" s="1096"/>
      <c r="AG182" s="1096"/>
      <c r="AH182" s="1838"/>
      <c r="AI182" s="1838"/>
      <c r="AJ182" s="1838"/>
      <c r="AK182" s="1838"/>
      <c r="AL182" s="1838"/>
      <c r="AM182" s="1838"/>
      <c r="AN182" s="1838"/>
      <c r="AO182" s="1838"/>
      <c r="AP182" s="1838"/>
      <c r="AQ182" s="1838"/>
      <c r="AR182" s="1838"/>
      <c r="AS182" s="1838"/>
      <c r="AT182" s="1838"/>
      <c r="AU182" s="1838"/>
      <c r="AV182" s="1838"/>
      <c r="AW182" s="1838"/>
      <c r="AX182" s="1838"/>
      <c r="AY182" s="1838"/>
      <c r="AZ182" s="1838"/>
      <c r="BA182" s="1838"/>
      <c r="BB182" s="1838"/>
      <c r="BC182" s="1838"/>
      <c r="BD182" s="1838"/>
      <c r="BE182" s="1838"/>
    </row>
    <row r="183" spans="1:57" ht="15.75" customHeight="1" thickBot="1">
      <c r="A183" s="1096"/>
      <c r="B183" s="1096"/>
      <c r="C183" s="1941" t="s">
        <v>2035</v>
      </c>
      <c r="D183" s="1942"/>
      <c r="E183" s="1942"/>
      <c r="F183" s="1942"/>
      <c r="G183" s="1942"/>
      <c r="H183" s="1942"/>
      <c r="I183" s="1942"/>
      <c r="J183" s="1942"/>
      <c r="K183" s="1942"/>
      <c r="L183" s="1942"/>
      <c r="M183" s="1942"/>
      <c r="N183" s="1971">
        <f>SUM('Sources and Uses Budget'!B85:B86)</f>
        <v>150000</v>
      </c>
      <c r="O183" s="1971"/>
      <c r="P183" s="1971"/>
      <c r="Q183" s="1971"/>
      <c r="R183" s="1971"/>
      <c r="S183" s="1971"/>
      <c r="T183" s="1971"/>
      <c r="U183" s="1928"/>
      <c r="V183" s="1928"/>
      <c r="W183" s="1928"/>
      <c r="X183" s="1928"/>
      <c r="Y183" s="1928"/>
      <c r="Z183" s="1928"/>
      <c r="AA183" s="1928"/>
      <c r="AB183" s="1928"/>
      <c r="AC183" s="1928"/>
      <c r="AD183" s="1928"/>
      <c r="AE183" s="1929"/>
      <c r="AF183" s="1096"/>
      <c r="AG183" s="1096"/>
      <c r="AH183" s="1838"/>
      <c r="AI183" s="1838"/>
      <c r="AJ183" s="1838"/>
      <c r="AK183" s="1838"/>
      <c r="AL183" s="1838"/>
      <c r="AM183" s="1838"/>
      <c r="AN183" s="1838"/>
      <c r="AO183" s="1838"/>
      <c r="AP183" s="1838"/>
      <c r="AQ183" s="1838"/>
      <c r="AR183" s="1838"/>
      <c r="AS183" s="1838"/>
      <c r="AT183" s="1838"/>
      <c r="AU183" s="1838"/>
      <c r="AV183" s="1838"/>
      <c r="AW183" s="1838"/>
      <c r="AX183" s="1838"/>
      <c r="AY183" s="1838"/>
      <c r="AZ183" s="1838"/>
      <c r="BA183" s="1838"/>
      <c r="BB183" s="1838"/>
      <c r="BC183" s="1838"/>
      <c r="BD183" s="1838"/>
      <c r="BE183" s="1838"/>
    </row>
    <row r="184" spans="1:57" ht="15.75" customHeight="1" thickBot="1">
      <c r="A184" s="1096"/>
      <c r="B184" s="1096"/>
      <c r="C184" s="1941" t="s">
        <v>2036</v>
      </c>
      <c r="D184" s="1942"/>
      <c r="E184" s="1942"/>
      <c r="F184" s="1942"/>
      <c r="G184" s="1942"/>
      <c r="H184" s="1942"/>
      <c r="I184" s="1942"/>
      <c r="J184" s="1942"/>
      <c r="K184" s="1942"/>
      <c r="L184" s="1942"/>
      <c r="M184" s="1942"/>
      <c r="N184" s="1971">
        <f>'Sources and Uses Budget'!B8</f>
        <v>0</v>
      </c>
      <c r="O184" s="1971"/>
      <c r="P184" s="1971"/>
      <c r="Q184" s="1971"/>
      <c r="R184" s="1971"/>
      <c r="S184" s="1971"/>
      <c r="T184" s="1971"/>
      <c r="U184" s="1928"/>
      <c r="V184" s="1928"/>
      <c r="W184" s="1928"/>
      <c r="X184" s="1928"/>
      <c r="Y184" s="1928"/>
      <c r="Z184" s="1928"/>
      <c r="AA184" s="1928"/>
      <c r="AB184" s="1928"/>
      <c r="AC184" s="1928"/>
      <c r="AD184" s="1928"/>
      <c r="AE184" s="1929"/>
      <c r="AF184" s="1096"/>
      <c r="AG184" s="1096"/>
      <c r="AH184" s="1938" t="s">
        <v>1439</v>
      </c>
      <c r="AI184" s="1939"/>
      <c r="AJ184" s="1939"/>
      <c r="AK184" s="1939"/>
      <c r="AL184" s="1939"/>
      <c r="AM184" s="1939"/>
      <c r="AN184" s="1939"/>
      <c r="AO184" s="1939"/>
      <c r="AP184" s="1939"/>
      <c r="AQ184" s="1939"/>
      <c r="AR184" s="1939"/>
      <c r="AS184" s="1939"/>
      <c r="AT184" s="1939"/>
      <c r="AU184" s="1939"/>
      <c r="AV184" s="1939"/>
      <c r="AW184" s="1939"/>
      <c r="AX184" s="1939"/>
      <c r="AY184" s="1939"/>
      <c r="AZ184" s="1939"/>
      <c r="BA184" s="1939"/>
      <c r="BB184" s="1939"/>
      <c r="BC184" s="1939"/>
      <c r="BD184" s="1939"/>
      <c r="BE184" s="1940"/>
    </row>
    <row r="185" spans="1:57" ht="15.75" customHeight="1">
      <c r="A185" s="1096"/>
      <c r="B185" s="1096"/>
      <c r="C185" s="1941" t="s">
        <v>2037</v>
      </c>
      <c r="D185" s="1942"/>
      <c r="E185" s="1942"/>
      <c r="F185" s="1942"/>
      <c r="G185" s="1942"/>
      <c r="H185" s="1942"/>
      <c r="I185" s="1942"/>
      <c r="J185" s="1942"/>
      <c r="K185" s="1942"/>
      <c r="L185" s="1942"/>
      <c r="M185" s="1942"/>
      <c r="N185" s="1927">
        <v>0</v>
      </c>
      <c r="O185" s="1927"/>
      <c r="P185" s="1927"/>
      <c r="Q185" s="1927"/>
      <c r="R185" s="1927"/>
      <c r="S185" s="1927"/>
      <c r="T185" s="1927"/>
      <c r="U185" s="1928"/>
      <c r="V185" s="1928"/>
      <c r="W185" s="1928"/>
      <c r="X185" s="1928"/>
      <c r="Y185" s="1928"/>
      <c r="Z185" s="1928"/>
      <c r="AA185" s="1928"/>
      <c r="AB185" s="1928"/>
      <c r="AC185" s="1928"/>
      <c r="AD185" s="1928"/>
      <c r="AE185" s="1929"/>
      <c r="AF185" s="1096"/>
      <c r="AG185" s="1096"/>
      <c r="AH185" s="1943" t="s">
        <v>1439</v>
      </c>
      <c r="AI185" s="1944"/>
      <c r="AJ185" s="1944"/>
      <c r="AK185" s="1944"/>
      <c r="AL185" s="1944"/>
      <c r="AM185" s="1944"/>
      <c r="AN185" s="1944"/>
      <c r="AO185" s="1944"/>
      <c r="AP185" s="1944"/>
      <c r="AQ185" s="1944"/>
      <c r="AR185" s="1944"/>
      <c r="AS185" s="1944"/>
      <c r="AT185" s="1944"/>
      <c r="AU185" s="1945">
        <v>0</v>
      </c>
      <c r="AV185" s="1945"/>
      <c r="AW185" s="1945"/>
      <c r="AX185" s="1945"/>
      <c r="AY185" s="1945"/>
      <c r="AZ185" s="1945"/>
      <c r="BA185" s="1945"/>
      <c r="BB185" s="1945"/>
      <c r="BC185" s="1946"/>
      <c r="BD185" s="1947"/>
      <c r="BE185" s="1948"/>
    </row>
    <row r="186" spans="1:57" ht="15.75" customHeight="1">
      <c r="A186" s="1096"/>
      <c r="B186" s="1096"/>
      <c r="C186" s="1941" t="s">
        <v>2038</v>
      </c>
      <c r="D186" s="1942"/>
      <c r="E186" s="1942"/>
      <c r="F186" s="1942"/>
      <c r="G186" s="1942"/>
      <c r="H186" s="1942"/>
      <c r="I186" s="1942"/>
      <c r="J186" s="1942"/>
      <c r="K186" s="1942"/>
      <c r="L186" s="1942"/>
      <c r="M186" s="1942"/>
      <c r="N186" s="1927">
        <v>0</v>
      </c>
      <c r="O186" s="1927"/>
      <c r="P186" s="1927"/>
      <c r="Q186" s="1927"/>
      <c r="R186" s="1927"/>
      <c r="S186" s="1927"/>
      <c r="T186" s="1927"/>
      <c r="U186" s="1928"/>
      <c r="V186" s="1928"/>
      <c r="W186" s="1928"/>
      <c r="X186" s="1928"/>
      <c r="Y186" s="1928"/>
      <c r="Z186" s="1928"/>
      <c r="AA186" s="1928"/>
      <c r="AB186" s="1928"/>
      <c r="AC186" s="1928"/>
      <c r="AD186" s="1928"/>
      <c r="AE186" s="1929"/>
      <c r="AF186" s="1096"/>
      <c r="AG186" s="1096"/>
      <c r="AH186" s="1959" t="s">
        <v>2039</v>
      </c>
      <c r="AI186" s="1960"/>
      <c r="AJ186" s="1960"/>
      <c r="AK186" s="1960"/>
      <c r="AL186" s="1960"/>
      <c r="AM186" s="1960"/>
      <c r="AN186" s="1960"/>
      <c r="AO186" s="1960"/>
      <c r="AP186" s="1960"/>
      <c r="AQ186" s="1960"/>
      <c r="AR186" s="1960"/>
      <c r="AS186" s="1960"/>
      <c r="AT186" s="1960"/>
      <c r="AU186" s="1961"/>
      <c r="AV186" s="1961"/>
      <c r="AW186" s="1961"/>
      <c r="AX186" s="1961"/>
      <c r="AY186" s="1961"/>
      <c r="AZ186" s="1961"/>
      <c r="BA186" s="1961"/>
      <c r="BB186" s="1961"/>
      <c r="BC186" s="1949"/>
      <c r="BD186" s="1950"/>
      <c r="BE186" s="1951"/>
    </row>
    <row r="187" spans="1:57" ht="15.75" customHeight="1">
      <c r="A187" s="1096"/>
      <c r="B187" s="1096"/>
      <c r="C187" s="1933" t="s">
        <v>1061</v>
      </c>
      <c r="D187" s="1934"/>
      <c r="E187" s="1926" t="s">
        <v>2025</v>
      </c>
      <c r="F187" s="1926"/>
      <c r="G187" s="1926"/>
      <c r="H187" s="1926"/>
      <c r="I187" s="1926"/>
      <c r="J187" s="1926"/>
      <c r="K187" s="1926"/>
      <c r="L187" s="1926"/>
      <c r="M187" s="1926"/>
      <c r="N187" s="1927">
        <v>0</v>
      </c>
      <c r="O187" s="1927"/>
      <c r="P187" s="1927"/>
      <c r="Q187" s="1927"/>
      <c r="R187" s="1927"/>
      <c r="S187" s="1927"/>
      <c r="T187" s="1927"/>
      <c r="U187" s="1928"/>
      <c r="V187" s="1928"/>
      <c r="W187" s="1928"/>
      <c r="X187" s="1928"/>
      <c r="Y187" s="1928"/>
      <c r="Z187" s="1928"/>
      <c r="AA187" s="1928"/>
      <c r="AB187" s="1928"/>
      <c r="AC187" s="1928"/>
      <c r="AD187" s="1928"/>
      <c r="AE187" s="1929"/>
      <c r="AF187" s="1096"/>
      <c r="AG187" s="1096"/>
      <c r="AH187" s="1935" t="s">
        <v>2040</v>
      </c>
      <c r="AI187" s="1936"/>
      <c r="AJ187" s="1936"/>
      <c r="AK187" s="1936"/>
      <c r="AL187" s="1936"/>
      <c r="AM187" s="1936"/>
      <c r="AN187" s="1936"/>
      <c r="AO187" s="1936"/>
      <c r="AP187" s="1936"/>
      <c r="AQ187" s="1936"/>
      <c r="AR187" s="1936"/>
      <c r="AS187" s="1936"/>
      <c r="AT187" s="1936"/>
      <c r="AU187" s="1937">
        <f>SUM(AU185:BB186)</f>
        <v>0</v>
      </c>
      <c r="AV187" s="1937"/>
      <c r="AW187" s="1937"/>
      <c r="AX187" s="1937"/>
      <c r="AY187" s="1937"/>
      <c r="AZ187" s="1937"/>
      <c r="BA187" s="1937"/>
      <c r="BB187" s="1937"/>
      <c r="BC187" s="1949"/>
      <c r="BD187" s="1950"/>
      <c r="BE187" s="1951"/>
    </row>
    <row r="188" spans="1:57" ht="15.75" customHeight="1" thickBot="1">
      <c r="A188" s="1096"/>
      <c r="B188" s="1096"/>
      <c r="C188" s="1924" t="s">
        <v>1061</v>
      </c>
      <c r="D188" s="1925"/>
      <c r="E188" s="1926" t="s">
        <v>2025</v>
      </c>
      <c r="F188" s="1926"/>
      <c r="G188" s="1926"/>
      <c r="H188" s="1926"/>
      <c r="I188" s="1926"/>
      <c r="J188" s="1926"/>
      <c r="K188" s="1926"/>
      <c r="L188" s="1926"/>
      <c r="M188" s="1926"/>
      <c r="N188" s="1927">
        <v>0</v>
      </c>
      <c r="O188" s="1927"/>
      <c r="P188" s="1927"/>
      <c r="Q188" s="1927"/>
      <c r="R188" s="1927"/>
      <c r="S188" s="1927"/>
      <c r="T188" s="1927"/>
      <c r="U188" s="1928"/>
      <c r="V188" s="1928"/>
      <c r="W188" s="1928"/>
      <c r="X188" s="1928"/>
      <c r="Y188" s="1928"/>
      <c r="Z188" s="1928"/>
      <c r="AA188" s="1928"/>
      <c r="AB188" s="1928"/>
      <c r="AC188" s="1928"/>
      <c r="AD188" s="1928"/>
      <c r="AE188" s="1929"/>
      <c r="AF188" s="1096"/>
      <c r="AG188" s="1096"/>
      <c r="AH188" s="1135"/>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930"/>
      <c r="BD188" s="1931"/>
      <c r="BE188" s="1932"/>
    </row>
    <row r="189" spans="1:57" ht="15.75" customHeight="1" thickBot="1">
      <c r="A189" s="1096"/>
      <c r="B189" s="1096"/>
      <c r="C189" s="1912" t="s">
        <v>1061</v>
      </c>
      <c r="D189" s="1913"/>
      <c r="E189" s="1914" t="s">
        <v>2025</v>
      </c>
      <c r="F189" s="1914"/>
      <c r="G189" s="1914"/>
      <c r="H189" s="1914"/>
      <c r="I189" s="1914"/>
      <c r="J189" s="1914"/>
      <c r="K189" s="1914"/>
      <c r="L189" s="1914"/>
      <c r="M189" s="1915"/>
      <c r="N189" s="1916">
        <v>0</v>
      </c>
      <c r="O189" s="1916"/>
      <c r="P189" s="1916"/>
      <c r="Q189" s="1916"/>
      <c r="R189" s="1916"/>
      <c r="S189" s="1916"/>
      <c r="T189" s="1917"/>
      <c r="U189" s="1918"/>
      <c r="V189" s="1919"/>
      <c r="W189" s="1919"/>
      <c r="X189" s="1919"/>
      <c r="Y189" s="1919"/>
      <c r="Z189" s="1919"/>
      <c r="AA189" s="1919"/>
      <c r="AB189" s="1919"/>
      <c r="AC189" s="1919"/>
      <c r="AD189" s="1919"/>
      <c r="AE189" s="1920"/>
      <c r="AF189" s="1096"/>
      <c r="AG189" s="1096"/>
      <c r="AH189" s="1921" t="s">
        <v>2041</v>
      </c>
      <c r="AI189" s="1922"/>
      <c r="AJ189" s="1922"/>
      <c r="AK189" s="1922"/>
      <c r="AL189" s="1922"/>
      <c r="AM189" s="1922"/>
      <c r="AN189" s="1922"/>
      <c r="AO189" s="1922"/>
      <c r="AP189" s="1922"/>
      <c r="AQ189" s="1922"/>
      <c r="AR189" s="1922"/>
      <c r="AS189" s="1922"/>
      <c r="AT189" s="1922"/>
      <c r="AU189" s="1923"/>
      <c r="AV189" s="1923"/>
      <c r="AW189" s="1923"/>
      <c r="AX189" s="1923"/>
      <c r="AY189" s="1923"/>
      <c r="AZ189" s="1923"/>
      <c r="BA189" s="1923"/>
      <c r="BB189" s="1923"/>
      <c r="BC189" s="1052"/>
      <c r="BD189" s="1052"/>
      <c r="BE189" s="1137"/>
    </row>
    <row r="190" spans="1:57" ht="15.75" customHeight="1">
      <c r="A190" s="1096"/>
      <c r="B190" s="1096"/>
      <c r="C190" s="1895" t="s">
        <v>2042</v>
      </c>
      <c r="D190" s="1896"/>
      <c r="E190" s="1896"/>
      <c r="F190" s="1896"/>
      <c r="G190" s="1896"/>
      <c r="H190" s="1896"/>
      <c r="I190" s="1896"/>
      <c r="J190" s="1896"/>
      <c r="K190" s="1896"/>
      <c r="L190" s="1896"/>
      <c r="M190" s="1896"/>
      <c r="N190" s="1897">
        <f>SUM(N182:T189)</f>
        <v>150000</v>
      </c>
      <c r="O190" s="1897"/>
      <c r="P190" s="1897"/>
      <c r="Q190" s="1897"/>
      <c r="R190" s="1897"/>
      <c r="S190" s="1897"/>
      <c r="T190" s="1898"/>
      <c r="U190" s="1096"/>
      <c r="V190" s="1096"/>
      <c r="W190" s="1096"/>
      <c r="X190" s="1096"/>
      <c r="Y190" s="1096"/>
      <c r="Z190" s="1096"/>
      <c r="AA190" s="1096"/>
      <c r="AB190" s="1096"/>
      <c r="AC190" s="1096"/>
      <c r="AD190" s="1096"/>
      <c r="AE190" s="1096"/>
      <c r="AF190" s="1096"/>
      <c r="AG190" s="1096"/>
      <c r="AH190" s="1899" t="s">
        <v>2043</v>
      </c>
      <c r="AI190" s="1900"/>
      <c r="AJ190" s="1900"/>
      <c r="AK190" s="1900"/>
      <c r="AL190" s="1900"/>
      <c r="AM190" s="1900"/>
      <c r="AN190" s="1900"/>
      <c r="AO190" s="1900"/>
      <c r="AP190" s="1900"/>
      <c r="AQ190" s="1900"/>
      <c r="AR190" s="1900"/>
      <c r="AS190" s="1900"/>
      <c r="AT190" s="1900"/>
      <c r="AU190" s="1900"/>
      <c r="AV190" s="1900"/>
      <c r="AW190" s="1900"/>
      <c r="AX190" s="1900"/>
      <c r="AY190" s="1900"/>
      <c r="AZ190" s="1900"/>
      <c r="BA190" s="1900"/>
      <c r="BB190" s="1900"/>
      <c r="BC190" s="1900"/>
      <c r="BD190" s="1900"/>
      <c r="BE190" s="1901"/>
    </row>
    <row r="191" spans="1:57" ht="15.75" customHeight="1" thickBot="1">
      <c r="A191" s="1096"/>
      <c r="B191" s="1096"/>
      <c r="C191" s="1905" t="s">
        <v>2044</v>
      </c>
      <c r="D191" s="1906"/>
      <c r="E191" s="1906"/>
      <c r="F191" s="1906"/>
      <c r="G191" s="1906"/>
      <c r="H191" s="1906"/>
      <c r="I191" s="1906"/>
      <c r="J191" s="1906"/>
      <c r="K191" s="1906"/>
      <c r="L191" s="1906"/>
      <c r="M191" s="1906"/>
      <c r="N191" s="1907">
        <f>(N180-N190)/J29</f>
        <v>943938.61538461538</v>
      </c>
      <c r="O191" s="1908"/>
      <c r="P191" s="1908"/>
      <c r="Q191" s="1908"/>
      <c r="R191" s="1908"/>
      <c r="S191" s="1908"/>
      <c r="T191" s="1909"/>
      <c r="U191" s="1101"/>
      <c r="V191" s="1096"/>
      <c r="W191" s="1096"/>
      <c r="X191" s="1096"/>
      <c r="Y191" s="1096"/>
      <c r="Z191" s="1096"/>
      <c r="AA191" s="1096"/>
      <c r="AB191" s="1096"/>
      <c r="AC191" s="1096"/>
      <c r="AD191" s="1096"/>
      <c r="AE191" s="1096"/>
      <c r="AF191" s="1096"/>
      <c r="AG191" s="1096"/>
      <c r="AH191" s="1902"/>
      <c r="AI191" s="1903"/>
      <c r="AJ191" s="1903"/>
      <c r="AK191" s="1903"/>
      <c r="AL191" s="1903"/>
      <c r="AM191" s="1903"/>
      <c r="AN191" s="1903"/>
      <c r="AO191" s="1903"/>
      <c r="AP191" s="1903"/>
      <c r="AQ191" s="1903"/>
      <c r="AR191" s="1903"/>
      <c r="AS191" s="1903"/>
      <c r="AT191" s="1903"/>
      <c r="AU191" s="1903"/>
      <c r="AV191" s="1903"/>
      <c r="AW191" s="1903"/>
      <c r="AX191" s="1903"/>
      <c r="AY191" s="1903"/>
      <c r="AZ191" s="1903"/>
      <c r="BA191" s="1903"/>
      <c r="BB191" s="1903"/>
      <c r="BC191" s="1903"/>
      <c r="BD191" s="1903"/>
      <c r="BE191" s="1904"/>
    </row>
    <row r="192" spans="1:57" ht="15.75" customHeight="1">
      <c r="A192" s="1096"/>
      <c r="B192" s="1096"/>
      <c r="C192" s="1096"/>
      <c r="D192" s="1096"/>
      <c r="E192" s="1096"/>
      <c r="F192" s="1096"/>
      <c r="G192" s="1096"/>
      <c r="H192" s="1096"/>
      <c r="I192" s="1096"/>
      <c r="J192" s="1096"/>
      <c r="K192" s="1096"/>
      <c r="L192" s="1096"/>
      <c r="M192" s="1096"/>
      <c r="N192" s="1096"/>
      <c r="O192" s="1096"/>
      <c r="P192" s="1096"/>
      <c r="Q192" s="1096"/>
      <c r="R192" s="1096"/>
      <c r="S192" s="1096"/>
      <c r="T192" s="1096"/>
      <c r="U192" s="1096"/>
      <c r="V192" s="1096"/>
      <c r="W192" s="1096"/>
      <c r="X192" s="1096"/>
      <c r="Y192" s="1096"/>
      <c r="Z192" s="1096"/>
      <c r="AA192" s="1096"/>
      <c r="AB192" s="1096"/>
      <c r="AC192" s="1096"/>
      <c r="AD192" s="1096"/>
      <c r="AE192" s="1096"/>
      <c r="AF192" s="1096"/>
      <c r="AG192" s="1096"/>
      <c r="AH192" s="1910"/>
      <c r="AI192" s="1910"/>
      <c r="AJ192" s="1910"/>
      <c r="AK192" s="1910"/>
      <c r="AL192" s="1910"/>
      <c r="AM192" s="1910"/>
      <c r="AN192" s="1910"/>
      <c r="AO192" s="1910"/>
      <c r="AP192" s="1910"/>
      <c r="AQ192" s="1910"/>
      <c r="AR192" s="1910"/>
      <c r="AS192" s="1911"/>
      <c r="AT192" s="1911"/>
      <c r="AU192" s="1911"/>
      <c r="AV192" s="1911"/>
      <c r="AW192" s="1911"/>
      <c r="AX192" s="1911"/>
      <c r="AY192" s="1911"/>
      <c r="AZ192" s="1911"/>
      <c r="BA192" s="1911"/>
      <c r="BB192" s="1911"/>
      <c r="BC192" s="1911"/>
      <c r="BD192" s="1911"/>
      <c r="BE192" s="1100"/>
    </row>
    <row r="193" spans="1:57" ht="15.75" customHeight="1" thickBot="1">
      <c r="A193" s="1096"/>
      <c r="B193" s="1096"/>
      <c r="C193" s="1096"/>
      <c r="D193" s="1096"/>
      <c r="E193" s="1096"/>
      <c r="F193" s="1096"/>
      <c r="G193" s="1096"/>
      <c r="H193" s="1096"/>
      <c r="I193" s="1096"/>
      <c r="J193" s="1096"/>
      <c r="K193" s="1096"/>
      <c r="L193" s="1096"/>
      <c r="M193" s="1096"/>
      <c r="N193" s="1096"/>
      <c r="O193" s="1096"/>
      <c r="P193" s="1096"/>
      <c r="Q193" s="1096"/>
      <c r="R193" s="1096"/>
      <c r="S193" s="1096"/>
      <c r="T193" s="1096"/>
      <c r="U193" s="1096"/>
      <c r="V193" s="1096"/>
      <c r="W193" s="1096"/>
      <c r="X193" s="1096"/>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c r="AZ193" s="1096"/>
      <c r="BA193" s="1096"/>
      <c r="BB193" s="1096"/>
      <c r="BC193" s="1096"/>
      <c r="BD193" s="1096"/>
      <c r="BE193" s="1100"/>
    </row>
    <row r="194" spans="1:57" ht="15.75" customHeight="1" thickBot="1">
      <c r="A194" s="1096"/>
      <c r="B194" s="1096"/>
      <c r="C194" s="1890" t="s">
        <v>2045</v>
      </c>
      <c r="D194" s="1891"/>
      <c r="E194" s="1891"/>
      <c r="F194" s="1891"/>
      <c r="G194" s="1891"/>
      <c r="H194" s="1891"/>
      <c r="I194" s="1891"/>
      <c r="J194" s="1891"/>
      <c r="K194" s="1891"/>
      <c r="L194" s="1891"/>
      <c r="M194" s="1891"/>
      <c r="N194" s="1891"/>
      <c r="O194" s="1891"/>
      <c r="P194" s="1891"/>
      <c r="Q194" s="1891"/>
      <c r="R194" s="1891"/>
      <c r="S194" s="1891"/>
      <c r="T194" s="1891"/>
      <c r="U194" s="1891"/>
      <c r="V194" s="1891"/>
      <c r="W194" s="1891"/>
      <c r="X194" s="1891"/>
      <c r="Y194" s="1891"/>
      <c r="Z194" s="1891"/>
      <c r="AA194" s="1891"/>
      <c r="AB194" s="1891"/>
      <c r="AC194" s="1891"/>
      <c r="AD194" s="1891"/>
      <c r="AE194" s="1892"/>
      <c r="AF194" s="1096"/>
      <c r="AG194" s="1096"/>
      <c r="AH194" s="1096"/>
      <c r="AI194" s="1096"/>
      <c r="AJ194" s="1096"/>
      <c r="AK194" s="1096"/>
      <c r="AL194" s="1096"/>
      <c r="AM194" s="1096"/>
      <c r="AN194" s="1096"/>
      <c r="AO194" s="1096"/>
      <c r="AP194" s="1096"/>
      <c r="AQ194" s="1096"/>
      <c r="AR194" s="1096"/>
      <c r="AS194" s="1096"/>
      <c r="AT194" s="1096"/>
      <c r="AU194" s="1096"/>
      <c r="AV194" s="1096"/>
      <c r="AW194" s="1096"/>
      <c r="AX194" s="1096"/>
      <c r="AY194" s="1096"/>
      <c r="AZ194" s="1096"/>
      <c r="BA194" s="1096"/>
      <c r="BB194" s="1096"/>
      <c r="BC194" s="1096"/>
      <c r="BD194" s="1096"/>
      <c r="BE194" s="1100"/>
    </row>
    <row r="195" spans="1:57" ht="15.75" customHeight="1">
      <c r="A195" s="1096"/>
      <c r="B195" s="1096"/>
      <c r="C195" s="1893" t="s">
        <v>2046</v>
      </c>
      <c r="D195" s="1893"/>
      <c r="E195" s="1893"/>
      <c r="F195" s="1893"/>
      <c r="G195" s="1893"/>
      <c r="H195" s="1893"/>
      <c r="I195" s="1893"/>
      <c r="J195" s="1893"/>
      <c r="K195" s="1893"/>
      <c r="L195" s="1893"/>
      <c r="M195" s="1893"/>
      <c r="N195" s="1893"/>
      <c r="O195" s="1894" t="s">
        <v>2047</v>
      </c>
      <c r="P195" s="1894"/>
      <c r="Q195" s="1894"/>
      <c r="R195" s="1894"/>
      <c r="S195" s="1894"/>
      <c r="T195" s="1894"/>
      <c r="U195" s="1894"/>
      <c r="V195" s="1894"/>
      <c r="W195" s="1894"/>
      <c r="X195" s="1894" t="s">
        <v>2048</v>
      </c>
      <c r="Y195" s="1894"/>
      <c r="Z195" s="1894"/>
      <c r="AA195" s="1894"/>
      <c r="AB195" s="1894"/>
      <c r="AC195" s="1894"/>
      <c r="AD195" s="1894"/>
      <c r="AE195" s="1894"/>
      <c r="AF195" s="1096"/>
      <c r="AG195" s="1096"/>
      <c r="AH195" s="1096"/>
      <c r="AI195" s="1096"/>
      <c r="AJ195" s="1096"/>
      <c r="AK195" s="1096"/>
      <c r="AL195" s="1096"/>
      <c r="AM195" s="1096"/>
      <c r="AN195" s="1096"/>
      <c r="AO195" s="1096"/>
      <c r="AP195" s="1096"/>
      <c r="AQ195" s="1096"/>
      <c r="AR195" s="1096"/>
      <c r="AS195" s="1096"/>
      <c r="AT195" s="1096"/>
      <c r="AU195" s="1096"/>
      <c r="AV195" s="1096"/>
      <c r="AW195" s="1096"/>
      <c r="AX195" s="1096"/>
      <c r="AY195" s="1096"/>
      <c r="AZ195" s="1096"/>
      <c r="BA195" s="1096"/>
      <c r="BB195" s="1096"/>
      <c r="BC195" s="1096"/>
      <c r="BD195" s="1096"/>
      <c r="BE195" s="1100"/>
    </row>
    <row r="196" spans="1:57" ht="15.75" customHeight="1">
      <c r="A196" s="1096"/>
      <c r="B196" s="1096"/>
      <c r="C196" s="1885" t="s">
        <v>2049</v>
      </c>
      <c r="D196" s="1885"/>
      <c r="E196" s="1885"/>
      <c r="F196" s="1885"/>
      <c r="G196" s="1885"/>
      <c r="H196" s="1885"/>
      <c r="I196" s="1885"/>
      <c r="J196" s="1885"/>
      <c r="K196" s="1885"/>
      <c r="L196" s="1885"/>
      <c r="M196" s="1885"/>
      <c r="N196" s="1885"/>
      <c r="O196" s="1886" t="s">
        <v>2050</v>
      </c>
      <c r="P196" s="1886"/>
      <c r="Q196" s="1886"/>
      <c r="R196" s="1886"/>
      <c r="S196" s="1886"/>
      <c r="T196" s="1886"/>
      <c r="U196" s="1886"/>
      <c r="V196" s="1886"/>
      <c r="W196" s="1886"/>
      <c r="X196" s="1887">
        <v>0.03</v>
      </c>
      <c r="Y196" s="1887"/>
      <c r="Z196" s="1887"/>
      <c r="AA196" s="1887"/>
      <c r="AB196" s="1887"/>
      <c r="AC196" s="1887"/>
      <c r="AD196" s="1887"/>
      <c r="AE196" s="1887"/>
      <c r="AF196" s="1096"/>
      <c r="AG196" s="1096"/>
      <c r="AH196" s="1096"/>
      <c r="AI196" s="1096"/>
      <c r="AJ196" s="1096"/>
      <c r="AK196" s="1096"/>
      <c r="AL196" s="1096"/>
      <c r="AM196" s="1096"/>
      <c r="AN196" s="1096"/>
      <c r="AO196" s="1096"/>
      <c r="AP196" s="1096"/>
      <c r="AQ196" s="1096"/>
      <c r="AR196" s="1096"/>
      <c r="AS196" s="1096"/>
      <c r="AT196" s="1096"/>
      <c r="AU196" s="1096"/>
      <c r="AV196" s="1096"/>
      <c r="AW196" s="1096"/>
      <c r="AX196" s="1096"/>
      <c r="AY196" s="1096"/>
      <c r="AZ196" s="1096"/>
      <c r="BA196" s="1096"/>
      <c r="BB196" s="1096"/>
      <c r="BC196" s="1096"/>
      <c r="BD196" s="1096"/>
      <c r="BE196" s="1100"/>
    </row>
    <row r="197" spans="1:57" ht="15.75" customHeight="1">
      <c r="A197" s="1096"/>
      <c r="B197" s="1096"/>
      <c r="C197" s="1885" t="s">
        <v>2051</v>
      </c>
      <c r="D197" s="1885"/>
      <c r="E197" s="1885"/>
      <c r="F197" s="1885"/>
      <c r="G197" s="1885"/>
      <c r="H197" s="1885"/>
      <c r="I197" s="1885"/>
      <c r="J197" s="1885"/>
      <c r="K197" s="1885"/>
      <c r="L197" s="1885"/>
      <c r="M197" s="1885"/>
      <c r="N197" s="1885"/>
      <c r="O197" s="1886" t="s">
        <v>2050</v>
      </c>
      <c r="P197" s="1886"/>
      <c r="Q197" s="1886"/>
      <c r="R197" s="1886"/>
      <c r="S197" s="1886"/>
      <c r="T197" s="1886"/>
      <c r="U197" s="1886"/>
      <c r="V197" s="1886"/>
      <c r="W197" s="1886"/>
      <c r="X197" s="1887">
        <v>0.03</v>
      </c>
      <c r="Y197" s="1887"/>
      <c r="Z197" s="1887"/>
      <c r="AA197" s="1887"/>
      <c r="AB197" s="1887"/>
      <c r="AC197" s="1887"/>
      <c r="AD197" s="1887"/>
      <c r="AE197" s="1887"/>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c r="AZ197" s="1096"/>
      <c r="BA197" s="1096"/>
      <c r="BB197" s="1096"/>
      <c r="BC197" s="1096"/>
      <c r="BD197" s="1096"/>
      <c r="BE197" s="1100"/>
    </row>
    <row r="198" spans="1:57" ht="15.75" customHeight="1">
      <c r="A198" s="1096"/>
      <c r="B198" s="1096"/>
      <c r="C198" s="1885" t="s">
        <v>2052</v>
      </c>
      <c r="D198" s="1885"/>
      <c r="E198" s="1885"/>
      <c r="F198" s="1885"/>
      <c r="G198" s="1885"/>
      <c r="H198" s="1885"/>
      <c r="I198" s="1885"/>
      <c r="J198" s="1885"/>
      <c r="K198" s="1885"/>
      <c r="L198" s="1885"/>
      <c r="M198" s="1885"/>
      <c r="N198" s="1885"/>
      <c r="O198" s="1888">
        <f>SUM(O196:W197)</f>
        <v>0</v>
      </c>
      <c r="P198" s="1889"/>
      <c r="Q198" s="1889"/>
      <c r="R198" s="1889"/>
      <c r="S198" s="1889"/>
      <c r="T198" s="1889"/>
      <c r="U198" s="1889"/>
      <c r="V198" s="1889"/>
      <c r="W198" s="1889"/>
      <c r="X198" s="1889" t="s">
        <v>2053</v>
      </c>
      <c r="Y198" s="1889"/>
      <c r="Z198" s="1889"/>
      <c r="AA198" s="1889"/>
      <c r="AB198" s="1889"/>
      <c r="AC198" s="1889"/>
      <c r="AD198" s="1889"/>
      <c r="AE198" s="1889"/>
      <c r="AF198" s="1096"/>
      <c r="AG198" s="1096"/>
      <c r="AH198" s="1096"/>
      <c r="AI198" s="1096"/>
      <c r="AJ198" s="1096"/>
      <c r="AK198" s="1096"/>
      <c r="AL198" s="1096"/>
      <c r="AM198" s="1096"/>
      <c r="AN198" s="1096"/>
      <c r="AO198" s="1096"/>
      <c r="AP198" s="1096"/>
      <c r="AQ198" s="1096"/>
      <c r="AR198" s="1096"/>
      <c r="AS198" s="1096"/>
      <c r="AT198" s="1096"/>
      <c r="AU198" s="1096"/>
      <c r="AV198" s="1096"/>
      <c r="AW198" s="1096"/>
      <c r="AX198" s="1096"/>
      <c r="AY198" s="1096"/>
      <c r="AZ198" s="1096"/>
      <c r="BA198" s="1096"/>
      <c r="BB198" s="1096"/>
      <c r="BC198" s="1096"/>
      <c r="BD198" s="1096"/>
      <c r="BE198" s="1100"/>
    </row>
    <row r="199" spans="1:57" ht="15.75" customHeight="1">
      <c r="A199" s="1096"/>
      <c r="B199" s="1096"/>
      <c r="C199" s="1859" t="s">
        <v>2054</v>
      </c>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1859"/>
      <c r="AD199" s="1859"/>
      <c r="AE199" s="1859"/>
      <c r="AF199" s="1096"/>
      <c r="AG199" s="1096"/>
      <c r="AH199" s="1096"/>
      <c r="AI199" s="1096"/>
      <c r="AJ199" s="1096"/>
      <c r="AK199" s="1096"/>
      <c r="AL199" s="1096"/>
      <c r="AM199" s="1096"/>
      <c r="AN199" s="1096"/>
      <c r="AO199" s="1096"/>
      <c r="AP199" s="1096"/>
      <c r="AQ199" s="1096"/>
      <c r="AR199" s="1096"/>
      <c r="AS199" s="1096"/>
      <c r="AT199" s="1096"/>
      <c r="AU199" s="1096"/>
      <c r="AV199" s="1096"/>
      <c r="AW199" s="1096"/>
      <c r="AX199" s="1096"/>
      <c r="AY199" s="1096"/>
      <c r="AZ199" s="1096"/>
      <c r="BA199" s="1096"/>
      <c r="BB199" s="1096"/>
      <c r="BC199" s="1096"/>
      <c r="BD199" s="1096"/>
      <c r="BE199" s="1100"/>
    </row>
    <row r="200" spans="1:57" ht="15.75" customHeight="1" thickBot="1">
      <c r="A200" s="1096"/>
      <c r="B200" s="1096"/>
      <c r="C200" s="1096"/>
      <c r="D200" s="1096"/>
      <c r="E200" s="1096"/>
      <c r="F200" s="1096"/>
      <c r="G200" s="1096"/>
      <c r="H200" s="1096"/>
      <c r="I200" s="1096"/>
      <c r="J200" s="1096"/>
      <c r="K200" s="1096"/>
      <c r="L200" s="1096"/>
      <c r="M200" s="1096"/>
      <c r="N200" s="1096"/>
      <c r="O200" s="1096"/>
      <c r="P200" s="1096"/>
      <c r="Q200" s="1096"/>
      <c r="R200" s="1096"/>
      <c r="S200" s="1096"/>
      <c r="T200" s="1096"/>
      <c r="U200" s="1096"/>
      <c r="V200" s="1096"/>
      <c r="W200" s="1096"/>
      <c r="X200" s="1096"/>
      <c r="Y200" s="1096"/>
      <c r="Z200" s="1096"/>
      <c r="AA200" s="1096"/>
      <c r="AB200" s="1096"/>
      <c r="AC200" s="1096"/>
      <c r="AD200" s="1096"/>
      <c r="AE200" s="1096"/>
      <c r="AF200" s="1096"/>
      <c r="AG200" s="1096"/>
      <c r="AH200" s="1096"/>
      <c r="AI200" s="1096"/>
      <c r="AJ200" s="1096"/>
      <c r="AK200" s="1096"/>
      <c r="AL200" s="1096"/>
      <c r="AM200" s="1096"/>
      <c r="AN200" s="1096"/>
      <c r="AO200" s="1096"/>
      <c r="AP200" s="1096"/>
      <c r="AQ200" s="1096"/>
      <c r="AR200" s="1096"/>
      <c r="AS200" s="1096"/>
      <c r="AT200" s="1096"/>
      <c r="AU200" s="1096"/>
      <c r="AV200" s="1096"/>
      <c r="AW200" s="1096"/>
      <c r="AX200" s="1096"/>
      <c r="AY200" s="1096"/>
      <c r="AZ200" s="1096"/>
      <c r="BA200" s="1096"/>
      <c r="BB200" s="1096"/>
      <c r="BC200" s="1096"/>
      <c r="BD200" s="1096"/>
      <c r="BE200" s="1100"/>
    </row>
    <row r="201" spans="1:57" ht="15.75" customHeight="1" thickBot="1">
      <c r="A201" s="1096"/>
      <c r="B201" s="1096"/>
      <c r="C201" s="1860" t="s">
        <v>2055</v>
      </c>
      <c r="D201" s="1861"/>
      <c r="E201" s="1861"/>
      <c r="F201" s="1861"/>
      <c r="G201" s="1861"/>
      <c r="H201" s="1861"/>
      <c r="I201" s="1861"/>
      <c r="J201" s="1861"/>
      <c r="K201" s="1861"/>
      <c r="L201" s="1861"/>
      <c r="M201" s="1861"/>
      <c r="N201" s="1861"/>
      <c r="O201" s="1861"/>
      <c r="P201" s="1861"/>
      <c r="Q201" s="1861"/>
      <c r="R201" s="1861"/>
      <c r="S201" s="1861"/>
      <c r="T201" s="1861"/>
      <c r="U201" s="1861"/>
      <c r="V201" s="1861"/>
      <c r="W201" s="1861"/>
      <c r="X201" s="1861"/>
      <c r="Y201" s="1861"/>
      <c r="Z201" s="1861"/>
      <c r="AA201" s="1861"/>
      <c r="AB201" s="1861"/>
      <c r="AC201" s="1861"/>
      <c r="AD201" s="1861"/>
      <c r="AE201" s="1861"/>
      <c r="AF201" s="1861"/>
      <c r="AG201" s="1861"/>
      <c r="AH201" s="1861"/>
      <c r="AI201" s="1861"/>
      <c r="AJ201" s="1861"/>
      <c r="AK201" s="1862"/>
      <c r="AL201" s="1096"/>
      <c r="AM201" s="1096"/>
      <c r="AN201" s="1096"/>
      <c r="AO201" s="1096"/>
      <c r="AP201" s="1096"/>
      <c r="AQ201" s="1096"/>
      <c r="AR201" s="1096"/>
      <c r="AS201" s="1096"/>
      <c r="AT201" s="1096"/>
      <c r="AU201" s="1096"/>
      <c r="AV201" s="1096"/>
      <c r="AW201" s="1096"/>
      <c r="AX201" s="1096"/>
      <c r="AY201" s="1096"/>
      <c r="AZ201" s="1096"/>
      <c r="BA201" s="1096"/>
      <c r="BB201" s="1096"/>
      <c r="BC201" s="1096"/>
      <c r="BD201" s="1096"/>
      <c r="BE201" s="1100"/>
    </row>
    <row r="202" spans="1:57" ht="15.75" customHeight="1">
      <c r="A202" s="1096"/>
      <c r="B202" s="1096"/>
      <c r="C202" s="1863" t="s">
        <v>2056</v>
      </c>
      <c r="D202" s="1864"/>
      <c r="E202" s="1864"/>
      <c r="F202" s="1865"/>
      <c r="G202" s="1869" t="s">
        <v>2057</v>
      </c>
      <c r="H202" s="1864"/>
      <c r="I202" s="1864"/>
      <c r="J202" s="1864"/>
      <c r="K202" s="1864"/>
      <c r="L202" s="1864"/>
      <c r="M202" s="1864"/>
      <c r="N202" s="1864"/>
      <c r="O202" s="1865"/>
      <c r="P202" s="1871" t="s">
        <v>2058</v>
      </c>
      <c r="Q202" s="1872"/>
      <c r="R202" s="1872"/>
      <c r="S202" s="1872"/>
      <c r="T202" s="1873"/>
      <c r="U202" s="1877" t="s">
        <v>2059</v>
      </c>
      <c r="V202" s="1878"/>
      <c r="W202" s="1878"/>
      <c r="X202" s="1879"/>
      <c r="Y202" s="1877" t="s">
        <v>2060</v>
      </c>
      <c r="Z202" s="1878"/>
      <c r="AA202" s="1878"/>
      <c r="AB202" s="1879"/>
      <c r="AC202" s="1877" t="s">
        <v>2061</v>
      </c>
      <c r="AD202" s="1878"/>
      <c r="AE202" s="1878"/>
      <c r="AF202" s="1879"/>
      <c r="AG202" s="1869" t="s">
        <v>2062</v>
      </c>
      <c r="AH202" s="1864"/>
      <c r="AI202" s="1864"/>
      <c r="AJ202" s="1864"/>
      <c r="AK202" s="1883"/>
      <c r="AL202" s="1096"/>
      <c r="AM202" s="1096"/>
      <c r="AN202" s="1096"/>
      <c r="AO202" s="1096"/>
      <c r="AP202" s="1096"/>
      <c r="AQ202" s="1096"/>
      <c r="AR202" s="1096"/>
      <c r="AS202" s="1096"/>
      <c r="AT202" s="1096"/>
      <c r="AU202" s="1096"/>
      <c r="AV202" s="1096"/>
      <c r="AW202" s="1096"/>
      <c r="AX202" s="1096"/>
      <c r="AY202" s="1096"/>
      <c r="AZ202" s="1096"/>
      <c r="BA202" s="1096"/>
      <c r="BB202" s="1096"/>
      <c r="BC202" s="1096"/>
      <c r="BD202" s="1096"/>
      <c r="BE202" s="1100"/>
    </row>
    <row r="203" spans="1:57" ht="15.75" customHeight="1">
      <c r="A203" s="1096"/>
      <c r="B203" s="1096"/>
      <c r="C203" s="1866"/>
      <c r="D203" s="1867"/>
      <c r="E203" s="1867"/>
      <c r="F203" s="1868"/>
      <c r="G203" s="1870"/>
      <c r="H203" s="1867"/>
      <c r="I203" s="1867"/>
      <c r="J203" s="1867"/>
      <c r="K203" s="1867"/>
      <c r="L203" s="1867"/>
      <c r="M203" s="1867"/>
      <c r="N203" s="1867"/>
      <c r="O203" s="1868"/>
      <c r="P203" s="1874"/>
      <c r="Q203" s="1875"/>
      <c r="R203" s="1875"/>
      <c r="S203" s="1875"/>
      <c r="T203" s="1876"/>
      <c r="U203" s="1880"/>
      <c r="V203" s="1881"/>
      <c r="W203" s="1881"/>
      <c r="X203" s="1882"/>
      <c r="Y203" s="1880"/>
      <c r="Z203" s="1881"/>
      <c r="AA203" s="1881"/>
      <c r="AB203" s="1882"/>
      <c r="AC203" s="1880"/>
      <c r="AD203" s="1881"/>
      <c r="AE203" s="1881"/>
      <c r="AF203" s="1882"/>
      <c r="AG203" s="1870"/>
      <c r="AH203" s="1867"/>
      <c r="AI203" s="1867"/>
      <c r="AJ203" s="1867"/>
      <c r="AK203" s="1884"/>
      <c r="AL203" s="1096"/>
      <c r="AM203" s="1096"/>
      <c r="AN203" s="1096"/>
      <c r="AO203" s="1096"/>
      <c r="AP203" s="1096"/>
      <c r="AQ203" s="1096"/>
      <c r="AR203" s="1096"/>
      <c r="AS203" s="1096"/>
      <c r="AT203" s="1096"/>
      <c r="AU203" s="1096"/>
      <c r="AV203" s="1096"/>
      <c r="AW203" s="1096"/>
      <c r="AX203" s="1096"/>
      <c r="AY203" s="1096"/>
      <c r="AZ203" s="1096"/>
      <c r="BA203" s="1096"/>
      <c r="BB203" s="1096"/>
      <c r="BC203" s="1096"/>
      <c r="BD203" s="1096"/>
      <c r="BE203" s="1100"/>
    </row>
    <row r="204" spans="1:57" ht="15.75" customHeight="1">
      <c r="A204" s="1096"/>
      <c r="B204" s="1096"/>
      <c r="C204" s="1852">
        <v>1</v>
      </c>
      <c r="D204" s="1853"/>
      <c r="E204" s="1853"/>
      <c r="F204" s="1853"/>
      <c r="G204" s="1854" t="s">
        <v>2063</v>
      </c>
      <c r="H204" s="1854"/>
      <c r="I204" s="1854"/>
      <c r="J204" s="1854"/>
      <c r="K204" s="1854"/>
      <c r="L204" s="1854"/>
      <c r="M204" s="1854"/>
      <c r="N204" s="1854"/>
      <c r="O204" s="1854"/>
      <c r="P204" s="1855"/>
      <c r="Q204" s="1858"/>
      <c r="R204" s="1858"/>
      <c r="S204" s="1858"/>
      <c r="T204" s="1858"/>
      <c r="U204" s="1856" t="s">
        <v>2063</v>
      </c>
      <c r="V204" s="1856"/>
      <c r="W204" s="1856"/>
      <c r="X204" s="1856"/>
      <c r="Y204" s="1856" t="s">
        <v>2063</v>
      </c>
      <c r="Z204" s="1856"/>
      <c r="AA204" s="1856"/>
      <c r="AB204" s="1856"/>
      <c r="AC204" s="1857" t="s">
        <v>2063</v>
      </c>
      <c r="AD204" s="1857"/>
      <c r="AE204" s="1857"/>
      <c r="AF204" s="1857"/>
      <c r="AG204" s="1841"/>
      <c r="AH204" s="1842"/>
      <c r="AI204" s="1842"/>
      <c r="AJ204" s="1842"/>
      <c r="AK204" s="1843"/>
      <c r="AL204" s="1096"/>
      <c r="AM204" s="1096"/>
      <c r="AN204" s="1096"/>
      <c r="AO204" s="1096"/>
      <c r="AP204" s="1096"/>
      <c r="AQ204" s="1096"/>
      <c r="AR204" s="1096"/>
      <c r="AS204" s="1096"/>
      <c r="AT204" s="1096"/>
      <c r="AU204" s="1096"/>
      <c r="AV204" s="1096"/>
      <c r="AW204" s="1096"/>
      <c r="AX204" s="1096"/>
      <c r="AY204" s="1096"/>
      <c r="AZ204" s="1096"/>
      <c r="BA204" s="1096"/>
      <c r="BB204" s="1096"/>
      <c r="BC204" s="1096"/>
      <c r="BD204" s="1096"/>
      <c r="BE204" s="1100"/>
    </row>
    <row r="205" spans="1:57" ht="15.75" customHeight="1">
      <c r="A205" s="1096"/>
      <c r="B205" s="1096"/>
      <c r="C205" s="1852">
        <v>2</v>
      </c>
      <c r="D205" s="1853"/>
      <c r="E205" s="1853"/>
      <c r="F205" s="1853"/>
      <c r="G205" s="1854" t="s">
        <v>2063</v>
      </c>
      <c r="H205" s="1854"/>
      <c r="I205" s="1854"/>
      <c r="J205" s="1854"/>
      <c r="K205" s="1854"/>
      <c r="L205" s="1854"/>
      <c r="M205" s="1854"/>
      <c r="N205" s="1854"/>
      <c r="O205" s="1854"/>
      <c r="P205" s="1855"/>
      <c r="Q205" s="1855"/>
      <c r="R205" s="1855"/>
      <c r="S205" s="1855"/>
      <c r="T205" s="1855"/>
      <c r="U205" s="1856" t="s">
        <v>2063</v>
      </c>
      <c r="V205" s="1856"/>
      <c r="W205" s="1856"/>
      <c r="X205" s="1856"/>
      <c r="Y205" s="1856" t="s">
        <v>2063</v>
      </c>
      <c r="Z205" s="1856"/>
      <c r="AA205" s="1856"/>
      <c r="AB205" s="1856"/>
      <c r="AC205" s="1857" t="s">
        <v>2063</v>
      </c>
      <c r="AD205" s="1857"/>
      <c r="AE205" s="1857"/>
      <c r="AF205" s="1857"/>
      <c r="AG205" s="1841"/>
      <c r="AH205" s="1842"/>
      <c r="AI205" s="1842"/>
      <c r="AJ205" s="1842"/>
      <c r="AK205" s="1843"/>
      <c r="AL205" s="1096"/>
      <c r="AM205" s="1096"/>
      <c r="AN205" s="1096"/>
      <c r="AO205" s="1096"/>
      <c r="AP205" s="1096"/>
      <c r="AQ205" s="1096"/>
      <c r="AR205" s="1096"/>
      <c r="AS205" s="1096"/>
      <c r="AT205" s="1096"/>
      <c r="AU205" s="1096"/>
      <c r="AV205" s="1096"/>
      <c r="AW205" s="1096"/>
      <c r="AX205" s="1096"/>
      <c r="AY205" s="1096"/>
      <c r="AZ205" s="1096"/>
      <c r="BA205" s="1096"/>
      <c r="BB205" s="1096"/>
      <c r="BC205" s="1096"/>
      <c r="BD205" s="1096"/>
      <c r="BE205" s="1100"/>
    </row>
    <row r="206" spans="1:57" ht="15.75" customHeight="1">
      <c r="A206" s="1096"/>
      <c r="B206" s="1096"/>
      <c r="C206" s="1852">
        <v>3</v>
      </c>
      <c r="D206" s="1853"/>
      <c r="E206" s="1853"/>
      <c r="F206" s="1853"/>
      <c r="G206" s="1854" t="s">
        <v>2063</v>
      </c>
      <c r="H206" s="1854"/>
      <c r="I206" s="1854"/>
      <c r="J206" s="1854"/>
      <c r="K206" s="1854"/>
      <c r="L206" s="1854"/>
      <c r="M206" s="1854"/>
      <c r="N206" s="1854"/>
      <c r="O206" s="1854"/>
      <c r="P206" s="1855"/>
      <c r="Q206" s="1855"/>
      <c r="R206" s="1855"/>
      <c r="S206" s="1855"/>
      <c r="T206" s="1855"/>
      <c r="U206" s="1856" t="s">
        <v>2063</v>
      </c>
      <c r="V206" s="1856"/>
      <c r="W206" s="1856"/>
      <c r="X206" s="1856"/>
      <c r="Y206" s="1856" t="s">
        <v>2063</v>
      </c>
      <c r="Z206" s="1856"/>
      <c r="AA206" s="1856"/>
      <c r="AB206" s="1856"/>
      <c r="AC206" s="1857" t="s">
        <v>2063</v>
      </c>
      <c r="AD206" s="1857"/>
      <c r="AE206" s="1857"/>
      <c r="AF206" s="1857"/>
      <c r="AG206" s="1841"/>
      <c r="AH206" s="1842"/>
      <c r="AI206" s="1842"/>
      <c r="AJ206" s="1842"/>
      <c r="AK206" s="1843"/>
      <c r="AL206" s="1096"/>
      <c r="AM206" s="1096"/>
      <c r="AN206" s="1096"/>
      <c r="AO206" s="1096"/>
      <c r="AP206" s="1096"/>
      <c r="AQ206" s="1096"/>
      <c r="AR206" s="1096"/>
      <c r="AS206" s="1096"/>
      <c r="AT206" s="1096"/>
      <c r="AU206" s="1096"/>
      <c r="AV206" s="1096"/>
      <c r="AW206" s="1096"/>
      <c r="AX206" s="1096"/>
      <c r="AY206" s="1096"/>
      <c r="AZ206" s="1096"/>
      <c r="BA206" s="1096"/>
      <c r="BB206" s="1096"/>
      <c r="BC206" s="1096"/>
      <c r="BD206" s="1096"/>
      <c r="BE206" s="1100"/>
    </row>
    <row r="207" spans="1:57" ht="15.75" customHeight="1">
      <c r="A207" s="1096"/>
      <c r="B207" s="1096"/>
      <c r="C207" s="1852">
        <v>4</v>
      </c>
      <c r="D207" s="1853"/>
      <c r="E207" s="1853"/>
      <c r="F207" s="1853"/>
      <c r="G207" s="1854" t="s">
        <v>2063</v>
      </c>
      <c r="H207" s="1854"/>
      <c r="I207" s="1854"/>
      <c r="J207" s="1854"/>
      <c r="K207" s="1854"/>
      <c r="L207" s="1854"/>
      <c r="M207" s="1854"/>
      <c r="N207" s="1854"/>
      <c r="O207" s="1854"/>
      <c r="P207" s="1855"/>
      <c r="Q207" s="1855"/>
      <c r="R207" s="1855"/>
      <c r="S207" s="1855"/>
      <c r="T207" s="1855"/>
      <c r="U207" s="1856" t="s">
        <v>2063</v>
      </c>
      <c r="V207" s="1856"/>
      <c r="W207" s="1856"/>
      <c r="X207" s="1856"/>
      <c r="Y207" s="1856" t="s">
        <v>2063</v>
      </c>
      <c r="Z207" s="1856"/>
      <c r="AA207" s="1856"/>
      <c r="AB207" s="1856"/>
      <c r="AC207" s="1857" t="s">
        <v>2063</v>
      </c>
      <c r="AD207" s="1857"/>
      <c r="AE207" s="1857"/>
      <c r="AF207" s="1857"/>
      <c r="AG207" s="1841"/>
      <c r="AH207" s="1842"/>
      <c r="AI207" s="1842"/>
      <c r="AJ207" s="1842"/>
      <c r="AK207" s="1843"/>
      <c r="AL207" s="1096"/>
      <c r="AM207" s="1096"/>
      <c r="AN207" s="1096"/>
      <c r="AO207" s="1096"/>
      <c r="AP207" s="1096"/>
      <c r="AQ207" s="1096"/>
      <c r="AR207" s="1096"/>
      <c r="AS207" s="1096"/>
      <c r="AT207" s="1096"/>
      <c r="AU207" s="1096"/>
      <c r="AV207" s="1096"/>
      <c r="AW207" s="1096"/>
      <c r="AX207" s="1096"/>
      <c r="AY207" s="1096"/>
      <c r="AZ207" s="1096"/>
      <c r="BA207" s="1096"/>
      <c r="BB207" s="1096"/>
      <c r="BC207" s="1096"/>
      <c r="BD207" s="1096"/>
      <c r="BE207" s="1100"/>
    </row>
    <row r="208" spans="1:57" ht="15.75" customHeight="1">
      <c r="A208" s="1096"/>
      <c r="B208" s="1096"/>
      <c r="C208" s="1852">
        <v>5</v>
      </c>
      <c r="D208" s="1853"/>
      <c r="E208" s="1853"/>
      <c r="F208" s="1853"/>
      <c r="G208" s="1854" t="s">
        <v>2063</v>
      </c>
      <c r="H208" s="1854"/>
      <c r="I208" s="1854"/>
      <c r="J208" s="1854"/>
      <c r="K208" s="1854"/>
      <c r="L208" s="1854"/>
      <c r="M208" s="1854"/>
      <c r="N208" s="1854"/>
      <c r="O208" s="1854"/>
      <c r="P208" s="1855"/>
      <c r="Q208" s="1855"/>
      <c r="R208" s="1855"/>
      <c r="S208" s="1855"/>
      <c r="T208" s="1855"/>
      <c r="U208" s="1856" t="s">
        <v>2063</v>
      </c>
      <c r="V208" s="1856"/>
      <c r="W208" s="1856"/>
      <c r="X208" s="1856"/>
      <c r="Y208" s="1856" t="s">
        <v>2063</v>
      </c>
      <c r="Z208" s="1856"/>
      <c r="AA208" s="1856"/>
      <c r="AB208" s="1856"/>
      <c r="AC208" s="1857" t="s">
        <v>2063</v>
      </c>
      <c r="AD208" s="1857"/>
      <c r="AE208" s="1857"/>
      <c r="AF208" s="1857"/>
      <c r="AG208" s="1841"/>
      <c r="AH208" s="1842"/>
      <c r="AI208" s="1842"/>
      <c r="AJ208" s="1842"/>
      <c r="AK208" s="1843"/>
      <c r="AL208" s="1096"/>
      <c r="AM208" s="1096"/>
      <c r="AN208" s="1096"/>
      <c r="AO208" s="1096"/>
      <c r="AP208" s="1096"/>
      <c r="AQ208" s="1096"/>
      <c r="AR208" s="1096"/>
      <c r="AS208" s="1096"/>
      <c r="AT208" s="1096"/>
      <c r="AU208" s="1096"/>
      <c r="AV208" s="1096"/>
      <c r="AW208" s="1096"/>
      <c r="AX208" s="1096"/>
      <c r="AY208" s="1096"/>
      <c r="AZ208" s="1096"/>
      <c r="BA208" s="1096"/>
      <c r="BB208" s="1096"/>
      <c r="BC208" s="1096"/>
      <c r="BD208" s="1096"/>
      <c r="BE208" s="1100"/>
    </row>
    <row r="209" spans="1:57" ht="15.75" customHeight="1">
      <c r="A209" s="1096"/>
      <c r="B209" s="1096"/>
      <c r="C209" s="1852">
        <v>6</v>
      </c>
      <c r="D209" s="1853"/>
      <c r="E209" s="1853"/>
      <c r="F209" s="1853"/>
      <c r="G209" s="1854" t="s">
        <v>2063</v>
      </c>
      <c r="H209" s="1854"/>
      <c r="I209" s="1854"/>
      <c r="J209" s="1854"/>
      <c r="K209" s="1854"/>
      <c r="L209" s="1854"/>
      <c r="M209" s="1854"/>
      <c r="N209" s="1854"/>
      <c r="O209" s="1854"/>
      <c r="P209" s="1855"/>
      <c r="Q209" s="1855"/>
      <c r="R209" s="1855"/>
      <c r="S209" s="1855"/>
      <c r="T209" s="1855"/>
      <c r="U209" s="1856"/>
      <c r="V209" s="1856"/>
      <c r="W209" s="1856"/>
      <c r="X209" s="1856"/>
      <c r="Y209" s="1856"/>
      <c r="Z209" s="1856"/>
      <c r="AA209" s="1856"/>
      <c r="AB209" s="1856"/>
      <c r="AC209" s="1857" t="s">
        <v>2063</v>
      </c>
      <c r="AD209" s="1857"/>
      <c r="AE209" s="1857"/>
      <c r="AF209" s="1857"/>
      <c r="AG209" s="1841"/>
      <c r="AH209" s="1842"/>
      <c r="AI209" s="1842"/>
      <c r="AJ209" s="1842"/>
      <c r="AK209" s="1843"/>
      <c r="AL209" s="1096"/>
      <c r="AM209" s="1096"/>
      <c r="AN209" s="1096"/>
      <c r="AO209" s="1096"/>
      <c r="AP209" s="1096"/>
      <c r="AQ209" s="1096"/>
      <c r="AR209" s="1096"/>
      <c r="AS209" s="1096"/>
      <c r="AT209" s="1096"/>
      <c r="AU209" s="1096"/>
      <c r="AV209" s="1096"/>
      <c r="AW209" s="1096"/>
      <c r="AX209" s="1096"/>
      <c r="AY209" s="1096"/>
      <c r="AZ209" s="1096"/>
      <c r="BA209" s="1096"/>
      <c r="BB209" s="1096"/>
      <c r="BC209" s="1096"/>
      <c r="BD209" s="1096"/>
      <c r="BE209" s="1100"/>
    </row>
    <row r="210" spans="1:57" ht="15.75" customHeight="1">
      <c r="A210" s="1096"/>
      <c r="B210" s="1096"/>
      <c r="C210" s="1852">
        <v>7</v>
      </c>
      <c r="D210" s="1853"/>
      <c r="E210" s="1853"/>
      <c r="F210" s="1853"/>
      <c r="G210" s="1854"/>
      <c r="H210" s="1854"/>
      <c r="I210" s="1854"/>
      <c r="J210" s="1854"/>
      <c r="K210" s="1854"/>
      <c r="L210" s="1854"/>
      <c r="M210" s="1854"/>
      <c r="N210" s="1854"/>
      <c r="O210" s="1854"/>
      <c r="P210" s="1855"/>
      <c r="Q210" s="1855"/>
      <c r="R210" s="1855"/>
      <c r="S210" s="1855"/>
      <c r="T210" s="1855"/>
      <c r="U210" s="1856"/>
      <c r="V210" s="1856"/>
      <c r="W210" s="1856"/>
      <c r="X210" s="1856"/>
      <c r="Y210" s="1856"/>
      <c r="Z210" s="1856"/>
      <c r="AA210" s="1856"/>
      <c r="AB210" s="1856"/>
      <c r="AC210" s="1857" t="s">
        <v>2063</v>
      </c>
      <c r="AD210" s="1857"/>
      <c r="AE210" s="1857"/>
      <c r="AF210" s="1857"/>
      <c r="AG210" s="1841"/>
      <c r="AH210" s="1842"/>
      <c r="AI210" s="1842"/>
      <c r="AJ210" s="1842"/>
      <c r="AK210" s="1843"/>
      <c r="AL210" s="1096"/>
      <c r="AM210" s="1096"/>
      <c r="AN210" s="1096"/>
      <c r="AO210" s="1096"/>
      <c r="AP210" s="1096"/>
      <c r="AQ210" s="1096"/>
      <c r="AR210" s="1096"/>
      <c r="AS210" s="1096"/>
      <c r="AT210" s="1096"/>
      <c r="AU210" s="1096"/>
      <c r="AV210" s="1096"/>
      <c r="AW210" s="1096"/>
      <c r="AX210" s="1096"/>
      <c r="AY210" s="1096"/>
      <c r="AZ210" s="1096"/>
      <c r="BA210" s="1096"/>
      <c r="BB210" s="1096"/>
      <c r="BC210" s="1096"/>
      <c r="BD210" s="1096"/>
      <c r="BE210" s="1100"/>
    </row>
    <row r="211" spans="1:57" ht="15.75" customHeight="1">
      <c r="A211" s="1096"/>
      <c r="B211" s="1096"/>
      <c r="C211" s="1844" t="s">
        <v>2064</v>
      </c>
      <c r="D211" s="1845"/>
      <c r="E211" s="1845"/>
      <c r="F211" s="1845"/>
      <c r="G211" s="1845"/>
      <c r="H211" s="1845"/>
      <c r="I211" s="1845"/>
      <c r="J211" s="1845"/>
      <c r="K211" s="1845"/>
      <c r="L211" s="1845"/>
      <c r="M211" s="1845"/>
      <c r="N211" s="1845"/>
      <c r="O211" s="1845"/>
      <c r="P211" s="1846"/>
      <c r="Q211" s="1846"/>
      <c r="R211" s="1846"/>
      <c r="S211" s="1846"/>
      <c r="T211" s="1846"/>
      <c r="U211" s="1847">
        <f>-SUM(U204:U210)</f>
        <v>0</v>
      </c>
      <c r="V211" s="1847"/>
      <c r="W211" s="1847"/>
      <c r="X211" s="1847"/>
      <c r="Y211" s="1847">
        <f>-SUM(Y204:Y210)</f>
        <v>0</v>
      </c>
      <c r="Z211" s="1847"/>
      <c r="AA211" s="1847"/>
      <c r="AB211" s="1847"/>
      <c r="AC211" s="1848">
        <f>-SUM(AC204:AC210)</f>
        <v>0</v>
      </c>
      <c r="AD211" s="1848"/>
      <c r="AE211" s="1848"/>
      <c r="AF211" s="1848"/>
      <c r="AG211" s="1849"/>
      <c r="AH211" s="1850"/>
      <c r="AI211" s="1850"/>
      <c r="AJ211" s="1850"/>
      <c r="AK211" s="1851"/>
      <c r="AL211" s="1096"/>
      <c r="AM211" s="1096"/>
      <c r="AN211" s="1096"/>
      <c r="AO211" s="1096"/>
      <c r="AP211" s="1096"/>
      <c r="AQ211" s="1096"/>
      <c r="AR211" s="1096"/>
      <c r="AS211" s="1096"/>
      <c r="AT211" s="1096"/>
      <c r="AU211" s="1096"/>
      <c r="AV211" s="1096"/>
      <c r="AW211" s="1096"/>
      <c r="AX211" s="1096"/>
      <c r="AY211" s="1096"/>
      <c r="AZ211" s="1096"/>
      <c r="BA211" s="1096"/>
      <c r="BB211" s="1096"/>
      <c r="BC211" s="1096"/>
      <c r="BD211" s="1096"/>
      <c r="BE211" s="1100"/>
    </row>
    <row r="212" spans="1:57" ht="15.75" customHeight="1">
      <c r="A212" s="1096"/>
      <c r="B212" s="1096"/>
      <c r="C212" s="1096" t="s">
        <v>2065</v>
      </c>
      <c r="D212" s="1096"/>
      <c r="E212" s="1096"/>
      <c r="F212" s="1096"/>
      <c r="G212" s="1096"/>
      <c r="H212" s="1096"/>
      <c r="I212" s="1096"/>
      <c r="J212" s="1096"/>
      <c r="K212" s="1096"/>
      <c r="L212" s="1096"/>
      <c r="M212" s="1096"/>
      <c r="N212" s="1096"/>
      <c r="O212" s="1096"/>
      <c r="P212" s="1096"/>
      <c r="Q212" s="1096"/>
      <c r="R212" s="1096"/>
      <c r="S212" s="1096"/>
      <c r="T212" s="1096"/>
      <c r="U212" s="1096"/>
      <c r="V212" s="1096"/>
      <c r="W212" s="1096"/>
      <c r="X212" s="1096"/>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c r="AZ212" s="1096"/>
      <c r="BA212" s="1096"/>
      <c r="BB212" s="1096"/>
      <c r="BC212" s="1096"/>
      <c r="BD212" s="1096"/>
      <c r="BE212" s="1100"/>
    </row>
    <row r="213" spans="1:57" ht="15.75" customHeight="1">
      <c r="A213" s="1096"/>
      <c r="B213" s="1096"/>
      <c r="C213" s="1096"/>
      <c r="D213" s="1096"/>
      <c r="E213" s="1096"/>
      <c r="F213" s="1096"/>
      <c r="G213" s="1096"/>
      <c r="H213" s="1096"/>
      <c r="I213" s="1096"/>
      <c r="J213" s="1096"/>
      <c r="K213" s="1096"/>
      <c r="L213" s="1096"/>
      <c r="M213" s="1096"/>
      <c r="N213" s="1096"/>
      <c r="O213" s="1096"/>
      <c r="P213" s="1096"/>
      <c r="Q213" s="1096"/>
      <c r="R213" s="1096"/>
      <c r="S213" s="1096"/>
      <c r="T213" s="1096"/>
      <c r="U213" s="1096"/>
      <c r="V213" s="1096"/>
      <c r="W213" s="1096"/>
      <c r="X213" s="1096"/>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c r="AZ213" s="1096"/>
      <c r="BA213" s="1096"/>
      <c r="BB213" s="1096"/>
      <c r="BC213" s="1096"/>
      <c r="BD213" s="1096"/>
      <c r="BE213" s="1100"/>
    </row>
    <row r="214" spans="1:57" ht="15.75" customHeight="1">
      <c r="A214" s="1096"/>
      <c r="B214" s="1096"/>
      <c r="C214" s="1096"/>
      <c r="D214" s="1096"/>
      <c r="E214" s="1096"/>
      <c r="F214" s="1096"/>
      <c r="G214" s="1096"/>
      <c r="H214" s="1096"/>
      <c r="I214" s="1096"/>
      <c r="J214" s="1096"/>
      <c r="K214" s="1096"/>
      <c r="L214" s="1096"/>
      <c r="M214" s="1096"/>
      <c r="N214" s="1096"/>
      <c r="O214" s="1096"/>
      <c r="P214" s="1096"/>
      <c r="Q214" s="1096"/>
      <c r="R214" s="1096"/>
      <c r="S214" s="1096"/>
      <c r="T214" s="1096"/>
      <c r="U214" s="1096"/>
      <c r="V214" s="1096"/>
      <c r="W214" s="1096"/>
      <c r="X214" s="1096"/>
      <c r="Y214" s="1096"/>
      <c r="Z214" s="1096"/>
      <c r="AA214" s="1096"/>
      <c r="AB214" s="1096"/>
      <c r="AC214" s="1096"/>
      <c r="AD214" s="109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c r="AZ214" s="1096"/>
      <c r="BA214" s="1096"/>
      <c r="BB214" s="1096"/>
      <c r="BC214" s="1096"/>
      <c r="BD214" s="1096"/>
      <c r="BE214" s="1100"/>
    </row>
    <row r="215" spans="1:57" ht="15.75" customHeight="1" thickBot="1">
      <c r="A215" s="1096"/>
      <c r="B215" s="1096"/>
      <c r="C215" s="1096"/>
      <c r="D215" s="1096"/>
      <c r="E215" s="1096"/>
      <c r="F215" s="1096"/>
      <c r="G215" s="1096"/>
      <c r="H215" s="1096"/>
      <c r="I215" s="1096"/>
      <c r="J215" s="1096"/>
      <c r="K215" s="1096"/>
      <c r="L215" s="1096"/>
      <c r="M215" s="1096"/>
      <c r="N215" s="1096"/>
      <c r="O215" s="1096"/>
      <c r="P215" s="1096"/>
      <c r="Q215" s="1096"/>
      <c r="R215" s="1096"/>
      <c r="S215" s="1096"/>
      <c r="T215" s="1096"/>
      <c r="U215" s="1096"/>
      <c r="V215" s="1096"/>
      <c r="W215" s="1096"/>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100"/>
    </row>
    <row r="216" spans="1:57" ht="15.75" customHeight="1">
      <c r="A216" s="1096"/>
      <c r="B216" s="1828" t="s">
        <v>2066</v>
      </c>
      <c r="C216" s="1829"/>
      <c r="D216" s="1829"/>
      <c r="E216" s="1829"/>
      <c r="F216" s="1829"/>
      <c r="G216" s="1829"/>
      <c r="H216" s="1829"/>
      <c r="I216" s="1829"/>
      <c r="J216" s="1829"/>
      <c r="K216" s="1829"/>
      <c r="L216" s="1829"/>
      <c r="M216" s="1829"/>
      <c r="N216" s="1829"/>
      <c r="O216" s="1829"/>
      <c r="P216" s="1829"/>
      <c r="Q216" s="1829"/>
      <c r="R216" s="1829"/>
      <c r="S216" s="1829"/>
      <c r="T216" s="1829"/>
      <c r="U216" s="1829"/>
      <c r="V216" s="1829"/>
      <c r="W216" s="1829"/>
      <c r="X216" s="1829"/>
      <c r="Y216" s="1829"/>
      <c r="Z216" s="1829"/>
      <c r="AA216" s="1829"/>
      <c r="AB216" s="1829"/>
      <c r="AC216" s="1829"/>
      <c r="AD216" s="1829"/>
      <c r="AE216" s="1829"/>
      <c r="AF216" s="1829"/>
      <c r="AG216" s="1829"/>
      <c r="AH216" s="1829"/>
      <c r="AI216" s="1829"/>
      <c r="AJ216" s="1829"/>
      <c r="AK216" s="1829"/>
      <c r="AL216" s="1829"/>
      <c r="AM216" s="1829"/>
      <c r="AN216" s="1829"/>
      <c r="AO216" s="1829"/>
      <c r="AP216" s="1829"/>
      <c r="AQ216" s="1829"/>
      <c r="AR216" s="1829"/>
      <c r="AS216" s="1829"/>
      <c r="AT216" s="1829"/>
      <c r="AU216" s="1829"/>
      <c r="AV216" s="1829"/>
      <c r="AW216" s="1829"/>
      <c r="AX216" s="1829"/>
      <c r="AY216" s="1829"/>
      <c r="AZ216" s="1829"/>
      <c r="BA216" s="1829"/>
      <c r="BB216" s="1829"/>
      <c r="BC216" s="1829"/>
      <c r="BD216" s="1830"/>
      <c r="BE216" s="1100"/>
    </row>
    <row r="217" spans="1:57" ht="15.75" customHeight="1">
      <c r="A217" s="1096"/>
      <c r="B217" s="1831"/>
      <c r="C217" s="1832"/>
      <c r="D217" s="1832"/>
      <c r="E217" s="1832"/>
      <c r="F217" s="1832"/>
      <c r="G217" s="1832"/>
      <c r="H217" s="1832"/>
      <c r="I217" s="1832"/>
      <c r="J217" s="1832"/>
      <c r="K217" s="1832"/>
      <c r="L217" s="1832"/>
      <c r="M217" s="1832"/>
      <c r="N217" s="1832"/>
      <c r="O217" s="1832"/>
      <c r="P217" s="1832"/>
      <c r="Q217" s="1832"/>
      <c r="R217" s="1832"/>
      <c r="S217" s="1832"/>
      <c r="T217" s="1832"/>
      <c r="U217" s="1832"/>
      <c r="V217" s="1832"/>
      <c r="W217" s="1832"/>
      <c r="X217" s="1832"/>
      <c r="Y217" s="1832"/>
      <c r="Z217" s="1832"/>
      <c r="AA217" s="1832"/>
      <c r="AB217" s="1832"/>
      <c r="AC217" s="1832"/>
      <c r="AD217" s="1832"/>
      <c r="AE217" s="1832"/>
      <c r="AF217" s="1832"/>
      <c r="AG217" s="1832"/>
      <c r="AH217" s="1832"/>
      <c r="AI217" s="1832"/>
      <c r="AJ217" s="1832"/>
      <c r="AK217" s="1832"/>
      <c r="AL217" s="1832"/>
      <c r="AM217" s="1832"/>
      <c r="AN217" s="1832"/>
      <c r="AO217" s="1832"/>
      <c r="AP217" s="1832"/>
      <c r="AQ217" s="1832"/>
      <c r="AR217" s="1832"/>
      <c r="AS217" s="1832"/>
      <c r="AT217" s="1832"/>
      <c r="AU217" s="1832"/>
      <c r="AV217" s="1832"/>
      <c r="AW217" s="1832"/>
      <c r="AX217" s="1832"/>
      <c r="AY217" s="1832"/>
      <c r="AZ217" s="1832"/>
      <c r="BA217" s="1832"/>
      <c r="BB217" s="1832"/>
      <c r="BC217" s="1832"/>
      <c r="BD217" s="1833"/>
      <c r="BE217" s="1100"/>
    </row>
    <row r="218" spans="1:57" ht="15.75" customHeight="1">
      <c r="A218" s="1096"/>
      <c r="B218" s="1834" t="s">
        <v>2067</v>
      </c>
      <c r="C218" s="1835"/>
      <c r="D218" s="1835"/>
      <c r="E218" s="1835"/>
      <c r="F218" s="1835"/>
      <c r="G218" s="1835"/>
      <c r="H218" s="1835"/>
      <c r="I218" s="1835"/>
      <c r="J218" s="1835"/>
      <c r="K218" s="1835"/>
      <c r="L218" s="1835"/>
      <c r="M218" s="1835"/>
      <c r="N218" s="1835"/>
      <c r="O218" s="1835"/>
      <c r="P218" s="1835"/>
      <c r="Q218" s="1835"/>
      <c r="R218" s="1835"/>
      <c r="S218" s="1835"/>
      <c r="T218" s="1835"/>
      <c r="U218" s="1835"/>
      <c r="V218" s="1835"/>
      <c r="W218" s="1835"/>
      <c r="X218" s="1835"/>
      <c r="Y218" s="1835"/>
      <c r="Z218" s="1835"/>
      <c r="AA218" s="1835"/>
      <c r="AB218" s="1835"/>
      <c r="AC218" s="1835"/>
      <c r="AD218" s="1835"/>
      <c r="AE218" s="1835"/>
      <c r="AF218" s="1835"/>
      <c r="AG218" s="1835"/>
      <c r="AH218" s="1835"/>
      <c r="AI218" s="1835"/>
      <c r="AJ218" s="1835"/>
      <c r="AK218" s="1835"/>
      <c r="AL218" s="1835"/>
      <c r="AM218" s="1835"/>
      <c r="AN218" s="1835"/>
      <c r="AO218" s="1835"/>
      <c r="AP218" s="1835"/>
      <c r="AQ218" s="1835"/>
      <c r="AR218" s="1835"/>
      <c r="AS218" s="1835"/>
      <c r="AT218" s="1835"/>
      <c r="AU218" s="1835"/>
      <c r="AV218" s="1835"/>
      <c r="AW218" s="1835"/>
      <c r="AX218" s="1835"/>
      <c r="AY218" s="1835"/>
      <c r="AZ218" s="1835"/>
      <c r="BA218" s="1835"/>
      <c r="BB218" s="1835"/>
      <c r="BC218" s="1835"/>
      <c r="BD218" s="1836"/>
      <c r="BE218" s="1100"/>
    </row>
    <row r="219" spans="1:57" ht="15.75" customHeight="1">
      <c r="A219" s="1096"/>
      <c r="B219" s="1834" t="s">
        <v>2068</v>
      </c>
      <c r="C219" s="1835"/>
      <c r="D219" s="1835"/>
      <c r="E219" s="1835"/>
      <c r="F219" s="1835"/>
      <c r="G219" s="1835"/>
      <c r="H219" s="1835"/>
      <c r="I219" s="1835"/>
      <c r="J219" s="1835"/>
      <c r="K219" s="1835"/>
      <c r="L219" s="1835"/>
      <c r="M219" s="1835"/>
      <c r="N219" s="1835"/>
      <c r="O219" s="1835"/>
      <c r="P219" s="1835"/>
      <c r="Q219" s="1835"/>
      <c r="R219" s="1835"/>
      <c r="S219" s="1835"/>
      <c r="T219" s="1835"/>
      <c r="U219" s="1835"/>
      <c r="V219" s="1835"/>
      <c r="W219" s="1835"/>
      <c r="X219" s="1835"/>
      <c r="Y219" s="1835"/>
      <c r="Z219" s="1835"/>
      <c r="AA219" s="1835"/>
      <c r="AB219" s="1835"/>
      <c r="AC219" s="1835"/>
      <c r="AD219" s="1835"/>
      <c r="AE219" s="1835"/>
      <c r="AF219" s="1835"/>
      <c r="AG219" s="1835"/>
      <c r="AH219" s="1835"/>
      <c r="AI219" s="1835"/>
      <c r="AJ219" s="1835"/>
      <c r="AK219" s="1835"/>
      <c r="AL219" s="1835"/>
      <c r="AM219" s="1835"/>
      <c r="AN219" s="1835"/>
      <c r="AO219" s="1835"/>
      <c r="AP219" s="1835"/>
      <c r="AQ219" s="1835"/>
      <c r="AR219" s="1835"/>
      <c r="AS219" s="1835"/>
      <c r="AT219" s="1835"/>
      <c r="AU219" s="1835"/>
      <c r="AV219" s="1835"/>
      <c r="AW219" s="1835"/>
      <c r="AX219" s="1835"/>
      <c r="AY219" s="1835"/>
      <c r="AZ219" s="1835"/>
      <c r="BA219" s="1835"/>
      <c r="BB219" s="1835"/>
      <c r="BC219" s="1835"/>
      <c r="BD219" s="1836"/>
      <c r="BE219" s="1100"/>
    </row>
    <row r="220" spans="1:57" ht="15.75" customHeight="1">
      <c r="A220" s="1096"/>
      <c r="B220" s="1095"/>
      <c r="C220" s="1096"/>
      <c r="D220" s="1096"/>
      <c r="E220" s="1096"/>
      <c r="F220" s="1096"/>
      <c r="G220" s="1096"/>
      <c r="H220" s="1096"/>
      <c r="I220" s="1096"/>
      <c r="J220" s="1096"/>
      <c r="K220" s="1096"/>
      <c r="L220" s="1096"/>
      <c r="M220" s="1096"/>
      <c r="N220" s="1096"/>
      <c r="O220" s="1096"/>
      <c r="P220" s="1096"/>
      <c r="Q220" s="1096"/>
      <c r="R220" s="1096"/>
      <c r="S220" s="1096"/>
      <c r="T220" s="1096"/>
      <c r="U220" s="1096"/>
      <c r="V220" s="1096"/>
      <c r="W220" s="1096"/>
      <c r="X220" s="1096"/>
      <c r="Y220" s="1096"/>
      <c r="Z220" s="1096"/>
      <c r="AA220" s="1096"/>
      <c r="AB220" s="1096"/>
      <c r="AC220" s="1096"/>
      <c r="AD220" s="109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c r="AZ220" s="1096"/>
      <c r="BA220" s="1096"/>
      <c r="BB220" s="1096"/>
      <c r="BC220" s="1096"/>
      <c r="BD220" s="1100"/>
      <c r="BE220" s="1100"/>
    </row>
    <row r="221" spans="1:57" ht="15.75" customHeight="1">
      <c r="A221" s="1096"/>
      <c r="B221" s="1837" t="s">
        <v>2069</v>
      </c>
      <c r="C221" s="1838"/>
      <c r="D221" s="1838"/>
      <c r="E221" s="1838"/>
      <c r="F221" s="1838"/>
      <c r="G221" s="1838"/>
      <c r="H221" s="1838"/>
      <c r="I221" s="1838"/>
      <c r="J221" s="1838"/>
      <c r="K221" s="1838"/>
      <c r="L221" s="1838"/>
      <c r="M221" s="1838"/>
      <c r="N221" s="1838"/>
      <c r="O221" s="1838"/>
      <c r="P221" s="1838"/>
      <c r="Q221" s="1838"/>
      <c r="R221" s="1838"/>
      <c r="S221" s="1838"/>
      <c r="T221" s="1838"/>
      <c r="U221" s="1838"/>
      <c r="V221" s="1838"/>
      <c r="W221" s="1838"/>
      <c r="X221" s="1838"/>
      <c r="Y221" s="1838"/>
      <c r="Z221" s="1838"/>
      <c r="AA221" s="1838"/>
      <c r="AB221" s="1838"/>
      <c r="AC221" s="1838"/>
      <c r="AD221" s="1838"/>
      <c r="AE221" s="1838"/>
      <c r="AF221" s="1838"/>
      <c r="AG221" s="1838"/>
      <c r="AH221" s="1838"/>
      <c r="AI221" s="1838"/>
      <c r="AJ221" s="1838"/>
      <c r="AK221" s="1838"/>
      <c r="AL221" s="1838"/>
      <c r="AM221" s="1838"/>
      <c r="AN221" s="1838"/>
      <c r="AO221" s="1838"/>
      <c r="AP221" s="1838"/>
      <c r="AQ221" s="1838"/>
      <c r="AR221" s="1838"/>
      <c r="AS221" s="1838"/>
      <c r="AT221" s="1838"/>
      <c r="AU221" s="1838"/>
      <c r="AV221" s="1838"/>
      <c r="AW221" s="1838"/>
      <c r="AX221" s="1838"/>
      <c r="AY221" s="1838"/>
      <c r="AZ221" s="1838"/>
      <c r="BA221" s="1838"/>
      <c r="BB221" s="1838"/>
      <c r="BC221" s="1838"/>
      <c r="BD221" s="1839"/>
      <c r="BE221" s="1100"/>
    </row>
    <row r="222" spans="1:57" ht="15.75" customHeight="1">
      <c r="A222" s="1096"/>
      <c r="B222" s="1138"/>
      <c r="C222" s="1096"/>
      <c r="D222" s="1096"/>
      <c r="E222" s="1096"/>
      <c r="F222" s="1096"/>
      <c r="G222" s="1096"/>
      <c r="H222" s="1096"/>
      <c r="I222" s="1096"/>
      <c r="J222" s="1096"/>
      <c r="K222" s="1096"/>
      <c r="L222" s="1096"/>
      <c r="M222" s="1096"/>
      <c r="N222" s="1096"/>
      <c r="O222" s="1096"/>
      <c r="P222" s="1096"/>
      <c r="Q222" s="1096"/>
      <c r="R222" s="1096"/>
      <c r="S222" s="1096"/>
      <c r="T222" s="1096"/>
      <c r="U222" s="1096"/>
      <c r="V222" s="1096"/>
      <c r="W222" s="1096"/>
      <c r="X222" s="1096"/>
      <c r="Y222" s="1096"/>
      <c r="Z222" s="1096"/>
      <c r="AA222" s="1096"/>
      <c r="AB222" s="1096"/>
      <c r="AC222" s="1096"/>
      <c r="AD222" s="109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c r="AZ222" s="1096"/>
      <c r="BA222" s="1096"/>
      <c r="BB222" s="1096"/>
      <c r="BC222" s="1096"/>
      <c r="BD222" s="1100"/>
      <c r="BE222" s="1100"/>
    </row>
    <row r="223" spans="1:57" ht="15.75" customHeight="1">
      <c r="A223" s="1096"/>
      <c r="B223" s="1139"/>
      <c r="C223" s="1096"/>
      <c r="D223" s="1096"/>
      <c r="E223" s="1096"/>
      <c r="F223" s="1096"/>
      <c r="G223" s="1096"/>
      <c r="H223" s="1097" t="s">
        <v>2070</v>
      </c>
      <c r="I223" s="1096"/>
      <c r="J223" s="1096"/>
      <c r="K223" s="1096"/>
      <c r="L223" s="1096"/>
      <c r="M223" s="1096"/>
      <c r="N223" s="1096"/>
      <c r="O223" s="1096"/>
      <c r="P223" s="1096"/>
      <c r="Q223" s="1096"/>
      <c r="R223" s="1096"/>
      <c r="S223" s="1096"/>
      <c r="T223" s="1096"/>
      <c r="U223" s="1096"/>
      <c r="V223" s="1096"/>
      <c r="W223" s="1096"/>
      <c r="X223" s="1096"/>
      <c r="Y223" s="1096"/>
      <c r="Z223" s="1096"/>
      <c r="AA223" s="1096"/>
      <c r="AB223" s="1096"/>
      <c r="AC223" s="1096"/>
      <c r="AD223" s="109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c r="AZ223" s="1096"/>
      <c r="BA223" s="1096"/>
      <c r="BB223" s="1096"/>
      <c r="BC223" s="1096"/>
      <c r="BD223" s="1100"/>
      <c r="BE223" s="1100"/>
    </row>
    <row r="224" spans="1:57" ht="15.75" customHeight="1">
      <c r="A224" s="1096"/>
      <c r="B224" s="1139"/>
      <c r="C224" s="1096"/>
      <c r="D224" s="1096"/>
      <c r="E224" s="1096"/>
      <c r="F224" s="1096"/>
      <c r="G224" s="1096"/>
      <c r="H224" s="1096"/>
      <c r="I224" s="1096"/>
      <c r="J224" s="1096"/>
      <c r="K224" s="1096"/>
      <c r="L224" s="1096"/>
      <c r="M224" s="1096"/>
      <c r="N224" s="1096"/>
      <c r="O224" s="1096"/>
      <c r="P224" s="1096"/>
      <c r="Q224" s="1096"/>
      <c r="R224" s="1096"/>
      <c r="S224" s="1096"/>
      <c r="T224" s="1096"/>
      <c r="U224" s="1096"/>
      <c r="V224" s="1096"/>
      <c r="W224" s="1096"/>
      <c r="X224" s="1096"/>
      <c r="Y224" s="1096"/>
      <c r="Z224" s="1096"/>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c r="AZ224" s="1096"/>
      <c r="BA224" s="1096"/>
      <c r="BB224" s="1096"/>
      <c r="BC224" s="1096"/>
      <c r="BD224" s="1100"/>
      <c r="BE224" s="1100"/>
    </row>
    <row r="225" spans="1:57" ht="15.75" customHeight="1">
      <c r="A225" s="1096"/>
      <c r="B225" s="1139"/>
      <c r="C225" s="1096"/>
      <c r="D225" s="1096"/>
      <c r="E225" s="1096"/>
      <c r="F225" s="1096"/>
      <c r="G225" s="1096"/>
      <c r="H225" s="1840" t="s">
        <v>2071</v>
      </c>
      <c r="I225" s="1840"/>
      <c r="J225" s="1840"/>
      <c r="K225" s="1840"/>
      <c r="L225" s="1840"/>
      <c r="M225" s="1840"/>
      <c r="N225" s="1840"/>
      <c r="O225" s="1840"/>
      <c r="P225" s="1840"/>
      <c r="Q225" s="1840"/>
      <c r="R225" s="1840"/>
      <c r="S225" s="1840"/>
      <c r="T225" s="1840"/>
      <c r="U225" s="1840"/>
      <c r="V225" s="1840"/>
      <c r="W225" s="1840"/>
      <c r="X225" s="1840"/>
      <c r="Y225" s="1840"/>
      <c r="Z225" s="1840"/>
      <c r="AA225" s="1840"/>
      <c r="AB225" s="1840"/>
      <c r="AC225" s="1840"/>
      <c r="AD225" s="1840"/>
      <c r="AE225" s="1840"/>
      <c r="AF225" s="1840"/>
      <c r="AG225" s="1840"/>
      <c r="AH225" s="1840"/>
      <c r="AI225" s="1840"/>
      <c r="AJ225" s="1840"/>
      <c r="AK225" s="1840"/>
      <c r="AL225" s="1840"/>
      <c r="AM225" s="1840"/>
      <c r="AN225" s="1840"/>
      <c r="AO225" s="1840"/>
      <c r="AP225" s="1840"/>
      <c r="AQ225" s="1840"/>
      <c r="AR225" s="1840"/>
      <c r="AS225" s="1840"/>
      <c r="AT225" s="1840"/>
      <c r="AU225" s="1840"/>
      <c r="AV225" s="1840"/>
      <c r="AW225" s="1840"/>
      <c r="AX225" s="1840"/>
      <c r="AY225" s="1840"/>
      <c r="AZ225" s="1096"/>
      <c r="BA225" s="1096"/>
      <c r="BB225" s="1096"/>
      <c r="BC225" s="1096"/>
      <c r="BD225" s="1100"/>
      <c r="BE225" s="1100"/>
    </row>
    <row r="226" spans="1:57" ht="15.75" customHeight="1">
      <c r="A226" s="1096"/>
      <c r="B226" s="1139"/>
      <c r="C226" s="1096"/>
      <c r="D226" s="1096"/>
      <c r="E226" s="1096"/>
      <c r="F226" s="1096"/>
      <c r="G226" s="1096"/>
      <c r="H226" s="1096"/>
      <c r="I226" s="1096"/>
      <c r="J226" s="1096"/>
      <c r="K226" s="1096"/>
      <c r="L226" s="1096"/>
      <c r="M226" s="1096"/>
      <c r="N226" s="1096"/>
      <c r="O226" s="1096"/>
      <c r="P226" s="1096"/>
      <c r="Q226" s="1096"/>
      <c r="R226" s="1096"/>
      <c r="S226" s="1096"/>
      <c r="T226" s="1096"/>
      <c r="U226" s="1096"/>
      <c r="V226" s="1096"/>
      <c r="W226" s="1096"/>
      <c r="X226" s="1096"/>
      <c r="Y226" s="1096"/>
      <c r="Z226" s="1096"/>
      <c r="AA226" s="1096"/>
      <c r="AB226" s="1096"/>
      <c r="AC226" s="1096"/>
      <c r="AD226" s="1096"/>
      <c r="AE226" s="1096"/>
      <c r="AF226" s="1096"/>
      <c r="AG226" s="1096"/>
      <c r="AH226" s="1096"/>
      <c r="AI226" s="1096"/>
      <c r="AJ226" s="1096"/>
      <c r="AK226" s="1096"/>
      <c r="AL226" s="1096"/>
      <c r="AM226" s="1096"/>
      <c r="AN226" s="1096"/>
      <c r="AO226" s="1096"/>
      <c r="AP226" s="1096"/>
      <c r="AQ226" s="1096"/>
      <c r="AR226" s="1096"/>
      <c r="AS226" s="1096"/>
      <c r="AT226" s="1096"/>
      <c r="AU226" s="1096"/>
      <c r="AV226" s="1096"/>
      <c r="AW226" s="1096"/>
      <c r="AX226" s="1096"/>
      <c r="AY226" s="1096"/>
      <c r="AZ226" s="1096"/>
      <c r="BA226" s="1096"/>
      <c r="BB226" s="1096"/>
      <c r="BC226" s="1096"/>
      <c r="BD226" s="1100"/>
      <c r="BE226" s="1100"/>
    </row>
    <row r="227" spans="1:57" ht="15.75" customHeight="1">
      <c r="A227" s="1096"/>
      <c r="B227" s="1139"/>
      <c r="C227" s="1096"/>
      <c r="D227" s="1096"/>
      <c r="E227" s="1096"/>
      <c r="F227" s="1096"/>
      <c r="G227" s="1096"/>
      <c r="H227" s="1823" t="s">
        <v>2072</v>
      </c>
      <c r="I227" s="1823"/>
      <c r="J227" s="1823"/>
      <c r="K227" s="1823"/>
      <c r="L227" s="1823"/>
      <c r="M227" s="1823"/>
      <c r="N227" s="1823"/>
      <c r="O227" s="1823"/>
      <c r="P227" s="1823"/>
      <c r="Q227" s="1823"/>
      <c r="R227" s="1823"/>
      <c r="S227" s="1823"/>
      <c r="T227" s="1823"/>
      <c r="U227" s="1823"/>
      <c r="V227" s="1823"/>
      <c r="W227" s="1823"/>
      <c r="X227" s="1823"/>
      <c r="Y227" s="1823"/>
      <c r="Z227" s="1823"/>
      <c r="AA227" s="1823"/>
      <c r="AB227" s="1823"/>
      <c r="AC227" s="1823"/>
      <c r="AD227" s="1823"/>
      <c r="AE227" s="1823"/>
      <c r="AF227" s="1823"/>
      <c r="AG227" s="1823"/>
      <c r="AH227" s="1823"/>
      <c r="AI227" s="1823"/>
      <c r="AJ227" s="1823"/>
      <c r="AK227" s="1823"/>
      <c r="AL227" s="1823"/>
      <c r="AM227" s="1823"/>
      <c r="AN227" s="1823"/>
      <c r="AO227" s="1823"/>
      <c r="AP227" s="1823"/>
      <c r="AQ227" s="1823"/>
      <c r="AR227" s="1823"/>
      <c r="AS227" s="1823"/>
      <c r="AT227" s="1823"/>
      <c r="AU227" s="1823"/>
      <c r="AV227" s="1823"/>
      <c r="AW227" s="1823"/>
      <c r="AX227" s="1823"/>
      <c r="AY227" s="1823"/>
      <c r="AZ227" s="1823"/>
      <c r="BA227" s="1096"/>
      <c r="BB227" s="1096"/>
      <c r="BC227" s="1096"/>
      <c r="BD227" s="1100"/>
      <c r="BE227" s="1100"/>
    </row>
    <row r="228" spans="1:57" ht="15.75" customHeight="1">
      <c r="A228" s="1096"/>
      <c r="B228" s="1095"/>
      <c r="C228" s="1096"/>
      <c r="D228" s="1096"/>
      <c r="E228" s="1096"/>
      <c r="F228" s="1096"/>
      <c r="G228" s="1096"/>
      <c r="H228" s="1823"/>
      <c r="I228" s="1823"/>
      <c r="J228" s="1823"/>
      <c r="K228" s="1823"/>
      <c r="L228" s="1823"/>
      <c r="M228" s="1823"/>
      <c r="N228" s="1823"/>
      <c r="O228" s="1823"/>
      <c r="P228" s="1823"/>
      <c r="Q228" s="1823"/>
      <c r="R228" s="1823"/>
      <c r="S228" s="1823"/>
      <c r="T228" s="1823"/>
      <c r="U228" s="1823"/>
      <c r="V228" s="1823"/>
      <c r="W228" s="1823"/>
      <c r="X228" s="1823"/>
      <c r="Y228" s="1823"/>
      <c r="Z228" s="1823"/>
      <c r="AA228" s="1823"/>
      <c r="AB228" s="1823"/>
      <c r="AC228" s="1823"/>
      <c r="AD228" s="1823"/>
      <c r="AE228" s="1823"/>
      <c r="AF228" s="1823"/>
      <c r="AG228" s="1823"/>
      <c r="AH228" s="1823"/>
      <c r="AI228" s="1823"/>
      <c r="AJ228" s="1823"/>
      <c r="AK228" s="1823"/>
      <c r="AL228" s="1823"/>
      <c r="AM228" s="1823"/>
      <c r="AN228" s="1823"/>
      <c r="AO228" s="1823"/>
      <c r="AP228" s="1823"/>
      <c r="AQ228" s="1823"/>
      <c r="AR228" s="1823"/>
      <c r="AS228" s="1823"/>
      <c r="AT228" s="1823"/>
      <c r="AU228" s="1823"/>
      <c r="AV228" s="1823"/>
      <c r="AW228" s="1823"/>
      <c r="AX228" s="1823"/>
      <c r="AY228" s="1823"/>
      <c r="AZ228" s="1823"/>
      <c r="BA228" s="1096"/>
      <c r="BB228" s="1096"/>
      <c r="BC228" s="1096"/>
      <c r="BD228" s="1100"/>
      <c r="BE228" s="1100"/>
    </row>
    <row r="229" spans="1:57" ht="15.75" customHeight="1">
      <c r="A229" s="1096"/>
      <c r="B229" s="1095"/>
      <c r="C229" s="1096"/>
      <c r="D229" s="1096"/>
      <c r="E229" s="1096"/>
      <c r="F229" s="1096"/>
      <c r="G229" s="1096"/>
      <c r="H229" s="1823"/>
      <c r="I229" s="1823"/>
      <c r="J229" s="1823"/>
      <c r="K229" s="1823"/>
      <c r="L229" s="1823"/>
      <c r="M229" s="1823"/>
      <c r="N229" s="1823"/>
      <c r="O229" s="1823"/>
      <c r="P229" s="1823"/>
      <c r="Q229" s="1823"/>
      <c r="R229" s="1823"/>
      <c r="S229" s="1823"/>
      <c r="T229" s="1823"/>
      <c r="U229" s="1823"/>
      <c r="V229" s="1823"/>
      <c r="W229" s="1823"/>
      <c r="X229" s="1823"/>
      <c r="Y229" s="1823"/>
      <c r="Z229" s="1823"/>
      <c r="AA229" s="1823"/>
      <c r="AB229" s="1823"/>
      <c r="AC229" s="1823"/>
      <c r="AD229" s="1823"/>
      <c r="AE229" s="1823"/>
      <c r="AF229" s="1823"/>
      <c r="AG229" s="1823"/>
      <c r="AH229" s="1823"/>
      <c r="AI229" s="1823"/>
      <c r="AJ229" s="1823"/>
      <c r="AK229" s="1823"/>
      <c r="AL229" s="1823"/>
      <c r="AM229" s="1823"/>
      <c r="AN229" s="1823"/>
      <c r="AO229" s="1823"/>
      <c r="AP229" s="1823"/>
      <c r="AQ229" s="1823"/>
      <c r="AR229" s="1823"/>
      <c r="AS229" s="1823"/>
      <c r="AT229" s="1823"/>
      <c r="AU229" s="1823"/>
      <c r="AV229" s="1823"/>
      <c r="AW229" s="1823"/>
      <c r="AX229" s="1823"/>
      <c r="AY229" s="1823"/>
      <c r="AZ229" s="1823"/>
      <c r="BA229" s="1096"/>
      <c r="BB229" s="1096"/>
      <c r="BC229" s="1096"/>
      <c r="BD229" s="1100"/>
      <c r="BE229" s="1100"/>
    </row>
    <row r="230" spans="1:57" ht="15.75" customHeight="1">
      <c r="A230" s="1096"/>
      <c r="B230" s="1095"/>
      <c r="C230" s="1096"/>
      <c r="D230" s="1096"/>
      <c r="E230" s="1096"/>
      <c r="F230" s="1096"/>
      <c r="G230" s="1096"/>
      <c r="H230" s="1823"/>
      <c r="I230" s="1823"/>
      <c r="J230" s="1823"/>
      <c r="K230" s="1823"/>
      <c r="L230" s="1823"/>
      <c r="M230" s="1823"/>
      <c r="N230" s="1823"/>
      <c r="O230" s="1823"/>
      <c r="P230" s="1823"/>
      <c r="Q230" s="1823"/>
      <c r="R230" s="1823"/>
      <c r="S230" s="1823"/>
      <c r="T230" s="1823"/>
      <c r="U230" s="1823"/>
      <c r="V230" s="1823"/>
      <c r="W230" s="1823"/>
      <c r="X230" s="1823"/>
      <c r="Y230" s="1823"/>
      <c r="Z230" s="1823"/>
      <c r="AA230" s="1823"/>
      <c r="AB230" s="1823"/>
      <c r="AC230" s="1823"/>
      <c r="AD230" s="1823"/>
      <c r="AE230" s="1823"/>
      <c r="AF230" s="1823"/>
      <c r="AG230" s="1823"/>
      <c r="AH230" s="1823"/>
      <c r="AI230" s="1823"/>
      <c r="AJ230" s="1823"/>
      <c r="AK230" s="1823"/>
      <c r="AL230" s="1823"/>
      <c r="AM230" s="1823"/>
      <c r="AN230" s="1823"/>
      <c r="AO230" s="1823"/>
      <c r="AP230" s="1823"/>
      <c r="AQ230" s="1823"/>
      <c r="AR230" s="1823"/>
      <c r="AS230" s="1823"/>
      <c r="AT230" s="1823"/>
      <c r="AU230" s="1823"/>
      <c r="AV230" s="1823"/>
      <c r="AW230" s="1823"/>
      <c r="AX230" s="1823"/>
      <c r="AY230" s="1823"/>
      <c r="AZ230" s="1823"/>
      <c r="BA230" s="1096"/>
      <c r="BB230" s="1096"/>
      <c r="BC230" s="1096"/>
      <c r="BD230" s="1100"/>
      <c r="BE230" s="1100"/>
    </row>
    <row r="231" spans="1:57" ht="15.75" customHeight="1">
      <c r="A231" s="1096"/>
      <c r="B231" s="1095"/>
      <c r="C231" s="1096"/>
      <c r="D231" s="1096"/>
      <c r="E231" s="1096"/>
      <c r="F231" s="1096"/>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c r="AZ231" s="1096"/>
      <c r="BA231" s="1096"/>
      <c r="BB231" s="1096"/>
      <c r="BC231" s="1096"/>
      <c r="BD231" s="1100"/>
      <c r="BE231" s="1100"/>
    </row>
    <row r="232" spans="1:57" ht="15.75" customHeight="1" thickBot="1">
      <c r="A232" s="1096"/>
      <c r="B232" s="1140"/>
      <c r="C232" s="1141"/>
      <c r="D232" s="1141"/>
      <c r="E232" s="1141"/>
      <c r="F232" s="1141"/>
      <c r="G232" s="1141"/>
      <c r="H232" s="1824" t="s">
        <v>2073</v>
      </c>
      <c r="I232" s="1824"/>
      <c r="J232" s="1824"/>
      <c r="K232" s="1824"/>
      <c r="L232" s="1824"/>
      <c r="M232" s="1824"/>
      <c r="N232" s="1824"/>
      <c r="O232" s="1824"/>
      <c r="P232" s="1824"/>
      <c r="Q232" s="1824"/>
      <c r="R232" s="1824"/>
      <c r="S232" s="1824"/>
      <c r="T232" s="1824"/>
      <c r="U232" s="1824"/>
      <c r="V232" s="1824"/>
      <c r="W232" s="1824"/>
      <c r="X232" s="1824"/>
      <c r="Y232" s="1824"/>
      <c r="Z232" s="1824"/>
      <c r="AA232" s="1824"/>
      <c r="AB232" s="1824"/>
      <c r="AC232" s="1824"/>
      <c r="AD232" s="1824"/>
      <c r="AE232" s="1824"/>
      <c r="AF232" s="1824"/>
      <c r="AG232" s="1824"/>
      <c r="AH232" s="1824"/>
      <c r="AI232" s="1824"/>
      <c r="AJ232" s="1824"/>
      <c r="AK232" s="1824"/>
      <c r="AL232" s="1824"/>
      <c r="AM232" s="1824"/>
      <c r="AN232" s="1824"/>
      <c r="AO232" s="1824"/>
      <c r="AP232" s="1824"/>
      <c r="AQ232" s="1824"/>
      <c r="AR232" s="1824"/>
      <c r="AS232" s="1824"/>
      <c r="AT232" s="1824"/>
      <c r="AU232" s="1824"/>
      <c r="AV232" s="1824"/>
      <c r="AW232" s="1141"/>
      <c r="AX232" s="1141"/>
      <c r="AY232" s="1141"/>
      <c r="AZ232" s="1141"/>
      <c r="BA232" s="1141"/>
      <c r="BB232" s="1141"/>
      <c r="BC232" s="1141"/>
      <c r="BD232" s="1142"/>
      <c r="BE232" s="1100"/>
    </row>
    <row r="233" spans="1:57" ht="15.75" customHeight="1" thickBot="1">
      <c r="A233" s="1096"/>
      <c r="B233" s="1143"/>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c r="AA233" s="1144"/>
      <c r="AB233" s="1144"/>
      <c r="AC233" s="1144"/>
      <c r="AD233" s="1144"/>
      <c r="AE233" s="1144"/>
      <c r="AF233" s="1144"/>
      <c r="AG233" s="1144"/>
      <c r="AH233" s="1144"/>
      <c r="AI233" s="1144"/>
      <c r="AJ233" s="1144"/>
      <c r="AK233" s="1144"/>
      <c r="AL233" s="1144"/>
      <c r="AM233" s="1144"/>
      <c r="AN233" s="1144"/>
      <c r="AO233" s="1144"/>
      <c r="AP233" s="1144"/>
      <c r="AQ233" s="1144"/>
      <c r="AR233" s="1144"/>
      <c r="AS233" s="1144"/>
      <c r="AT233" s="1144"/>
      <c r="AU233" s="1144"/>
      <c r="AV233" s="1144"/>
      <c r="AW233" s="1144"/>
      <c r="AX233" s="1144"/>
      <c r="AY233" s="1144"/>
      <c r="AZ233" s="1144"/>
      <c r="BA233" s="1144"/>
      <c r="BB233" s="1144"/>
      <c r="BC233" s="1144"/>
      <c r="BD233" s="1145"/>
      <c r="BE233" s="1100"/>
    </row>
    <row r="234" spans="1:57" ht="30" customHeight="1" thickBot="1">
      <c r="A234" s="1096"/>
      <c r="B234" s="1143"/>
      <c r="C234" s="1144"/>
      <c r="D234" s="1144"/>
      <c r="E234" s="1144"/>
      <c r="F234" s="1144"/>
      <c r="G234" s="1144"/>
      <c r="H234" s="1814" t="s">
        <v>2074</v>
      </c>
      <c r="I234" s="1814"/>
      <c r="J234" s="1814"/>
      <c r="K234" s="1814"/>
      <c r="L234" s="1144"/>
      <c r="M234" s="1144"/>
      <c r="N234" s="1144"/>
      <c r="O234" s="1144"/>
      <c r="P234" s="1144"/>
      <c r="Q234" s="1144"/>
      <c r="R234" s="1144"/>
      <c r="S234" s="1825"/>
      <c r="T234" s="1826"/>
      <c r="U234" s="1826"/>
      <c r="V234" s="1826"/>
      <c r="W234" s="1826"/>
      <c r="X234" s="1826"/>
      <c r="Y234" s="1826"/>
      <c r="Z234" s="1826"/>
      <c r="AA234" s="1826"/>
      <c r="AB234" s="1826"/>
      <c r="AC234" s="1826"/>
      <c r="AD234" s="1826"/>
      <c r="AE234" s="1826"/>
      <c r="AF234" s="1826"/>
      <c r="AG234" s="1826"/>
      <c r="AH234" s="1826"/>
      <c r="AI234" s="1826"/>
      <c r="AJ234" s="1827"/>
      <c r="AK234" s="1144"/>
      <c r="AL234" s="1144"/>
      <c r="AM234" s="1144"/>
      <c r="AN234" s="1144"/>
      <c r="AO234" s="1144"/>
      <c r="AP234" s="1144"/>
      <c r="AQ234" s="1144"/>
      <c r="AR234" s="1144"/>
      <c r="AS234" s="1144"/>
      <c r="AT234" s="1144"/>
      <c r="AU234" s="1144"/>
      <c r="AV234" s="1144"/>
      <c r="AW234" s="1144"/>
      <c r="AX234" s="1144"/>
      <c r="AY234" s="1144"/>
      <c r="AZ234" s="1144"/>
      <c r="BA234" s="1144"/>
      <c r="BB234" s="1144"/>
      <c r="BC234" s="1144"/>
      <c r="BD234" s="1145"/>
      <c r="BE234" s="1100"/>
    </row>
    <row r="235" spans="1:57" ht="15.75" customHeight="1" thickBot="1">
      <c r="A235" s="1096"/>
      <c r="B235" s="1143"/>
      <c r="C235" s="1144"/>
      <c r="D235" s="1144"/>
      <c r="E235" s="1144"/>
      <c r="F235" s="1144"/>
      <c r="G235" s="1144"/>
      <c r="H235" s="1146"/>
      <c r="I235" s="1146"/>
      <c r="J235" s="1146"/>
      <c r="K235" s="1146"/>
      <c r="L235" s="1144"/>
      <c r="M235" s="1144"/>
      <c r="N235" s="1144"/>
      <c r="O235" s="1144"/>
      <c r="P235" s="1144"/>
      <c r="Q235" s="1144"/>
      <c r="R235" s="1144"/>
      <c r="S235" s="1144"/>
      <c r="T235" s="1144"/>
      <c r="U235" s="1144"/>
      <c r="V235" s="1144"/>
      <c r="W235" s="1144"/>
      <c r="X235" s="1144"/>
      <c r="Y235" s="1144"/>
      <c r="Z235" s="1144"/>
      <c r="AA235" s="1144"/>
      <c r="AB235" s="1144"/>
      <c r="AC235" s="1144"/>
      <c r="AD235" s="1144"/>
      <c r="AE235" s="1144"/>
      <c r="AF235" s="1144"/>
      <c r="AG235" s="1144"/>
      <c r="AH235" s="1144"/>
      <c r="AI235" s="1144"/>
      <c r="AJ235" s="1144"/>
      <c r="AK235" s="1144"/>
      <c r="AL235" s="1144"/>
      <c r="AM235" s="1144"/>
      <c r="AN235" s="1144"/>
      <c r="AO235" s="1144"/>
      <c r="AP235" s="1144"/>
      <c r="AQ235" s="1144"/>
      <c r="AR235" s="1144"/>
      <c r="AS235" s="1144"/>
      <c r="AT235" s="1144"/>
      <c r="AU235" s="1144"/>
      <c r="AV235" s="1144"/>
      <c r="AW235" s="1144"/>
      <c r="AX235" s="1144"/>
      <c r="AY235" s="1144"/>
      <c r="AZ235" s="1144"/>
      <c r="BA235" s="1144"/>
      <c r="BB235" s="1144"/>
      <c r="BC235" s="1144"/>
      <c r="BD235" s="1145"/>
      <c r="BE235" s="1100"/>
    </row>
    <row r="236" spans="1:57" ht="15.75" customHeight="1" thickBot="1">
      <c r="A236" s="1096"/>
      <c r="B236" s="1143"/>
      <c r="C236" s="1144"/>
      <c r="D236" s="1144"/>
      <c r="E236" s="1144"/>
      <c r="F236" s="1144"/>
      <c r="G236" s="1144"/>
      <c r="H236" s="1814" t="s">
        <v>1979</v>
      </c>
      <c r="I236" s="1814"/>
      <c r="J236" s="1814"/>
      <c r="K236" s="1146"/>
      <c r="L236" s="1144"/>
      <c r="M236" s="1144"/>
      <c r="N236" s="1144"/>
      <c r="O236" s="1144"/>
      <c r="P236" s="1144"/>
      <c r="Q236" s="1144"/>
      <c r="R236" s="1144"/>
      <c r="S236" s="1815"/>
      <c r="T236" s="1816"/>
      <c r="U236" s="1816"/>
      <c r="V236" s="1816"/>
      <c r="W236" s="1816"/>
      <c r="X236" s="1816"/>
      <c r="Y236" s="1816"/>
      <c r="Z236" s="1816"/>
      <c r="AA236" s="1816"/>
      <c r="AB236" s="1816"/>
      <c r="AC236" s="1816"/>
      <c r="AD236" s="1816"/>
      <c r="AE236" s="1816"/>
      <c r="AF236" s="1816"/>
      <c r="AG236" s="1816"/>
      <c r="AH236" s="1816"/>
      <c r="AI236" s="1816"/>
      <c r="AJ236" s="1817"/>
      <c r="AK236" s="1144"/>
      <c r="AL236" s="1144"/>
      <c r="AM236" s="1144"/>
      <c r="AN236" s="1144"/>
      <c r="AO236" s="1144"/>
      <c r="AP236" s="1144"/>
      <c r="AQ236" s="1144"/>
      <c r="AR236" s="1144"/>
      <c r="AS236" s="1144"/>
      <c r="AT236" s="1144"/>
      <c r="AU236" s="1144"/>
      <c r="AV236" s="1144"/>
      <c r="AW236" s="1144"/>
      <c r="AX236" s="1144"/>
      <c r="AY236" s="1144"/>
      <c r="AZ236" s="1144"/>
      <c r="BA236" s="1144"/>
      <c r="BB236" s="1144"/>
      <c r="BC236" s="1144"/>
      <c r="BD236" s="1145"/>
      <c r="BE236" s="1100"/>
    </row>
    <row r="237" spans="1:57" ht="15.75" customHeight="1" thickBot="1">
      <c r="A237" s="1096"/>
      <c r="B237" s="1143"/>
      <c r="C237" s="1144"/>
      <c r="D237" s="1144"/>
      <c r="E237" s="1144"/>
      <c r="F237" s="1144"/>
      <c r="G237" s="1144"/>
      <c r="H237" s="1146"/>
      <c r="I237" s="1146"/>
      <c r="J237" s="1146"/>
      <c r="K237" s="1146"/>
      <c r="L237" s="1144"/>
      <c r="M237" s="1144"/>
      <c r="N237" s="1144"/>
      <c r="O237" s="1144"/>
      <c r="P237" s="1144"/>
      <c r="Q237" s="1144"/>
      <c r="R237" s="1144"/>
      <c r="S237" s="1144"/>
      <c r="T237" s="1144"/>
      <c r="U237" s="1144"/>
      <c r="V237" s="1144"/>
      <c r="W237" s="1144"/>
      <c r="X237" s="1144"/>
      <c r="Y237" s="1144"/>
      <c r="Z237" s="1144"/>
      <c r="AA237" s="1144"/>
      <c r="AB237" s="1144"/>
      <c r="AC237" s="1144"/>
      <c r="AD237" s="1144"/>
      <c r="AE237" s="1144"/>
      <c r="AF237" s="1144"/>
      <c r="AG237" s="1144"/>
      <c r="AH237" s="1144"/>
      <c r="AI237" s="1144"/>
      <c r="AJ237" s="1144"/>
      <c r="AK237" s="1144"/>
      <c r="AL237" s="1144"/>
      <c r="AM237" s="1144"/>
      <c r="AN237" s="1144"/>
      <c r="AO237" s="1144"/>
      <c r="AP237" s="1144"/>
      <c r="AQ237" s="1144"/>
      <c r="AR237" s="1144"/>
      <c r="AS237" s="1144"/>
      <c r="AT237" s="1144"/>
      <c r="AU237" s="1144"/>
      <c r="AV237" s="1144"/>
      <c r="AW237" s="1144"/>
      <c r="AX237" s="1144"/>
      <c r="AY237" s="1144"/>
      <c r="AZ237" s="1144"/>
      <c r="BA237" s="1144"/>
      <c r="BB237" s="1144"/>
      <c r="BC237" s="1144"/>
      <c r="BD237" s="1145"/>
      <c r="BE237" s="1100"/>
    </row>
    <row r="238" spans="1:57" ht="15.75" customHeight="1" thickBot="1">
      <c r="A238" s="1096"/>
      <c r="B238" s="1143"/>
      <c r="C238" s="1144"/>
      <c r="D238" s="1144"/>
      <c r="E238" s="1144"/>
      <c r="F238" s="1144"/>
      <c r="G238" s="1144"/>
      <c r="H238" s="1814" t="s">
        <v>818</v>
      </c>
      <c r="I238" s="1814"/>
      <c r="J238" s="1146"/>
      <c r="K238" s="1146"/>
      <c r="L238" s="1144"/>
      <c r="M238" s="1144"/>
      <c r="N238" s="1144"/>
      <c r="O238" s="1144"/>
      <c r="P238" s="1144"/>
      <c r="Q238" s="1144"/>
      <c r="R238" s="1144"/>
      <c r="S238" s="1815"/>
      <c r="T238" s="1816"/>
      <c r="U238" s="1816"/>
      <c r="V238" s="1816"/>
      <c r="W238" s="1816"/>
      <c r="X238" s="1816"/>
      <c r="Y238" s="1816"/>
      <c r="Z238" s="1816"/>
      <c r="AA238" s="1816"/>
      <c r="AB238" s="1816"/>
      <c r="AC238" s="1816"/>
      <c r="AD238" s="1816"/>
      <c r="AE238" s="1816"/>
      <c r="AF238" s="1816"/>
      <c r="AG238" s="1816"/>
      <c r="AH238" s="1816"/>
      <c r="AI238" s="1816"/>
      <c r="AJ238" s="1817"/>
      <c r="AK238" s="1144"/>
      <c r="AL238" s="1144"/>
      <c r="AM238" s="1144"/>
      <c r="AN238" s="1144"/>
      <c r="AO238" s="1144"/>
      <c r="AP238" s="1144"/>
      <c r="AQ238" s="1144"/>
      <c r="AR238" s="1144"/>
      <c r="AS238" s="1144"/>
      <c r="AT238" s="1144"/>
      <c r="AU238" s="1144"/>
      <c r="AV238" s="1144"/>
      <c r="AW238" s="1144"/>
      <c r="AX238" s="1144"/>
      <c r="AY238" s="1144"/>
      <c r="AZ238" s="1144"/>
      <c r="BA238" s="1144"/>
      <c r="BB238" s="1144"/>
      <c r="BC238" s="1144"/>
      <c r="BD238" s="1145"/>
      <c r="BE238" s="1100"/>
    </row>
    <row r="239" spans="1:57" ht="15.75" customHeight="1" thickBot="1">
      <c r="A239" s="1096"/>
      <c r="B239" s="1143"/>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c r="AA239" s="1144"/>
      <c r="AB239" s="1144"/>
      <c r="AC239" s="1144"/>
      <c r="AD239" s="1144"/>
      <c r="AE239" s="1144"/>
      <c r="AF239" s="1144"/>
      <c r="AG239" s="1144"/>
      <c r="AH239" s="1144"/>
      <c r="AI239" s="1144"/>
      <c r="AJ239" s="1144"/>
      <c r="AK239" s="1144"/>
      <c r="AL239" s="1144"/>
      <c r="AM239" s="1144"/>
      <c r="AN239" s="1144"/>
      <c r="AO239" s="1144"/>
      <c r="AP239" s="1144"/>
      <c r="AQ239" s="1144"/>
      <c r="AR239" s="1144"/>
      <c r="AS239" s="1144"/>
      <c r="AT239" s="1144"/>
      <c r="AU239" s="1144"/>
      <c r="AV239" s="1144"/>
      <c r="AW239" s="1144"/>
      <c r="AX239" s="1144"/>
      <c r="AY239" s="1144"/>
      <c r="AZ239" s="1144"/>
      <c r="BA239" s="1144"/>
      <c r="BB239" s="1144"/>
      <c r="BC239" s="1144"/>
      <c r="BD239" s="1145"/>
      <c r="BE239" s="1100"/>
    </row>
    <row r="240" spans="1:57" ht="15.75" customHeight="1" thickBot="1">
      <c r="A240" s="1096"/>
      <c r="B240" s="1143"/>
      <c r="C240" s="1144"/>
      <c r="D240" s="1144"/>
      <c r="E240" s="1144"/>
      <c r="F240" s="1144"/>
      <c r="G240" s="1144"/>
      <c r="H240" s="1818" t="s">
        <v>2075</v>
      </c>
      <c r="I240" s="1818"/>
      <c r="J240" s="1818"/>
      <c r="K240" s="1818"/>
      <c r="L240" s="1818"/>
      <c r="M240" s="1818"/>
      <c r="N240" s="1818"/>
      <c r="O240" s="1818"/>
      <c r="P240" s="1144"/>
      <c r="Q240" s="1144"/>
      <c r="R240" s="1144"/>
      <c r="S240" s="1815"/>
      <c r="T240" s="1816"/>
      <c r="U240" s="1816"/>
      <c r="V240" s="1816"/>
      <c r="W240" s="1816"/>
      <c r="X240" s="1816"/>
      <c r="Y240" s="1816"/>
      <c r="Z240" s="1816"/>
      <c r="AA240" s="1816"/>
      <c r="AB240" s="1816"/>
      <c r="AC240" s="1816"/>
      <c r="AD240" s="1816"/>
      <c r="AE240" s="1816"/>
      <c r="AF240" s="1816"/>
      <c r="AG240" s="1816"/>
      <c r="AH240" s="1816"/>
      <c r="AI240" s="1816"/>
      <c r="AJ240" s="1817"/>
      <c r="AK240" s="1144"/>
      <c r="AL240" s="1144"/>
      <c r="AM240" s="1144"/>
      <c r="AN240" s="1144"/>
      <c r="AO240" s="1144"/>
      <c r="AP240" s="1144"/>
      <c r="AQ240" s="1144"/>
      <c r="AR240" s="1144"/>
      <c r="AS240" s="1144"/>
      <c r="AT240" s="1144"/>
      <c r="AU240" s="1144"/>
      <c r="AV240" s="1144"/>
      <c r="AW240" s="1144"/>
      <c r="AX240" s="1144"/>
      <c r="AY240" s="1144"/>
      <c r="AZ240" s="1144"/>
      <c r="BA240" s="1144"/>
      <c r="BB240" s="1144"/>
      <c r="BC240" s="1144"/>
      <c r="BD240" s="1145"/>
      <c r="BE240" s="1100"/>
    </row>
    <row r="241" spans="1:57" ht="15.75" customHeight="1" thickBot="1">
      <c r="A241" s="1096"/>
      <c r="B241" s="1143"/>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c r="AA241" s="1144"/>
      <c r="AB241" s="1144"/>
      <c r="AC241" s="1144"/>
      <c r="AD241" s="1144"/>
      <c r="AE241" s="1144"/>
      <c r="AF241" s="1144"/>
      <c r="AG241" s="1144"/>
      <c r="AH241" s="1144"/>
      <c r="AI241" s="1144"/>
      <c r="AJ241" s="1144"/>
      <c r="AK241" s="1144"/>
      <c r="AL241" s="1144"/>
      <c r="AM241" s="1144"/>
      <c r="AN241" s="1144"/>
      <c r="AO241" s="1144"/>
      <c r="AP241" s="1144"/>
      <c r="AQ241" s="1144"/>
      <c r="AR241" s="1144"/>
      <c r="AS241" s="1144"/>
      <c r="AT241" s="1144"/>
      <c r="AU241" s="1144"/>
      <c r="AV241" s="1144"/>
      <c r="AW241" s="1144"/>
      <c r="AX241" s="1144"/>
      <c r="AY241" s="1144"/>
      <c r="AZ241" s="1144"/>
      <c r="BA241" s="1144"/>
      <c r="BB241" s="1144"/>
      <c r="BC241" s="1144"/>
      <c r="BD241" s="1145"/>
      <c r="BE241" s="1100"/>
    </row>
    <row r="242" spans="1:57" ht="15.75" customHeight="1" thickBot="1">
      <c r="A242" s="1096"/>
      <c r="B242" s="1143"/>
      <c r="C242" s="1144"/>
      <c r="D242" s="1144"/>
      <c r="E242" s="1144"/>
      <c r="F242" s="1144"/>
      <c r="G242" s="1144"/>
      <c r="H242" s="1819" t="s">
        <v>2076</v>
      </c>
      <c r="I242" s="1819"/>
      <c r="J242" s="1144"/>
      <c r="K242" s="1144"/>
      <c r="L242" s="1144"/>
      <c r="M242" s="1144"/>
      <c r="N242" s="1144"/>
      <c r="O242" s="1144"/>
      <c r="P242" s="1144"/>
      <c r="Q242" s="1144"/>
      <c r="R242" s="1144"/>
      <c r="S242" s="1820"/>
      <c r="T242" s="1821"/>
      <c r="U242" s="1821"/>
      <c r="V242" s="1821"/>
      <c r="W242" s="1821"/>
      <c r="X242" s="1821"/>
      <c r="Y242" s="1821"/>
      <c r="Z242" s="1821"/>
      <c r="AA242" s="1821"/>
      <c r="AB242" s="1821"/>
      <c r="AC242" s="1821"/>
      <c r="AD242" s="1821"/>
      <c r="AE242" s="1821"/>
      <c r="AF242" s="1821"/>
      <c r="AG242" s="1821"/>
      <c r="AH242" s="1821"/>
      <c r="AI242" s="1821"/>
      <c r="AJ242" s="1822"/>
      <c r="AK242" s="1144"/>
      <c r="AL242" s="1144"/>
      <c r="AM242" s="1144"/>
      <c r="AN242" s="1144"/>
      <c r="AO242" s="1144"/>
      <c r="AP242" s="1144"/>
      <c r="AQ242" s="1144"/>
      <c r="AR242" s="1144"/>
      <c r="AS242" s="1144"/>
      <c r="AT242" s="1144"/>
      <c r="AU242" s="1144"/>
      <c r="AV242" s="1144"/>
      <c r="AW242" s="1144"/>
      <c r="AX242" s="1144"/>
      <c r="AY242" s="1144"/>
      <c r="AZ242" s="1144"/>
      <c r="BA242" s="1144"/>
      <c r="BB242" s="1144"/>
      <c r="BC242" s="1144"/>
      <c r="BD242" s="1145"/>
      <c r="BE242" s="1100"/>
    </row>
    <row r="243" spans="1:57" ht="15.75" customHeight="1" thickBot="1">
      <c r="A243" s="1096"/>
      <c r="B243" s="1147"/>
      <c r="C243" s="1148"/>
      <c r="D243" s="1148"/>
      <c r="E243" s="1148"/>
      <c r="F243" s="1148"/>
      <c r="G243" s="1148"/>
      <c r="H243" s="1148"/>
      <c r="I243" s="1148"/>
      <c r="J243" s="1148"/>
      <c r="K243" s="1148"/>
      <c r="L243" s="1148"/>
      <c r="M243" s="1148"/>
      <c r="N243" s="1148"/>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9"/>
      <c r="BE243" s="1100"/>
    </row>
    <row r="244" spans="1:57" ht="15.75" customHeight="1" thickBot="1">
      <c r="A244" s="1141"/>
      <c r="B244" s="1141"/>
      <c r="C244" s="1141"/>
      <c r="D244" s="1141"/>
      <c r="E244" s="1141"/>
      <c r="F244" s="1141"/>
      <c r="G244" s="1141"/>
      <c r="H244" s="1141"/>
      <c r="I244" s="1141"/>
      <c r="J244" s="1141"/>
      <c r="K244" s="1141"/>
      <c r="L244" s="1141"/>
      <c r="M244" s="1141"/>
      <c r="N244" s="1141"/>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2"/>
    </row>
    <row r="247" spans="1:57" ht="15.75" customHeight="1">
      <c r="D247" s="1094"/>
    </row>
    <row r="248" spans="1:57" ht="15.75" customHeight="1">
      <c r="D248" s="1150"/>
    </row>
    <row r="249" spans="1:57" ht="15.75" customHeight="1">
      <c r="D249" s="1094"/>
    </row>
    <row r="250" spans="1:57" ht="15.75" customHeight="1">
      <c r="D250" s="1094"/>
    </row>
    <row r="251" spans="1:57" ht="15.75" customHeight="1">
      <c r="R251" s="1092"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4" workbookViewId="0">
      <selection activeCell="X54" sqref="X54"/>
    </sheetView>
  </sheetViews>
  <sheetFormatPr defaultColWidth="0" defaultRowHeight="12.9" customHeight="1" zeroHeight="1"/>
  <cols>
    <col min="1" max="1" width="1.5546875" style="305" customWidth="1"/>
    <col min="2" max="2" width="0.88671875" style="305" customWidth="1"/>
    <col min="3" max="18" width="2.5546875" style="305" customWidth="1"/>
    <col min="19" max="19" width="6.33203125" style="305" customWidth="1"/>
    <col min="20" max="39" width="2.6640625" style="305" customWidth="1"/>
    <col min="40" max="40" width="1.5546875" style="305" customWidth="1"/>
    <col min="41" max="256" width="2.5546875" style="305" hidden="1"/>
    <col min="257" max="257" width="1.5546875" style="305" hidden="1" customWidth="1"/>
    <col min="258" max="258" width="0.88671875" style="305" hidden="1" customWidth="1"/>
    <col min="259" max="274" width="2.5546875" style="305" hidden="1" customWidth="1"/>
    <col min="275" max="275" width="4" style="305" hidden="1" customWidth="1"/>
    <col min="276" max="279" width="2.5546875" style="305" hidden="1" customWidth="1"/>
    <col min="280" max="280" width="2.44140625" style="305" hidden="1" customWidth="1"/>
    <col min="281" max="284" width="2.5546875" style="305" hidden="1" customWidth="1"/>
    <col min="285" max="285" width="2.44140625" style="305" hidden="1" customWidth="1"/>
    <col min="286" max="289" width="2.5546875" style="305" hidden="1" customWidth="1"/>
    <col min="290" max="295" width="2.44140625" style="305" hidden="1" customWidth="1"/>
    <col min="296" max="296" width="1.5546875" style="305" hidden="1" customWidth="1"/>
    <col min="297" max="512" width="2.5546875" style="305" hidden="1"/>
    <col min="513" max="513" width="1.5546875" style="305" hidden="1" customWidth="1"/>
    <col min="514" max="514" width="0.88671875" style="305" hidden="1" customWidth="1"/>
    <col min="515" max="530" width="2.5546875" style="305" hidden="1" customWidth="1"/>
    <col min="531" max="531" width="4" style="305" hidden="1" customWidth="1"/>
    <col min="532" max="535" width="2.5546875" style="305" hidden="1" customWidth="1"/>
    <col min="536" max="536" width="2.44140625" style="305" hidden="1" customWidth="1"/>
    <col min="537" max="540" width="2.5546875" style="305" hidden="1" customWidth="1"/>
    <col min="541" max="541" width="2.44140625" style="305" hidden="1" customWidth="1"/>
    <col min="542" max="545" width="2.5546875" style="305" hidden="1" customWidth="1"/>
    <col min="546" max="551" width="2.44140625" style="305" hidden="1" customWidth="1"/>
    <col min="552" max="552" width="1.5546875" style="305" hidden="1" customWidth="1"/>
    <col min="553" max="768" width="2.5546875" style="305" hidden="1"/>
    <col min="769" max="769" width="1.5546875" style="305" hidden="1" customWidth="1"/>
    <col min="770" max="770" width="0.88671875" style="305" hidden="1" customWidth="1"/>
    <col min="771" max="786" width="2.5546875" style="305" hidden="1" customWidth="1"/>
    <col min="787" max="787" width="4" style="305" hidden="1" customWidth="1"/>
    <col min="788" max="791" width="2.5546875" style="305" hidden="1" customWidth="1"/>
    <col min="792" max="792" width="2.44140625" style="305" hidden="1" customWidth="1"/>
    <col min="793" max="796" width="2.5546875" style="305" hidden="1" customWidth="1"/>
    <col min="797" max="797" width="2.44140625" style="305" hidden="1" customWidth="1"/>
    <col min="798" max="801" width="2.5546875" style="305" hidden="1" customWidth="1"/>
    <col min="802" max="807" width="2.44140625" style="305" hidden="1" customWidth="1"/>
    <col min="808" max="808" width="1.5546875" style="305" hidden="1" customWidth="1"/>
    <col min="809" max="1024" width="2.5546875" style="305" hidden="1"/>
    <col min="1025" max="1025" width="1.5546875" style="305" hidden="1" customWidth="1"/>
    <col min="1026" max="1026" width="0.88671875" style="305" hidden="1" customWidth="1"/>
    <col min="1027" max="1042" width="2.5546875" style="305" hidden="1" customWidth="1"/>
    <col min="1043" max="1043" width="4" style="305" hidden="1" customWidth="1"/>
    <col min="1044" max="1047" width="2.5546875" style="305" hidden="1" customWidth="1"/>
    <col min="1048" max="1048" width="2.44140625" style="305" hidden="1" customWidth="1"/>
    <col min="1049" max="1052" width="2.5546875" style="305" hidden="1" customWidth="1"/>
    <col min="1053" max="1053" width="2.44140625" style="305" hidden="1" customWidth="1"/>
    <col min="1054" max="1057" width="2.5546875" style="305" hidden="1" customWidth="1"/>
    <col min="1058" max="1063" width="2.44140625" style="305" hidden="1" customWidth="1"/>
    <col min="1064" max="1064" width="1.5546875" style="305" hidden="1" customWidth="1"/>
    <col min="1065" max="1280" width="2.5546875" style="305" hidden="1"/>
    <col min="1281" max="1281" width="1.5546875" style="305" hidden="1" customWidth="1"/>
    <col min="1282" max="1282" width="0.88671875" style="305" hidden="1" customWidth="1"/>
    <col min="1283" max="1298" width="2.5546875" style="305" hidden="1" customWidth="1"/>
    <col min="1299" max="1299" width="4" style="305" hidden="1" customWidth="1"/>
    <col min="1300" max="1303" width="2.5546875" style="305" hidden="1" customWidth="1"/>
    <col min="1304" max="1304" width="2.44140625" style="305" hidden="1" customWidth="1"/>
    <col min="1305" max="1308" width="2.5546875" style="305" hidden="1" customWidth="1"/>
    <col min="1309" max="1309" width="2.44140625" style="305" hidden="1" customWidth="1"/>
    <col min="1310" max="1313" width="2.5546875" style="305" hidden="1" customWidth="1"/>
    <col min="1314" max="1319" width="2.44140625" style="305" hidden="1" customWidth="1"/>
    <col min="1320" max="1320" width="1.5546875" style="305" hidden="1" customWidth="1"/>
    <col min="1321" max="1536" width="2.5546875" style="305" hidden="1"/>
    <col min="1537" max="1537" width="1.5546875" style="305" hidden="1" customWidth="1"/>
    <col min="1538" max="1538" width="0.88671875" style="305" hidden="1" customWidth="1"/>
    <col min="1539" max="1554" width="2.5546875" style="305" hidden="1" customWidth="1"/>
    <col min="1555" max="1555" width="4" style="305" hidden="1" customWidth="1"/>
    <col min="1556" max="1559" width="2.5546875" style="305" hidden="1" customWidth="1"/>
    <col min="1560" max="1560" width="2.44140625" style="305" hidden="1" customWidth="1"/>
    <col min="1561" max="1564" width="2.5546875" style="305" hidden="1" customWidth="1"/>
    <col min="1565" max="1565" width="2.44140625" style="305" hidden="1" customWidth="1"/>
    <col min="1566" max="1569" width="2.5546875" style="305" hidden="1" customWidth="1"/>
    <col min="1570" max="1575" width="2.44140625" style="305" hidden="1" customWidth="1"/>
    <col min="1576" max="1576" width="1.5546875" style="305" hidden="1" customWidth="1"/>
    <col min="1577" max="1792" width="2.5546875" style="305" hidden="1"/>
    <col min="1793" max="1793" width="1.5546875" style="305" hidden="1" customWidth="1"/>
    <col min="1794" max="1794" width="0.88671875" style="305" hidden="1" customWidth="1"/>
    <col min="1795" max="1810" width="2.5546875" style="305" hidden="1" customWidth="1"/>
    <col min="1811" max="1811" width="4" style="305" hidden="1" customWidth="1"/>
    <col min="1812" max="1815" width="2.5546875" style="305" hidden="1" customWidth="1"/>
    <col min="1816" max="1816" width="2.44140625" style="305" hidden="1" customWidth="1"/>
    <col min="1817" max="1820" width="2.5546875" style="305" hidden="1" customWidth="1"/>
    <col min="1821" max="1821" width="2.44140625" style="305" hidden="1" customWidth="1"/>
    <col min="1822" max="1825" width="2.5546875" style="305" hidden="1" customWidth="1"/>
    <col min="1826" max="1831" width="2.44140625" style="305" hidden="1" customWidth="1"/>
    <col min="1832" max="1832" width="1.5546875" style="305" hidden="1" customWidth="1"/>
    <col min="1833" max="2048" width="2.5546875" style="305" hidden="1"/>
    <col min="2049" max="2049" width="1.5546875" style="305" hidden="1" customWidth="1"/>
    <col min="2050" max="2050" width="0.88671875" style="305" hidden="1" customWidth="1"/>
    <col min="2051" max="2066" width="2.5546875" style="305" hidden="1" customWidth="1"/>
    <col min="2067" max="2067" width="4" style="305" hidden="1" customWidth="1"/>
    <col min="2068" max="2071" width="2.5546875" style="305" hidden="1" customWidth="1"/>
    <col min="2072" max="2072" width="2.44140625" style="305" hidden="1" customWidth="1"/>
    <col min="2073" max="2076" width="2.5546875" style="305" hidden="1" customWidth="1"/>
    <col min="2077" max="2077" width="2.44140625" style="305" hidden="1" customWidth="1"/>
    <col min="2078" max="2081" width="2.5546875" style="305" hidden="1" customWidth="1"/>
    <col min="2082" max="2087" width="2.44140625" style="305" hidden="1" customWidth="1"/>
    <col min="2088" max="2088" width="1.5546875" style="305" hidden="1" customWidth="1"/>
    <col min="2089" max="2304" width="2.5546875" style="305" hidden="1"/>
    <col min="2305" max="2305" width="1.5546875" style="305" hidden="1" customWidth="1"/>
    <col min="2306" max="2306" width="0.88671875" style="305" hidden="1" customWidth="1"/>
    <col min="2307" max="2322" width="2.5546875" style="305" hidden="1" customWidth="1"/>
    <col min="2323" max="2323" width="4" style="305" hidden="1" customWidth="1"/>
    <col min="2324" max="2327" width="2.5546875" style="305" hidden="1" customWidth="1"/>
    <col min="2328" max="2328" width="2.44140625" style="305" hidden="1" customWidth="1"/>
    <col min="2329" max="2332" width="2.5546875" style="305" hidden="1" customWidth="1"/>
    <col min="2333" max="2333" width="2.44140625" style="305" hidden="1" customWidth="1"/>
    <col min="2334" max="2337" width="2.5546875" style="305" hidden="1" customWidth="1"/>
    <col min="2338" max="2343" width="2.44140625" style="305" hidden="1" customWidth="1"/>
    <col min="2344" max="2344" width="1.5546875" style="305" hidden="1" customWidth="1"/>
    <col min="2345" max="2560" width="2.5546875" style="305" hidden="1"/>
    <col min="2561" max="2561" width="1.5546875" style="305" hidden="1" customWidth="1"/>
    <col min="2562" max="2562" width="0.88671875" style="305" hidden="1" customWidth="1"/>
    <col min="2563" max="2578" width="2.5546875" style="305" hidden="1" customWidth="1"/>
    <col min="2579" max="2579" width="4" style="305" hidden="1" customWidth="1"/>
    <col min="2580" max="2583" width="2.5546875" style="305" hidden="1" customWidth="1"/>
    <col min="2584" max="2584" width="2.44140625" style="305" hidden="1" customWidth="1"/>
    <col min="2585" max="2588" width="2.5546875" style="305" hidden="1" customWidth="1"/>
    <col min="2589" max="2589" width="2.44140625" style="305" hidden="1" customWidth="1"/>
    <col min="2590" max="2593" width="2.5546875" style="305" hidden="1" customWidth="1"/>
    <col min="2594" max="2599" width="2.44140625" style="305" hidden="1" customWidth="1"/>
    <col min="2600" max="2600" width="1.5546875" style="305" hidden="1" customWidth="1"/>
    <col min="2601" max="2816" width="2.5546875" style="305" hidden="1"/>
    <col min="2817" max="2817" width="1.5546875" style="305" hidden="1" customWidth="1"/>
    <col min="2818" max="2818" width="0.88671875" style="305" hidden="1" customWidth="1"/>
    <col min="2819" max="2834" width="2.5546875" style="305" hidden="1" customWidth="1"/>
    <col min="2835" max="2835" width="4" style="305" hidden="1" customWidth="1"/>
    <col min="2836" max="2839" width="2.5546875" style="305" hidden="1" customWidth="1"/>
    <col min="2840" max="2840" width="2.44140625" style="305" hidden="1" customWidth="1"/>
    <col min="2841" max="2844" width="2.5546875" style="305" hidden="1" customWidth="1"/>
    <col min="2845" max="2845" width="2.44140625" style="305" hidden="1" customWidth="1"/>
    <col min="2846" max="2849" width="2.5546875" style="305" hidden="1" customWidth="1"/>
    <col min="2850" max="2855" width="2.44140625" style="305" hidden="1" customWidth="1"/>
    <col min="2856" max="2856" width="1.5546875" style="305" hidden="1" customWidth="1"/>
    <col min="2857" max="3072" width="2.5546875" style="305" hidden="1"/>
    <col min="3073" max="3073" width="1.5546875" style="305" hidden="1" customWidth="1"/>
    <col min="3074" max="3074" width="0.88671875" style="305" hidden="1" customWidth="1"/>
    <col min="3075" max="3090" width="2.5546875" style="305" hidden="1" customWidth="1"/>
    <col min="3091" max="3091" width="4" style="305" hidden="1" customWidth="1"/>
    <col min="3092" max="3095" width="2.5546875" style="305" hidden="1" customWidth="1"/>
    <col min="3096" max="3096" width="2.44140625" style="305" hidden="1" customWidth="1"/>
    <col min="3097" max="3100" width="2.5546875" style="305" hidden="1" customWidth="1"/>
    <col min="3101" max="3101" width="2.44140625" style="305" hidden="1" customWidth="1"/>
    <col min="3102" max="3105" width="2.5546875" style="305" hidden="1" customWidth="1"/>
    <col min="3106" max="3111" width="2.44140625" style="305" hidden="1" customWidth="1"/>
    <col min="3112" max="3112" width="1.5546875" style="305" hidden="1" customWidth="1"/>
    <col min="3113" max="3328" width="2.5546875" style="305" hidden="1"/>
    <col min="3329" max="3329" width="1.5546875" style="305" hidden="1" customWidth="1"/>
    <col min="3330" max="3330" width="0.88671875" style="305" hidden="1" customWidth="1"/>
    <col min="3331" max="3346" width="2.5546875" style="305" hidden="1" customWidth="1"/>
    <col min="3347" max="3347" width="4" style="305" hidden="1" customWidth="1"/>
    <col min="3348" max="3351" width="2.5546875" style="305" hidden="1" customWidth="1"/>
    <col min="3352" max="3352" width="2.44140625" style="305" hidden="1" customWidth="1"/>
    <col min="3353" max="3356" width="2.5546875" style="305" hidden="1" customWidth="1"/>
    <col min="3357" max="3357" width="2.44140625" style="305" hidden="1" customWidth="1"/>
    <col min="3358" max="3361" width="2.5546875" style="305" hidden="1" customWidth="1"/>
    <col min="3362" max="3367" width="2.44140625" style="305" hidden="1" customWidth="1"/>
    <col min="3368" max="3368" width="1.5546875" style="305" hidden="1" customWidth="1"/>
    <col min="3369" max="3584" width="2.5546875" style="305" hidden="1"/>
    <col min="3585" max="3585" width="1.5546875" style="305" hidden="1" customWidth="1"/>
    <col min="3586" max="3586" width="0.88671875" style="305" hidden="1" customWidth="1"/>
    <col min="3587" max="3602" width="2.5546875" style="305" hidden="1" customWidth="1"/>
    <col min="3603" max="3603" width="4" style="305" hidden="1" customWidth="1"/>
    <col min="3604" max="3607" width="2.5546875" style="305" hidden="1" customWidth="1"/>
    <col min="3608" max="3608" width="2.44140625" style="305" hidden="1" customWidth="1"/>
    <col min="3609" max="3612" width="2.5546875" style="305" hidden="1" customWidth="1"/>
    <col min="3613" max="3613" width="2.44140625" style="305" hidden="1" customWidth="1"/>
    <col min="3614" max="3617" width="2.5546875" style="305" hidden="1" customWidth="1"/>
    <col min="3618" max="3623" width="2.44140625" style="305" hidden="1" customWidth="1"/>
    <col min="3624" max="3624" width="1.5546875" style="305" hidden="1" customWidth="1"/>
    <col min="3625" max="3840" width="2.5546875" style="305" hidden="1"/>
    <col min="3841" max="3841" width="1.5546875" style="305" hidden="1" customWidth="1"/>
    <col min="3842" max="3842" width="0.88671875" style="305" hidden="1" customWidth="1"/>
    <col min="3843" max="3858" width="2.5546875" style="305" hidden="1" customWidth="1"/>
    <col min="3859" max="3859" width="4" style="305" hidden="1" customWidth="1"/>
    <col min="3860" max="3863" width="2.5546875" style="305" hidden="1" customWidth="1"/>
    <col min="3864" max="3864" width="2.44140625" style="305" hidden="1" customWidth="1"/>
    <col min="3865" max="3868" width="2.5546875" style="305" hidden="1" customWidth="1"/>
    <col min="3869" max="3869" width="2.44140625" style="305" hidden="1" customWidth="1"/>
    <col min="3870" max="3873" width="2.5546875" style="305" hidden="1" customWidth="1"/>
    <col min="3874" max="3879" width="2.44140625" style="305" hidden="1" customWidth="1"/>
    <col min="3880" max="3880" width="1.5546875" style="305" hidden="1" customWidth="1"/>
    <col min="3881" max="4096" width="2.5546875" style="305" hidden="1"/>
    <col min="4097" max="4097" width="1.5546875" style="305" hidden="1" customWidth="1"/>
    <col min="4098" max="4098" width="0.88671875" style="305" hidden="1" customWidth="1"/>
    <col min="4099" max="4114" width="2.5546875" style="305" hidden="1" customWidth="1"/>
    <col min="4115" max="4115" width="4" style="305" hidden="1" customWidth="1"/>
    <col min="4116" max="4119" width="2.5546875" style="305" hidden="1" customWidth="1"/>
    <col min="4120" max="4120" width="2.44140625" style="305" hidden="1" customWidth="1"/>
    <col min="4121" max="4124" width="2.5546875" style="305" hidden="1" customWidth="1"/>
    <col min="4125" max="4125" width="2.44140625" style="305" hidden="1" customWidth="1"/>
    <col min="4126" max="4129" width="2.5546875" style="305" hidden="1" customWidth="1"/>
    <col min="4130" max="4135" width="2.44140625" style="305" hidden="1" customWidth="1"/>
    <col min="4136" max="4136" width="1.5546875" style="305" hidden="1" customWidth="1"/>
    <col min="4137" max="4352" width="2.5546875" style="305" hidden="1"/>
    <col min="4353" max="4353" width="1.5546875" style="305" hidden="1" customWidth="1"/>
    <col min="4354" max="4354" width="0.88671875" style="305" hidden="1" customWidth="1"/>
    <col min="4355" max="4370" width="2.5546875" style="305" hidden="1" customWidth="1"/>
    <col min="4371" max="4371" width="4" style="305" hidden="1" customWidth="1"/>
    <col min="4372" max="4375" width="2.5546875" style="305" hidden="1" customWidth="1"/>
    <col min="4376" max="4376" width="2.44140625" style="305" hidden="1" customWidth="1"/>
    <col min="4377" max="4380" width="2.5546875" style="305" hidden="1" customWidth="1"/>
    <col min="4381" max="4381" width="2.44140625" style="305" hidden="1" customWidth="1"/>
    <col min="4382" max="4385" width="2.5546875" style="305" hidden="1" customWidth="1"/>
    <col min="4386" max="4391" width="2.44140625" style="305" hidden="1" customWidth="1"/>
    <col min="4392" max="4392" width="1.5546875" style="305" hidden="1" customWidth="1"/>
    <col min="4393" max="4608" width="2.5546875" style="305" hidden="1"/>
    <col min="4609" max="4609" width="1.5546875" style="305" hidden="1" customWidth="1"/>
    <col min="4610" max="4610" width="0.88671875" style="305" hidden="1" customWidth="1"/>
    <col min="4611" max="4626" width="2.5546875" style="305" hidden="1" customWidth="1"/>
    <col min="4627" max="4627" width="4" style="305" hidden="1" customWidth="1"/>
    <col min="4628" max="4631" width="2.5546875" style="305" hidden="1" customWidth="1"/>
    <col min="4632" max="4632" width="2.44140625" style="305" hidden="1" customWidth="1"/>
    <col min="4633" max="4636" width="2.5546875" style="305" hidden="1" customWidth="1"/>
    <col min="4637" max="4637" width="2.44140625" style="305" hidden="1" customWidth="1"/>
    <col min="4638" max="4641" width="2.5546875" style="305" hidden="1" customWidth="1"/>
    <col min="4642" max="4647" width="2.44140625" style="305" hidden="1" customWidth="1"/>
    <col min="4648" max="4648" width="1.5546875" style="305" hidden="1" customWidth="1"/>
    <col min="4649" max="4864" width="2.5546875" style="305" hidden="1"/>
    <col min="4865" max="4865" width="1.5546875" style="305" hidden="1" customWidth="1"/>
    <col min="4866" max="4866" width="0.88671875" style="305" hidden="1" customWidth="1"/>
    <col min="4867" max="4882" width="2.5546875" style="305" hidden="1" customWidth="1"/>
    <col min="4883" max="4883" width="4" style="305" hidden="1" customWidth="1"/>
    <col min="4884" max="4887" width="2.5546875" style="305" hidden="1" customWidth="1"/>
    <col min="4888" max="4888" width="2.44140625" style="305" hidden="1" customWidth="1"/>
    <col min="4889" max="4892" width="2.5546875" style="305" hidden="1" customWidth="1"/>
    <col min="4893" max="4893" width="2.44140625" style="305" hidden="1" customWidth="1"/>
    <col min="4894" max="4897" width="2.5546875" style="305" hidden="1" customWidth="1"/>
    <col min="4898" max="4903" width="2.44140625" style="305" hidden="1" customWidth="1"/>
    <col min="4904" max="4904" width="1.5546875" style="305" hidden="1" customWidth="1"/>
    <col min="4905" max="5120" width="2.5546875" style="305" hidden="1"/>
    <col min="5121" max="5121" width="1.5546875" style="305" hidden="1" customWidth="1"/>
    <col min="5122" max="5122" width="0.88671875" style="305" hidden="1" customWidth="1"/>
    <col min="5123" max="5138" width="2.5546875" style="305" hidden="1" customWidth="1"/>
    <col min="5139" max="5139" width="4" style="305" hidden="1" customWidth="1"/>
    <col min="5140" max="5143" width="2.5546875" style="305" hidden="1" customWidth="1"/>
    <col min="5144" max="5144" width="2.44140625" style="305" hidden="1" customWidth="1"/>
    <col min="5145" max="5148" width="2.5546875" style="305" hidden="1" customWidth="1"/>
    <col min="5149" max="5149" width="2.44140625" style="305" hidden="1" customWidth="1"/>
    <col min="5150" max="5153" width="2.5546875" style="305" hidden="1" customWidth="1"/>
    <col min="5154" max="5159" width="2.44140625" style="305" hidden="1" customWidth="1"/>
    <col min="5160" max="5160" width="1.5546875" style="305" hidden="1" customWidth="1"/>
    <col min="5161" max="5376" width="2.5546875" style="305" hidden="1"/>
    <col min="5377" max="5377" width="1.5546875" style="305" hidden="1" customWidth="1"/>
    <col min="5378" max="5378" width="0.88671875" style="305" hidden="1" customWidth="1"/>
    <col min="5379" max="5394" width="2.5546875" style="305" hidden="1" customWidth="1"/>
    <col min="5395" max="5395" width="4" style="305" hidden="1" customWidth="1"/>
    <col min="5396" max="5399" width="2.5546875" style="305" hidden="1" customWidth="1"/>
    <col min="5400" max="5400" width="2.44140625" style="305" hidden="1" customWidth="1"/>
    <col min="5401" max="5404" width="2.5546875" style="305" hidden="1" customWidth="1"/>
    <col min="5405" max="5405" width="2.44140625" style="305" hidden="1" customWidth="1"/>
    <col min="5406" max="5409" width="2.5546875" style="305" hidden="1" customWidth="1"/>
    <col min="5410" max="5415" width="2.44140625" style="305" hidden="1" customWidth="1"/>
    <col min="5416" max="5416" width="1.5546875" style="305" hidden="1" customWidth="1"/>
    <col min="5417" max="5632" width="2.5546875" style="305" hidden="1"/>
    <col min="5633" max="5633" width="1.5546875" style="305" hidden="1" customWidth="1"/>
    <col min="5634" max="5634" width="0.88671875" style="305" hidden="1" customWidth="1"/>
    <col min="5635" max="5650" width="2.5546875" style="305" hidden="1" customWidth="1"/>
    <col min="5651" max="5651" width="4" style="305" hidden="1" customWidth="1"/>
    <col min="5652" max="5655" width="2.5546875" style="305" hidden="1" customWidth="1"/>
    <col min="5656" max="5656" width="2.44140625" style="305" hidden="1" customWidth="1"/>
    <col min="5657" max="5660" width="2.5546875" style="305" hidden="1" customWidth="1"/>
    <col min="5661" max="5661" width="2.44140625" style="305" hidden="1" customWidth="1"/>
    <col min="5662" max="5665" width="2.5546875" style="305" hidden="1" customWidth="1"/>
    <col min="5666" max="5671" width="2.44140625" style="305" hidden="1" customWidth="1"/>
    <col min="5672" max="5672" width="1.5546875" style="305" hidden="1" customWidth="1"/>
    <col min="5673" max="5888" width="2.5546875" style="305" hidden="1"/>
    <col min="5889" max="5889" width="1.5546875" style="305" hidden="1" customWidth="1"/>
    <col min="5890" max="5890" width="0.88671875" style="305" hidden="1" customWidth="1"/>
    <col min="5891" max="5906" width="2.5546875" style="305" hidden="1" customWidth="1"/>
    <col min="5907" max="5907" width="4" style="305" hidden="1" customWidth="1"/>
    <col min="5908" max="5911" width="2.5546875" style="305" hidden="1" customWidth="1"/>
    <col min="5912" max="5912" width="2.44140625" style="305" hidden="1" customWidth="1"/>
    <col min="5913" max="5916" width="2.5546875" style="305" hidden="1" customWidth="1"/>
    <col min="5917" max="5917" width="2.44140625" style="305" hidden="1" customWidth="1"/>
    <col min="5918" max="5921" width="2.5546875" style="305" hidden="1" customWidth="1"/>
    <col min="5922" max="5927" width="2.44140625" style="305" hidden="1" customWidth="1"/>
    <col min="5928" max="5928" width="1.5546875" style="305" hidden="1" customWidth="1"/>
    <col min="5929" max="6144" width="2.5546875" style="305" hidden="1"/>
    <col min="6145" max="6145" width="1.5546875" style="305" hidden="1" customWidth="1"/>
    <col min="6146" max="6146" width="0.88671875" style="305" hidden="1" customWidth="1"/>
    <col min="6147" max="6162" width="2.5546875" style="305" hidden="1" customWidth="1"/>
    <col min="6163" max="6163" width="4" style="305" hidden="1" customWidth="1"/>
    <col min="6164" max="6167" width="2.5546875" style="305" hidden="1" customWidth="1"/>
    <col min="6168" max="6168" width="2.44140625" style="305" hidden="1" customWidth="1"/>
    <col min="6169" max="6172" width="2.5546875" style="305" hidden="1" customWidth="1"/>
    <col min="6173" max="6173" width="2.44140625" style="305" hidden="1" customWidth="1"/>
    <col min="6174" max="6177" width="2.5546875" style="305" hidden="1" customWidth="1"/>
    <col min="6178" max="6183" width="2.44140625" style="305" hidden="1" customWidth="1"/>
    <col min="6184" max="6184" width="1.5546875" style="305" hidden="1" customWidth="1"/>
    <col min="6185" max="6400" width="2.5546875" style="305" hidden="1"/>
    <col min="6401" max="6401" width="1.5546875" style="305" hidden="1" customWidth="1"/>
    <col min="6402" max="6402" width="0.88671875" style="305" hidden="1" customWidth="1"/>
    <col min="6403" max="6418" width="2.5546875" style="305" hidden="1" customWidth="1"/>
    <col min="6419" max="6419" width="4" style="305" hidden="1" customWidth="1"/>
    <col min="6420" max="6423" width="2.5546875" style="305" hidden="1" customWidth="1"/>
    <col min="6424" max="6424" width="2.44140625" style="305" hidden="1" customWidth="1"/>
    <col min="6425" max="6428" width="2.5546875" style="305" hidden="1" customWidth="1"/>
    <col min="6429" max="6429" width="2.44140625" style="305" hidden="1" customWidth="1"/>
    <col min="6430" max="6433" width="2.5546875" style="305" hidden="1" customWidth="1"/>
    <col min="6434" max="6439" width="2.44140625" style="305" hidden="1" customWidth="1"/>
    <col min="6440" max="6440" width="1.5546875" style="305" hidden="1" customWidth="1"/>
    <col min="6441" max="6656" width="2.5546875" style="305" hidden="1"/>
    <col min="6657" max="6657" width="1.5546875" style="305" hidden="1" customWidth="1"/>
    <col min="6658" max="6658" width="0.88671875" style="305" hidden="1" customWidth="1"/>
    <col min="6659" max="6674" width="2.5546875" style="305" hidden="1" customWidth="1"/>
    <col min="6675" max="6675" width="4" style="305" hidden="1" customWidth="1"/>
    <col min="6676" max="6679" width="2.5546875" style="305" hidden="1" customWidth="1"/>
    <col min="6680" max="6680" width="2.44140625" style="305" hidden="1" customWidth="1"/>
    <col min="6681" max="6684" width="2.5546875" style="305" hidden="1" customWidth="1"/>
    <col min="6685" max="6685" width="2.44140625" style="305" hidden="1" customWidth="1"/>
    <col min="6686" max="6689" width="2.5546875" style="305" hidden="1" customWidth="1"/>
    <col min="6690" max="6695" width="2.44140625" style="305" hidden="1" customWidth="1"/>
    <col min="6696" max="6696" width="1.5546875" style="305" hidden="1" customWidth="1"/>
    <col min="6697" max="6912" width="2.5546875" style="305" hidden="1"/>
    <col min="6913" max="6913" width="1.5546875" style="305" hidden="1" customWidth="1"/>
    <col min="6914" max="6914" width="0.88671875" style="305" hidden="1" customWidth="1"/>
    <col min="6915" max="6930" width="2.5546875" style="305" hidden="1" customWidth="1"/>
    <col min="6931" max="6931" width="4" style="305" hidden="1" customWidth="1"/>
    <col min="6932" max="6935" width="2.5546875" style="305" hidden="1" customWidth="1"/>
    <col min="6936" max="6936" width="2.44140625" style="305" hidden="1" customWidth="1"/>
    <col min="6937" max="6940" width="2.5546875" style="305" hidden="1" customWidth="1"/>
    <col min="6941" max="6941" width="2.44140625" style="305" hidden="1" customWidth="1"/>
    <col min="6942" max="6945" width="2.5546875" style="305" hidden="1" customWidth="1"/>
    <col min="6946" max="6951" width="2.44140625" style="305" hidden="1" customWidth="1"/>
    <col min="6952" max="6952" width="1.5546875" style="305" hidden="1" customWidth="1"/>
    <col min="6953" max="7168" width="2.5546875" style="305" hidden="1"/>
    <col min="7169" max="7169" width="1.5546875" style="305" hidden="1" customWidth="1"/>
    <col min="7170" max="7170" width="0.88671875" style="305" hidden="1" customWidth="1"/>
    <col min="7171" max="7186" width="2.5546875" style="305" hidden="1" customWidth="1"/>
    <col min="7187" max="7187" width="4" style="305" hidden="1" customWidth="1"/>
    <col min="7188" max="7191" width="2.5546875" style="305" hidden="1" customWidth="1"/>
    <col min="7192" max="7192" width="2.44140625" style="305" hidden="1" customWidth="1"/>
    <col min="7193" max="7196" width="2.5546875" style="305" hidden="1" customWidth="1"/>
    <col min="7197" max="7197" width="2.44140625" style="305" hidden="1" customWidth="1"/>
    <col min="7198" max="7201" width="2.5546875" style="305" hidden="1" customWidth="1"/>
    <col min="7202" max="7207" width="2.44140625" style="305" hidden="1" customWidth="1"/>
    <col min="7208" max="7208" width="1.5546875" style="305" hidden="1" customWidth="1"/>
    <col min="7209" max="7424" width="2.5546875" style="305" hidden="1"/>
    <col min="7425" max="7425" width="1.5546875" style="305" hidden="1" customWidth="1"/>
    <col min="7426" max="7426" width="0.88671875" style="305" hidden="1" customWidth="1"/>
    <col min="7427" max="7442" width="2.5546875" style="305" hidden="1" customWidth="1"/>
    <col min="7443" max="7443" width="4" style="305" hidden="1" customWidth="1"/>
    <col min="7444" max="7447" width="2.5546875" style="305" hidden="1" customWidth="1"/>
    <col min="7448" max="7448" width="2.44140625" style="305" hidden="1" customWidth="1"/>
    <col min="7449" max="7452" width="2.5546875" style="305" hidden="1" customWidth="1"/>
    <col min="7453" max="7453" width="2.44140625" style="305" hidden="1" customWidth="1"/>
    <col min="7454" max="7457" width="2.5546875" style="305" hidden="1" customWidth="1"/>
    <col min="7458" max="7463" width="2.44140625" style="305" hidden="1" customWidth="1"/>
    <col min="7464" max="7464" width="1.5546875" style="305" hidden="1" customWidth="1"/>
    <col min="7465" max="7680" width="2.5546875" style="305" hidden="1"/>
    <col min="7681" max="7681" width="1.5546875" style="305" hidden="1" customWidth="1"/>
    <col min="7682" max="7682" width="0.88671875" style="305" hidden="1" customWidth="1"/>
    <col min="7683" max="7698" width="2.5546875" style="305" hidden="1" customWidth="1"/>
    <col min="7699" max="7699" width="4" style="305" hidden="1" customWidth="1"/>
    <col min="7700" max="7703" width="2.5546875" style="305" hidden="1" customWidth="1"/>
    <col min="7704" max="7704" width="2.44140625" style="305" hidden="1" customWidth="1"/>
    <col min="7705" max="7708" width="2.5546875" style="305" hidden="1" customWidth="1"/>
    <col min="7709" max="7709" width="2.44140625" style="305" hidden="1" customWidth="1"/>
    <col min="7710" max="7713" width="2.5546875" style="305" hidden="1" customWidth="1"/>
    <col min="7714" max="7719" width="2.44140625" style="305" hidden="1" customWidth="1"/>
    <col min="7720" max="7720" width="1.5546875" style="305" hidden="1" customWidth="1"/>
    <col min="7721" max="7936" width="2.5546875" style="305" hidden="1"/>
    <col min="7937" max="7937" width="1.5546875" style="305" hidden="1" customWidth="1"/>
    <col min="7938" max="7938" width="0.88671875" style="305" hidden="1" customWidth="1"/>
    <col min="7939" max="7954" width="2.5546875" style="305" hidden="1" customWidth="1"/>
    <col min="7955" max="7955" width="4" style="305" hidden="1" customWidth="1"/>
    <col min="7956" max="7959" width="2.5546875" style="305" hidden="1" customWidth="1"/>
    <col min="7960" max="7960" width="2.44140625" style="305" hidden="1" customWidth="1"/>
    <col min="7961" max="7964" width="2.5546875" style="305" hidden="1" customWidth="1"/>
    <col min="7965" max="7965" width="2.44140625" style="305" hidden="1" customWidth="1"/>
    <col min="7966" max="7969" width="2.5546875" style="305" hidden="1" customWidth="1"/>
    <col min="7970" max="7975" width="2.44140625" style="305" hidden="1" customWidth="1"/>
    <col min="7976" max="7976" width="1.5546875" style="305" hidden="1" customWidth="1"/>
    <col min="7977" max="8192" width="2.5546875" style="305" hidden="1"/>
    <col min="8193" max="8193" width="1.5546875" style="305" hidden="1" customWidth="1"/>
    <col min="8194" max="8194" width="0.88671875" style="305" hidden="1" customWidth="1"/>
    <col min="8195" max="8210" width="2.5546875" style="305" hidden="1" customWidth="1"/>
    <col min="8211" max="8211" width="4" style="305" hidden="1" customWidth="1"/>
    <col min="8212" max="8215" width="2.5546875" style="305" hidden="1" customWidth="1"/>
    <col min="8216" max="8216" width="2.44140625" style="305" hidden="1" customWidth="1"/>
    <col min="8217" max="8220" width="2.5546875" style="305" hidden="1" customWidth="1"/>
    <col min="8221" max="8221" width="2.44140625" style="305" hidden="1" customWidth="1"/>
    <col min="8222" max="8225" width="2.5546875" style="305" hidden="1" customWidth="1"/>
    <col min="8226" max="8231" width="2.44140625" style="305" hidden="1" customWidth="1"/>
    <col min="8232" max="8232" width="1.5546875" style="305" hidden="1" customWidth="1"/>
    <col min="8233" max="8448" width="2.5546875" style="305" hidden="1"/>
    <col min="8449" max="8449" width="1.5546875" style="305" hidden="1" customWidth="1"/>
    <col min="8450" max="8450" width="0.88671875" style="305" hidden="1" customWidth="1"/>
    <col min="8451" max="8466" width="2.5546875" style="305" hidden="1" customWidth="1"/>
    <col min="8467" max="8467" width="4" style="305" hidden="1" customWidth="1"/>
    <col min="8468" max="8471" width="2.5546875" style="305" hidden="1" customWidth="1"/>
    <col min="8472" max="8472" width="2.44140625" style="305" hidden="1" customWidth="1"/>
    <col min="8473" max="8476" width="2.5546875" style="305" hidden="1" customWidth="1"/>
    <col min="8477" max="8477" width="2.44140625" style="305" hidden="1" customWidth="1"/>
    <col min="8478" max="8481" width="2.5546875" style="305" hidden="1" customWidth="1"/>
    <col min="8482" max="8487" width="2.44140625" style="305" hidden="1" customWidth="1"/>
    <col min="8488" max="8488" width="1.5546875" style="305" hidden="1" customWidth="1"/>
    <col min="8489" max="8704" width="2.5546875" style="305" hidden="1"/>
    <col min="8705" max="8705" width="1.5546875" style="305" hidden="1" customWidth="1"/>
    <col min="8706" max="8706" width="0.88671875" style="305" hidden="1" customWidth="1"/>
    <col min="8707" max="8722" width="2.5546875" style="305" hidden="1" customWidth="1"/>
    <col min="8723" max="8723" width="4" style="305" hidden="1" customWidth="1"/>
    <col min="8724" max="8727" width="2.5546875" style="305" hidden="1" customWidth="1"/>
    <col min="8728" max="8728" width="2.44140625" style="305" hidden="1" customWidth="1"/>
    <col min="8729" max="8732" width="2.5546875" style="305" hidden="1" customWidth="1"/>
    <col min="8733" max="8733" width="2.44140625" style="305" hidden="1" customWidth="1"/>
    <col min="8734" max="8737" width="2.5546875" style="305" hidden="1" customWidth="1"/>
    <col min="8738" max="8743" width="2.44140625" style="305" hidden="1" customWidth="1"/>
    <col min="8744" max="8744" width="1.5546875" style="305" hidden="1" customWidth="1"/>
    <col min="8745" max="8960" width="2.5546875" style="305" hidden="1"/>
    <col min="8961" max="8961" width="1.5546875" style="305" hidden="1" customWidth="1"/>
    <col min="8962" max="8962" width="0.88671875" style="305" hidden="1" customWidth="1"/>
    <col min="8963" max="8978" width="2.5546875" style="305" hidden="1" customWidth="1"/>
    <col min="8979" max="8979" width="4" style="305" hidden="1" customWidth="1"/>
    <col min="8980" max="8983" width="2.5546875" style="305" hidden="1" customWidth="1"/>
    <col min="8984" max="8984" width="2.44140625" style="305" hidden="1" customWidth="1"/>
    <col min="8985" max="8988" width="2.5546875" style="305" hidden="1" customWidth="1"/>
    <col min="8989" max="8989" width="2.44140625" style="305" hidden="1" customWidth="1"/>
    <col min="8990" max="8993" width="2.5546875" style="305" hidden="1" customWidth="1"/>
    <col min="8994" max="8999" width="2.44140625" style="305" hidden="1" customWidth="1"/>
    <col min="9000" max="9000" width="1.5546875" style="305" hidden="1" customWidth="1"/>
    <col min="9001" max="9216" width="2.5546875" style="305" hidden="1"/>
    <col min="9217" max="9217" width="1.5546875" style="305" hidden="1" customWidth="1"/>
    <col min="9218" max="9218" width="0.88671875" style="305" hidden="1" customWidth="1"/>
    <col min="9219" max="9234" width="2.5546875" style="305" hidden="1" customWidth="1"/>
    <col min="9235" max="9235" width="4" style="305" hidden="1" customWidth="1"/>
    <col min="9236" max="9239" width="2.5546875" style="305" hidden="1" customWidth="1"/>
    <col min="9240" max="9240" width="2.44140625" style="305" hidden="1" customWidth="1"/>
    <col min="9241" max="9244" width="2.5546875" style="305" hidden="1" customWidth="1"/>
    <col min="9245" max="9245" width="2.44140625" style="305" hidden="1" customWidth="1"/>
    <col min="9246" max="9249" width="2.5546875" style="305" hidden="1" customWidth="1"/>
    <col min="9250" max="9255" width="2.44140625" style="305" hidden="1" customWidth="1"/>
    <col min="9256" max="9256" width="1.5546875" style="305" hidden="1" customWidth="1"/>
    <col min="9257" max="9472" width="2.5546875" style="305" hidden="1"/>
    <col min="9473" max="9473" width="1.5546875" style="305" hidden="1" customWidth="1"/>
    <col min="9474" max="9474" width="0.88671875" style="305" hidden="1" customWidth="1"/>
    <col min="9475" max="9490" width="2.5546875" style="305" hidden="1" customWidth="1"/>
    <col min="9491" max="9491" width="4" style="305" hidden="1" customWidth="1"/>
    <col min="9492" max="9495" width="2.5546875" style="305" hidden="1" customWidth="1"/>
    <col min="9496" max="9496" width="2.44140625" style="305" hidden="1" customWidth="1"/>
    <col min="9497" max="9500" width="2.5546875" style="305" hidden="1" customWidth="1"/>
    <col min="9501" max="9501" width="2.44140625" style="305" hidden="1" customWidth="1"/>
    <col min="9502" max="9505" width="2.5546875" style="305" hidden="1" customWidth="1"/>
    <col min="9506" max="9511" width="2.44140625" style="305" hidden="1" customWidth="1"/>
    <col min="9512" max="9512" width="1.5546875" style="305" hidden="1" customWidth="1"/>
    <col min="9513" max="9728" width="2.5546875" style="305" hidden="1"/>
    <col min="9729" max="9729" width="1.5546875" style="305" hidden="1" customWidth="1"/>
    <col min="9730" max="9730" width="0.88671875" style="305" hidden="1" customWidth="1"/>
    <col min="9731" max="9746" width="2.5546875" style="305" hidden="1" customWidth="1"/>
    <col min="9747" max="9747" width="4" style="305" hidden="1" customWidth="1"/>
    <col min="9748" max="9751" width="2.5546875" style="305" hidden="1" customWidth="1"/>
    <col min="9752" max="9752" width="2.44140625" style="305" hidden="1" customWidth="1"/>
    <col min="9753" max="9756" width="2.5546875" style="305" hidden="1" customWidth="1"/>
    <col min="9757" max="9757" width="2.44140625" style="305" hidden="1" customWidth="1"/>
    <col min="9758" max="9761" width="2.5546875" style="305" hidden="1" customWidth="1"/>
    <col min="9762" max="9767" width="2.44140625" style="305" hidden="1" customWidth="1"/>
    <col min="9768" max="9768" width="1.5546875" style="305" hidden="1" customWidth="1"/>
    <col min="9769" max="9984" width="2.5546875" style="305" hidden="1"/>
    <col min="9985" max="9985" width="1.5546875" style="305" hidden="1" customWidth="1"/>
    <col min="9986" max="9986" width="0.88671875" style="305" hidden="1" customWidth="1"/>
    <col min="9987" max="10002" width="2.5546875" style="305" hidden="1" customWidth="1"/>
    <col min="10003" max="10003" width="4" style="305" hidden="1" customWidth="1"/>
    <col min="10004" max="10007" width="2.5546875" style="305" hidden="1" customWidth="1"/>
    <col min="10008" max="10008" width="2.44140625" style="305" hidden="1" customWidth="1"/>
    <col min="10009" max="10012" width="2.5546875" style="305" hidden="1" customWidth="1"/>
    <col min="10013" max="10013" width="2.44140625" style="305" hidden="1" customWidth="1"/>
    <col min="10014" max="10017" width="2.5546875" style="305" hidden="1" customWidth="1"/>
    <col min="10018" max="10023" width="2.44140625" style="305" hidden="1" customWidth="1"/>
    <col min="10024" max="10024" width="1.5546875" style="305" hidden="1" customWidth="1"/>
    <col min="10025" max="10240" width="2.5546875" style="305" hidden="1"/>
    <col min="10241" max="10241" width="1.5546875" style="305" hidden="1" customWidth="1"/>
    <col min="10242" max="10242" width="0.88671875" style="305" hidden="1" customWidth="1"/>
    <col min="10243" max="10258" width="2.5546875" style="305" hidden="1" customWidth="1"/>
    <col min="10259" max="10259" width="4" style="305" hidden="1" customWidth="1"/>
    <col min="10260" max="10263" width="2.5546875" style="305" hidden="1" customWidth="1"/>
    <col min="10264" max="10264" width="2.44140625" style="305" hidden="1" customWidth="1"/>
    <col min="10265" max="10268" width="2.5546875" style="305" hidden="1" customWidth="1"/>
    <col min="10269" max="10269" width="2.44140625" style="305" hidden="1" customWidth="1"/>
    <col min="10270" max="10273" width="2.5546875" style="305" hidden="1" customWidth="1"/>
    <col min="10274" max="10279" width="2.44140625" style="305" hidden="1" customWidth="1"/>
    <col min="10280" max="10280" width="1.5546875" style="305" hidden="1" customWidth="1"/>
    <col min="10281" max="10496" width="2.5546875" style="305" hidden="1"/>
    <col min="10497" max="10497" width="1.5546875" style="305" hidden="1" customWidth="1"/>
    <col min="10498" max="10498" width="0.88671875" style="305" hidden="1" customWidth="1"/>
    <col min="10499" max="10514" width="2.5546875" style="305" hidden="1" customWidth="1"/>
    <col min="10515" max="10515" width="4" style="305" hidden="1" customWidth="1"/>
    <col min="10516" max="10519" width="2.5546875" style="305" hidden="1" customWidth="1"/>
    <col min="10520" max="10520" width="2.44140625" style="305" hidden="1" customWidth="1"/>
    <col min="10521" max="10524" width="2.5546875" style="305" hidden="1" customWidth="1"/>
    <col min="10525" max="10525" width="2.44140625" style="305" hidden="1" customWidth="1"/>
    <col min="10526" max="10529" width="2.5546875" style="305" hidden="1" customWidth="1"/>
    <col min="10530" max="10535" width="2.44140625" style="305" hidden="1" customWidth="1"/>
    <col min="10536" max="10536" width="1.5546875" style="305" hidden="1" customWidth="1"/>
    <col min="10537" max="10752" width="2.5546875" style="305" hidden="1"/>
    <col min="10753" max="10753" width="1.5546875" style="305" hidden="1" customWidth="1"/>
    <col min="10754" max="10754" width="0.88671875" style="305" hidden="1" customWidth="1"/>
    <col min="10755" max="10770" width="2.5546875" style="305" hidden="1" customWidth="1"/>
    <col min="10771" max="10771" width="4" style="305" hidden="1" customWidth="1"/>
    <col min="10772" max="10775" width="2.5546875" style="305" hidden="1" customWidth="1"/>
    <col min="10776" max="10776" width="2.44140625" style="305" hidden="1" customWidth="1"/>
    <col min="10777" max="10780" width="2.5546875" style="305" hidden="1" customWidth="1"/>
    <col min="10781" max="10781" width="2.44140625" style="305" hidden="1" customWidth="1"/>
    <col min="10782" max="10785" width="2.5546875" style="305" hidden="1" customWidth="1"/>
    <col min="10786" max="10791" width="2.44140625" style="305" hidden="1" customWidth="1"/>
    <col min="10792" max="10792" width="1.5546875" style="305" hidden="1" customWidth="1"/>
    <col min="10793" max="11008" width="2.5546875" style="305" hidden="1"/>
    <col min="11009" max="11009" width="1.5546875" style="305" hidden="1" customWidth="1"/>
    <col min="11010" max="11010" width="0.88671875" style="305" hidden="1" customWidth="1"/>
    <col min="11011" max="11026" width="2.5546875" style="305" hidden="1" customWidth="1"/>
    <col min="11027" max="11027" width="4" style="305" hidden="1" customWidth="1"/>
    <col min="11028" max="11031" width="2.5546875" style="305" hidden="1" customWidth="1"/>
    <col min="11032" max="11032" width="2.44140625" style="305" hidden="1" customWidth="1"/>
    <col min="11033" max="11036" width="2.5546875" style="305" hidden="1" customWidth="1"/>
    <col min="11037" max="11037" width="2.44140625" style="305" hidden="1" customWidth="1"/>
    <col min="11038" max="11041" width="2.5546875" style="305" hidden="1" customWidth="1"/>
    <col min="11042" max="11047" width="2.44140625" style="305" hidden="1" customWidth="1"/>
    <col min="11048" max="11048" width="1.5546875" style="305" hidden="1" customWidth="1"/>
    <col min="11049" max="11264" width="2.5546875" style="305" hidden="1"/>
    <col min="11265" max="11265" width="1.5546875" style="305" hidden="1" customWidth="1"/>
    <col min="11266" max="11266" width="0.88671875" style="305" hidden="1" customWidth="1"/>
    <col min="11267" max="11282" width="2.5546875" style="305" hidden="1" customWidth="1"/>
    <col min="11283" max="11283" width="4" style="305" hidden="1" customWidth="1"/>
    <col min="11284" max="11287" width="2.5546875" style="305" hidden="1" customWidth="1"/>
    <col min="11288" max="11288" width="2.44140625" style="305" hidden="1" customWidth="1"/>
    <col min="11289" max="11292" width="2.5546875" style="305" hidden="1" customWidth="1"/>
    <col min="11293" max="11293" width="2.44140625" style="305" hidden="1" customWidth="1"/>
    <col min="11294" max="11297" width="2.5546875" style="305" hidden="1" customWidth="1"/>
    <col min="11298" max="11303" width="2.44140625" style="305" hidden="1" customWidth="1"/>
    <col min="11304" max="11304" width="1.5546875" style="305" hidden="1" customWidth="1"/>
    <col min="11305" max="11520" width="2.5546875" style="305" hidden="1"/>
    <col min="11521" max="11521" width="1.5546875" style="305" hidden="1" customWidth="1"/>
    <col min="11522" max="11522" width="0.88671875" style="305" hidden="1" customWidth="1"/>
    <col min="11523" max="11538" width="2.5546875" style="305" hidden="1" customWidth="1"/>
    <col min="11539" max="11539" width="4" style="305" hidden="1" customWidth="1"/>
    <col min="11540" max="11543" width="2.5546875" style="305" hidden="1" customWidth="1"/>
    <col min="11544" max="11544" width="2.44140625" style="305" hidden="1" customWidth="1"/>
    <col min="11545" max="11548" width="2.5546875" style="305" hidden="1" customWidth="1"/>
    <col min="11549" max="11549" width="2.44140625" style="305" hidden="1" customWidth="1"/>
    <col min="11550" max="11553" width="2.5546875" style="305" hidden="1" customWidth="1"/>
    <col min="11554" max="11559" width="2.44140625" style="305" hidden="1" customWidth="1"/>
    <col min="11560" max="11560" width="1.5546875" style="305" hidden="1" customWidth="1"/>
    <col min="11561" max="11776" width="2.5546875" style="305" hidden="1"/>
    <col min="11777" max="11777" width="1.5546875" style="305" hidden="1" customWidth="1"/>
    <col min="11778" max="11778" width="0.88671875" style="305" hidden="1" customWidth="1"/>
    <col min="11779" max="11794" width="2.5546875" style="305" hidden="1" customWidth="1"/>
    <col min="11795" max="11795" width="4" style="305" hidden="1" customWidth="1"/>
    <col min="11796" max="11799" width="2.5546875" style="305" hidden="1" customWidth="1"/>
    <col min="11800" max="11800" width="2.44140625" style="305" hidden="1" customWidth="1"/>
    <col min="11801" max="11804" width="2.5546875" style="305" hidden="1" customWidth="1"/>
    <col min="11805" max="11805" width="2.44140625" style="305" hidden="1" customWidth="1"/>
    <col min="11806" max="11809" width="2.5546875" style="305" hidden="1" customWidth="1"/>
    <col min="11810" max="11815" width="2.44140625" style="305" hidden="1" customWidth="1"/>
    <col min="11816" max="11816" width="1.5546875" style="305" hidden="1" customWidth="1"/>
    <col min="11817" max="12032" width="2.5546875" style="305" hidden="1"/>
    <col min="12033" max="12033" width="1.5546875" style="305" hidden="1" customWidth="1"/>
    <col min="12034" max="12034" width="0.88671875" style="305" hidden="1" customWidth="1"/>
    <col min="12035" max="12050" width="2.5546875" style="305" hidden="1" customWidth="1"/>
    <col min="12051" max="12051" width="4" style="305" hidden="1" customWidth="1"/>
    <col min="12052" max="12055" width="2.5546875" style="305" hidden="1" customWidth="1"/>
    <col min="12056" max="12056" width="2.44140625" style="305" hidden="1" customWidth="1"/>
    <col min="12057" max="12060" width="2.5546875" style="305" hidden="1" customWidth="1"/>
    <col min="12061" max="12061" width="2.44140625" style="305" hidden="1" customWidth="1"/>
    <col min="12062" max="12065" width="2.5546875" style="305" hidden="1" customWidth="1"/>
    <col min="12066" max="12071" width="2.44140625" style="305" hidden="1" customWidth="1"/>
    <col min="12072" max="12072" width="1.5546875" style="305" hidden="1" customWidth="1"/>
    <col min="12073" max="12288" width="2.5546875" style="305" hidden="1"/>
    <col min="12289" max="12289" width="1.5546875" style="305" hidden="1" customWidth="1"/>
    <col min="12290" max="12290" width="0.88671875" style="305" hidden="1" customWidth="1"/>
    <col min="12291" max="12306" width="2.5546875" style="305" hidden="1" customWidth="1"/>
    <col min="12307" max="12307" width="4" style="305" hidden="1" customWidth="1"/>
    <col min="12308" max="12311" width="2.5546875" style="305" hidden="1" customWidth="1"/>
    <col min="12312" max="12312" width="2.44140625" style="305" hidden="1" customWidth="1"/>
    <col min="12313" max="12316" width="2.5546875" style="305" hidden="1" customWidth="1"/>
    <col min="12317" max="12317" width="2.44140625" style="305" hidden="1" customWidth="1"/>
    <col min="12318" max="12321" width="2.5546875" style="305" hidden="1" customWidth="1"/>
    <col min="12322" max="12327" width="2.44140625" style="305" hidden="1" customWidth="1"/>
    <col min="12328" max="12328" width="1.5546875" style="305" hidden="1" customWidth="1"/>
    <col min="12329" max="12544" width="2.5546875" style="305" hidden="1"/>
    <col min="12545" max="12545" width="1.5546875" style="305" hidden="1" customWidth="1"/>
    <col min="12546" max="12546" width="0.88671875" style="305" hidden="1" customWidth="1"/>
    <col min="12547" max="12562" width="2.5546875" style="305" hidden="1" customWidth="1"/>
    <col min="12563" max="12563" width="4" style="305" hidden="1" customWidth="1"/>
    <col min="12564" max="12567" width="2.5546875" style="305" hidden="1" customWidth="1"/>
    <col min="12568" max="12568" width="2.44140625" style="305" hidden="1" customWidth="1"/>
    <col min="12569" max="12572" width="2.5546875" style="305" hidden="1" customWidth="1"/>
    <col min="12573" max="12573" width="2.44140625" style="305" hidden="1" customWidth="1"/>
    <col min="12574" max="12577" width="2.5546875" style="305" hidden="1" customWidth="1"/>
    <col min="12578" max="12583" width="2.44140625" style="305" hidden="1" customWidth="1"/>
    <col min="12584" max="12584" width="1.5546875" style="305" hidden="1" customWidth="1"/>
    <col min="12585" max="12800" width="2.5546875" style="305" hidden="1"/>
    <col min="12801" max="12801" width="1.5546875" style="305" hidden="1" customWidth="1"/>
    <col min="12802" max="12802" width="0.88671875" style="305" hidden="1" customWidth="1"/>
    <col min="12803" max="12818" width="2.5546875" style="305" hidden="1" customWidth="1"/>
    <col min="12819" max="12819" width="4" style="305" hidden="1" customWidth="1"/>
    <col min="12820" max="12823" width="2.5546875" style="305" hidden="1" customWidth="1"/>
    <col min="12824" max="12824" width="2.44140625" style="305" hidden="1" customWidth="1"/>
    <col min="12825" max="12828" width="2.5546875" style="305" hidden="1" customWidth="1"/>
    <col min="12829" max="12829" width="2.44140625" style="305" hidden="1" customWidth="1"/>
    <col min="12830" max="12833" width="2.5546875" style="305" hidden="1" customWidth="1"/>
    <col min="12834" max="12839" width="2.44140625" style="305" hidden="1" customWidth="1"/>
    <col min="12840" max="12840" width="1.5546875" style="305" hidden="1" customWidth="1"/>
    <col min="12841" max="13056" width="2.5546875" style="305" hidden="1"/>
    <col min="13057" max="13057" width="1.5546875" style="305" hidden="1" customWidth="1"/>
    <col min="13058" max="13058" width="0.88671875" style="305" hidden="1" customWidth="1"/>
    <col min="13059" max="13074" width="2.5546875" style="305" hidden="1" customWidth="1"/>
    <col min="13075" max="13075" width="4" style="305" hidden="1" customWidth="1"/>
    <col min="13076" max="13079" width="2.5546875" style="305" hidden="1" customWidth="1"/>
    <col min="13080" max="13080" width="2.44140625" style="305" hidden="1" customWidth="1"/>
    <col min="13081" max="13084" width="2.5546875" style="305" hidden="1" customWidth="1"/>
    <col min="13085" max="13085" width="2.44140625" style="305" hidden="1" customWidth="1"/>
    <col min="13086" max="13089" width="2.5546875" style="305" hidden="1" customWidth="1"/>
    <col min="13090" max="13095" width="2.44140625" style="305" hidden="1" customWidth="1"/>
    <col min="13096" max="13096" width="1.5546875" style="305" hidden="1" customWidth="1"/>
    <col min="13097" max="13312" width="2.5546875" style="305" hidden="1"/>
    <col min="13313" max="13313" width="1.5546875" style="305" hidden="1" customWidth="1"/>
    <col min="13314" max="13314" width="0.88671875" style="305" hidden="1" customWidth="1"/>
    <col min="13315" max="13330" width="2.5546875" style="305" hidden="1" customWidth="1"/>
    <col min="13331" max="13331" width="4" style="305" hidden="1" customWidth="1"/>
    <col min="13332" max="13335" width="2.5546875" style="305" hidden="1" customWidth="1"/>
    <col min="13336" max="13336" width="2.44140625" style="305" hidden="1" customWidth="1"/>
    <col min="13337" max="13340" width="2.5546875" style="305" hidden="1" customWidth="1"/>
    <col min="13341" max="13341" width="2.44140625" style="305" hidden="1" customWidth="1"/>
    <col min="13342" max="13345" width="2.5546875" style="305" hidden="1" customWidth="1"/>
    <col min="13346" max="13351" width="2.44140625" style="305" hidden="1" customWidth="1"/>
    <col min="13352" max="13352" width="1.5546875" style="305" hidden="1" customWidth="1"/>
    <col min="13353" max="13568" width="2.5546875" style="305" hidden="1"/>
    <col min="13569" max="13569" width="1.5546875" style="305" hidden="1" customWidth="1"/>
    <col min="13570" max="13570" width="0.88671875" style="305" hidden="1" customWidth="1"/>
    <col min="13571" max="13586" width="2.5546875" style="305" hidden="1" customWidth="1"/>
    <col min="13587" max="13587" width="4" style="305" hidden="1" customWidth="1"/>
    <col min="13588" max="13591" width="2.5546875" style="305" hidden="1" customWidth="1"/>
    <col min="13592" max="13592" width="2.44140625" style="305" hidden="1" customWidth="1"/>
    <col min="13593" max="13596" width="2.5546875" style="305" hidden="1" customWidth="1"/>
    <col min="13597" max="13597" width="2.44140625" style="305" hidden="1" customWidth="1"/>
    <col min="13598" max="13601" width="2.5546875" style="305" hidden="1" customWidth="1"/>
    <col min="13602" max="13607" width="2.44140625" style="305" hidden="1" customWidth="1"/>
    <col min="13608" max="13608" width="1.5546875" style="305" hidden="1" customWidth="1"/>
    <col min="13609" max="13824" width="2.5546875" style="305" hidden="1"/>
    <col min="13825" max="13825" width="1.5546875" style="305" hidden="1" customWidth="1"/>
    <col min="13826" max="13826" width="0.88671875" style="305" hidden="1" customWidth="1"/>
    <col min="13827" max="13842" width="2.5546875" style="305" hidden="1" customWidth="1"/>
    <col min="13843" max="13843" width="4" style="305" hidden="1" customWidth="1"/>
    <col min="13844" max="13847" width="2.5546875" style="305" hidden="1" customWidth="1"/>
    <col min="13848" max="13848" width="2.44140625" style="305" hidden="1" customWidth="1"/>
    <col min="13849" max="13852" width="2.5546875" style="305" hidden="1" customWidth="1"/>
    <col min="13853" max="13853" width="2.44140625" style="305" hidden="1" customWidth="1"/>
    <col min="13854" max="13857" width="2.5546875" style="305" hidden="1" customWidth="1"/>
    <col min="13858" max="13863" width="2.44140625" style="305" hidden="1" customWidth="1"/>
    <col min="13864" max="13864" width="1.5546875" style="305" hidden="1" customWidth="1"/>
    <col min="13865" max="14080" width="2.5546875" style="305" hidden="1"/>
    <col min="14081" max="14081" width="1.5546875" style="305" hidden="1" customWidth="1"/>
    <col min="14082" max="14082" width="0.88671875" style="305" hidden="1" customWidth="1"/>
    <col min="14083" max="14098" width="2.5546875" style="305" hidden="1" customWidth="1"/>
    <col min="14099" max="14099" width="4" style="305" hidden="1" customWidth="1"/>
    <col min="14100" max="14103" width="2.5546875" style="305" hidden="1" customWidth="1"/>
    <col min="14104" max="14104" width="2.44140625" style="305" hidden="1" customWidth="1"/>
    <col min="14105" max="14108" width="2.5546875" style="305" hidden="1" customWidth="1"/>
    <col min="14109" max="14109" width="2.44140625" style="305" hidden="1" customWidth="1"/>
    <col min="14110" max="14113" width="2.5546875" style="305" hidden="1" customWidth="1"/>
    <col min="14114" max="14119" width="2.44140625" style="305" hidden="1" customWidth="1"/>
    <col min="14120" max="14120" width="1.5546875" style="305" hidden="1" customWidth="1"/>
    <col min="14121" max="14336" width="2.5546875" style="305" hidden="1"/>
    <col min="14337" max="14337" width="1.5546875" style="305" hidden="1" customWidth="1"/>
    <col min="14338" max="14338" width="0.88671875" style="305" hidden="1" customWidth="1"/>
    <col min="14339" max="14354" width="2.5546875" style="305" hidden="1" customWidth="1"/>
    <col min="14355" max="14355" width="4" style="305" hidden="1" customWidth="1"/>
    <col min="14356" max="14359" width="2.5546875" style="305" hidden="1" customWidth="1"/>
    <col min="14360" max="14360" width="2.44140625" style="305" hidden="1" customWidth="1"/>
    <col min="14361" max="14364" width="2.5546875" style="305" hidden="1" customWidth="1"/>
    <col min="14365" max="14365" width="2.44140625" style="305" hidden="1" customWidth="1"/>
    <col min="14366" max="14369" width="2.5546875" style="305" hidden="1" customWidth="1"/>
    <col min="14370" max="14375" width="2.44140625" style="305" hidden="1" customWidth="1"/>
    <col min="14376" max="14376" width="1.5546875" style="305" hidden="1" customWidth="1"/>
    <col min="14377" max="14592" width="2.5546875" style="305" hidden="1"/>
    <col min="14593" max="14593" width="1.5546875" style="305" hidden="1" customWidth="1"/>
    <col min="14594" max="14594" width="0.88671875" style="305" hidden="1" customWidth="1"/>
    <col min="14595" max="14610" width="2.5546875" style="305" hidden="1" customWidth="1"/>
    <col min="14611" max="14611" width="4" style="305" hidden="1" customWidth="1"/>
    <col min="14612" max="14615" width="2.5546875" style="305" hidden="1" customWidth="1"/>
    <col min="14616" max="14616" width="2.44140625" style="305" hidden="1" customWidth="1"/>
    <col min="14617" max="14620" width="2.5546875" style="305" hidden="1" customWidth="1"/>
    <col min="14621" max="14621" width="2.44140625" style="305" hidden="1" customWidth="1"/>
    <col min="14622" max="14625" width="2.5546875" style="305" hidden="1" customWidth="1"/>
    <col min="14626" max="14631" width="2.44140625" style="305" hidden="1" customWidth="1"/>
    <col min="14632" max="14632" width="1.5546875" style="305" hidden="1" customWidth="1"/>
    <col min="14633" max="14848" width="2.5546875" style="305" hidden="1"/>
    <col min="14849" max="14849" width="1.5546875" style="305" hidden="1" customWidth="1"/>
    <col min="14850" max="14850" width="0.88671875" style="305" hidden="1" customWidth="1"/>
    <col min="14851" max="14866" width="2.5546875" style="305" hidden="1" customWidth="1"/>
    <col min="14867" max="14867" width="4" style="305" hidden="1" customWidth="1"/>
    <col min="14868" max="14871" width="2.5546875" style="305" hidden="1" customWidth="1"/>
    <col min="14872" max="14872" width="2.44140625" style="305" hidden="1" customWidth="1"/>
    <col min="14873" max="14876" width="2.5546875" style="305" hidden="1" customWidth="1"/>
    <col min="14877" max="14877" width="2.44140625" style="305" hidden="1" customWidth="1"/>
    <col min="14878" max="14881" width="2.5546875" style="305" hidden="1" customWidth="1"/>
    <col min="14882" max="14887" width="2.44140625" style="305" hidden="1" customWidth="1"/>
    <col min="14888" max="14888" width="1.5546875" style="305" hidden="1" customWidth="1"/>
    <col min="14889" max="15104" width="2.5546875" style="305" hidden="1"/>
    <col min="15105" max="15105" width="1.5546875" style="305" hidden="1" customWidth="1"/>
    <col min="15106" max="15106" width="0.88671875" style="305" hidden="1" customWidth="1"/>
    <col min="15107" max="15122" width="2.5546875" style="305" hidden="1" customWidth="1"/>
    <col min="15123" max="15123" width="4" style="305" hidden="1" customWidth="1"/>
    <col min="15124" max="15127" width="2.5546875" style="305" hidden="1" customWidth="1"/>
    <col min="15128" max="15128" width="2.44140625" style="305" hidden="1" customWidth="1"/>
    <col min="15129" max="15132" width="2.5546875" style="305" hidden="1" customWidth="1"/>
    <col min="15133" max="15133" width="2.44140625" style="305" hidden="1" customWidth="1"/>
    <col min="15134" max="15137" width="2.5546875" style="305" hidden="1" customWidth="1"/>
    <col min="15138" max="15143" width="2.44140625" style="305" hidden="1" customWidth="1"/>
    <col min="15144" max="15144" width="1.5546875" style="305" hidden="1" customWidth="1"/>
    <col min="15145" max="15360" width="2.5546875" style="305" hidden="1"/>
    <col min="15361" max="15361" width="1.5546875" style="305" hidden="1" customWidth="1"/>
    <col min="15362" max="15362" width="0.88671875" style="305" hidden="1" customWidth="1"/>
    <col min="15363" max="15378" width="2.5546875" style="305" hidden="1" customWidth="1"/>
    <col min="15379" max="15379" width="4" style="305" hidden="1" customWidth="1"/>
    <col min="15380" max="15383" width="2.5546875" style="305" hidden="1" customWidth="1"/>
    <col min="15384" max="15384" width="2.44140625" style="305" hidden="1" customWidth="1"/>
    <col min="15385" max="15388" width="2.5546875" style="305" hidden="1" customWidth="1"/>
    <col min="15389" max="15389" width="2.44140625" style="305" hidden="1" customWidth="1"/>
    <col min="15390" max="15393" width="2.5546875" style="305" hidden="1" customWidth="1"/>
    <col min="15394" max="15399" width="2.44140625" style="305" hidden="1" customWidth="1"/>
    <col min="15400" max="15400" width="1.5546875" style="305" hidden="1" customWidth="1"/>
    <col min="15401" max="15616" width="2.5546875" style="305" hidden="1"/>
    <col min="15617" max="15617" width="1.5546875" style="305" hidden="1" customWidth="1"/>
    <col min="15618" max="15618" width="0.88671875" style="305" hidden="1" customWidth="1"/>
    <col min="15619" max="15634" width="2.5546875" style="305" hidden="1" customWidth="1"/>
    <col min="15635" max="15635" width="4" style="305" hidden="1" customWidth="1"/>
    <col min="15636" max="15639" width="2.5546875" style="305" hidden="1" customWidth="1"/>
    <col min="15640" max="15640" width="2.44140625" style="305" hidden="1" customWidth="1"/>
    <col min="15641" max="15644" width="2.5546875" style="305" hidden="1" customWidth="1"/>
    <col min="15645" max="15645" width="2.44140625" style="305" hidden="1" customWidth="1"/>
    <col min="15646" max="15649" width="2.5546875" style="305" hidden="1" customWidth="1"/>
    <col min="15650" max="15655" width="2.44140625" style="305" hidden="1" customWidth="1"/>
    <col min="15656" max="15656" width="1.5546875" style="305" hidden="1" customWidth="1"/>
    <col min="15657" max="15872" width="2.5546875" style="305" hidden="1"/>
    <col min="15873" max="15873" width="1.5546875" style="305" hidden="1" customWidth="1"/>
    <col min="15874" max="15874" width="0.88671875" style="305" hidden="1" customWidth="1"/>
    <col min="15875" max="15890" width="2.5546875" style="305" hidden="1" customWidth="1"/>
    <col min="15891" max="15891" width="4" style="305" hidden="1" customWidth="1"/>
    <col min="15892" max="15895" width="2.5546875" style="305" hidden="1" customWidth="1"/>
    <col min="15896" max="15896" width="2.44140625" style="305" hidden="1" customWidth="1"/>
    <col min="15897" max="15900" width="2.5546875" style="305" hidden="1" customWidth="1"/>
    <col min="15901" max="15901" width="2.44140625" style="305" hidden="1" customWidth="1"/>
    <col min="15902" max="15905" width="2.5546875" style="305" hidden="1" customWidth="1"/>
    <col min="15906" max="15911" width="2.44140625" style="305" hidden="1" customWidth="1"/>
    <col min="15912" max="15912" width="1.5546875" style="305" hidden="1" customWidth="1"/>
    <col min="15913" max="16128" width="2.5546875" style="305" hidden="1"/>
    <col min="16129" max="16129" width="1.5546875" style="305" hidden="1" customWidth="1"/>
    <col min="16130" max="16130" width="0.88671875" style="305" hidden="1" customWidth="1"/>
    <col min="16131" max="16146" width="2.5546875" style="305" hidden="1" customWidth="1"/>
    <col min="16147" max="16147" width="4" style="305" hidden="1" customWidth="1"/>
    <col min="16148" max="16151" width="2.5546875" style="305" hidden="1" customWidth="1"/>
    <col min="16152" max="16152" width="2.44140625" style="305" hidden="1" customWidth="1"/>
    <col min="16153" max="16156" width="2.5546875" style="305" hidden="1" customWidth="1"/>
    <col min="16157" max="16157" width="2.44140625" style="305" hidden="1" customWidth="1"/>
    <col min="16158" max="16161" width="2.5546875" style="305" hidden="1" customWidth="1"/>
    <col min="16162" max="16167" width="2.44140625" style="305" hidden="1" customWidth="1"/>
    <col min="16168" max="16168" width="1.5546875" style="305" hidden="1" customWidth="1"/>
    <col min="16169" max="16384" width="2.5546875" style="305" hidden="1"/>
  </cols>
  <sheetData>
    <row r="1" spans="1:40" ht="12.9" customHeight="1">
      <c r="A1" s="2288" t="s">
        <v>2077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2.9" customHeight="1"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2.9"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 customHeight="1">
      <c r="A4" s="307"/>
    </row>
    <row r="5" spans="1:40" ht="12.9" customHeight="1">
      <c r="A5" s="307" t="s">
        <v>881</v>
      </c>
      <c r="C5" s="307" t="s">
        <v>270</v>
      </c>
      <c r="F5" s="307"/>
    </row>
    <row r="6" spans="1:40" ht="12.9" customHeight="1">
      <c r="A6" s="307"/>
      <c r="C6" s="305" t="s">
        <v>2078</v>
      </c>
    </row>
    <row r="7" spans="1:40" ht="12.9" customHeight="1">
      <c r="B7" s="308"/>
      <c r="C7" s="309"/>
      <c r="D7" s="309"/>
      <c r="E7" s="309"/>
      <c r="F7" s="309"/>
      <c r="G7" s="309"/>
      <c r="H7" s="309"/>
      <c r="I7" s="309"/>
      <c r="J7" s="309"/>
      <c r="K7" s="309"/>
      <c r="L7" s="309"/>
      <c r="M7" s="309"/>
      <c r="N7" s="309"/>
      <c r="O7" s="309"/>
      <c r="P7" s="309"/>
      <c r="Q7" s="309"/>
      <c r="R7" s="309"/>
      <c r="S7" s="309"/>
      <c r="T7" s="2290" t="str">
        <f xml:space="preserve"> IF(T25=100%,'Sources and Basis Breakdown'!G2,'Sources and Basis Breakdown'!F2)</f>
        <v>30% PVC for New Const/
Rehabilitation
DDA/QCT
Building(s)</v>
      </c>
      <c r="U7" s="2290"/>
      <c r="V7" s="2290"/>
      <c r="W7" s="2290"/>
      <c r="X7" s="2290"/>
      <c r="Y7" s="2290" t="str">
        <f>IF(T25=100%,"",'Sources and Basis Breakdown'!G2)</f>
        <v>30% PVC for New Const/
Rehabilitation
NON-DDA/
NON-QCT Building(s)</v>
      </c>
      <c r="Z7" s="2290"/>
      <c r="AA7" s="2290"/>
      <c r="AB7" s="2290"/>
      <c r="AC7" s="2290"/>
      <c r="AD7" s="2290" t="str">
        <f xml:space="preserve"> IF(T25=100%, 'Sources and Basis Breakdown'!J2,'Sources and Basis Breakdown'!I2)</f>
        <v>30% PVC for Acquisition
DDA/QCT Building(s)</v>
      </c>
      <c r="AE7" s="2290"/>
      <c r="AF7" s="2290"/>
      <c r="AG7" s="2290"/>
      <c r="AH7" s="2290"/>
      <c r="AI7" s="2290" t="str">
        <f>IF(T25=100%,"",'Sources and Basis Breakdown'!J2)</f>
        <v>30% PVC for Acquisition
NON-DDA/
NON-QCT Building(s)</v>
      </c>
      <c r="AJ7" s="2290"/>
      <c r="AK7" s="2290"/>
      <c r="AL7" s="2290"/>
      <c r="AM7" s="2290"/>
    </row>
    <row r="8" spans="1:40" ht="12.9" customHeight="1">
      <c r="B8" s="310"/>
      <c r="T8" s="2290"/>
      <c r="U8" s="2290"/>
      <c r="V8" s="2290"/>
      <c r="W8" s="2290"/>
      <c r="X8" s="2290"/>
      <c r="Y8" s="2290"/>
      <c r="Z8" s="2290"/>
      <c r="AA8" s="2290"/>
      <c r="AB8" s="2290"/>
      <c r="AC8" s="2290"/>
      <c r="AD8" s="2290"/>
      <c r="AE8" s="2290"/>
      <c r="AF8" s="2290"/>
      <c r="AG8" s="2290"/>
      <c r="AH8" s="2290"/>
      <c r="AI8" s="2290"/>
      <c r="AJ8" s="2290"/>
      <c r="AK8" s="2290"/>
      <c r="AL8" s="2290"/>
      <c r="AM8" s="2290"/>
    </row>
    <row r="9" spans="1:40" ht="12.9" customHeight="1">
      <c r="B9" s="310"/>
      <c r="T9" s="2290"/>
      <c r="U9" s="2290"/>
      <c r="V9" s="2290"/>
      <c r="W9" s="2290"/>
      <c r="X9" s="2290"/>
      <c r="Y9" s="2290"/>
      <c r="Z9" s="2290"/>
      <c r="AA9" s="2290"/>
      <c r="AB9" s="2290"/>
      <c r="AC9" s="2290"/>
      <c r="AD9" s="2290"/>
      <c r="AE9" s="2290"/>
      <c r="AF9" s="2290"/>
      <c r="AG9" s="2290"/>
      <c r="AH9" s="2290"/>
      <c r="AI9" s="2290"/>
      <c r="AJ9" s="2290"/>
      <c r="AK9" s="2290"/>
      <c r="AL9" s="2290"/>
      <c r="AM9" s="2290"/>
    </row>
    <row r="10" spans="1:40" ht="12.9" customHeight="1">
      <c r="B10" s="311"/>
      <c r="C10" s="312"/>
      <c r="D10" s="312"/>
      <c r="E10" s="312"/>
      <c r="F10" s="312"/>
      <c r="G10" s="312"/>
      <c r="H10" s="312"/>
      <c r="I10" s="312"/>
      <c r="J10" s="312"/>
      <c r="K10" s="312"/>
      <c r="L10" s="312"/>
      <c r="M10" s="312"/>
      <c r="N10" s="312"/>
      <c r="O10" s="312"/>
      <c r="P10" s="312"/>
      <c r="Q10" s="312"/>
      <c r="R10" s="312"/>
      <c r="S10" s="312"/>
      <c r="T10" s="2290"/>
      <c r="U10" s="2290"/>
      <c r="V10" s="2290"/>
      <c r="W10" s="2290"/>
      <c r="X10" s="2290"/>
      <c r="Y10" s="2290"/>
      <c r="Z10" s="2290"/>
      <c r="AA10" s="2290"/>
      <c r="AB10" s="2290"/>
      <c r="AC10" s="2290"/>
      <c r="AD10" s="2290"/>
      <c r="AE10" s="2290"/>
      <c r="AF10" s="2290"/>
      <c r="AG10" s="2290"/>
      <c r="AH10" s="2290"/>
      <c r="AI10" s="2290"/>
      <c r="AJ10" s="2290"/>
      <c r="AK10" s="2290"/>
      <c r="AL10" s="2290"/>
      <c r="AM10" s="2290"/>
    </row>
    <row r="11" spans="1:40" ht="12.9" customHeight="1">
      <c r="B11" s="2269" t="s">
        <v>1896</v>
      </c>
      <c r="C11" s="2270"/>
      <c r="D11" s="2270"/>
      <c r="E11" s="2270"/>
      <c r="F11" s="2270"/>
      <c r="G11" s="2270"/>
      <c r="H11" s="2270"/>
      <c r="I11" s="2270"/>
      <c r="J11" s="2270"/>
      <c r="K11" s="2270"/>
      <c r="L11" s="2270"/>
      <c r="M11" s="2270"/>
      <c r="N11" s="2270"/>
      <c r="O11" s="2270"/>
      <c r="P11" s="2270"/>
      <c r="Q11" s="2270"/>
      <c r="R11" s="2270"/>
      <c r="S11" s="2271"/>
      <c r="T11" s="2291">
        <f>IF('Sources and Basis Breakdown'!F107=0,'Sources and Basis Breakdown'!E107,'Sources and Basis Breakdown'!F107)</f>
        <v>28450618</v>
      </c>
      <c r="U11" s="2292"/>
      <c r="V11" s="2292"/>
      <c r="W11" s="2292"/>
      <c r="X11" s="2292"/>
      <c r="Y11" s="2291">
        <f>IF(Y7="",0,IF('Sources and Basis Breakdown'!G107+'Sources and Basis Breakdown'!F107='Sources and Basis Breakdown'!E107,'Sources and Basis Breakdown'!G107,0))</f>
        <v>0</v>
      </c>
      <c r="Z11" s="2292"/>
      <c r="AA11" s="2292"/>
      <c r="AB11" s="2292"/>
      <c r="AC11" s="2292"/>
      <c r="AD11" s="2292">
        <f>IF('Sources and Basis Breakdown'!I107=0,'Sources and Basis Breakdown'!H107,'Sources and Basis Breakdown'!I107)</f>
        <v>51000000</v>
      </c>
      <c r="AE11" s="2292"/>
      <c r="AF11" s="2292"/>
      <c r="AG11" s="2292"/>
      <c r="AH11" s="2292"/>
      <c r="AI11" s="2292">
        <f>IF(Y7="",0,IF('Sources and Basis Breakdown'!I107+'Sources and Basis Breakdown'!J107='Sources and Basis Breakdown'!H107,'Sources and Basis Breakdown'!J107,0))</f>
        <v>0</v>
      </c>
      <c r="AJ11" s="2292"/>
      <c r="AK11" s="2292"/>
      <c r="AL11" s="2292"/>
      <c r="AM11" s="2292"/>
    </row>
    <row r="12" spans="1:40" ht="12.9" customHeight="1">
      <c r="B12" s="2284" t="s">
        <v>2079</v>
      </c>
      <c r="C12" s="1255"/>
      <c r="D12" s="1255"/>
      <c r="E12" s="1255"/>
      <c r="F12" s="1255"/>
      <c r="G12" s="1255"/>
      <c r="H12" s="1255"/>
      <c r="I12" s="1255"/>
      <c r="J12" s="1255"/>
      <c r="K12" s="1255"/>
      <c r="L12" s="1255"/>
      <c r="M12" s="1255"/>
      <c r="N12" s="1255"/>
      <c r="O12" s="1255"/>
      <c r="P12" s="1255"/>
      <c r="Q12" s="1255"/>
      <c r="R12" s="1255"/>
      <c r="S12" s="2285"/>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9" customHeight="1">
      <c r="B13" s="338"/>
      <c r="C13" s="2286" t="s">
        <v>2080</v>
      </c>
      <c r="D13" s="2286"/>
      <c r="E13" s="2286"/>
      <c r="F13" s="2286"/>
      <c r="G13" s="2286"/>
      <c r="H13" s="2286"/>
      <c r="I13" s="2286"/>
      <c r="J13" s="2286"/>
      <c r="K13" s="2286"/>
      <c r="L13" s="2286"/>
      <c r="M13" s="2286"/>
      <c r="N13" s="2286"/>
      <c r="O13" s="2286"/>
      <c r="P13" s="2286"/>
      <c r="Q13" s="2286"/>
      <c r="R13" s="2286"/>
      <c r="S13" s="2287"/>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2.9" customHeight="1">
      <c r="B14" s="338"/>
      <c r="C14" s="2286" t="s">
        <v>2081</v>
      </c>
      <c r="D14" s="2286"/>
      <c r="E14" s="2286"/>
      <c r="F14" s="2286"/>
      <c r="G14" s="2286"/>
      <c r="H14" s="2286"/>
      <c r="I14" s="2286"/>
      <c r="J14" s="2286"/>
      <c r="K14" s="2286"/>
      <c r="L14" s="2286"/>
      <c r="M14" s="2286"/>
      <c r="N14" s="2286"/>
      <c r="O14" s="2286"/>
      <c r="P14" s="2286"/>
      <c r="Q14" s="2286"/>
      <c r="R14" s="2286"/>
      <c r="S14" s="2287"/>
      <c r="T14" s="2260"/>
      <c r="U14" s="2261"/>
      <c r="V14" s="2261"/>
      <c r="W14" s="2261"/>
      <c r="X14" s="2261"/>
      <c r="Y14" s="2260"/>
      <c r="Z14" s="2261"/>
      <c r="AA14" s="2261"/>
      <c r="AB14" s="2261"/>
      <c r="AC14" s="2261"/>
      <c r="AD14" s="2261"/>
      <c r="AE14" s="2261"/>
      <c r="AF14" s="2261"/>
      <c r="AG14" s="2261"/>
      <c r="AH14" s="2261"/>
      <c r="AI14" s="2261"/>
      <c r="AJ14" s="2261"/>
      <c r="AK14" s="2261"/>
      <c r="AL14" s="2261"/>
      <c r="AM14" s="2261"/>
    </row>
    <row r="15" spans="1:40" ht="12.9" customHeight="1">
      <c r="B15" s="338"/>
      <c r="C15" s="2286" t="s">
        <v>2082</v>
      </c>
      <c r="D15" s="2286"/>
      <c r="E15" s="2286"/>
      <c r="F15" s="2286"/>
      <c r="G15" s="2286"/>
      <c r="H15" s="2286"/>
      <c r="I15" s="2286"/>
      <c r="J15" s="2286"/>
      <c r="K15" s="2286"/>
      <c r="L15" s="2286"/>
      <c r="M15" s="2286"/>
      <c r="N15" s="2286"/>
      <c r="O15" s="2286"/>
      <c r="P15" s="2286"/>
      <c r="Q15" s="2286"/>
      <c r="R15" s="2286"/>
      <c r="S15" s="2287"/>
      <c r="T15" s="2260"/>
      <c r="U15" s="2261"/>
      <c r="V15" s="2261"/>
      <c r="W15" s="2261"/>
      <c r="X15" s="2261"/>
      <c r="Y15" s="2260"/>
      <c r="Z15" s="2261"/>
      <c r="AA15" s="2261"/>
      <c r="AB15" s="2261"/>
      <c r="AC15" s="2261"/>
      <c r="AD15" s="2261"/>
      <c r="AE15" s="2261"/>
      <c r="AF15" s="2261"/>
      <c r="AG15" s="2261"/>
      <c r="AH15" s="2261"/>
      <c r="AI15" s="2261"/>
      <c r="AJ15" s="2261"/>
      <c r="AK15" s="2261"/>
      <c r="AL15" s="2261"/>
      <c r="AM15" s="2261"/>
    </row>
    <row r="16" spans="1:40" ht="12.9" customHeight="1">
      <c r="B16" s="338"/>
      <c r="C16" s="2286" t="s">
        <v>2083</v>
      </c>
      <c r="D16" s="2286"/>
      <c r="E16" s="2286"/>
      <c r="F16" s="2286"/>
      <c r="G16" s="2286"/>
      <c r="H16" s="2286"/>
      <c r="I16" s="2286"/>
      <c r="J16" s="2286"/>
      <c r="K16" s="2286"/>
      <c r="L16" s="2286"/>
      <c r="M16" s="2286"/>
      <c r="N16" s="2286"/>
      <c r="O16" s="2286"/>
      <c r="P16" s="2286"/>
      <c r="Q16" s="2286"/>
      <c r="R16" s="2286"/>
      <c r="S16" s="2287"/>
      <c r="T16" s="2260"/>
      <c r="U16" s="2261"/>
      <c r="V16" s="2261"/>
      <c r="W16" s="2261"/>
      <c r="X16" s="2261"/>
      <c r="Y16" s="2260"/>
      <c r="Z16" s="2261"/>
      <c r="AA16" s="2261"/>
      <c r="AB16" s="2261"/>
      <c r="AC16" s="2261"/>
      <c r="AD16" s="2261"/>
      <c r="AE16" s="2261"/>
      <c r="AF16" s="2261"/>
      <c r="AG16" s="2261"/>
      <c r="AH16" s="2261"/>
      <c r="AI16" s="2261"/>
      <c r="AJ16" s="2261"/>
      <c r="AK16" s="2261"/>
      <c r="AL16" s="2261"/>
      <c r="AM16" s="2261"/>
    </row>
    <row r="17" spans="1:40" ht="12.9" customHeight="1">
      <c r="B17" s="338"/>
      <c r="C17" s="2286" t="s">
        <v>2084</v>
      </c>
      <c r="D17" s="2286"/>
      <c r="E17" s="2286"/>
      <c r="F17" s="2286"/>
      <c r="G17" s="2286"/>
      <c r="H17" s="2286"/>
      <c r="I17" s="2286"/>
      <c r="J17" s="2286"/>
      <c r="K17" s="2286"/>
      <c r="L17" s="2286"/>
      <c r="M17" s="2286"/>
      <c r="N17" s="2286"/>
      <c r="O17" s="2286"/>
      <c r="P17" s="2286"/>
      <c r="Q17" s="2286"/>
      <c r="R17" s="2286"/>
      <c r="S17" s="2287"/>
      <c r="T17" s="2260"/>
      <c r="U17" s="2261"/>
      <c r="V17" s="2261"/>
      <c r="W17" s="2261"/>
      <c r="X17" s="2261"/>
      <c r="Y17" s="2260"/>
      <c r="Z17" s="2261"/>
      <c r="AA17" s="2261"/>
      <c r="AB17" s="2261"/>
      <c r="AC17" s="2261"/>
      <c r="AD17" s="2261"/>
      <c r="AE17" s="2261"/>
      <c r="AF17" s="2261"/>
      <c r="AG17" s="2261"/>
      <c r="AH17" s="2261"/>
      <c r="AI17" s="2261"/>
      <c r="AJ17" s="2261"/>
      <c r="AK17" s="2261"/>
      <c r="AL17" s="2261"/>
      <c r="AM17" s="2261"/>
    </row>
    <row r="18" spans="1:40" ht="12.9" customHeight="1">
      <c r="A18"/>
      <c r="B18" s="1032"/>
      <c r="C18" s="1762" t="s">
        <v>2085</v>
      </c>
      <c r="D18" s="1762"/>
      <c r="E18" s="1762"/>
      <c r="F18" s="1762"/>
      <c r="G18" s="1762"/>
      <c r="H18" s="1762"/>
      <c r="I18" s="1762"/>
      <c r="J18" s="1762"/>
      <c r="K18" s="1762"/>
      <c r="L18" s="1762"/>
      <c r="M18" s="1762"/>
      <c r="N18" s="1762"/>
      <c r="O18" s="1762"/>
      <c r="P18" s="1762"/>
      <c r="Q18" s="1762"/>
      <c r="R18" s="1762"/>
      <c r="S18" s="1763"/>
      <c r="T18" s="2260"/>
      <c r="U18" s="2261"/>
      <c r="V18" s="2261"/>
      <c r="W18" s="2261"/>
      <c r="X18" s="2261"/>
      <c r="Y18" s="2260"/>
      <c r="Z18" s="2261"/>
      <c r="AA18" s="2261"/>
      <c r="AB18" s="2261"/>
      <c r="AC18" s="2261"/>
      <c r="AD18" s="2261"/>
      <c r="AE18" s="2261"/>
      <c r="AF18" s="2261"/>
      <c r="AG18" s="2261"/>
      <c r="AH18" s="2261"/>
      <c r="AI18" s="2261"/>
      <c r="AJ18" s="2261"/>
      <c r="AK18" s="2261"/>
      <c r="AL18" s="2261"/>
      <c r="AM18" s="2261"/>
    </row>
    <row r="19" spans="1:40" ht="12.9" customHeight="1">
      <c r="B19" s="1032"/>
      <c r="C19" s="1762" t="s">
        <v>2085</v>
      </c>
      <c r="D19" s="1762"/>
      <c r="E19" s="1762"/>
      <c r="F19" s="1762"/>
      <c r="G19" s="1762"/>
      <c r="H19" s="1762"/>
      <c r="I19" s="1762"/>
      <c r="J19" s="1762"/>
      <c r="K19" s="1762"/>
      <c r="L19" s="1762"/>
      <c r="M19" s="1762"/>
      <c r="N19" s="1762"/>
      <c r="O19" s="1762"/>
      <c r="P19" s="1762"/>
      <c r="Q19" s="1762"/>
      <c r="R19" s="1762"/>
      <c r="S19" s="1763"/>
      <c r="T19" s="2260"/>
      <c r="U19" s="2261"/>
      <c r="V19" s="2261"/>
      <c r="W19" s="2261"/>
      <c r="X19" s="2261"/>
      <c r="Y19" s="2260"/>
      <c r="Z19" s="2261"/>
      <c r="AA19" s="2261"/>
      <c r="AB19" s="2261"/>
      <c r="AC19" s="2261"/>
      <c r="AD19" s="2261"/>
      <c r="AE19" s="2261"/>
      <c r="AF19" s="2261"/>
      <c r="AG19" s="2261"/>
      <c r="AH19" s="2261"/>
      <c r="AI19" s="2261"/>
      <c r="AJ19" s="2261"/>
      <c r="AK19" s="2261"/>
      <c r="AL19" s="2261"/>
      <c r="AM19" s="2261"/>
    </row>
    <row r="20" spans="1:40" ht="12.9" customHeight="1">
      <c r="B20" s="2269" t="s">
        <v>2086</v>
      </c>
      <c r="C20" s="2270"/>
      <c r="D20" s="2270"/>
      <c r="E20" s="2270"/>
      <c r="F20" s="2270"/>
      <c r="G20" s="2270"/>
      <c r="H20" s="2270"/>
      <c r="I20" s="2270"/>
      <c r="J20" s="2270"/>
      <c r="K20" s="2270"/>
      <c r="L20" s="2270"/>
      <c r="M20" s="2270"/>
      <c r="N20" s="2270"/>
      <c r="O20" s="2270"/>
      <c r="P20" s="2270"/>
      <c r="Q20" s="2270"/>
      <c r="R20" s="2270"/>
      <c r="S20" s="2271"/>
      <c r="T20" s="2262">
        <f>SUM(T13:X19)</f>
        <v>0</v>
      </c>
      <c r="U20" s="2263"/>
      <c r="V20" s="2263"/>
      <c r="W20" s="2263"/>
      <c r="X20" s="2263"/>
      <c r="Y20" s="2262">
        <f>SUM(Y13:AC19)</f>
        <v>0</v>
      </c>
      <c r="Z20" s="2263"/>
      <c r="AA20" s="2263"/>
      <c r="AB20" s="2263"/>
      <c r="AC20" s="2263"/>
      <c r="AD20" s="2264">
        <f>SUM(AD13:AH19)</f>
        <v>0</v>
      </c>
      <c r="AE20" s="2265"/>
      <c r="AF20" s="2265"/>
      <c r="AG20" s="2265"/>
      <c r="AH20" s="2262"/>
      <c r="AI20" s="2264">
        <f>SUM(AI13:AM19)</f>
        <v>0</v>
      </c>
      <c r="AJ20" s="2265"/>
      <c r="AK20" s="2265"/>
      <c r="AL20" s="2265"/>
      <c r="AM20" s="2262"/>
    </row>
    <row r="21" spans="1:40" ht="12.9" customHeight="1">
      <c r="B21" s="2269" t="s">
        <v>2087</v>
      </c>
      <c r="C21" s="2270"/>
      <c r="D21" s="2270"/>
      <c r="E21" s="2270"/>
      <c r="F21" s="2270"/>
      <c r="G21" s="2270"/>
      <c r="H21" s="2270"/>
      <c r="I21" s="2270"/>
      <c r="J21" s="2270"/>
      <c r="K21" s="2270"/>
      <c r="L21" s="2270"/>
      <c r="M21" s="2270"/>
      <c r="N21" s="2270"/>
      <c r="O21" s="2270"/>
      <c r="P21" s="2270"/>
      <c r="Q21" s="2270"/>
      <c r="R21" s="2270"/>
      <c r="S21" s="2271"/>
      <c r="T21" s="2260"/>
      <c r="U21" s="2261"/>
      <c r="V21" s="2261"/>
      <c r="W21" s="2261"/>
      <c r="X21" s="2261"/>
      <c r="Y21" s="2260"/>
      <c r="Z21" s="2261"/>
      <c r="AA21" s="2261"/>
      <c r="AB21" s="2261"/>
      <c r="AC21" s="2261"/>
      <c r="AD21" s="2257"/>
      <c r="AE21" s="2258"/>
      <c r="AF21" s="2258"/>
      <c r="AG21" s="2258"/>
      <c r="AH21" s="2259"/>
      <c r="AI21" s="2257"/>
      <c r="AJ21" s="2258"/>
      <c r="AK21" s="2258"/>
      <c r="AL21" s="2258"/>
      <c r="AM21" s="2259"/>
    </row>
    <row r="22" spans="1:40" ht="12.9" customHeight="1">
      <c r="B22" s="2269" t="s">
        <v>2088</v>
      </c>
      <c r="C22" s="2270"/>
      <c r="D22" s="2270"/>
      <c r="E22" s="2270"/>
      <c r="F22" s="2270"/>
      <c r="G22" s="2270"/>
      <c r="H22" s="2270"/>
      <c r="I22" s="2270"/>
      <c r="J22" s="2270"/>
      <c r="K22" s="2270"/>
      <c r="L22" s="2270"/>
      <c r="M22" s="2270"/>
      <c r="N22" s="2270"/>
      <c r="O22" s="2270"/>
      <c r="P22" s="2270"/>
      <c r="Q22" s="2270"/>
      <c r="R22" s="2270"/>
      <c r="S22" s="2271"/>
      <c r="T22" s="2295">
        <f>(ABS(T20)+ABS(T21))*-1</f>
        <v>0</v>
      </c>
      <c r="U22" s="2296"/>
      <c r="V22" s="2296"/>
      <c r="W22" s="2296"/>
      <c r="X22" s="2296"/>
      <c r="Y22" s="2295">
        <f>(Y20+Y21)*-1</f>
        <v>0</v>
      </c>
      <c r="Z22" s="2296"/>
      <c r="AA22" s="2296"/>
      <c r="AB22" s="2296"/>
      <c r="AC22" s="2296"/>
      <c r="AD22" s="2297">
        <f>(AD20)*-1</f>
        <v>0</v>
      </c>
      <c r="AE22" s="2298"/>
      <c r="AF22" s="2298"/>
      <c r="AG22" s="2298"/>
      <c r="AH22" s="2295"/>
      <c r="AI22" s="2297">
        <f>(AI20)*-1</f>
        <v>0</v>
      </c>
      <c r="AJ22" s="2298"/>
      <c r="AK22" s="2298"/>
      <c r="AL22" s="2298"/>
      <c r="AM22" s="2295"/>
    </row>
    <row r="23" spans="1:40" ht="12.9" customHeight="1">
      <c r="B23" s="2269" t="s">
        <v>2089</v>
      </c>
      <c r="C23" s="2270"/>
      <c r="D23" s="2270"/>
      <c r="E23" s="2270"/>
      <c r="F23" s="2270"/>
      <c r="G23" s="2270"/>
      <c r="H23" s="2270"/>
      <c r="I23" s="2270"/>
      <c r="J23" s="2270"/>
      <c r="K23" s="2270"/>
      <c r="L23" s="2270"/>
      <c r="M23" s="2270"/>
      <c r="N23" s="2270"/>
      <c r="O23" s="2270"/>
      <c r="P23" s="2270"/>
      <c r="Q23" s="2270"/>
      <c r="R23" s="2270"/>
      <c r="S23" s="2271"/>
      <c r="T23" s="2262">
        <f>T11+T22</f>
        <v>28450618</v>
      </c>
      <c r="U23" s="2263"/>
      <c r="V23" s="2263"/>
      <c r="W23" s="2263"/>
      <c r="X23" s="2263"/>
      <c r="Y23" s="2262">
        <f>Y11+Y22</f>
        <v>0</v>
      </c>
      <c r="Z23" s="2263"/>
      <c r="AA23" s="2263"/>
      <c r="AB23" s="2263"/>
      <c r="AC23" s="2263"/>
      <c r="AD23" s="2262">
        <f>AD11+AD22</f>
        <v>51000000</v>
      </c>
      <c r="AE23" s="2263"/>
      <c r="AF23" s="2263"/>
      <c r="AG23" s="2263"/>
      <c r="AH23" s="2263"/>
      <c r="AI23" s="2262">
        <f>AI11+AI22</f>
        <v>0</v>
      </c>
      <c r="AJ23" s="2263"/>
      <c r="AK23" s="2263"/>
      <c r="AL23" s="2263"/>
      <c r="AM23" s="2263"/>
    </row>
    <row r="24" spans="1:40" ht="12.9" customHeight="1">
      <c r="B24" s="2269" t="s">
        <v>2090</v>
      </c>
      <c r="C24" s="2270"/>
      <c r="D24" s="2270"/>
      <c r="E24" s="2270"/>
      <c r="F24" s="2270"/>
      <c r="G24" s="2270"/>
      <c r="H24" s="2270"/>
      <c r="I24" s="2270"/>
      <c r="J24" s="2270"/>
      <c r="K24" s="2270"/>
      <c r="L24" s="2270"/>
      <c r="M24" s="2270"/>
      <c r="N24" s="2270"/>
      <c r="O24" s="2270"/>
      <c r="P24" s="2270"/>
      <c r="Q24" s="2270"/>
      <c r="R24" s="2270"/>
      <c r="S24" s="2271"/>
      <c r="T24" s="2264">
        <f>Application!AJ1062</f>
        <v>226932871.42000002</v>
      </c>
      <c r="U24" s="2265"/>
      <c r="V24" s="2265"/>
      <c r="W24" s="2265"/>
      <c r="X24" s="2265"/>
      <c r="Y24" s="2265"/>
      <c r="Z24" s="2265"/>
      <c r="AA24" s="2265"/>
      <c r="AB24" s="2265"/>
      <c r="AC24" s="2265"/>
      <c r="AD24" s="2265"/>
      <c r="AE24" s="2265"/>
      <c r="AF24" s="2265"/>
      <c r="AG24" s="2265"/>
      <c r="AH24" s="2265"/>
      <c r="AI24" s="2265"/>
      <c r="AJ24" s="2265"/>
      <c r="AK24" s="2265"/>
      <c r="AL24" s="2265"/>
      <c r="AM24" s="2262"/>
    </row>
    <row r="25" spans="1:40" ht="12.9" customHeight="1">
      <c r="B25" s="2273" t="s">
        <v>2091</v>
      </c>
      <c r="C25" s="2274"/>
      <c r="D25" s="2274"/>
      <c r="E25" s="2274"/>
      <c r="F25" s="2274"/>
      <c r="G25" s="2274"/>
      <c r="H25" s="2274"/>
      <c r="I25" s="2274"/>
      <c r="J25" s="2274"/>
      <c r="K25" s="2274"/>
      <c r="L25" s="2274"/>
      <c r="M25" s="2274"/>
      <c r="N25" s="2274"/>
      <c r="O25" s="2274"/>
      <c r="P25" s="2274"/>
      <c r="Q25" s="2274"/>
      <c r="R25" s="2274"/>
      <c r="S25" s="2275"/>
      <c r="T25" s="2299">
        <f>IF(OR(Application!T196="yes",Application!T195="yes"),1.3,1)</f>
        <v>1.3</v>
      </c>
      <c r="U25" s="2300"/>
      <c r="V25" s="2300"/>
      <c r="W25" s="2300"/>
      <c r="X25" s="2300"/>
      <c r="Y25" s="2299">
        <v>1</v>
      </c>
      <c r="Z25" s="2300"/>
      <c r="AA25" s="2300"/>
      <c r="AB25" s="2300"/>
      <c r="AC25" s="2300"/>
      <c r="AD25" s="2299">
        <v>1</v>
      </c>
      <c r="AE25" s="2300"/>
      <c r="AF25" s="2300"/>
      <c r="AG25" s="2300"/>
      <c r="AH25" s="2301"/>
      <c r="AI25" s="2299">
        <v>1</v>
      </c>
      <c r="AJ25" s="2300"/>
      <c r="AK25" s="2300"/>
      <c r="AL25" s="2300"/>
      <c r="AM25" s="2301"/>
    </row>
    <row r="26" spans="1:40" ht="12.9" customHeight="1">
      <c r="B26" s="2269" t="s">
        <v>2092</v>
      </c>
      <c r="C26" s="2270"/>
      <c r="D26" s="2270"/>
      <c r="E26" s="2270"/>
      <c r="F26" s="2270"/>
      <c r="G26" s="2270"/>
      <c r="H26" s="2270"/>
      <c r="I26" s="2270"/>
      <c r="J26" s="2270"/>
      <c r="K26" s="2270"/>
      <c r="L26" s="2270"/>
      <c r="M26" s="2270"/>
      <c r="N26" s="2270"/>
      <c r="O26" s="2270"/>
      <c r="P26" s="2270"/>
      <c r="Q26" s="2270"/>
      <c r="R26" s="2270"/>
      <c r="S26" s="2271"/>
      <c r="T26" s="2262">
        <f>T23*T25</f>
        <v>36985803.399999999</v>
      </c>
      <c r="U26" s="2263"/>
      <c r="V26" s="2263"/>
      <c r="W26" s="2263"/>
      <c r="X26" s="2263"/>
      <c r="Y26" s="2262">
        <f>Y23*Y25</f>
        <v>0</v>
      </c>
      <c r="Z26" s="2263"/>
      <c r="AA26" s="2263"/>
      <c r="AB26" s="2263"/>
      <c r="AC26" s="2263"/>
      <c r="AD26" s="2262">
        <f>AD23*AD25</f>
        <v>51000000</v>
      </c>
      <c r="AE26" s="2263"/>
      <c r="AF26" s="2263"/>
      <c r="AG26" s="2263"/>
      <c r="AH26" s="2263"/>
      <c r="AI26" s="2262">
        <f>AI23*AI25</f>
        <v>0</v>
      </c>
      <c r="AJ26" s="2263"/>
      <c r="AK26" s="2263"/>
      <c r="AL26" s="2263"/>
      <c r="AM26" s="2263"/>
    </row>
    <row r="27" spans="1:40" ht="12.9" customHeight="1">
      <c r="A27" s="313"/>
      <c r="B27" s="2276" t="s">
        <v>2093</v>
      </c>
      <c r="C27" s="2277"/>
      <c r="D27" s="2277"/>
      <c r="E27" s="2277"/>
      <c r="F27" s="2277"/>
      <c r="G27" s="2277"/>
      <c r="H27" s="2277"/>
      <c r="I27" s="2277"/>
      <c r="J27" s="2277"/>
      <c r="K27" s="2277"/>
      <c r="L27" s="2277"/>
      <c r="M27" s="2277"/>
      <c r="N27" s="2277"/>
      <c r="O27" s="2277"/>
      <c r="P27" s="2277"/>
      <c r="Q27" s="2277"/>
      <c r="R27" s="2277"/>
      <c r="S27" s="2278"/>
      <c r="T27" s="2282">
        <f>Application!$AG$454</f>
        <v>1</v>
      </c>
      <c r="U27" s="2283"/>
      <c r="V27" s="2283"/>
      <c r="W27" s="2283"/>
      <c r="X27" s="2283"/>
      <c r="Y27" s="2282">
        <f>Application!$AG$454</f>
        <v>1</v>
      </c>
      <c r="Z27" s="2283"/>
      <c r="AA27" s="2283"/>
      <c r="AB27" s="2283"/>
      <c r="AC27" s="2283"/>
      <c r="AD27" s="2282">
        <f>Application!$AG$454</f>
        <v>1</v>
      </c>
      <c r="AE27" s="2283"/>
      <c r="AF27" s="2283"/>
      <c r="AG27" s="2283"/>
      <c r="AH27" s="2283"/>
      <c r="AI27" s="2282">
        <f>Application!$AG$454</f>
        <v>1</v>
      </c>
      <c r="AJ27" s="2283"/>
      <c r="AK27" s="2283"/>
      <c r="AL27" s="2283"/>
      <c r="AM27" s="2283"/>
    </row>
    <row r="28" spans="1:40" ht="12.9" customHeight="1">
      <c r="A28" s="307"/>
      <c r="B28" s="2269" t="s">
        <v>2094</v>
      </c>
      <c r="C28" s="2270"/>
      <c r="D28" s="2270"/>
      <c r="E28" s="2270"/>
      <c r="F28" s="2270"/>
      <c r="G28" s="2270"/>
      <c r="H28" s="2270"/>
      <c r="I28" s="2270"/>
      <c r="J28" s="2270"/>
      <c r="K28" s="2270"/>
      <c r="L28" s="2270"/>
      <c r="M28" s="2270"/>
      <c r="N28" s="2270"/>
      <c r="O28" s="2270"/>
      <c r="P28" s="2270"/>
      <c r="Q28" s="2270"/>
      <c r="R28" s="2270"/>
      <c r="S28" s="2271"/>
      <c r="T28" s="2262">
        <f>IF(ISERROR((T26*T27)),0,(T26*T27))</f>
        <v>36985803.399999999</v>
      </c>
      <c r="U28" s="2263"/>
      <c r="V28" s="2263"/>
      <c r="W28" s="2263"/>
      <c r="X28" s="2263"/>
      <c r="Y28" s="2262">
        <f>IF(ISERROR((Y26*Y27)),0,(Y26*Y27))</f>
        <v>0</v>
      </c>
      <c r="Z28" s="2263"/>
      <c r="AA28" s="2263"/>
      <c r="AB28" s="2263"/>
      <c r="AC28" s="2263"/>
      <c r="AD28" s="2262">
        <f>IF(ISERROR((AD26*AD27)),0,(AD26*AD27))</f>
        <v>51000000</v>
      </c>
      <c r="AE28" s="2263"/>
      <c r="AF28" s="2263"/>
      <c r="AG28" s="2263"/>
      <c r="AH28" s="2263"/>
      <c r="AI28" s="2262">
        <f>IF(ISERROR((AI26*AI27)),0,(AI26*AI27))</f>
        <v>0</v>
      </c>
      <c r="AJ28" s="2263"/>
      <c r="AK28" s="2263"/>
      <c r="AL28" s="2263"/>
      <c r="AM28" s="2263"/>
    </row>
    <row r="29" spans="1:40" ht="12.9" customHeight="1">
      <c r="B29" s="2269" t="s">
        <v>2095</v>
      </c>
      <c r="C29" s="2270"/>
      <c r="D29" s="2270"/>
      <c r="E29" s="2270"/>
      <c r="F29" s="2270"/>
      <c r="G29" s="2270"/>
      <c r="H29" s="2270"/>
      <c r="I29" s="2270"/>
      <c r="J29" s="2270"/>
      <c r="K29" s="2270"/>
      <c r="L29" s="2270"/>
      <c r="M29" s="2270"/>
      <c r="N29" s="2270"/>
      <c r="O29" s="2270"/>
      <c r="P29" s="2270"/>
      <c r="Q29" s="2270"/>
      <c r="R29" s="2270"/>
      <c r="S29" s="2271"/>
      <c r="T29" s="2264">
        <f>T28+Y28+AD28+AI28</f>
        <v>87985803.400000006</v>
      </c>
      <c r="U29" s="2265"/>
      <c r="V29" s="2265"/>
      <c r="W29" s="2265"/>
      <c r="X29" s="2265"/>
      <c r="Y29" s="2265"/>
      <c r="Z29" s="2265"/>
      <c r="AA29" s="2265"/>
      <c r="AB29" s="2265"/>
      <c r="AC29" s="2265"/>
      <c r="AD29" s="2265"/>
      <c r="AE29" s="2265"/>
      <c r="AF29" s="2265"/>
      <c r="AG29" s="2265"/>
      <c r="AH29" s="2265"/>
      <c r="AI29" s="2265"/>
      <c r="AJ29" s="2265"/>
      <c r="AK29" s="2265"/>
      <c r="AL29" s="2265"/>
      <c r="AM29" s="2262"/>
    </row>
    <row r="30" spans="1:40" ht="12.9" customHeight="1">
      <c r="B30" s="2272" t="s">
        <v>2096</v>
      </c>
      <c r="C30" s="2272"/>
      <c r="D30" s="2272"/>
      <c r="E30" s="2272"/>
      <c r="F30" s="2272"/>
      <c r="G30" s="2272"/>
      <c r="H30" s="2272"/>
      <c r="I30" s="2272"/>
      <c r="J30" s="2272"/>
      <c r="K30" s="2272"/>
      <c r="L30" s="2272"/>
      <c r="M30" s="2272"/>
      <c r="N30" s="2272"/>
      <c r="O30" s="2272"/>
      <c r="P30" s="2272"/>
      <c r="Q30" s="2272"/>
      <c r="R30" s="2272"/>
      <c r="S30" s="2272"/>
      <c r="T30" s="2272"/>
      <c r="U30" s="2272"/>
      <c r="V30" s="2272"/>
      <c r="W30" s="2272"/>
      <c r="X30" s="2272"/>
      <c r="Y30" s="2272"/>
      <c r="Z30" s="2272"/>
      <c r="AA30" s="2272"/>
      <c r="AB30" s="2272"/>
      <c r="AC30" s="2272"/>
      <c r="AD30" s="2272"/>
      <c r="AE30" s="2272"/>
      <c r="AF30" s="2272"/>
      <c r="AG30" s="2272"/>
      <c r="AH30" s="2272"/>
      <c r="AI30" s="2272"/>
      <c r="AJ30" s="2272"/>
      <c r="AK30" s="2272"/>
      <c r="AL30" s="2272"/>
      <c r="AM30" s="2272"/>
    </row>
    <row r="31" spans="1:40" ht="12.9" customHeight="1">
      <c r="B31" s="2272" t="s">
        <v>2097</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418"/>
    </row>
    <row r="32" spans="1:40" ht="12.9" customHeight="1">
      <c r="B32" s="337"/>
      <c r="C32" s="411" t="s">
        <v>2098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 customHeight="1"/>
    <row r="34" spans="1:76" ht="12.9" customHeight="1">
      <c r="A34" s="307" t="s">
        <v>922</v>
      </c>
      <c r="C34" s="307" t="s">
        <v>279</v>
      </c>
    </row>
    <row r="35" spans="1:76" ht="12.9"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0" t="s">
        <v>2099</v>
      </c>
      <c r="Z35" s="2290"/>
      <c r="AA35" s="2290"/>
      <c r="AB35" s="2290"/>
      <c r="AC35" s="2290"/>
      <c r="AD35" s="2310" t="s">
        <v>2100</v>
      </c>
      <c r="AE35" s="2310"/>
      <c r="AF35" s="2310"/>
      <c r="AG35" s="2310"/>
      <c r="AH35" s="2310"/>
    </row>
    <row r="36" spans="1:76" ht="12.9" customHeight="1">
      <c r="B36" s="310"/>
      <c r="X36" s="315"/>
      <c r="Y36" s="2290"/>
      <c r="Z36" s="2290"/>
      <c r="AA36" s="2290"/>
      <c r="AB36" s="2290"/>
      <c r="AC36" s="2290"/>
      <c r="AD36" s="2310"/>
      <c r="AE36" s="2310"/>
      <c r="AF36" s="2310"/>
      <c r="AG36" s="2310"/>
      <c r="AH36" s="2310"/>
    </row>
    <row r="37" spans="1:76" ht="12.9"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0"/>
      <c r="Z37" s="2290"/>
      <c r="AA37" s="2290"/>
      <c r="AB37" s="2290"/>
      <c r="AC37" s="2290"/>
      <c r="AD37" s="2310"/>
      <c r="AE37" s="2310"/>
      <c r="AF37" s="2310"/>
      <c r="AG37" s="2310"/>
      <c r="AH37" s="2310"/>
    </row>
    <row r="38" spans="1:76" ht="12.9" customHeight="1">
      <c r="A38" s="307"/>
      <c r="B38" s="2269" t="s">
        <v>2094</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36985803.399999999</v>
      </c>
      <c r="Z38" s="2263"/>
      <c r="AA38" s="2263"/>
      <c r="AB38" s="2263"/>
      <c r="AC38" s="2263"/>
      <c r="AD38" s="2263">
        <f>IF(T24&gt;=(T23+Y23+AD23+AI23),AD28+AI28,0)</f>
        <v>51000000</v>
      </c>
      <c r="AE38" s="2263"/>
      <c r="AF38" s="2263"/>
      <c r="AG38" s="2263"/>
      <c r="AH38" s="2263"/>
    </row>
    <row r="39" spans="1:76" ht="12.9" customHeight="1">
      <c r="B39" s="2269" t="s">
        <v>2101</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311">
        <v>0.04</v>
      </c>
      <c r="Z39" s="2311"/>
      <c r="AA39" s="2311"/>
      <c r="AB39" s="2311"/>
      <c r="AC39" s="2311"/>
      <c r="AD39" s="2311">
        <v>0.04</v>
      </c>
      <c r="AE39" s="2311"/>
      <c r="AF39" s="2311"/>
      <c r="AG39" s="2311"/>
      <c r="AH39" s="2311"/>
    </row>
    <row r="40" spans="1:76" ht="12.9" customHeight="1">
      <c r="A40" s="307"/>
      <c r="B40" s="2269" t="s">
        <v>2102</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1479432</v>
      </c>
      <c r="Z40" s="2263"/>
      <c r="AA40" s="2263"/>
      <c r="AB40" s="2263"/>
      <c r="AC40" s="2263"/>
      <c r="AD40" s="2262">
        <f>ROUND(AD38*AD39,0)</f>
        <v>2040000</v>
      </c>
      <c r="AE40" s="2263"/>
      <c r="AF40" s="2263"/>
      <c r="AG40" s="2263"/>
      <c r="AH40" s="2263"/>
    </row>
    <row r="41" spans="1:76" ht="12.9" customHeight="1">
      <c r="B41" s="2269" t="s">
        <v>2103</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4">
        <f>Y40+AD40</f>
        <v>3519432</v>
      </c>
      <c r="Z41" s="2265"/>
      <c r="AA41" s="2265"/>
      <c r="AB41" s="2265"/>
      <c r="AC41" s="2265"/>
      <c r="AD41" s="2265"/>
      <c r="AE41" s="2265"/>
      <c r="AF41" s="2265"/>
      <c r="AG41" s="2265"/>
      <c r="AH41" s="2262"/>
    </row>
    <row r="42" spans="1:76" ht="12.9"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 customHeight="1" thickBot="1">
      <c r="A44" s="2267" t="s">
        <v>2104</v>
      </c>
      <c r="B44" s="2267"/>
      <c r="C44" s="2267"/>
      <c r="D44" s="2267"/>
      <c r="E44" s="2267"/>
      <c r="F44" s="2267"/>
      <c r="G44" s="2267"/>
      <c r="H44" s="2267"/>
      <c r="I44" s="2267"/>
      <c r="J44" s="2267"/>
      <c r="K44" s="2267"/>
      <c r="L44" s="2267"/>
      <c r="M44" s="2267"/>
      <c r="N44" s="2267"/>
      <c r="O44" s="2267"/>
      <c r="P44" s="2267"/>
      <c r="Q44" s="2267"/>
      <c r="R44" s="2267"/>
      <c r="S44" s="2267"/>
      <c r="T44" s="2267"/>
      <c r="U44" s="2267"/>
      <c r="V44" s="2267"/>
      <c r="W44" s="2267"/>
      <c r="X44" s="2267"/>
      <c r="Y44" s="2267"/>
      <c r="Z44" s="2267"/>
      <c r="AA44" s="2267"/>
      <c r="AB44" s="2267"/>
      <c r="AC44" s="2267"/>
      <c r="AD44" s="2267"/>
      <c r="AE44" s="2267"/>
      <c r="AF44" s="2267"/>
      <c r="AG44" s="2267"/>
      <c r="AH44" s="2267"/>
      <c r="AI44" s="2267"/>
      <c r="AJ44" s="2267"/>
      <c r="AK44" s="2267"/>
      <c r="AL44" s="2267"/>
      <c r="AM44" s="2267"/>
      <c r="AN44" s="2267"/>
      <c r="AO44" s="2267"/>
      <c r="AP44" s="2267"/>
      <c r="AQ44" s="2267"/>
      <c r="AR44" s="2267"/>
      <c r="AS44" s="2267"/>
      <c r="AT44" s="2267"/>
      <c r="AU44" s="2267"/>
      <c r="AV44" s="2267"/>
      <c r="AW44" s="2267"/>
      <c r="AX44" s="2267"/>
      <c r="AY44" s="2267"/>
      <c r="AZ44" s="2267"/>
      <c r="BA44" s="2267"/>
      <c r="BB44" s="2267"/>
      <c r="BC44" s="2267"/>
      <c r="BD44" s="2267"/>
      <c r="BE44" s="2267"/>
      <c r="BF44" s="2267"/>
      <c r="BG44" s="2267"/>
      <c r="BH44" s="2267"/>
      <c r="BI44" s="2267"/>
      <c r="BJ44" s="2267"/>
      <c r="BK44" s="2267"/>
      <c r="BL44" s="2267"/>
      <c r="BM44" s="2267"/>
      <c r="BN44" s="2267"/>
      <c r="BO44" s="2267"/>
      <c r="BP44" s="2267"/>
      <c r="BQ44" s="2267"/>
      <c r="BR44" s="2267"/>
      <c r="BS44" s="2267"/>
      <c r="BT44" s="2267"/>
      <c r="BU44" s="2267"/>
      <c r="BV44" s="2267"/>
      <c r="BW44" s="2267"/>
      <c r="BX44" s="2267"/>
    </row>
    <row r="45" spans="1:76" s="136" customFormat="1" ht="12.9" customHeight="1" thickTop="1"/>
    <row r="46" spans="1:76" ht="12.9" customHeight="1">
      <c r="A46" s="307" t="s">
        <v>998</v>
      </c>
      <c r="C46" s="307" t="s">
        <v>282</v>
      </c>
    </row>
    <row r="47" spans="1:76" ht="12.9" customHeight="1">
      <c r="D47" s="307" t="s">
        <v>681</v>
      </c>
      <c r="AB47" s="2279">
        <f>'Sources and Uses Budget'!B105-MAX(IF('Sources and Uses Budget'!B15="",0,'Sources and Uses Budget'!B15),IF(Application!AG403="",0,Application!AG403))</f>
        <v>86048414</v>
      </c>
      <c r="AC47" s="2280"/>
      <c r="AD47" s="2280"/>
      <c r="AE47" s="2280"/>
      <c r="AF47" s="2281"/>
    </row>
    <row r="48" spans="1:76" ht="12.9" customHeight="1">
      <c r="D48" s="307" t="s">
        <v>175</v>
      </c>
      <c r="AB48" s="2279">
        <f>Application!AO647-MAX(IF('Sources and Uses Budget'!B15="",0,'Sources and Uses Budget'!B15),IF(Application!AG403="",0,Application!AG403))</f>
        <v>55484448</v>
      </c>
      <c r="AC48" s="2280"/>
      <c r="AD48" s="2280"/>
      <c r="AE48" s="2280"/>
      <c r="AF48" s="2281"/>
    </row>
    <row r="49" spans="1:76" ht="12.9" customHeight="1">
      <c r="D49" s="307" t="s">
        <v>2105</v>
      </c>
      <c r="AB49" s="2279">
        <f>AB47-AB48</f>
        <v>30563966</v>
      </c>
      <c r="AC49" s="2280"/>
      <c r="AD49" s="2280"/>
      <c r="AE49" s="2280"/>
      <c r="AF49" s="2281"/>
    </row>
    <row r="50" spans="1:76" ht="12.9" customHeight="1">
      <c r="D50" s="307" t="s">
        <v>2106</v>
      </c>
      <c r="AA50" s="318"/>
      <c r="AB50" s="2306">
        <v>0.87</v>
      </c>
      <c r="AC50" s="2307"/>
      <c r="AD50" s="2307"/>
      <c r="AE50" s="2307"/>
      <c r="AF50" s="2308"/>
    </row>
    <row r="51" spans="1:76" s="320" customFormat="1" ht="12.9" customHeight="1">
      <c r="A51" s="305"/>
      <c r="B51" s="305"/>
      <c r="C51" s="305"/>
      <c r="D51" s="305"/>
      <c r="E51" s="2309" t="s">
        <v>2107</v>
      </c>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319"/>
      <c r="AB51" s="319"/>
      <c r="AC51" s="319"/>
      <c r="AD51" s="319"/>
      <c r="AE51" s="319"/>
      <c r="AF51" s="319"/>
      <c r="AG51" s="305"/>
      <c r="AH51" s="305"/>
      <c r="AI51" s="305"/>
      <c r="AJ51" s="305"/>
      <c r="AK51" s="305"/>
      <c r="AL51" s="305"/>
      <c r="AM51" s="305"/>
      <c r="AN51" s="305"/>
    </row>
    <row r="52" spans="1:76" s="320" customFormat="1" ht="12.9" customHeight="1">
      <c r="A52" s="305"/>
      <c r="B52" s="305"/>
      <c r="C52" s="305"/>
      <c r="D52" s="305"/>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321"/>
      <c r="AB52" s="321"/>
      <c r="AC52" s="321"/>
      <c r="AD52" s="321"/>
      <c r="AE52" s="321"/>
      <c r="AF52" s="321"/>
      <c r="AG52" s="322"/>
      <c r="AH52" s="305"/>
      <c r="AI52" s="305"/>
      <c r="AJ52" s="305"/>
      <c r="AK52" s="305"/>
      <c r="AL52" s="305"/>
      <c r="AM52" s="305"/>
      <c r="AN52" s="305"/>
    </row>
    <row r="53" spans="1:76" ht="12.9"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 customHeight="1">
      <c r="D54" s="307" t="s">
        <v>2108</v>
      </c>
      <c r="AB54" s="2279">
        <f>ROUND(IF(ISERROR((AB49/AB50)),0,(AB49/AB50)),0)</f>
        <v>35130995</v>
      </c>
      <c r="AC54" s="2280"/>
      <c r="AD54" s="2280"/>
      <c r="AE54" s="2280"/>
      <c r="AF54" s="2281"/>
    </row>
    <row r="55" spans="1:76" ht="12.9" customHeight="1">
      <c r="D55" s="307" t="s">
        <v>2109</v>
      </c>
      <c r="AB55" s="2279">
        <f>(AB54/10)</f>
        <v>3513099.5</v>
      </c>
      <c r="AC55" s="2280"/>
      <c r="AD55" s="2280"/>
      <c r="AE55" s="2280"/>
      <c r="AF55" s="2281"/>
    </row>
    <row r="56" spans="1:76" ht="12.9" customHeight="1">
      <c r="D56" s="307" t="s">
        <v>2110</v>
      </c>
      <c r="AB56" s="2279">
        <f>ROUND((IF((Y41&lt;AB55),Y41,AB55)),0)</f>
        <v>3513100</v>
      </c>
      <c r="AC56" s="2280"/>
      <c r="AD56" s="2280"/>
      <c r="AE56" s="2280"/>
      <c r="AF56" s="2281"/>
    </row>
    <row r="57" spans="1:76" ht="12.9" customHeight="1">
      <c r="D57" s="307" t="s">
        <v>2111</v>
      </c>
      <c r="AB57" s="2279">
        <f>ROUND((10*AB56*AB50),0)</f>
        <v>30563970</v>
      </c>
      <c r="AC57" s="2280"/>
      <c r="AD57" s="2280"/>
      <c r="AE57" s="2280"/>
      <c r="AF57" s="2281"/>
    </row>
    <row r="58" spans="1:76" ht="12.9" customHeight="1">
      <c r="D58" s="307"/>
      <c r="AB58" s="326"/>
      <c r="AC58" s="326"/>
      <c r="AD58" s="326"/>
      <c r="AE58" s="326"/>
      <c r="AF58" s="326"/>
    </row>
    <row r="59" spans="1:76" ht="12.9" customHeight="1">
      <c r="D59" s="307" t="s">
        <v>2112</v>
      </c>
      <c r="AB59" s="2302">
        <f>AB49-AB57</f>
        <v>-4</v>
      </c>
      <c r="AC59" s="2302"/>
      <c r="AD59" s="2302"/>
      <c r="AE59" s="2302"/>
      <c r="AF59" s="2302"/>
    </row>
    <row r="60" spans="1:76" ht="12.9" customHeight="1">
      <c r="D60" s="307"/>
      <c r="AB60" s="326"/>
      <c r="AC60" s="326"/>
      <c r="AD60" s="326"/>
      <c r="AE60" s="326"/>
      <c r="AF60" s="326"/>
    </row>
    <row r="61" spans="1:76" s="136" customFormat="1" ht="12.9" customHeight="1" thickBot="1">
      <c r="A61" s="2267" t="str">
        <f>IF(Application!AP205="yes","Farmworker State Credit", "State Credit" )</f>
        <v>State Credit</v>
      </c>
      <c r="B61" s="2267"/>
      <c r="C61" s="2267"/>
      <c r="D61" s="2267"/>
      <c r="E61" s="2267"/>
      <c r="F61" s="2267"/>
      <c r="G61" s="2267"/>
      <c r="H61" s="2267"/>
      <c r="I61" s="2267"/>
      <c r="J61" s="2267"/>
      <c r="K61" s="2267"/>
      <c r="L61" s="2267"/>
      <c r="M61" s="2267"/>
      <c r="N61" s="2267"/>
      <c r="O61" s="2267"/>
      <c r="P61" s="2267"/>
      <c r="Q61" s="2267"/>
      <c r="R61" s="2267"/>
      <c r="S61" s="2267"/>
      <c r="T61" s="2267"/>
      <c r="U61" s="2267"/>
      <c r="V61" s="2267"/>
      <c r="W61" s="2267"/>
      <c r="X61" s="2267"/>
      <c r="Y61" s="2267"/>
      <c r="Z61" s="2267"/>
      <c r="AA61" s="2267"/>
      <c r="AB61" s="2267"/>
      <c r="AC61" s="2267"/>
      <c r="AD61" s="2267"/>
      <c r="AE61" s="2267"/>
      <c r="AF61" s="2267"/>
      <c r="AG61" s="2267"/>
      <c r="AH61" s="2267"/>
      <c r="AI61" s="2267"/>
      <c r="AJ61" s="2267"/>
      <c r="AK61" s="2267"/>
      <c r="AL61" s="2267"/>
      <c r="AM61" s="2267"/>
      <c r="AN61" s="2267"/>
      <c r="AO61" s="2267"/>
      <c r="AP61" s="2267"/>
      <c r="AQ61" s="2267"/>
      <c r="AR61" s="2267"/>
      <c r="AS61" s="2267"/>
      <c r="AT61" s="2267"/>
      <c r="AU61" s="2267"/>
      <c r="AV61" s="2267"/>
      <c r="AW61" s="2267"/>
      <c r="AX61" s="2267"/>
      <c r="AY61" s="2267"/>
      <c r="AZ61" s="2267"/>
      <c r="BA61" s="2267"/>
      <c r="BB61" s="2267"/>
      <c r="BC61" s="2267"/>
      <c r="BD61" s="2267"/>
      <c r="BE61" s="2267"/>
      <c r="BF61" s="2267"/>
      <c r="BG61" s="2267"/>
      <c r="BH61" s="2267"/>
      <c r="BI61" s="2267"/>
      <c r="BJ61" s="2267"/>
      <c r="BK61" s="2267"/>
      <c r="BL61" s="2267"/>
      <c r="BM61" s="2267"/>
      <c r="BN61" s="2267"/>
      <c r="BO61" s="2267"/>
      <c r="BP61" s="2267"/>
      <c r="BQ61" s="2267"/>
      <c r="BR61" s="2267"/>
      <c r="BS61" s="2267"/>
      <c r="BT61" s="2267"/>
      <c r="BU61" s="2267"/>
      <c r="BV61" s="2267"/>
      <c r="BW61" s="2267"/>
      <c r="BX61" s="2267"/>
    </row>
    <row r="62" spans="1:76" s="136" customFormat="1" ht="12.9" customHeight="1" thickTop="1"/>
    <row r="63" spans="1:76" ht="12.9" customHeight="1">
      <c r="A63" s="307" t="s">
        <v>1016</v>
      </c>
      <c r="C63" s="137" t="s">
        <v>2113</v>
      </c>
      <c r="Y63" s="2303" t="s">
        <v>2114</v>
      </c>
      <c r="Z63" s="2303"/>
      <c r="AA63" s="2303"/>
      <c r="AB63" s="2303"/>
      <c r="AC63" s="2303"/>
      <c r="AD63" s="2303" t="s">
        <v>2100</v>
      </c>
      <c r="AE63" s="2303"/>
      <c r="AF63" s="2303"/>
      <c r="AG63" s="2303"/>
      <c r="AH63" s="2303"/>
    </row>
    <row r="64" spans="1:76" ht="12.9" customHeight="1">
      <c r="C64" s="307"/>
      <c r="D64" s="280" t="s">
        <v>2115</v>
      </c>
      <c r="E64" s="323"/>
      <c r="F64" s="323"/>
      <c r="G64" s="323"/>
      <c r="H64" s="323"/>
      <c r="I64" s="323"/>
      <c r="J64" s="323"/>
      <c r="K64" s="323"/>
      <c r="L64" s="323"/>
      <c r="M64" s="323"/>
      <c r="N64" s="323"/>
      <c r="O64" s="323"/>
      <c r="P64" s="323"/>
      <c r="Q64" s="323"/>
      <c r="R64" s="323"/>
      <c r="S64" s="323"/>
      <c r="T64" s="323"/>
      <c r="U64" s="323"/>
      <c r="V64" s="323"/>
      <c r="W64" s="323"/>
      <c r="X64" s="323"/>
      <c r="Y64" s="2264">
        <f>IF(Application!$Z$205="(select)",0,((T23*T27)+Y28))</f>
        <v>0</v>
      </c>
      <c r="Z64" s="2304"/>
      <c r="AA64" s="2304"/>
      <c r="AB64" s="2304"/>
      <c r="AC64" s="2305"/>
      <c r="AD64" s="2264">
        <f>IF(AND(OR(Application!D211="At-Risk",Application!D211="At-Risk and Special Needs"),Application!M367="yes"),AD28+AI28,0)</f>
        <v>0</v>
      </c>
      <c r="AE64" s="2304"/>
      <c r="AF64" s="2304"/>
      <c r="AG64" s="2304"/>
      <c r="AH64" s="2305"/>
    </row>
    <row r="65" spans="1:37" ht="12.9" customHeight="1">
      <c r="C65" s="307"/>
      <c r="E65" s="904" t="s">
        <v>2116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2117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 customHeight="1">
      <c r="C67" s="307"/>
      <c r="D67" s="307" t="s">
        <v>2118</v>
      </c>
      <c r="E67" s="324"/>
      <c r="F67" s="324"/>
      <c r="G67" s="324"/>
      <c r="H67" s="324"/>
      <c r="I67" s="324"/>
      <c r="J67" s="324"/>
      <c r="K67" s="324"/>
      <c r="L67" s="324"/>
      <c r="M67" s="324"/>
      <c r="N67" s="324"/>
      <c r="O67" s="324"/>
      <c r="P67" s="324"/>
      <c r="Q67" s="324"/>
      <c r="R67" s="324"/>
      <c r="S67" s="324"/>
      <c r="T67" s="324"/>
      <c r="U67" s="324"/>
      <c r="V67" s="324"/>
      <c r="W67" s="324"/>
      <c r="X67" s="324"/>
      <c r="Y67" s="2317">
        <f>IF(OR(Application!Z205="State Farmworker Credit",Application!Z205="$500M (Farmworker Housing)"),0.75,IF(Application!Z205="15% set-aside",0.13,IF(Application!Z205="15% set-aside with qualifying low value rehab",0.95,IF(Application!Z205="$500M",0.3,0))))</f>
        <v>0</v>
      </c>
      <c r="Z67" s="2317"/>
      <c r="AA67" s="2317"/>
      <c r="AB67" s="2317"/>
      <c r="AC67" s="2317"/>
      <c r="AD67" s="2317">
        <f>IF(Application!Z205="15% set-aside with qualifying low value rehab", 0.95,IF(OR(Application!D211="At-Risk",'Points System'!B26="Yes"),0.13,0))</f>
        <v>0</v>
      </c>
      <c r="AE67" s="2317"/>
      <c r="AF67" s="2317"/>
      <c r="AG67" s="2317"/>
      <c r="AH67" s="2317"/>
    </row>
    <row r="68" spans="1:37" ht="12.9" customHeight="1">
      <c r="C68" s="307"/>
      <c r="D68" s="137" t="s">
        <v>2119</v>
      </c>
      <c r="Y68" s="2263">
        <f>IF(AND(T25=1.3,OR(Y67=0.13,Y67=0.95),NOT(Application!T212&gt;=50%)),0,ROUND(Y64*Y67,0))</f>
        <v>0</v>
      </c>
      <c r="Z68" s="2318"/>
      <c r="AA68" s="2318"/>
      <c r="AB68" s="2318"/>
      <c r="AC68" s="2318"/>
      <c r="AD68" s="2263">
        <f>IF(AND(T25=1.3,AD67&gt;0,NOT(Application!T212&gt;=50%)),0,ROUND(AD64*AD67,0))</f>
        <v>0</v>
      </c>
      <c r="AE68" s="2318"/>
      <c r="AF68" s="2318"/>
      <c r="AG68" s="2318"/>
      <c r="AH68" s="2318"/>
      <c r="AK68" s="1080"/>
    </row>
    <row r="69" spans="1:37" ht="12.9" customHeight="1">
      <c r="C69" s="307"/>
      <c r="D69" s="137" t="s">
        <v>2120</v>
      </c>
      <c r="Y69" s="2263">
        <f>IF(OR(Application!Z205="State Farmworker Credit",Application!Z205="$500M (Farmworker Housing)"),Y68+AD68,MIN(Y68+AD68,200000*(Application!G761+Application!O785)))</f>
        <v>0</v>
      </c>
      <c r="Z69" s="2263"/>
      <c r="AA69" s="2263"/>
      <c r="AB69" s="2263"/>
      <c r="AC69" s="2263"/>
      <c r="AD69" s="2263"/>
      <c r="AE69" s="2263"/>
      <c r="AF69" s="2263"/>
      <c r="AG69" s="2263"/>
      <c r="AH69" s="2263"/>
    </row>
    <row r="70" spans="1:37" ht="12.9" customHeight="1">
      <c r="C70" s="307"/>
      <c r="E70" s="307"/>
      <c r="AB70" s="325"/>
      <c r="AC70" s="325"/>
      <c r="AD70" s="325"/>
      <c r="AE70" s="325"/>
      <c r="AF70" s="325"/>
    </row>
    <row r="71" spans="1:37" ht="12.9" customHeight="1">
      <c r="A71" s="307" t="s">
        <v>1028</v>
      </c>
      <c r="C71" s="137" t="s">
        <v>288</v>
      </c>
    </row>
    <row r="72" spans="1:37" ht="12.9" customHeight="1">
      <c r="A72" s="307"/>
      <c r="C72" s="307"/>
      <c r="D72" s="137" t="s">
        <v>735</v>
      </c>
      <c r="AB72" s="2306"/>
      <c r="AC72" s="2307"/>
      <c r="AD72" s="2307"/>
      <c r="AE72" s="2307"/>
      <c r="AF72" s="2308"/>
    </row>
    <row r="73" spans="1:37" ht="12.9" customHeight="1">
      <c r="A73" s="307"/>
      <c r="C73" s="307"/>
      <c r="D73" s="307"/>
      <c r="E73" s="2319" t="s">
        <v>2121</v>
      </c>
      <c r="F73" s="2319"/>
      <c r="G73" s="2319"/>
      <c r="H73" s="2319"/>
      <c r="I73" s="2319"/>
      <c r="J73" s="2319"/>
      <c r="K73" s="2319"/>
      <c r="L73" s="2319"/>
      <c r="M73" s="2319"/>
      <c r="N73" s="2319"/>
      <c r="O73" s="2319"/>
      <c r="P73" s="2319"/>
      <c r="Q73" s="2319"/>
      <c r="R73" s="2319"/>
      <c r="S73" s="2319"/>
      <c r="T73" s="2319"/>
      <c r="U73" s="2319"/>
      <c r="V73" s="2319"/>
      <c r="W73" s="2319"/>
      <c r="X73" s="2319"/>
      <c r="Y73" s="2319"/>
      <c r="Z73" s="2319"/>
      <c r="AA73" s="2319"/>
      <c r="AB73" s="341"/>
      <c r="AC73" s="341"/>
    </row>
    <row r="74" spans="1:37" ht="12.9" customHeight="1">
      <c r="A74" s="307"/>
      <c r="C74" s="307"/>
      <c r="D74" s="307"/>
      <c r="E74" s="2319"/>
      <c r="F74" s="2319"/>
      <c r="G74" s="2319"/>
      <c r="H74" s="2319"/>
      <c r="I74" s="2319"/>
      <c r="J74" s="2319"/>
      <c r="K74" s="2319"/>
      <c r="L74" s="2319"/>
      <c r="M74" s="2319"/>
      <c r="N74" s="2319"/>
      <c r="O74" s="2319"/>
      <c r="P74" s="2319"/>
      <c r="Q74" s="2319"/>
      <c r="R74" s="2319"/>
      <c r="S74" s="2319"/>
      <c r="T74" s="2319"/>
      <c r="U74" s="2319"/>
      <c r="V74" s="2319"/>
      <c r="W74" s="2319"/>
      <c r="X74" s="2319"/>
      <c r="Y74" s="2319"/>
      <c r="Z74" s="2319"/>
      <c r="AA74" s="2319"/>
      <c r="AB74" s="341"/>
      <c r="AC74" s="341"/>
    </row>
    <row r="75" spans="1:37" ht="12.9" customHeight="1">
      <c r="A75" s="307"/>
      <c r="C75" s="307"/>
      <c r="D75" s="307"/>
      <c r="E75" s="2319"/>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341"/>
      <c r="AC75" s="341"/>
    </row>
    <row r="76" spans="1:37" ht="12.9"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 customHeight="1">
      <c r="C77" s="307"/>
      <c r="D77" s="137" t="s">
        <v>2122</v>
      </c>
      <c r="AB77" s="2312">
        <f>ROUND(IF(ISERROR((AB59/AB72)),0,(AB59/AB72)),0)</f>
        <v>0</v>
      </c>
      <c r="AC77" s="2312"/>
      <c r="AD77" s="2312"/>
      <c r="AE77" s="2312"/>
      <c r="AF77" s="2312"/>
    </row>
    <row r="78" spans="1:37" ht="12.9" customHeight="1">
      <c r="C78" s="307"/>
      <c r="D78" s="137" t="s">
        <v>2123</v>
      </c>
      <c r="AB78" s="2313">
        <f>ROUNDUP(MIN(Y69,AB77),0)</f>
        <v>0</v>
      </c>
      <c r="AC78" s="2314"/>
      <c r="AD78" s="2314"/>
      <c r="AE78" s="2314"/>
      <c r="AF78" s="2315"/>
    </row>
    <row r="79" spans="1:37" ht="12.9" customHeight="1">
      <c r="C79" s="307"/>
      <c r="D79" s="137" t="s">
        <v>2124</v>
      </c>
      <c r="AB79" s="2316">
        <f>AB78*AB72</f>
        <v>0</v>
      </c>
      <c r="AC79" s="2316"/>
      <c r="AD79" s="2316"/>
      <c r="AE79" s="2316"/>
      <c r="AF79" s="2316"/>
    </row>
    <row r="80" spans="1:37" ht="12.9" customHeight="1">
      <c r="C80" s="307"/>
      <c r="D80" s="307"/>
      <c r="AB80" s="328"/>
      <c r="AC80" s="328"/>
      <c r="AD80" s="328"/>
      <c r="AE80" s="328"/>
      <c r="AF80" s="328"/>
    </row>
    <row r="81" spans="1:78" ht="12.9" customHeight="1">
      <c r="D81" s="307" t="s">
        <v>2112</v>
      </c>
      <c r="AB81" s="2302">
        <f>AB49-(AB57+AB79)</f>
        <v>-4</v>
      </c>
      <c r="AC81" s="2302"/>
      <c r="AD81" s="2302"/>
      <c r="AE81" s="2302"/>
      <c r="AF81" s="2302"/>
    </row>
    <row r="82" spans="1:78" ht="12.9" customHeight="1">
      <c r="F82" s="422"/>
      <c r="J82" s="422" t="str">
        <f>IF(AB81&gt;0,"FUNDING GAP MUST NOT EXCEED ZERO","")</f>
        <v/>
      </c>
    </row>
    <row r="83" spans="1:78" ht="12.9" customHeight="1">
      <c r="D83" s="423"/>
    </row>
    <row r="84" spans="1:78" ht="12.9" customHeight="1" thickBot="1">
      <c r="A84" s="2267"/>
      <c r="B84" s="2267"/>
      <c r="C84" s="2267"/>
      <c r="D84" s="2267"/>
      <c r="E84" s="2267"/>
      <c r="F84" s="2267"/>
      <c r="G84" s="2267"/>
      <c r="H84" s="2267"/>
      <c r="I84" s="2267"/>
      <c r="J84" s="2267"/>
      <c r="K84" s="2267"/>
      <c r="L84" s="2267"/>
      <c r="M84" s="2267"/>
      <c r="N84" s="2267"/>
      <c r="O84" s="2267"/>
      <c r="P84" s="2267"/>
      <c r="Q84" s="2267"/>
      <c r="R84" s="2267"/>
      <c r="S84" s="2267"/>
      <c r="T84" s="2267"/>
      <c r="U84" s="2267"/>
      <c r="V84" s="2267"/>
      <c r="W84" s="2267"/>
      <c r="X84" s="2267"/>
      <c r="Y84" s="2267"/>
      <c r="Z84" s="2267"/>
      <c r="AA84" s="2267"/>
      <c r="AB84" s="2267"/>
      <c r="AC84" s="2267"/>
      <c r="AD84" s="2267"/>
      <c r="AE84" s="2267"/>
      <c r="AF84" s="2267"/>
      <c r="AG84" s="2267"/>
      <c r="AH84" s="2267"/>
      <c r="AI84" s="2267"/>
      <c r="AJ84" s="2267"/>
      <c r="AK84" s="2267"/>
      <c r="AL84" s="2267"/>
      <c r="AM84" s="2267"/>
      <c r="AN84" s="2267"/>
      <c r="AO84" s="2267"/>
      <c r="AP84" s="2267"/>
      <c r="AQ84" s="2267"/>
      <c r="AR84" s="2267"/>
      <c r="AS84" s="2267"/>
      <c r="AT84" s="2267"/>
      <c r="AU84" s="2267"/>
      <c r="AV84" s="2267"/>
      <c r="AW84" s="2267"/>
      <c r="AX84" s="2267"/>
      <c r="AY84" s="2267"/>
      <c r="AZ84" s="2267"/>
      <c r="BA84" s="2267"/>
      <c r="BB84" s="2267"/>
      <c r="BC84" s="2267"/>
      <c r="BD84" s="2267"/>
      <c r="BE84" s="2267"/>
      <c r="BF84" s="2267"/>
      <c r="BG84" s="2267"/>
      <c r="BH84" s="2267"/>
      <c r="BI84" s="2267"/>
      <c r="BJ84" s="2267"/>
      <c r="BK84" s="2267"/>
      <c r="BL84" s="2267"/>
      <c r="BM84" s="2267"/>
      <c r="BN84" s="2267"/>
      <c r="BO84" s="2267"/>
      <c r="BP84" s="2267"/>
      <c r="BQ84" s="2267"/>
      <c r="BR84" s="2267"/>
      <c r="BS84" s="2267"/>
      <c r="BT84" s="2267"/>
      <c r="BU84" s="2267"/>
      <c r="BV84" s="2267"/>
      <c r="BW84" s="2267"/>
      <c r="BX84" s="2267"/>
    </row>
    <row r="85" spans="1:78" ht="12.9" customHeight="1" thickTop="1"/>
    <row r="86" spans="1:78" ht="12.9" hidden="1" customHeight="1">
      <c r="A86" s="307"/>
      <c r="C86" s="137"/>
    </row>
    <row r="87" spans="1:78" ht="12.9" hidden="1" customHeight="1">
      <c r="D87" s="137"/>
      <c r="AB87" s="2268"/>
      <c r="AC87" s="2268"/>
      <c r="AD87" s="2268"/>
      <c r="AE87" s="2268"/>
      <c r="AF87" s="2268"/>
    </row>
    <row r="88" spans="1:78" ht="12.9" hidden="1" customHeight="1" thickBot="1">
      <c r="D88" s="137"/>
      <c r="AB88" s="2266"/>
      <c r="AC88" s="2266"/>
      <c r="AD88" s="2266"/>
      <c r="AE88" s="2266"/>
      <c r="AF88" s="226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88" zoomScaleNormal="100" workbookViewId="0">
      <selection activeCell="S140" sqref="S140"/>
    </sheetView>
  </sheetViews>
  <sheetFormatPr defaultColWidth="0" defaultRowHeight="13.2" zeroHeight="1"/>
  <cols>
    <col min="1" max="1" width="2.6640625" style="13" customWidth="1"/>
    <col min="2" max="3" width="2.44140625" style="13" customWidth="1"/>
    <col min="4" max="4" width="3.109375" style="13" customWidth="1"/>
    <col min="5" max="5" width="3.44140625" style="13" customWidth="1"/>
    <col min="6" max="6" width="2.88671875" style="13" customWidth="1"/>
    <col min="7" max="14" width="2.44140625" style="13" customWidth="1"/>
    <col min="15" max="15" width="2.88671875" style="13" customWidth="1"/>
    <col min="16" max="16" width="2.44140625" style="13" customWidth="1"/>
    <col min="17" max="17" width="3.88671875" style="13" customWidth="1"/>
    <col min="18" max="18" width="4.5546875" style="13" customWidth="1"/>
    <col min="19" max="19" width="3.33203125" style="13" customWidth="1"/>
    <col min="20" max="26" width="2.44140625" style="13" customWidth="1"/>
    <col min="27" max="30" width="2.5546875" style="13" customWidth="1"/>
    <col min="31" max="32" width="2.44140625" style="13" customWidth="1"/>
    <col min="33" max="33" width="3.44140625" style="13" customWidth="1"/>
    <col min="34" max="36" width="2.44140625" style="13" customWidth="1"/>
    <col min="37" max="37" width="5.5546875" style="13" customWidth="1"/>
    <col min="38" max="38" width="2.44140625" style="13" customWidth="1"/>
    <col min="39" max="39" width="3.44140625" style="13" customWidth="1"/>
    <col min="40" max="40" width="5.5546875" style="434" customWidth="1"/>
    <col min="41" max="41" width="5.5546875" style="25" hidden="1" customWidth="1"/>
    <col min="42" max="45" width="5.5546875" style="13" hidden="1" customWidth="1"/>
    <col min="46" max="46" width="10.88671875" style="13" hidden="1" customWidth="1"/>
    <col min="47" max="48" width="5.5546875" style="13" hidden="1" customWidth="1"/>
    <col min="49" max="49" width="8.6640625" style="13" hidden="1" customWidth="1"/>
    <col min="50" max="50" width="7.44140625" style="13" hidden="1" customWidth="1"/>
    <col min="51" max="55" width="5.5546875" style="13" hidden="1" customWidth="1"/>
    <col min="56" max="60" width="5.5546875" style="27" hidden="1" customWidth="1"/>
    <col min="61" max="81" width="5.5546875" style="13" hidden="1" customWidth="1"/>
    <col min="82" max="16384" width="9.109375" style="13" hidden="1"/>
  </cols>
  <sheetData>
    <row r="1" spans="1:41" ht="15.75" customHeight="1">
      <c r="A1" s="2551" t="s">
        <v>2125</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row>
    <row r="2" spans="1:41" s="436" customFormat="1" ht="12.75" customHeight="1"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2126</v>
      </c>
      <c r="B4" s="439" t="s">
        <v>2127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2128</v>
      </c>
      <c r="B7" s="439" t="s">
        <v>2129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0" t="s">
        <v>2130</v>
      </c>
      <c r="AF7" s="2380"/>
      <c r="AG7" s="2380"/>
      <c r="AH7" s="2380"/>
      <c r="AI7" s="2380"/>
      <c r="AJ7" s="2380"/>
      <c r="AK7" s="2380"/>
      <c r="AL7" s="440"/>
      <c r="AM7" s="440"/>
      <c r="AN7" s="435"/>
    </row>
    <row r="8" spans="1:41" s="436" customFormat="1" ht="12.75" customHeight="1">
      <c r="A8" s="438"/>
      <c r="B8" s="439" t="s">
        <v>2131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2132</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2" t="s">
        <v>856</v>
      </c>
      <c r="C12" s="2522"/>
      <c r="D12" s="440"/>
      <c r="E12" s="2383" t="s">
        <v>2133</v>
      </c>
      <c r="F12" s="2384"/>
      <c r="G12" s="2384"/>
      <c r="H12" s="2384"/>
      <c r="I12" s="2384"/>
      <c r="J12" s="2384"/>
      <c r="K12" s="2384"/>
      <c r="L12" s="2384"/>
      <c r="M12" s="2384"/>
      <c r="N12" s="2384"/>
      <c r="O12" s="2384"/>
      <c r="P12" s="2384"/>
      <c r="Q12" s="2384"/>
      <c r="R12" s="2384"/>
      <c r="S12" s="2384"/>
      <c r="T12" s="2384"/>
      <c r="U12" s="2384"/>
      <c r="V12" s="2384"/>
      <c r="W12" s="2384"/>
      <c r="X12" s="2384"/>
      <c r="Y12" s="2384"/>
      <c r="Z12" s="2384"/>
      <c r="AA12" s="2384"/>
      <c r="AB12" s="2384"/>
      <c r="AC12" s="2384"/>
      <c r="AD12" s="2384"/>
      <c r="AE12" s="2384"/>
      <c r="AF12" s="2384"/>
      <c r="AG12" s="2384"/>
      <c r="AH12" s="2384"/>
      <c r="AI12" s="2384"/>
      <c r="AJ12" s="2385"/>
      <c r="AK12" s="440"/>
      <c r="AL12" s="440"/>
      <c r="AM12" s="440"/>
      <c r="AN12" s="435"/>
      <c r="AO12" s="457"/>
    </row>
    <row r="13" spans="1:41" s="436" customFormat="1" ht="12.75" customHeight="1">
      <c r="A13" s="440"/>
      <c r="D13" s="446"/>
      <c r="E13" s="2386"/>
      <c r="F13" s="2387"/>
      <c r="G13" s="2387"/>
      <c r="H13" s="2387"/>
      <c r="I13" s="2387"/>
      <c r="J13" s="2387"/>
      <c r="K13" s="2387"/>
      <c r="L13" s="2387"/>
      <c r="M13" s="2387"/>
      <c r="N13" s="2387"/>
      <c r="O13" s="2387"/>
      <c r="P13" s="2387"/>
      <c r="Q13" s="2387"/>
      <c r="R13" s="2387"/>
      <c r="S13" s="2387"/>
      <c r="T13" s="2387"/>
      <c r="U13" s="2387"/>
      <c r="V13" s="2387"/>
      <c r="W13" s="2387"/>
      <c r="X13" s="2387"/>
      <c r="Y13" s="2387"/>
      <c r="Z13" s="2387"/>
      <c r="AA13" s="2387"/>
      <c r="AB13" s="2387"/>
      <c r="AC13" s="2387"/>
      <c r="AD13" s="2387"/>
      <c r="AE13" s="2387"/>
      <c r="AF13" s="2387"/>
      <c r="AG13" s="2387"/>
      <c r="AH13" s="2387"/>
      <c r="AI13" s="2387"/>
      <c r="AJ13" s="2388"/>
      <c r="AK13" s="440"/>
      <c r="AL13" s="440"/>
      <c r="AM13" s="440"/>
      <c r="AN13" s="435"/>
      <c r="AO13" s="457"/>
    </row>
    <row r="14" spans="1:41" s="436" customFormat="1" ht="12.75" customHeight="1">
      <c r="A14" s="440"/>
      <c r="D14" s="440"/>
      <c r="E14" s="2539"/>
      <c r="F14" s="2540"/>
      <c r="G14" s="2540"/>
      <c r="H14" s="2540"/>
      <c r="I14" s="2540"/>
      <c r="J14" s="2540"/>
      <c r="K14" s="2540"/>
      <c r="L14" s="2540"/>
      <c r="M14" s="2540"/>
      <c r="N14" s="2540"/>
      <c r="O14" s="2540"/>
      <c r="P14" s="2540"/>
      <c r="Q14" s="2540"/>
      <c r="R14" s="2540"/>
      <c r="S14" s="2540"/>
      <c r="T14" s="2540"/>
      <c r="U14" s="2540"/>
      <c r="V14" s="2540"/>
      <c r="W14" s="2540"/>
      <c r="X14" s="2540"/>
      <c r="Y14" s="2540"/>
      <c r="Z14" s="2540"/>
      <c r="AA14" s="2540"/>
      <c r="AB14" s="2540"/>
      <c r="AC14" s="2540"/>
      <c r="AD14" s="2540"/>
      <c r="AE14" s="2540"/>
      <c r="AF14" s="2540"/>
      <c r="AG14" s="2540"/>
      <c r="AH14" s="2540"/>
      <c r="AI14" s="2540"/>
      <c r="AJ14" s="254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2" t="s">
        <v>856</v>
      </c>
      <c r="C16" s="2522"/>
      <c r="D16" s="440"/>
      <c r="E16" s="2383" t="s">
        <v>2134</v>
      </c>
      <c r="F16" s="2384"/>
      <c r="G16" s="2384"/>
      <c r="H16" s="2384"/>
      <c r="I16" s="2384"/>
      <c r="J16" s="2384"/>
      <c r="K16" s="2384"/>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c r="AH16" s="2384"/>
      <c r="AI16" s="2384"/>
      <c r="AJ16" s="2385"/>
      <c r="AK16" s="440"/>
      <c r="AL16" s="440"/>
      <c r="AM16" s="440"/>
      <c r="AN16" s="435"/>
    </row>
    <row r="17" spans="1:50" s="436" customFormat="1" ht="12.75" customHeight="1">
      <c r="A17" s="440"/>
      <c r="B17" s="440"/>
      <c r="C17" s="440"/>
      <c r="D17" s="440"/>
      <c r="E17" s="2386"/>
      <c r="F17" s="2387"/>
      <c r="G17" s="2387"/>
      <c r="H17" s="2387"/>
      <c r="I17" s="2387"/>
      <c r="J17" s="2387"/>
      <c r="K17" s="2387"/>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8"/>
      <c r="AK17" s="440"/>
      <c r="AL17" s="440"/>
      <c r="AM17" s="440"/>
      <c r="AN17" s="435"/>
    </row>
    <row r="18" spans="1:50" s="436" customFormat="1" ht="12.75" customHeight="1">
      <c r="A18" s="440"/>
      <c r="B18" s="440"/>
      <c r="C18" s="1024"/>
      <c r="D18" s="440"/>
      <c r="E18" s="2539"/>
      <c r="F18" s="2540"/>
      <c r="G18" s="2540"/>
      <c r="H18" s="2540"/>
      <c r="I18" s="2540"/>
      <c r="J18" s="2540"/>
      <c r="K18" s="2540"/>
      <c r="L18" s="2540"/>
      <c r="M18" s="2540"/>
      <c r="N18" s="2540"/>
      <c r="O18" s="2540"/>
      <c r="P18" s="2540"/>
      <c r="Q18" s="2540"/>
      <c r="R18" s="2540"/>
      <c r="S18" s="2540"/>
      <c r="T18" s="2540"/>
      <c r="U18" s="2540"/>
      <c r="V18" s="2540"/>
      <c r="W18" s="2540"/>
      <c r="X18" s="2540"/>
      <c r="Y18" s="2540"/>
      <c r="Z18" s="2540"/>
      <c r="AA18" s="2540"/>
      <c r="AB18" s="2540"/>
      <c r="AC18" s="2540"/>
      <c r="AD18" s="2540"/>
      <c r="AE18" s="2540"/>
      <c r="AF18" s="2540"/>
      <c r="AG18" s="2540"/>
      <c r="AH18" s="2540"/>
      <c r="AI18" s="2540"/>
      <c r="AJ18" s="254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2" t="s">
        <v>856</v>
      </c>
      <c r="C20" s="2522"/>
      <c r="D20" s="440"/>
      <c r="E20" s="2383" t="s">
        <v>2135</v>
      </c>
      <c r="F20" s="2384"/>
      <c r="G20" s="2384"/>
      <c r="H20" s="2384"/>
      <c r="I20" s="2384"/>
      <c r="J20" s="2384"/>
      <c r="K20" s="2384"/>
      <c r="L20" s="2384"/>
      <c r="M20" s="2384"/>
      <c r="N20" s="2384"/>
      <c r="O20" s="2384"/>
      <c r="P20" s="2384"/>
      <c r="Q20" s="2384"/>
      <c r="R20" s="2384"/>
      <c r="S20" s="2384"/>
      <c r="T20" s="2384"/>
      <c r="U20" s="2384"/>
      <c r="V20" s="2384"/>
      <c r="W20" s="2384"/>
      <c r="X20" s="2384"/>
      <c r="Y20" s="2384"/>
      <c r="Z20" s="2384"/>
      <c r="AA20" s="2384"/>
      <c r="AB20" s="2384"/>
      <c r="AC20" s="2384"/>
      <c r="AD20" s="2384"/>
      <c r="AE20" s="2384"/>
      <c r="AF20" s="2384"/>
      <c r="AG20" s="2384"/>
      <c r="AH20" s="2384"/>
      <c r="AI20" s="2384"/>
      <c r="AJ20" s="2385"/>
      <c r="AK20" s="440"/>
      <c r="AL20" s="440"/>
      <c r="AM20" s="440"/>
      <c r="AN20" s="435"/>
    </row>
    <row r="21" spans="1:50" s="436" customFormat="1" ht="12.75" customHeight="1">
      <c r="A21" s="440"/>
      <c r="B21" s="446"/>
      <c r="C21" s="446"/>
      <c r="D21" s="446"/>
      <c r="E21" s="2539"/>
      <c r="F21" s="2540"/>
      <c r="G21" s="2540"/>
      <c r="H21" s="2540"/>
      <c r="I21" s="2540"/>
      <c r="J21" s="2540"/>
      <c r="K21" s="2540"/>
      <c r="L21" s="2540"/>
      <c r="M21" s="2540"/>
      <c r="N21" s="2540"/>
      <c r="O21" s="2540"/>
      <c r="P21" s="2540"/>
      <c r="Q21" s="2540"/>
      <c r="R21" s="2540"/>
      <c r="S21" s="2540"/>
      <c r="T21" s="2540"/>
      <c r="U21" s="2540"/>
      <c r="V21" s="2540"/>
      <c r="W21" s="2540"/>
      <c r="X21" s="2540"/>
      <c r="Y21" s="2540"/>
      <c r="Z21" s="2540"/>
      <c r="AA21" s="2540"/>
      <c r="AB21" s="2540"/>
      <c r="AC21" s="2540"/>
      <c r="AD21" s="2540"/>
      <c r="AE21" s="2540"/>
      <c r="AF21" s="2540"/>
      <c r="AG21" s="2540"/>
      <c r="AH21" s="2540"/>
      <c r="AI21" s="2540"/>
      <c r="AJ21" s="2541"/>
      <c r="AK21" s="440"/>
      <c r="AL21" s="440"/>
      <c r="AM21" s="440"/>
      <c r="AN21" s="435"/>
      <c r="AO21" s="436">
        <f>IF(AND(B12="Yes",B16="Yes",B20="Yes"),10,0)</f>
        <v>10</v>
      </c>
      <c r="AP21" s="436" t="s">
        <v>2136</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4" t="s">
        <v>2137</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6" t="s">
        <v>2138</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2" t="s">
        <v>820</v>
      </c>
      <c r="C26" s="2522"/>
      <c r="D26" s="446"/>
      <c r="E26" s="447" t="s">
        <v>2139</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3"/>
      <c r="AH26" s="2553"/>
      <c r="AI26" s="2553"/>
      <c r="AJ26" s="2554"/>
      <c r="AK26" s="440"/>
      <c r="AL26" s="440"/>
      <c r="AM26" s="440"/>
      <c r="AN26" s="435"/>
      <c r="AO26" s="436">
        <f>IF($B26="yes",20,0)</f>
        <v>0</v>
      </c>
      <c r="AP26" s="13" t="s">
        <v>2136</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5" t="s">
        <v>2140</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5"/>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2" t="s">
        <v>820</v>
      </c>
      <c r="C30" s="2522"/>
      <c r="D30" s="446"/>
      <c r="E30" s="2555" t="s">
        <v>2141</v>
      </c>
      <c r="F30" s="2556"/>
      <c r="G30" s="2556"/>
      <c r="H30" s="2556"/>
      <c r="I30" s="2556"/>
      <c r="J30" s="2556"/>
      <c r="K30" s="2556"/>
      <c r="L30" s="2556"/>
      <c r="M30" s="2556"/>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7"/>
      <c r="AK30" s="440"/>
      <c r="AL30" s="440"/>
      <c r="AM30" s="440"/>
      <c r="AN30" s="435"/>
      <c r="AO30" s="449">
        <f>IF($B30="yes",9,0)</f>
        <v>0</v>
      </c>
    </row>
    <row r="31" spans="1:50" s="436" customFormat="1" ht="12.75" customHeight="1">
      <c r="A31" s="440"/>
      <c r="B31" s="440"/>
      <c r="C31" s="440"/>
      <c r="E31" s="2561"/>
      <c r="F31" s="2562"/>
      <c r="G31" s="2562"/>
      <c r="H31" s="2562"/>
      <c r="I31" s="2562"/>
      <c r="J31" s="2562"/>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2" t="s">
        <v>820</v>
      </c>
      <c r="C33" s="2522"/>
      <c r="D33" s="446"/>
      <c r="E33" s="2555" t="s">
        <v>2142</v>
      </c>
      <c r="F33" s="2556"/>
      <c r="G33" s="2556"/>
      <c r="H33" s="2556"/>
      <c r="I33" s="2556"/>
      <c r="J33" s="2556"/>
      <c r="K33" s="2556"/>
      <c r="L33" s="2556"/>
      <c r="M33" s="2556"/>
      <c r="N33" s="2556"/>
      <c r="O33" s="2556"/>
      <c r="P33" s="2556"/>
      <c r="Q33" s="2556"/>
      <c r="R33" s="2556"/>
      <c r="S33" s="2556"/>
      <c r="T33" s="2556"/>
      <c r="U33" s="2556"/>
      <c r="V33" s="2556"/>
      <c r="W33" s="2556"/>
      <c r="X33" s="2556"/>
      <c r="Y33" s="2556"/>
      <c r="Z33" s="2556"/>
      <c r="AA33" s="2556"/>
      <c r="AB33" s="2556"/>
      <c r="AC33" s="2556"/>
      <c r="AD33" s="2556"/>
      <c r="AE33" s="2556"/>
      <c r="AF33" s="2556"/>
      <c r="AG33" s="2556"/>
      <c r="AH33" s="2556"/>
      <c r="AI33" s="2556"/>
      <c r="AJ33" s="2557"/>
      <c r="AK33" s="440"/>
      <c r="AL33" s="440"/>
      <c r="AM33" s="440"/>
      <c r="AN33" s="435"/>
      <c r="AO33" s="449">
        <f>IF($B39="yes",9,0)</f>
        <v>0</v>
      </c>
    </row>
    <row r="34" spans="1:43" s="436" customFormat="1" ht="12.75" customHeight="1">
      <c r="A34" s="440"/>
      <c r="B34" s="440"/>
      <c r="C34" s="440"/>
      <c r="D34" s="446"/>
      <c r="E34" s="2558"/>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60"/>
      <c r="AK34" s="440"/>
      <c r="AL34" s="440"/>
      <c r="AM34" s="440"/>
      <c r="AN34" s="435"/>
      <c r="AO34" s="436">
        <f>MAX(AO30,AO31,AO32,AO33)</f>
        <v>0</v>
      </c>
      <c r="AP34" s="436" t="s">
        <v>2136</v>
      </c>
    </row>
    <row r="35" spans="1:43" s="436" customFormat="1" ht="12.75" customHeight="1">
      <c r="A35" s="440"/>
      <c r="B35" s="440"/>
      <c r="C35" s="440"/>
      <c r="E35" s="2561"/>
      <c r="F35" s="2562"/>
      <c r="G35" s="2562"/>
      <c r="H35" s="2562"/>
      <c r="I35" s="2562"/>
      <c r="J35" s="2562"/>
      <c r="K35" s="2562"/>
      <c r="L35" s="2562"/>
      <c r="M35" s="2562"/>
      <c r="N35" s="2562"/>
      <c r="O35" s="2562"/>
      <c r="P35" s="2562"/>
      <c r="Q35" s="2562"/>
      <c r="R35" s="2562"/>
      <c r="S35" s="2562"/>
      <c r="T35" s="2562"/>
      <c r="U35" s="2562"/>
      <c r="V35" s="2562"/>
      <c r="W35" s="2562"/>
      <c r="X35" s="2562"/>
      <c r="Y35" s="2562"/>
      <c r="Z35" s="2562"/>
      <c r="AA35" s="2562"/>
      <c r="AB35" s="2562"/>
      <c r="AC35" s="2562"/>
      <c r="AD35" s="2562"/>
      <c r="AE35" s="2562"/>
      <c r="AF35" s="2562"/>
      <c r="AG35" s="2562"/>
      <c r="AH35" s="2562"/>
      <c r="AI35" s="2562"/>
      <c r="AJ35" s="256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2" t="s">
        <v>820</v>
      </c>
      <c r="C37" s="2522"/>
      <c r="D37" s="1025"/>
      <c r="E37" s="2548" t="s">
        <v>2143</v>
      </c>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2" t="s">
        <v>820</v>
      </c>
      <c r="C39" s="2522"/>
      <c r="D39" s="1025"/>
      <c r="E39" s="2548" t="s">
        <v>2144</v>
      </c>
      <c r="F39" s="2549"/>
      <c r="G39" s="2549"/>
      <c r="H39" s="2549"/>
      <c r="I39" s="2549"/>
      <c r="J39" s="2549"/>
      <c r="K39" s="2549"/>
      <c r="L39" s="2549"/>
      <c r="M39" s="2549"/>
      <c r="N39" s="2549"/>
      <c r="O39" s="2549"/>
      <c r="P39" s="2549"/>
      <c r="Q39" s="2549"/>
      <c r="R39" s="2549"/>
      <c r="S39" s="2549"/>
      <c r="T39" s="2549"/>
      <c r="U39" s="2549"/>
      <c r="V39" s="2549"/>
      <c r="W39" s="2549"/>
      <c r="X39" s="2549"/>
      <c r="Y39" s="2549"/>
      <c r="Z39" s="2549"/>
      <c r="AA39" s="2549"/>
      <c r="AB39" s="2549"/>
      <c r="AC39" s="2549"/>
      <c r="AD39" s="2549"/>
      <c r="AE39" s="2549"/>
      <c r="AF39" s="2549"/>
      <c r="AG39" s="2549"/>
      <c r="AH39" s="2549"/>
      <c r="AI39" s="2549"/>
      <c r="AJ39" s="255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5" t="s">
        <v>2145</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5"/>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2" t="s">
        <v>856</v>
      </c>
      <c r="C43" s="2522"/>
      <c r="D43" s="446"/>
      <c r="E43" s="2523" t="s">
        <v>2146</v>
      </c>
      <c r="F43" s="2524"/>
      <c r="G43" s="2524"/>
      <c r="H43" s="2524"/>
      <c r="I43" s="2524"/>
      <c r="J43" s="2524"/>
      <c r="K43" s="2524"/>
      <c r="L43" s="2524"/>
      <c r="M43" s="2524"/>
      <c r="N43" s="2524"/>
      <c r="O43" s="2524"/>
      <c r="P43" s="2524"/>
      <c r="Q43" s="2524"/>
      <c r="R43" s="2524"/>
      <c r="S43" s="2524"/>
      <c r="T43" s="2524"/>
      <c r="U43" s="2524"/>
      <c r="V43" s="2524"/>
      <c r="W43" s="2524"/>
      <c r="X43" s="2524"/>
      <c r="Y43" s="2524"/>
      <c r="Z43" s="2524"/>
      <c r="AA43" s="2524"/>
      <c r="AB43" s="2524"/>
      <c r="AC43" s="2524"/>
      <c r="AD43" s="2524"/>
      <c r="AE43" s="2524"/>
      <c r="AF43" s="2524"/>
      <c r="AG43" s="2524"/>
      <c r="AH43" s="2524"/>
      <c r="AI43" s="2524"/>
      <c r="AJ43" s="2525"/>
      <c r="AK43" s="440"/>
      <c r="AL43" s="440"/>
      <c r="AM43" s="440"/>
      <c r="AN43" s="435"/>
      <c r="AO43" s="449">
        <f>IF($B43="yes",8,0)</f>
        <v>8</v>
      </c>
      <c r="AP43" s="13"/>
    </row>
    <row r="44" spans="1:43" s="436" customFormat="1" ht="12.75" customHeight="1">
      <c r="A44" s="440"/>
      <c r="B44" s="440"/>
      <c r="C44" s="440"/>
      <c r="D44" s="450"/>
      <c r="E44" s="2564"/>
      <c r="F44" s="2565"/>
      <c r="G44" s="2565"/>
      <c r="H44" s="2565"/>
      <c r="I44" s="2565"/>
      <c r="J44" s="2565"/>
      <c r="K44" s="2565"/>
      <c r="L44" s="2565"/>
      <c r="M44" s="2565"/>
      <c r="N44" s="2565"/>
      <c r="O44" s="2565"/>
      <c r="P44" s="2565"/>
      <c r="Q44" s="2565"/>
      <c r="R44" s="2565"/>
      <c r="S44" s="2565"/>
      <c r="T44" s="2565"/>
      <c r="U44" s="2565"/>
      <c r="V44" s="2565"/>
      <c r="W44" s="2565"/>
      <c r="X44" s="2565"/>
      <c r="Y44" s="2565"/>
      <c r="Z44" s="2565"/>
      <c r="AA44" s="2565"/>
      <c r="AB44" s="2565"/>
      <c r="AC44" s="2565"/>
      <c r="AD44" s="2565"/>
      <c r="AE44" s="2565"/>
      <c r="AF44" s="2565"/>
      <c r="AG44" s="2565"/>
      <c r="AH44" s="2565"/>
      <c r="AI44" s="2565"/>
      <c r="AJ44" s="256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2" t="s">
        <v>820</v>
      </c>
      <c r="C46" s="2522"/>
      <c r="D46" s="446"/>
      <c r="E46" s="2555" t="s">
        <v>2147</v>
      </c>
      <c r="F46" s="2556"/>
      <c r="G46" s="2556"/>
      <c r="H46" s="2556"/>
      <c r="I46" s="2556"/>
      <c r="J46" s="2556"/>
      <c r="K46" s="2556"/>
      <c r="L46" s="2556"/>
      <c r="M46" s="2556"/>
      <c r="N46" s="2556"/>
      <c r="O46" s="2556"/>
      <c r="P46" s="2556"/>
      <c r="Q46" s="2556"/>
      <c r="R46" s="2556"/>
      <c r="S46" s="2556"/>
      <c r="T46" s="2556"/>
      <c r="U46" s="2556"/>
      <c r="V46" s="2556"/>
      <c r="W46" s="2556"/>
      <c r="X46" s="2556"/>
      <c r="Y46" s="2556"/>
      <c r="Z46" s="2556"/>
      <c r="AA46" s="2556"/>
      <c r="AB46" s="2556"/>
      <c r="AC46" s="2556"/>
      <c r="AD46" s="2556"/>
      <c r="AE46" s="2556"/>
      <c r="AF46" s="2556"/>
      <c r="AG46" s="2556"/>
      <c r="AH46" s="2556"/>
      <c r="AI46" s="2556"/>
      <c r="AJ46" s="2557"/>
      <c r="AK46" s="440"/>
      <c r="AL46" s="440"/>
      <c r="AM46" s="440"/>
      <c r="AN46" s="435"/>
      <c r="AO46" s="449">
        <f>IF($B52="yes",8,0)</f>
        <v>0</v>
      </c>
    </row>
    <row r="47" spans="1:43" s="436" customFormat="1" ht="12.75" customHeight="1">
      <c r="A47" s="440"/>
      <c r="B47" s="440"/>
      <c r="C47" s="440"/>
      <c r="D47" s="449"/>
      <c r="E47" s="2561"/>
      <c r="F47" s="2562"/>
      <c r="G47" s="2562"/>
      <c r="H47" s="2562"/>
      <c r="I47" s="2562"/>
      <c r="J47" s="2562"/>
      <c r="K47" s="2562"/>
      <c r="L47" s="2562"/>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3"/>
      <c r="AK47" s="440"/>
      <c r="AL47" s="440"/>
      <c r="AM47" s="440"/>
      <c r="AN47" s="435"/>
      <c r="AO47" s="436">
        <f>MAX(AO43,AO44,AO45,AO46)</f>
        <v>8</v>
      </c>
      <c r="AP47" s="436" t="s">
        <v>2136</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2" t="s">
        <v>820</v>
      </c>
      <c r="C49" s="2522"/>
      <c r="D49" s="446"/>
      <c r="E49" s="2383" t="s">
        <v>2148</v>
      </c>
      <c r="F49" s="2384"/>
      <c r="G49" s="2384"/>
      <c r="H49" s="2384"/>
      <c r="I49" s="2384"/>
      <c r="J49" s="2384"/>
      <c r="K49" s="2384"/>
      <c r="L49" s="2384"/>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5"/>
      <c r="AK49" s="440"/>
      <c r="AL49" s="440"/>
      <c r="AM49" s="440"/>
      <c r="AN49" s="435"/>
      <c r="AO49" s="449"/>
    </row>
    <row r="50" spans="1:42" s="436" customFormat="1" ht="12.75" customHeight="1">
      <c r="A50" s="440"/>
      <c r="B50" s="440"/>
      <c r="C50" s="440"/>
      <c r="D50" s="449"/>
      <c r="E50" s="2539"/>
      <c r="F50" s="2540"/>
      <c r="G50" s="2540"/>
      <c r="H50" s="2540"/>
      <c r="I50" s="2540"/>
      <c r="J50" s="2540"/>
      <c r="K50" s="2540"/>
      <c r="L50" s="2540"/>
      <c r="M50" s="2540"/>
      <c r="N50" s="2540"/>
      <c r="O50" s="2540"/>
      <c r="P50" s="2540"/>
      <c r="Q50" s="2540"/>
      <c r="R50" s="2540"/>
      <c r="S50" s="2540"/>
      <c r="T50" s="2540"/>
      <c r="U50" s="2540"/>
      <c r="V50" s="2540"/>
      <c r="W50" s="2540"/>
      <c r="X50" s="2540"/>
      <c r="Y50" s="2540"/>
      <c r="Z50" s="2540"/>
      <c r="AA50" s="2540"/>
      <c r="AB50" s="2540"/>
      <c r="AC50" s="2540"/>
      <c r="AD50" s="2540"/>
      <c r="AE50" s="2540"/>
      <c r="AF50" s="2540"/>
      <c r="AG50" s="2540"/>
      <c r="AH50" s="2540"/>
      <c r="AI50" s="2540"/>
      <c r="AJ50" s="254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2" t="s">
        <v>820</v>
      </c>
      <c r="C52" s="2522"/>
      <c r="D52" s="446"/>
      <c r="E52" s="2548" t="s">
        <v>2149</v>
      </c>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5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5" t="s">
        <v>2150</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5"/>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7</v>
      </c>
      <c r="AP55" s="13"/>
    </row>
    <row r="56" spans="1:42" s="436" customFormat="1" ht="12.75" customHeight="1">
      <c r="A56" s="440"/>
      <c r="B56" s="2522" t="s">
        <v>856</v>
      </c>
      <c r="C56" s="2522"/>
      <c r="D56" s="446"/>
      <c r="E56" s="2383" t="s">
        <v>2151</v>
      </c>
      <c r="F56" s="2384"/>
      <c r="G56" s="2384"/>
      <c r="H56" s="2384"/>
      <c r="I56" s="2384"/>
      <c r="J56" s="2384"/>
      <c r="K56" s="2384"/>
      <c r="L56" s="2384"/>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5"/>
      <c r="AK56" s="440"/>
      <c r="AL56" s="440"/>
      <c r="AM56" s="440"/>
      <c r="AN56" s="435"/>
      <c r="AO56" s="449">
        <f>IF($B59="yes",7,0)</f>
        <v>0</v>
      </c>
    </row>
    <row r="57" spans="1:42" s="436" customFormat="1" ht="12.75" customHeight="1">
      <c r="A57" s="440"/>
      <c r="B57" s="440"/>
      <c r="C57" s="440"/>
      <c r="D57" s="449"/>
      <c r="E57" s="2539"/>
      <c r="F57" s="2540"/>
      <c r="G57" s="2540"/>
      <c r="H57" s="2540"/>
      <c r="I57" s="2540"/>
      <c r="J57" s="2540"/>
      <c r="K57" s="2540"/>
      <c r="L57" s="2540"/>
      <c r="M57" s="2540"/>
      <c r="N57" s="2540"/>
      <c r="O57" s="2540"/>
      <c r="P57" s="2540"/>
      <c r="Q57" s="2540"/>
      <c r="R57" s="2540"/>
      <c r="S57" s="2540"/>
      <c r="T57" s="2540"/>
      <c r="U57" s="2540"/>
      <c r="V57" s="2540"/>
      <c r="W57" s="2540"/>
      <c r="X57" s="2540"/>
      <c r="Y57" s="2540"/>
      <c r="Z57" s="2540"/>
      <c r="AA57" s="2540"/>
      <c r="AB57" s="2540"/>
      <c r="AC57" s="2540"/>
      <c r="AD57" s="2540"/>
      <c r="AE57" s="2540"/>
      <c r="AF57" s="2540"/>
      <c r="AG57" s="2540"/>
      <c r="AH57" s="2540"/>
      <c r="AI57" s="2540"/>
      <c r="AJ57" s="2541"/>
      <c r="AK57" s="440"/>
      <c r="AL57" s="440"/>
      <c r="AM57" s="440"/>
      <c r="AN57" s="435"/>
      <c r="AO57" s="436">
        <f>MAX(AO55:AO56)</f>
        <v>7</v>
      </c>
      <c r="AP57" s="436" t="s">
        <v>2136</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2" t="s">
        <v>820</v>
      </c>
      <c r="C59" s="2522"/>
      <c r="D59" s="446"/>
      <c r="E59" s="2548" t="s">
        <v>2152</v>
      </c>
      <c r="F59" s="2549"/>
      <c r="G59" s="2549"/>
      <c r="H59" s="2549"/>
      <c r="I59" s="2549"/>
      <c r="J59" s="2549"/>
      <c r="K59" s="2549"/>
      <c r="L59" s="2549"/>
      <c r="M59" s="2549"/>
      <c r="N59" s="2549"/>
      <c r="O59" s="2549"/>
      <c r="P59" s="2549"/>
      <c r="Q59" s="2549"/>
      <c r="R59" s="2549"/>
      <c r="S59" s="2549"/>
      <c r="T59" s="2549"/>
      <c r="U59" s="2549"/>
      <c r="V59" s="2549"/>
      <c r="W59" s="2549"/>
      <c r="X59" s="2549"/>
      <c r="Y59" s="2549"/>
      <c r="Z59" s="2549"/>
      <c r="AA59" s="2549"/>
      <c r="AB59" s="2549"/>
      <c r="AC59" s="2549"/>
      <c r="AD59" s="2549"/>
      <c r="AE59" s="2549"/>
      <c r="AF59" s="2549"/>
      <c r="AG59" s="2549"/>
      <c r="AH59" s="2549"/>
      <c r="AI59" s="2549"/>
      <c r="AJ59" s="255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IF(AO26&gt;0,AO26,SUM(AO21,MAX(AO34,AO47,AO57)))</f>
        <v>18</v>
      </c>
      <c r="AP60" s="436" t="s">
        <v>2136</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2153</v>
      </c>
      <c r="AK61" s="2514">
        <f>AO60</f>
        <v>18</v>
      </c>
      <c r="AL61" s="2515"/>
      <c r="AM61" s="2516"/>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2154</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80" t="s">
        <v>2155</v>
      </c>
      <c r="AF64" s="2380"/>
      <c r="AG64" s="2380"/>
      <c r="AH64" s="2380"/>
      <c r="AI64" s="2380"/>
      <c r="AJ64" s="2380"/>
      <c r="AK64" s="2380"/>
      <c r="AL64" s="440"/>
      <c r="AM64" s="440"/>
      <c r="AN64" s="435"/>
    </row>
    <row r="65" spans="1:42" s="436" customFormat="1" ht="12.75" customHeight="1">
      <c r="A65" s="438"/>
      <c r="B65" s="439" t="s">
        <v>2156</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2" t="s">
        <v>820</v>
      </c>
      <c r="C67" s="2522"/>
      <c r="D67" s="446" t="s">
        <v>2157</v>
      </c>
      <c r="E67" s="2523" t="s">
        <v>2158</v>
      </c>
      <c r="F67" s="2524"/>
      <c r="G67" s="2524"/>
      <c r="H67" s="2524"/>
      <c r="I67" s="2524"/>
      <c r="J67" s="2524"/>
      <c r="K67" s="2524"/>
      <c r="L67" s="2524"/>
      <c r="M67" s="2524"/>
      <c r="N67" s="2524"/>
      <c r="O67" s="2524"/>
      <c r="P67" s="2524"/>
      <c r="Q67" s="2524"/>
      <c r="R67" s="2524"/>
      <c r="S67" s="2524"/>
      <c r="T67" s="2524"/>
      <c r="U67" s="2524"/>
      <c r="V67" s="2524"/>
      <c r="W67" s="2524"/>
      <c r="X67" s="2524"/>
      <c r="Y67" s="2524"/>
      <c r="Z67" s="2524"/>
      <c r="AA67" s="2524"/>
      <c r="AB67" s="2524"/>
      <c r="AC67" s="2524"/>
      <c r="AD67" s="2524"/>
      <c r="AE67" s="2524"/>
      <c r="AF67" s="2524"/>
      <c r="AG67" s="2524"/>
      <c r="AH67" s="2524"/>
      <c r="AI67" s="2524"/>
      <c r="AJ67" s="2525"/>
      <c r="AK67" s="443"/>
      <c r="AL67" s="440"/>
      <c r="AM67" s="440"/>
      <c r="AN67" s="435"/>
      <c r="AO67" s="449">
        <f>IF($B67="yes",10,0)</f>
        <v>0</v>
      </c>
    </row>
    <row r="68" spans="1:42" s="436" customFormat="1" ht="12.75" customHeight="1">
      <c r="A68" s="438"/>
      <c r="B68" s="440"/>
      <c r="C68" s="440"/>
      <c r="D68" s="450"/>
      <c r="E68" s="2526"/>
      <c r="F68" s="2527"/>
      <c r="G68" s="2527"/>
      <c r="H68" s="2527"/>
      <c r="I68" s="2527"/>
      <c r="J68" s="2527"/>
      <c r="K68" s="2527"/>
      <c r="L68" s="2527"/>
      <c r="M68" s="2527"/>
      <c r="N68" s="2527"/>
      <c r="O68" s="2527"/>
      <c r="P68" s="2527"/>
      <c r="Q68" s="2527"/>
      <c r="R68" s="2527"/>
      <c r="S68" s="2527"/>
      <c r="T68" s="2527"/>
      <c r="U68" s="2527"/>
      <c r="V68" s="2527"/>
      <c r="W68" s="2527"/>
      <c r="X68" s="2527"/>
      <c r="Y68" s="2527"/>
      <c r="Z68" s="2527"/>
      <c r="AA68" s="2527"/>
      <c r="AB68" s="2527"/>
      <c r="AC68" s="2527"/>
      <c r="AD68" s="2527"/>
      <c r="AE68" s="2527"/>
      <c r="AF68" s="2527"/>
      <c r="AG68" s="2527"/>
      <c r="AH68" s="2527"/>
      <c r="AI68" s="2527"/>
      <c r="AJ68" s="2528"/>
      <c r="AK68" s="443"/>
      <c r="AL68" s="440"/>
      <c r="AM68" s="440"/>
      <c r="AN68" s="435"/>
      <c r="AO68" s="449">
        <f>IF(AND($B73="yes",OR(E74="Yes",E75="Yes",E76="Yes")),10,0)</f>
        <v>0</v>
      </c>
    </row>
    <row r="69" spans="1:42" s="436" customFormat="1" ht="12.75" customHeight="1">
      <c r="A69" s="438"/>
      <c r="B69" s="440"/>
      <c r="C69" s="440"/>
      <c r="D69" s="450"/>
      <c r="E69" s="2526"/>
      <c r="F69" s="2527"/>
      <c r="G69" s="2527"/>
      <c r="H69" s="2527"/>
      <c r="I69" s="2527"/>
      <c r="J69" s="2527"/>
      <c r="K69" s="2527"/>
      <c r="L69" s="2527"/>
      <c r="M69" s="2527"/>
      <c r="N69" s="2527"/>
      <c r="O69" s="2527"/>
      <c r="P69" s="2527"/>
      <c r="Q69" s="2527"/>
      <c r="R69" s="2527"/>
      <c r="S69" s="2527"/>
      <c r="T69" s="2527"/>
      <c r="U69" s="2527"/>
      <c r="V69" s="2527"/>
      <c r="W69" s="2527"/>
      <c r="X69" s="2527"/>
      <c r="Y69" s="2527"/>
      <c r="Z69" s="2527"/>
      <c r="AA69" s="2527"/>
      <c r="AB69" s="2527"/>
      <c r="AC69" s="2527"/>
      <c r="AD69" s="2527"/>
      <c r="AE69" s="2527"/>
      <c r="AF69" s="2527"/>
      <c r="AG69" s="2527"/>
      <c r="AH69" s="2527"/>
      <c r="AI69" s="2527"/>
      <c r="AJ69" s="2528"/>
      <c r="AK69" s="443"/>
      <c r="AL69" s="440"/>
      <c r="AM69" s="440"/>
      <c r="AN69" s="435"/>
      <c r="AO69" s="449">
        <f>IF($B78="yes",10,0)</f>
        <v>0</v>
      </c>
    </row>
    <row r="70" spans="1:42" s="436" customFormat="1" ht="12.75" customHeight="1">
      <c r="A70" s="438"/>
      <c r="B70" s="440"/>
      <c r="C70" s="440"/>
      <c r="D70" s="450"/>
      <c r="E70" s="2526"/>
      <c r="F70" s="2527"/>
      <c r="G70" s="2527"/>
      <c r="H70" s="2527"/>
      <c r="I70" s="2527"/>
      <c r="J70" s="2527"/>
      <c r="K70" s="2527"/>
      <c r="L70" s="2527"/>
      <c r="M70" s="2527"/>
      <c r="N70" s="2527"/>
      <c r="O70" s="2527"/>
      <c r="P70" s="2527"/>
      <c r="Q70" s="2527"/>
      <c r="R70" s="2527"/>
      <c r="S70" s="2527"/>
      <c r="T70" s="2527"/>
      <c r="U70" s="2527"/>
      <c r="V70" s="2527"/>
      <c r="W70" s="2527"/>
      <c r="X70" s="2527"/>
      <c r="Y70" s="2527"/>
      <c r="Z70" s="2527"/>
      <c r="AA70" s="2527"/>
      <c r="AB70" s="2527"/>
      <c r="AC70" s="2527"/>
      <c r="AD70" s="2527"/>
      <c r="AE70" s="2527"/>
      <c r="AF70" s="2527"/>
      <c r="AG70" s="2527"/>
      <c r="AH70" s="2527"/>
      <c r="AI70" s="2527"/>
      <c r="AJ70" s="2528"/>
      <c r="AK70" s="443"/>
      <c r="AL70" s="440"/>
      <c r="AM70" s="440"/>
      <c r="AN70" s="435"/>
      <c r="AO70" s="449">
        <f>IF($B81="yes",10,0)</f>
        <v>0</v>
      </c>
    </row>
    <row r="71" spans="1:42" s="436" customFormat="1" ht="12.75" customHeight="1">
      <c r="A71" s="438"/>
      <c r="B71" s="440"/>
      <c r="C71" s="440"/>
      <c r="D71" s="450"/>
      <c r="E71" s="2564"/>
      <c r="F71" s="2565"/>
      <c r="G71" s="2565"/>
      <c r="H71" s="2565"/>
      <c r="I71" s="2565"/>
      <c r="J71" s="2565"/>
      <c r="K71" s="2565"/>
      <c r="L71" s="2565"/>
      <c r="M71" s="2565"/>
      <c r="N71" s="2565"/>
      <c r="O71" s="2565"/>
      <c r="P71" s="2565"/>
      <c r="Q71" s="2565"/>
      <c r="R71" s="2565"/>
      <c r="S71" s="2565"/>
      <c r="T71" s="2565"/>
      <c r="U71" s="2565"/>
      <c r="V71" s="2565"/>
      <c r="W71" s="2565"/>
      <c r="X71" s="2565"/>
      <c r="Y71" s="2565"/>
      <c r="Z71" s="2565"/>
      <c r="AA71" s="2565"/>
      <c r="AB71" s="2565"/>
      <c r="AC71" s="2565"/>
      <c r="AD71" s="2565"/>
      <c r="AE71" s="2565"/>
      <c r="AF71" s="2565"/>
      <c r="AG71" s="2565"/>
      <c r="AH71" s="2565"/>
      <c r="AI71" s="2565"/>
      <c r="AJ71" s="2566"/>
      <c r="AK71" s="443"/>
      <c r="AL71" s="440"/>
      <c r="AM71" s="440"/>
      <c r="AN71" s="435"/>
      <c r="AO71" s="436">
        <f>IF(SUM(AO67:AO69)&gt;10,10,(SUM(AO67:AO69)))</f>
        <v>0</v>
      </c>
      <c r="AP71" s="472" t="s">
        <v>2159</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2" t="s">
        <v>820</v>
      </c>
      <c r="C73" s="2522"/>
      <c r="D73" s="446" t="s">
        <v>2160</v>
      </c>
      <c r="E73" s="861" t="s">
        <v>2161</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70" t="s">
        <v>820</v>
      </c>
      <c r="F74" s="2522"/>
      <c r="G74" s="473"/>
      <c r="H74" s="456" t="s">
        <v>2162</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8" t="s">
        <v>820</v>
      </c>
      <c r="F75" s="2569"/>
      <c r="G75" s="473"/>
      <c r="H75" s="456" t="s">
        <v>2163</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8" t="s">
        <v>820</v>
      </c>
      <c r="F76" s="2569"/>
      <c r="G76" s="798"/>
      <c r="H76" s="1087" t="s">
        <v>2164</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2" t="s">
        <v>820</v>
      </c>
      <c r="C78" s="2522"/>
      <c r="D78" s="446" t="s">
        <v>2165</v>
      </c>
      <c r="E78" s="2383" t="s">
        <v>2166</v>
      </c>
      <c r="F78" s="2384"/>
      <c r="G78" s="2384"/>
      <c r="H78" s="2384"/>
      <c r="I78" s="2384"/>
      <c r="J78" s="2384"/>
      <c r="K78" s="2384"/>
      <c r="L78" s="2384"/>
      <c r="M78" s="2384"/>
      <c r="N78" s="2384"/>
      <c r="O78" s="2384"/>
      <c r="P78" s="2384"/>
      <c r="Q78" s="2384"/>
      <c r="R78" s="2384"/>
      <c r="S78" s="2384"/>
      <c r="T78" s="2384"/>
      <c r="U78" s="2384"/>
      <c r="V78" s="2384"/>
      <c r="W78" s="2384"/>
      <c r="X78" s="2384"/>
      <c r="Y78" s="2384"/>
      <c r="Z78" s="2384"/>
      <c r="AA78" s="2384"/>
      <c r="AB78" s="2384"/>
      <c r="AC78" s="2384"/>
      <c r="AD78" s="2384"/>
      <c r="AE78" s="2384"/>
      <c r="AF78" s="2384"/>
      <c r="AG78" s="2384"/>
      <c r="AH78" s="2384"/>
      <c r="AI78" s="2384"/>
      <c r="AJ78" s="2385"/>
      <c r="AK78" s="443"/>
      <c r="AL78" s="440"/>
      <c r="AM78" s="440"/>
      <c r="AN78" s="435"/>
    </row>
    <row r="79" spans="1:42" s="436" customFormat="1" ht="12.75" customHeight="1">
      <c r="A79" s="438"/>
      <c r="B79" s="440"/>
      <c r="C79" s="440"/>
      <c r="E79" s="2539"/>
      <c r="F79" s="2540"/>
      <c r="G79" s="2540"/>
      <c r="H79" s="2540"/>
      <c r="I79" s="2540"/>
      <c r="J79" s="2540"/>
      <c r="K79" s="2540"/>
      <c r="L79" s="2540"/>
      <c r="M79" s="2540"/>
      <c r="N79" s="2540"/>
      <c r="O79" s="2540"/>
      <c r="P79" s="2540"/>
      <c r="Q79" s="2540"/>
      <c r="R79" s="2540"/>
      <c r="S79" s="2540"/>
      <c r="T79" s="2540"/>
      <c r="U79" s="2540"/>
      <c r="V79" s="2540"/>
      <c r="W79" s="2540"/>
      <c r="X79" s="2540"/>
      <c r="Y79" s="2540"/>
      <c r="Z79" s="2540"/>
      <c r="AA79" s="2540"/>
      <c r="AB79" s="2540"/>
      <c r="AC79" s="2540"/>
      <c r="AD79" s="2540"/>
      <c r="AE79" s="2540"/>
      <c r="AF79" s="2540"/>
      <c r="AG79" s="2540"/>
      <c r="AH79" s="2540"/>
      <c r="AI79" s="2540"/>
      <c r="AJ79" s="254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2" t="s">
        <v>820</v>
      </c>
      <c r="C81" s="2522"/>
      <c r="D81" s="446" t="s">
        <v>2167</v>
      </c>
      <c r="E81" s="2548" t="s">
        <v>2168</v>
      </c>
      <c r="F81" s="2549"/>
      <c r="G81" s="2549"/>
      <c r="H81" s="2549"/>
      <c r="I81" s="2549"/>
      <c r="J81" s="2549"/>
      <c r="K81" s="2549"/>
      <c r="L81" s="2549"/>
      <c r="M81" s="2549"/>
      <c r="N81" s="2549"/>
      <c r="O81" s="2549"/>
      <c r="P81" s="2549"/>
      <c r="Q81" s="2549"/>
      <c r="R81" s="2549"/>
      <c r="S81" s="2549"/>
      <c r="T81" s="2549"/>
      <c r="U81" s="2549"/>
      <c r="V81" s="2549"/>
      <c r="W81" s="2549"/>
      <c r="X81" s="2549"/>
      <c r="Y81" s="2549"/>
      <c r="Z81" s="2549"/>
      <c r="AA81" s="2549"/>
      <c r="AB81" s="2549"/>
      <c r="AC81" s="2549"/>
      <c r="AD81" s="2549"/>
      <c r="AE81" s="2549"/>
      <c r="AF81" s="2549"/>
      <c r="AG81" s="2549"/>
      <c r="AH81" s="2549"/>
      <c r="AI81" s="2549"/>
      <c r="AJ81" s="255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2169</v>
      </c>
      <c r="AK83" s="2514">
        <f>IF(AK61&gt;0,0,AO71)</f>
        <v>0</v>
      </c>
      <c r="AL83" s="2515"/>
      <c r="AM83" s="2516"/>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2170</v>
      </c>
      <c r="B86" s="439" t="s">
        <v>2171</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80" t="s">
        <v>2130</v>
      </c>
      <c r="AF86" s="2380"/>
      <c r="AG86" s="2380"/>
      <c r="AH86" s="2380"/>
      <c r="AI86" s="2380"/>
      <c r="AJ86" s="2380"/>
      <c r="AK86" s="2380"/>
      <c r="AL86" s="440"/>
      <c r="AM86" s="440"/>
      <c r="AN86" s="435"/>
    </row>
    <row r="87" spans="1:43" s="436" customFormat="1" ht="12.75" customHeight="1">
      <c r="A87" s="438"/>
      <c r="B87" s="439" t="s">
        <v>2172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2" t="s">
        <v>856</v>
      </c>
      <c r="C89" s="2522"/>
      <c r="D89" s="446" t="s">
        <v>2157</v>
      </c>
      <c r="E89" s="2523" t="s">
        <v>2173</v>
      </c>
      <c r="F89" s="2524"/>
      <c r="G89" s="2524"/>
      <c r="H89" s="2524"/>
      <c r="I89" s="2524"/>
      <c r="J89" s="2524"/>
      <c r="K89" s="2524"/>
      <c r="L89" s="2524"/>
      <c r="M89" s="2524"/>
      <c r="N89" s="2524"/>
      <c r="O89" s="2524"/>
      <c r="P89" s="2524"/>
      <c r="Q89" s="2524"/>
      <c r="R89" s="2524"/>
      <c r="S89" s="2524"/>
      <c r="T89" s="2524"/>
      <c r="U89" s="2524"/>
      <c r="V89" s="2524"/>
      <c r="W89" s="2524"/>
      <c r="X89" s="2524"/>
      <c r="Y89" s="2524"/>
      <c r="Z89" s="2524"/>
      <c r="AA89" s="2524"/>
      <c r="AB89" s="2524"/>
      <c r="AC89" s="2524"/>
      <c r="AD89" s="2524"/>
      <c r="AE89" s="2524"/>
      <c r="AF89" s="2524"/>
      <c r="AG89" s="2524"/>
      <c r="AH89" s="2524"/>
      <c r="AI89" s="2524"/>
      <c r="AJ89" s="2525"/>
      <c r="AK89" s="443"/>
      <c r="AL89" s="440"/>
      <c r="AM89" s="440"/>
      <c r="AN89" s="435"/>
    </row>
    <row r="90" spans="1:43" s="436" customFormat="1" ht="12.75" customHeight="1">
      <c r="A90" s="438"/>
      <c r="B90" s="439"/>
      <c r="C90" s="439"/>
      <c r="D90" s="439"/>
      <c r="E90" s="2526"/>
      <c r="F90" s="2527"/>
      <c r="G90" s="2527"/>
      <c r="H90" s="2527"/>
      <c r="I90" s="2527"/>
      <c r="J90" s="2527"/>
      <c r="K90" s="2527"/>
      <c r="L90" s="2527"/>
      <c r="M90" s="2527"/>
      <c r="N90" s="2527"/>
      <c r="O90" s="2527"/>
      <c r="P90" s="2527"/>
      <c r="Q90" s="2527"/>
      <c r="R90" s="2527"/>
      <c r="S90" s="2527"/>
      <c r="T90" s="2527"/>
      <c r="U90" s="2527"/>
      <c r="V90" s="2527"/>
      <c r="W90" s="2527"/>
      <c r="X90" s="2527"/>
      <c r="Y90" s="2527"/>
      <c r="Z90" s="2527"/>
      <c r="AA90" s="2527"/>
      <c r="AB90" s="2527"/>
      <c r="AC90" s="2527"/>
      <c r="AD90" s="2527"/>
      <c r="AE90" s="2527"/>
      <c r="AF90" s="2527"/>
      <c r="AG90" s="2527"/>
      <c r="AH90" s="2527"/>
      <c r="AI90" s="2527"/>
      <c r="AJ90" s="252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5">
        <f>Application!AC761</f>
        <v>0.40666666666666668</v>
      </c>
      <c r="F92" s="2536"/>
      <c r="G92" s="2536"/>
      <c r="H92" s="2536"/>
      <c r="I92" s="475"/>
      <c r="J92" s="478" t="s">
        <v>2174</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7">
        <f>0.6-ROUNDUP(E92,2)</f>
        <v>0.18999999999999995</v>
      </c>
      <c r="F93" s="2354"/>
      <c r="G93" s="2354"/>
      <c r="H93" s="2354"/>
      <c r="I93" s="475"/>
      <c r="J93" s="478" t="s">
        <v>2175</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6">
        <f>IF(E93*200&gt;20,20,E93*200)</f>
        <v>20</v>
      </c>
      <c r="F94" s="2547"/>
      <c r="G94" s="2547"/>
      <c r="H94" s="2547"/>
      <c r="I94" s="475"/>
      <c r="J94" s="478" t="s">
        <v>2176</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2136</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2" t="s">
        <v>820</v>
      </c>
      <c r="C97" s="2522"/>
      <c r="D97" s="446" t="s">
        <v>2160</v>
      </c>
      <c r="E97" s="2523" t="s">
        <v>2177</v>
      </c>
      <c r="F97" s="2524"/>
      <c r="G97" s="2524"/>
      <c r="H97" s="2524"/>
      <c r="I97" s="2524"/>
      <c r="J97" s="2524"/>
      <c r="K97" s="2524"/>
      <c r="L97" s="2524"/>
      <c r="M97" s="2524"/>
      <c r="N97" s="2524"/>
      <c r="O97" s="2524"/>
      <c r="P97" s="2524"/>
      <c r="Q97" s="2524"/>
      <c r="R97" s="2524"/>
      <c r="S97" s="2524"/>
      <c r="T97" s="2524"/>
      <c r="U97" s="2524"/>
      <c r="V97" s="2524"/>
      <c r="W97" s="2524"/>
      <c r="X97" s="2524"/>
      <c r="Y97" s="2524"/>
      <c r="Z97" s="2524"/>
      <c r="AA97" s="2524"/>
      <c r="AB97" s="2524"/>
      <c r="AC97" s="2524"/>
      <c r="AD97" s="2524"/>
      <c r="AE97" s="2524"/>
      <c r="AF97" s="2524"/>
      <c r="AG97" s="2524"/>
      <c r="AH97" s="2524"/>
      <c r="AI97" s="2524"/>
      <c r="AJ97" s="2525"/>
      <c r="AK97" s="443"/>
      <c r="AL97" s="440"/>
      <c r="AM97" s="440"/>
      <c r="AN97" s="435"/>
    </row>
    <row r="98" spans="1:47" s="436" customFormat="1" ht="12.75" customHeight="1">
      <c r="A98" s="438"/>
      <c r="B98" s="439"/>
      <c r="C98" s="439"/>
      <c r="D98" s="439"/>
      <c r="E98" s="2526"/>
      <c r="F98" s="2527"/>
      <c r="G98" s="2527"/>
      <c r="H98" s="2527"/>
      <c r="I98" s="2527"/>
      <c r="J98" s="2527"/>
      <c r="K98" s="2527"/>
      <c r="L98" s="2527"/>
      <c r="M98" s="2527"/>
      <c r="N98" s="2527"/>
      <c r="O98" s="2527"/>
      <c r="P98" s="2527"/>
      <c r="Q98" s="2527"/>
      <c r="R98" s="2527"/>
      <c r="S98" s="2527"/>
      <c r="T98" s="2527"/>
      <c r="U98" s="2527"/>
      <c r="V98" s="2527"/>
      <c r="W98" s="2527"/>
      <c r="X98" s="2527"/>
      <c r="Y98" s="2527"/>
      <c r="Z98" s="2527"/>
      <c r="AA98" s="2527"/>
      <c r="AB98" s="2527"/>
      <c r="AC98" s="2527"/>
      <c r="AD98" s="2527"/>
      <c r="AE98" s="2527"/>
      <c r="AF98" s="2527"/>
      <c r="AG98" s="2527"/>
      <c r="AH98" s="2527"/>
      <c r="AI98" s="2527"/>
      <c r="AJ98" s="2528"/>
      <c r="AK98" s="443"/>
      <c r="AL98" s="440"/>
      <c r="AM98" s="440"/>
      <c r="AN98" s="435"/>
    </row>
    <row r="99" spans="1:47" s="436" customFormat="1" ht="12.75" customHeight="1">
      <c r="A99" s="438"/>
      <c r="B99" s="439"/>
      <c r="C99" s="439"/>
      <c r="D99" s="439"/>
      <c r="E99" s="2526"/>
      <c r="F99" s="2527"/>
      <c r="G99" s="2527"/>
      <c r="H99" s="2527"/>
      <c r="I99" s="2527"/>
      <c r="J99" s="2527"/>
      <c r="K99" s="2527"/>
      <c r="L99" s="2527"/>
      <c r="M99" s="2527"/>
      <c r="N99" s="2527"/>
      <c r="O99" s="2527"/>
      <c r="P99" s="2527"/>
      <c r="Q99" s="2527"/>
      <c r="R99" s="2527"/>
      <c r="S99" s="2527"/>
      <c r="T99" s="2527"/>
      <c r="U99" s="2527"/>
      <c r="V99" s="2527"/>
      <c r="W99" s="2527"/>
      <c r="X99" s="2527"/>
      <c r="Y99" s="2527"/>
      <c r="Z99" s="2527"/>
      <c r="AA99" s="2527"/>
      <c r="AB99" s="2527"/>
      <c r="AC99" s="2527"/>
      <c r="AD99" s="2527"/>
      <c r="AE99" s="2527"/>
      <c r="AF99" s="2527"/>
      <c r="AG99" s="2527"/>
      <c r="AH99" s="2527"/>
      <c r="AI99" s="2527"/>
      <c r="AJ99" s="2528"/>
      <c r="AK99" s="443"/>
      <c r="AL99" s="440"/>
      <c r="AM99" s="440"/>
      <c r="AN99" s="435"/>
    </row>
    <row r="100" spans="1:47" s="436" customFormat="1" ht="12.75" customHeight="1">
      <c r="A100" s="438"/>
      <c r="B100" s="439"/>
      <c r="C100" s="439"/>
      <c r="D100" s="439"/>
      <c r="E100" s="2526"/>
      <c r="F100" s="2527"/>
      <c r="G100" s="2527"/>
      <c r="H100" s="2527"/>
      <c r="I100" s="2527"/>
      <c r="J100" s="2527"/>
      <c r="K100" s="2527"/>
      <c r="L100" s="2527"/>
      <c r="M100" s="2527"/>
      <c r="N100" s="2527"/>
      <c r="O100" s="2527"/>
      <c r="P100" s="2527"/>
      <c r="Q100" s="2527"/>
      <c r="R100" s="2527"/>
      <c r="S100" s="2527"/>
      <c r="T100" s="2527"/>
      <c r="U100" s="2527"/>
      <c r="V100" s="2527"/>
      <c r="W100" s="2527"/>
      <c r="X100" s="2527"/>
      <c r="Y100" s="2527"/>
      <c r="Z100" s="2527"/>
      <c r="AA100" s="2527"/>
      <c r="AB100" s="2527"/>
      <c r="AC100" s="2527"/>
      <c r="AD100" s="2527"/>
      <c r="AE100" s="2527"/>
      <c r="AF100" s="2527"/>
      <c r="AG100" s="2527"/>
      <c r="AH100" s="2527"/>
      <c r="AI100" s="2527"/>
      <c r="AJ100" s="252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5">
        <f>Application!AC761</f>
        <v>0.40666666666666668</v>
      </c>
      <c r="F102" s="2536"/>
      <c r="G102" s="2536"/>
      <c r="H102" s="2536"/>
      <c r="I102" s="475"/>
      <c r="J102" s="478" t="s">
        <v>2174</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5">
        <f ca="1">SUMIF(Application!AC726:AG760,0.2,Application!G726:J760)/Application!G761+SUMIF(Application!AC726:AG760,0.25,Application!G726:J760)/Application!G761+SUMIF(Application!AC726:AG760,0.3,Application!G726:J760)/Application!G761</f>
        <v>0.5</v>
      </c>
      <c r="F103" s="2536"/>
      <c r="G103" s="2536"/>
      <c r="H103" s="2536"/>
      <c r="I103" s="475"/>
      <c r="J103" s="478" t="s">
        <v>2178</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5">
        <f ca="1">SUMIF(Application!AC726:AG760,0.35,Application!G726:J760)/Application!G761+SUMIF(Application!AC726:AG760,0.4,Application!G726:J760)/Application!G761+SUMIF(Application!AC726:AG760,0.45,Application!G726:J760)/Application!G761+SUMIF(Application!AC726:AG760,0.5,Application!G726:J760)/Application!G761</f>
        <v>0.43333333333333335</v>
      </c>
      <c r="F104" s="2536"/>
      <c r="G104" s="2536"/>
      <c r="H104" s="2536"/>
      <c r="I104" s="475"/>
      <c r="J104" s="478" t="s">
        <v>2179</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3">
        <f ca="1">IF(AND(E102&lt;=0.6,OR(AND(E103&gt;=0.1,E104&gt;=0.1),AND(E103&gt;0.1,(E103+E104)&gt;=0.2))),20,0)</f>
        <v>20</v>
      </c>
      <c r="F105" s="2534"/>
      <c r="G105" s="2534"/>
      <c r="H105" s="2534"/>
      <c r="I105" s="451"/>
      <c r="J105" s="485" t="s">
        <v>2176</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IF(B97="yes",E105,0)</f>
        <v>0</v>
      </c>
      <c r="AQ105" s="436" t="s">
        <v>2136</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2180</v>
      </c>
      <c r="AK108" s="2514">
        <f>MAX(AP94,AP105)</f>
        <v>20</v>
      </c>
      <c r="AL108" s="2515"/>
      <c r="AM108" s="2516"/>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2181</v>
      </c>
      <c r="B111" s="439" t="s">
        <v>2182</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80" t="s">
        <v>2155</v>
      </c>
      <c r="AF111" s="2380"/>
      <c r="AG111" s="2380"/>
      <c r="AH111" s="2380"/>
      <c r="AI111" s="2380"/>
      <c r="AJ111" s="2380"/>
      <c r="AK111" s="2380"/>
      <c r="AL111" s="440"/>
      <c r="AM111" s="440"/>
      <c r="AN111" s="435"/>
      <c r="AO111" s="436" t="str">
        <f>Application!B726</f>
        <v>1 Bedroom</v>
      </c>
      <c r="AQ111" s="436">
        <f>Application!O726</f>
        <v>964</v>
      </c>
    </row>
    <row r="112" spans="1:47" s="436" customFormat="1" ht="12.75" customHeight="1">
      <c r="A112" s="440"/>
      <c r="B112" s="439" t="s">
        <v>2172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1689</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1160</v>
      </c>
    </row>
    <row r="114" spans="1:52" s="436" customFormat="1" ht="12.75" customHeight="1">
      <c r="A114" s="440"/>
      <c r="B114" s="2522" t="s">
        <v>856</v>
      </c>
      <c r="C114" s="2522"/>
      <c r="D114" s="446" t="s">
        <v>2157</v>
      </c>
      <c r="E114" s="2523" t="s">
        <v>2183</v>
      </c>
      <c r="F114" s="2524"/>
      <c r="G114" s="2524"/>
      <c r="H114" s="2524"/>
      <c r="I114" s="2524"/>
      <c r="J114" s="2524"/>
      <c r="K114" s="2524"/>
      <c r="L114" s="2524"/>
      <c r="M114" s="2524"/>
      <c r="N114" s="2524"/>
      <c r="O114" s="2524"/>
      <c r="P114" s="2524"/>
      <c r="Q114" s="2524"/>
      <c r="R114" s="2524"/>
      <c r="S114" s="2524"/>
      <c r="T114" s="2524"/>
      <c r="U114" s="2524"/>
      <c r="V114" s="2524"/>
      <c r="W114" s="2524"/>
      <c r="X114" s="2524"/>
      <c r="Y114" s="2524"/>
      <c r="Z114" s="2524"/>
      <c r="AA114" s="2524"/>
      <c r="AB114" s="2524"/>
      <c r="AC114" s="2524"/>
      <c r="AD114" s="2524"/>
      <c r="AE114" s="2524"/>
      <c r="AF114" s="2524"/>
      <c r="AG114" s="2524"/>
      <c r="AH114" s="2524"/>
      <c r="AI114" s="2524"/>
      <c r="AJ114" s="2525"/>
      <c r="AK114" s="440"/>
      <c r="AL114" s="440"/>
      <c r="AM114" s="440"/>
      <c r="AN114" s="435"/>
      <c r="AO114" s="436" t="str">
        <f>Application!B729</f>
        <v>2 Bedrooms</v>
      </c>
      <c r="AQ114" s="436">
        <f>Application!O729</f>
        <v>2031</v>
      </c>
      <c r="AU114" s="436" t="s">
        <v>2184</v>
      </c>
      <c r="AV114" s="493" t="s">
        <v>1684</v>
      </c>
      <c r="AW114" s="436" t="s">
        <v>2185</v>
      </c>
    </row>
    <row r="115" spans="1:52" s="436" customFormat="1" ht="12.75" customHeight="1">
      <c r="A115" s="440"/>
      <c r="B115" s="439"/>
      <c r="C115" s="439"/>
      <c r="D115" s="439"/>
      <c r="E115" s="2526"/>
      <c r="F115" s="2527"/>
      <c r="G115" s="2527"/>
      <c r="H115" s="2527"/>
      <c r="I115" s="2527"/>
      <c r="J115" s="2527"/>
      <c r="K115" s="2527"/>
      <c r="L115" s="2527"/>
      <c r="M115" s="2527"/>
      <c r="N115" s="2527"/>
      <c r="O115" s="2527"/>
      <c r="P115" s="2527"/>
      <c r="Q115" s="2527"/>
      <c r="R115" s="2527"/>
      <c r="S115" s="2527"/>
      <c r="T115" s="2527"/>
      <c r="U115" s="2527"/>
      <c r="V115" s="2527"/>
      <c r="W115" s="2527"/>
      <c r="X115" s="2527"/>
      <c r="Y115" s="2527"/>
      <c r="Z115" s="2527"/>
      <c r="AA115" s="2527"/>
      <c r="AB115" s="2527"/>
      <c r="AC115" s="2527"/>
      <c r="AD115" s="2527"/>
      <c r="AE115" s="2527"/>
      <c r="AF115" s="2527"/>
      <c r="AG115" s="2527"/>
      <c r="AH115" s="2527"/>
      <c r="AI115" s="2527"/>
      <c r="AJ115" s="2528"/>
      <c r="AK115" s="440"/>
      <c r="AL115" s="440"/>
      <c r="AM115" s="440"/>
      <c r="AN115" s="435"/>
      <c r="AO115" s="436" t="str">
        <f>Application!B730</f>
        <v>3 Bedrooms</v>
      </c>
      <c r="AQ115" s="436">
        <f>Application!O730</f>
        <v>2342</v>
      </c>
      <c r="AU115" s="752" t="str">
        <f>E123</f>
        <v>Studio/SRO</v>
      </c>
      <c r="AV115" s="436">
        <f t="array" ref="AV115">SUM(IF(Application!B726:F760="SRO/Studio",Application!G726:J760))</f>
        <v>1</v>
      </c>
      <c r="AW115" s="900">
        <f>AV115/AV121</f>
        <v>1.1111111111111112E-2</v>
      </c>
    </row>
    <row r="116" spans="1:52" s="436" customFormat="1" ht="12.75" customHeight="1">
      <c r="A116" s="440"/>
      <c r="B116" s="439"/>
      <c r="C116" s="439"/>
      <c r="D116" s="439"/>
      <c r="E116" s="2526"/>
      <c r="F116" s="2527"/>
      <c r="G116" s="2527"/>
      <c r="H116" s="2527"/>
      <c r="I116" s="2527"/>
      <c r="J116" s="2527"/>
      <c r="K116" s="2527"/>
      <c r="L116" s="2527"/>
      <c r="M116" s="2527"/>
      <c r="N116" s="2527"/>
      <c r="O116" s="2527"/>
      <c r="P116" s="2527"/>
      <c r="Q116" s="2527"/>
      <c r="R116" s="2527"/>
      <c r="S116" s="2527"/>
      <c r="T116" s="2527"/>
      <c r="U116" s="2527"/>
      <c r="V116" s="2527"/>
      <c r="W116" s="2527"/>
      <c r="X116" s="2527"/>
      <c r="Y116" s="2527"/>
      <c r="Z116" s="2527"/>
      <c r="AA116" s="2527"/>
      <c r="AB116" s="2527"/>
      <c r="AC116" s="2527"/>
      <c r="AD116" s="2527"/>
      <c r="AE116" s="2527"/>
      <c r="AF116" s="2527"/>
      <c r="AG116" s="2527"/>
      <c r="AH116" s="2527"/>
      <c r="AI116" s="2527"/>
      <c r="AJ116" s="2528"/>
      <c r="AK116" s="440"/>
      <c r="AL116" s="440"/>
      <c r="AM116" s="440"/>
      <c r="AN116" s="435"/>
      <c r="AO116" s="436" t="str">
        <f>Application!B731</f>
        <v>SRO/Studio</v>
      </c>
      <c r="AQ116" s="436">
        <f>Application!O731</f>
        <v>1934</v>
      </c>
      <c r="AU116" s="752" t="str">
        <f>J123</f>
        <v>1-bedroom</v>
      </c>
      <c r="AV116" s="436">
        <f t="array" ref="AV116">SUM(IF(Application!B726:F760="1 Bedroom",Application!G726:J760))</f>
        <v>32</v>
      </c>
      <c r="AW116" s="900">
        <f>AV116/AV121</f>
        <v>0.35555555555555557</v>
      </c>
    </row>
    <row r="117" spans="1:52" s="436" customFormat="1" ht="12.75" customHeight="1">
      <c r="A117" s="440"/>
      <c r="B117" s="439"/>
      <c r="C117" s="439"/>
      <c r="D117" s="439"/>
      <c r="E117" s="2526"/>
      <c r="F117" s="2527"/>
      <c r="G117" s="2527"/>
      <c r="H117" s="2527"/>
      <c r="I117" s="2527"/>
      <c r="J117" s="2527"/>
      <c r="K117" s="2527"/>
      <c r="L117" s="2527"/>
      <c r="M117" s="2527"/>
      <c r="N117" s="2527"/>
      <c r="O117" s="2527"/>
      <c r="P117" s="2527"/>
      <c r="Q117" s="2527"/>
      <c r="R117" s="2527"/>
      <c r="S117" s="2527"/>
      <c r="T117" s="2527"/>
      <c r="U117" s="2527"/>
      <c r="V117" s="2527"/>
      <c r="W117" s="2527"/>
      <c r="X117" s="2527"/>
      <c r="Y117" s="2527"/>
      <c r="Z117" s="2527"/>
      <c r="AA117" s="2527"/>
      <c r="AB117" s="2527"/>
      <c r="AC117" s="2527"/>
      <c r="AD117" s="2527"/>
      <c r="AE117" s="2527"/>
      <c r="AF117" s="2527"/>
      <c r="AG117" s="2527"/>
      <c r="AH117" s="2527"/>
      <c r="AI117" s="2527"/>
      <c r="AJ117" s="2528"/>
      <c r="AK117" s="440"/>
      <c r="AL117" s="440"/>
      <c r="AM117" s="440"/>
      <c r="AN117" s="435"/>
      <c r="AO117" s="436" t="str">
        <f>Application!B732</f>
        <v>1 Bedroom</v>
      </c>
      <c r="AQ117" s="436">
        <f>Application!O732</f>
        <v>2052</v>
      </c>
      <c r="AU117" s="752" t="str">
        <f>O123</f>
        <v>2-bedroom</v>
      </c>
      <c r="AV117" s="436">
        <f t="array" ref="AV117">SUM(IF(Application!B726:F760="2 Bedrooms",Application!G726:J760))</f>
        <v>55</v>
      </c>
      <c r="AW117" s="900">
        <f>AV117/AV121</f>
        <v>0.61111111111111116</v>
      </c>
    </row>
    <row r="118" spans="1:52" s="436" customFormat="1" ht="12.75" customHeight="1">
      <c r="A118" s="440"/>
      <c r="B118" s="439"/>
      <c r="C118" s="439"/>
      <c r="D118" s="439"/>
      <c r="E118" s="2526"/>
      <c r="F118" s="2527"/>
      <c r="G118" s="2527"/>
      <c r="H118" s="2527"/>
      <c r="I118" s="2527"/>
      <c r="J118" s="2527"/>
      <c r="K118" s="2527"/>
      <c r="L118" s="2527"/>
      <c r="M118" s="2527"/>
      <c r="N118" s="2527"/>
      <c r="O118" s="2527"/>
      <c r="P118" s="2527"/>
      <c r="Q118" s="2527"/>
      <c r="R118" s="2527"/>
      <c r="S118" s="2527"/>
      <c r="T118" s="2527"/>
      <c r="U118" s="2527"/>
      <c r="V118" s="2527"/>
      <c r="W118" s="2527"/>
      <c r="X118" s="2527"/>
      <c r="Y118" s="2527"/>
      <c r="Z118" s="2527"/>
      <c r="AA118" s="2527"/>
      <c r="AB118" s="2527"/>
      <c r="AC118" s="2527"/>
      <c r="AD118" s="2527"/>
      <c r="AE118" s="2527"/>
      <c r="AF118" s="2527"/>
      <c r="AG118" s="2527"/>
      <c r="AH118" s="2527"/>
      <c r="AI118" s="2527"/>
      <c r="AJ118" s="2528"/>
      <c r="AK118" s="440"/>
      <c r="AL118" s="440"/>
      <c r="AM118" s="440"/>
      <c r="AN118" s="435"/>
      <c r="AO118" s="436">
        <f>Application!B733</f>
        <v>0</v>
      </c>
      <c r="AQ118" s="436">
        <f>Application!O733</f>
        <v>0</v>
      </c>
      <c r="AU118" s="752" t="str">
        <f>T123</f>
        <v>3-bedroom</v>
      </c>
      <c r="AV118" s="436">
        <f t="array" ref="AV118">SUM(IF(Application!B726:F760="3 Bedrooms",Application!G726:J760))</f>
        <v>2</v>
      </c>
      <c r="AW118" s="900">
        <f>AV118/AV121</f>
        <v>2.2222222222222223E-2</v>
      </c>
    </row>
    <row r="119" spans="1:52" s="436" customFormat="1" ht="12.75" customHeight="1">
      <c r="A119" s="440"/>
      <c r="B119" s="439"/>
      <c r="C119" s="439"/>
      <c r="D119" s="439"/>
      <c r="E119" s="2526"/>
      <c r="F119" s="2527"/>
      <c r="G119" s="2527"/>
      <c r="H119" s="2527"/>
      <c r="I119" s="2527"/>
      <c r="J119" s="2527"/>
      <c r="K119" s="2527"/>
      <c r="L119" s="2527"/>
      <c r="M119" s="2527"/>
      <c r="N119" s="2527"/>
      <c r="O119" s="2527"/>
      <c r="P119" s="2527"/>
      <c r="Q119" s="2527"/>
      <c r="R119" s="2527"/>
      <c r="S119" s="2527"/>
      <c r="T119" s="2527"/>
      <c r="U119" s="2527"/>
      <c r="V119" s="2527"/>
      <c r="W119" s="2527"/>
      <c r="X119" s="2527"/>
      <c r="Y119" s="2527"/>
      <c r="Z119" s="2527"/>
      <c r="AA119" s="2527"/>
      <c r="AB119" s="2527"/>
      <c r="AC119" s="2527"/>
      <c r="AD119" s="2527"/>
      <c r="AE119" s="2527"/>
      <c r="AF119" s="2527"/>
      <c r="AG119" s="2527"/>
      <c r="AH119" s="2527"/>
      <c r="AI119" s="2527"/>
      <c r="AJ119" s="2528"/>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6"/>
      <c r="F120" s="2527"/>
      <c r="G120" s="2527"/>
      <c r="H120" s="2527"/>
      <c r="I120" s="2527"/>
      <c r="J120" s="2527"/>
      <c r="K120" s="2527"/>
      <c r="L120" s="2527"/>
      <c r="M120" s="2527"/>
      <c r="N120" s="2527"/>
      <c r="O120" s="2527"/>
      <c r="P120" s="2527"/>
      <c r="Q120" s="2527"/>
      <c r="R120" s="2527"/>
      <c r="S120" s="2527"/>
      <c r="T120" s="2527"/>
      <c r="U120" s="2527"/>
      <c r="V120" s="2527"/>
      <c r="W120" s="2527"/>
      <c r="X120" s="2527"/>
      <c r="Y120" s="2527"/>
      <c r="Z120" s="2527"/>
      <c r="AA120" s="2527"/>
      <c r="AB120" s="2527"/>
      <c r="AC120" s="2527"/>
      <c r="AD120" s="2527"/>
      <c r="AE120" s="2527"/>
      <c r="AF120" s="2527"/>
      <c r="AG120" s="2527"/>
      <c r="AH120" s="2527"/>
      <c r="AI120" s="2527"/>
      <c r="AJ120" s="2528"/>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6"/>
      <c r="F121" s="2527"/>
      <c r="G121" s="2527"/>
      <c r="H121" s="2527"/>
      <c r="I121" s="2527"/>
      <c r="J121" s="2527"/>
      <c r="K121" s="2527"/>
      <c r="L121" s="2527"/>
      <c r="M121" s="2527"/>
      <c r="N121" s="2527"/>
      <c r="O121" s="2527"/>
      <c r="P121" s="2527"/>
      <c r="Q121" s="2527"/>
      <c r="R121" s="2527"/>
      <c r="S121" s="2527"/>
      <c r="T121" s="2527"/>
      <c r="U121" s="2527"/>
      <c r="V121" s="2527"/>
      <c r="W121" s="2527"/>
      <c r="X121" s="2527"/>
      <c r="Y121" s="2527"/>
      <c r="Z121" s="2527"/>
      <c r="AA121" s="2527"/>
      <c r="AB121" s="2527"/>
      <c r="AC121" s="2527"/>
      <c r="AD121" s="2527"/>
      <c r="AE121" s="2527"/>
      <c r="AF121" s="2527"/>
      <c r="AG121" s="2527"/>
      <c r="AH121" s="2527"/>
      <c r="AI121" s="2527"/>
      <c r="AJ121" s="2528"/>
      <c r="AK121" s="440"/>
      <c r="AL121" s="440"/>
      <c r="AM121" s="440"/>
      <c r="AN121" s="435"/>
      <c r="AO121" s="436">
        <f>Application!B736</f>
        <v>0</v>
      </c>
      <c r="AQ121" s="436">
        <f>Application!O736</f>
        <v>0</v>
      </c>
      <c r="AV121" s="436">
        <f>SUM(AV115:AV120)</f>
        <v>90</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35" t="s">
        <v>2186</v>
      </c>
      <c r="F123" s="2536"/>
      <c r="G123" s="2536"/>
      <c r="H123" s="2536"/>
      <c r="I123" s="475"/>
      <c r="J123" s="2536" t="s">
        <v>2187</v>
      </c>
      <c r="K123" s="2536"/>
      <c r="L123" s="2536"/>
      <c r="M123" s="2536"/>
      <c r="N123" s="475"/>
      <c r="O123" s="2536" t="s">
        <v>2188</v>
      </c>
      <c r="P123" s="2536"/>
      <c r="Q123" s="2536"/>
      <c r="R123" s="2536"/>
      <c r="S123" s="475"/>
      <c r="T123" s="2536" t="s">
        <v>2189</v>
      </c>
      <c r="U123" s="2536"/>
      <c r="V123" s="2536"/>
      <c r="W123" s="2536"/>
      <c r="X123" s="475"/>
      <c r="Y123" s="2536" t="s">
        <v>2190</v>
      </c>
      <c r="Z123" s="2536"/>
      <c r="AA123" s="2536"/>
      <c r="AB123" s="2536"/>
      <c r="AC123" s="475"/>
      <c r="AD123" s="2536" t="s">
        <v>2191</v>
      </c>
      <c r="AE123" s="2536"/>
      <c r="AF123" s="2536"/>
      <c r="AG123" s="2536"/>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2192</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7">
        <v>2964</v>
      </c>
      <c r="F126" s="2538"/>
      <c r="G126" s="2538"/>
      <c r="H126" s="2538"/>
      <c r="I126" s="759"/>
      <c r="J126" s="2538">
        <v>4005</v>
      </c>
      <c r="K126" s="2538"/>
      <c r="L126" s="2538"/>
      <c r="M126" s="2538"/>
      <c r="N126" s="759"/>
      <c r="O126" s="2538">
        <v>4920</v>
      </c>
      <c r="P126" s="2538"/>
      <c r="Q126" s="2538"/>
      <c r="R126" s="2538"/>
      <c r="S126" s="759"/>
      <c r="T126" s="2538">
        <v>5495</v>
      </c>
      <c r="U126" s="2538"/>
      <c r="V126" s="2538"/>
      <c r="W126" s="2538"/>
      <c r="X126" s="759"/>
      <c r="Y126" s="2538"/>
      <c r="Z126" s="2538"/>
      <c r="AA126" s="2538"/>
      <c r="AB126" s="2538"/>
      <c r="AC126" s="759"/>
      <c r="AD126" s="2538"/>
      <c r="AE126" s="2538"/>
      <c r="AF126" s="2538"/>
      <c r="AG126" s="253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2193</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1">
        <f>Application!DX678</f>
        <v>1934</v>
      </c>
      <c r="F129" s="2545"/>
      <c r="G129" s="2545"/>
      <c r="H129" s="2545"/>
      <c r="I129" s="759"/>
      <c r="J129" s="2545">
        <f>Application!EC678</f>
        <v>1541.8125</v>
      </c>
      <c r="K129" s="2545"/>
      <c r="L129" s="2545"/>
      <c r="M129" s="2545"/>
      <c r="N129" s="759"/>
      <c r="O129" s="2545">
        <f>Application!EH678</f>
        <v>1460.8909090909092</v>
      </c>
      <c r="P129" s="2545"/>
      <c r="Q129" s="2545"/>
      <c r="R129" s="2545"/>
      <c r="S129" s="763"/>
      <c r="T129" s="2545">
        <f>Application!EM678</f>
        <v>2342</v>
      </c>
      <c r="U129" s="2545"/>
      <c r="V129" s="2545"/>
      <c r="W129" s="2545"/>
      <c r="X129" s="763"/>
      <c r="Y129" s="2545">
        <f>Application!ER678</f>
        <v>0</v>
      </c>
      <c r="Z129" s="2545"/>
      <c r="AA129" s="2545"/>
      <c r="AB129" s="2545"/>
      <c r="AC129" s="763"/>
      <c r="AD129" s="2545">
        <f>Application!EW678</f>
        <v>0</v>
      </c>
      <c r="AE129" s="2545"/>
      <c r="AF129" s="2545"/>
      <c r="AG129" s="254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2194</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3">
        <f>(E126-E129)/E126</f>
        <v>0.3475033738191633</v>
      </c>
      <c r="F132" s="2354"/>
      <c r="G132" s="2354"/>
      <c r="H132" s="2355"/>
      <c r="I132" s="475"/>
      <c r="J132" s="2353">
        <f>(J126-J129)/J126</f>
        <v>0.61502808988764046</v>
      </c>
      <c r="K132" s="2354"/>
      <c r="L132" s="2354"/>
      <c r="M132" s="2355"/>
      <c r="N132" s="475"/>
      <c r="O132" s="2353">
        <f>(O126-O129)/O126</f>
        <v>0.70307095343680703</v>
      </c>
      <c r="P132" s="2354"/>
      <c r="Q132" s="2354"/>
      <c r="R132" s="2355"/>
      <c r="S132" s="475"/>
      <c r="T132" s="2353">
        <f>(T126-T129)/T126</f>
        <v>0.5737943585077343</v>
      </c>
      <c r="U132" s="2354"/>
      <c r="V132" s="2354"/>
      <c r="W132" s="2355"/>
      <c r="X132" s="475"/>
      <c r="Y132" s="2353" t="e">
        <f>(Y126-Y129)/Y126</f>
        <v>#DIV/0!</v>
      </c>
      <c r="Z132" s="2354"/>
      <c r="AA132" s="2354"/>
      <c r="AB132" s="2355"/>
      <c r="AC132" s="475"/>
      <c r="AD132" s="2353" t="e">
        <f>(AD126-AD129)/AD126</f>
        <v>#DIV/0!</v>
      </c>
      <c r="AE132" s="2354"/>
      <c r="AF132" s="2354"/>
      <c r="AG132" s="2355"/>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2195</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2">
        <f>IF(((E132-0.1)*AW115)&gt;0,((E132-0.1)*AW115),0)</f>
        <v>2.7500374868795921E-3</v>
      </c>
      <c r="F135" s="2543"/>
      <c r="G135" s="2543"/>
      <c r="H135" s="2544"/>
      <c r="I135" s="475"/>
      <c r="J135" s="2542">
        <f>IF(((J132-0.1)*AW116)&gt;0,((J132-0.1)*AW116),0)</f>
        <v>0.18312109862671663</v>
      </c>
      <c r="K135" s="2543"/>
      <c r="L135" s="2543"/>
      <c r="M135" s="2544"/>
      <c r="N135" s="475"/>
      <c r="O135" s="2542">
        <f>IF(((O132-0.1)*AW117)&gt;0,((O132-0.1)*AW117),0)</f>
        <v>0.36854336043360436</v>
      </c>
      <c r="P135" s="2543"/>
      <c r="Q135" s="2543"/>
      <c r="R135" s="2544"/>
      <c r="S135" s="475"/>
      <c r="T135" s="2542">
        <f>IF(((T132-0.1)*AW118)&gt;0,((T132-0.1)*AW118),0)</f>
        <v>1.0528763522394097E-2</v>
      </c>
      <c r="U135" s="2543"/>
      <c r="V135" s="2543"/>
      <c r="W135" s="2544"/>
      <c r="X135" s="475"/>
      <c r="Y135" s="2542" t="e">
        <f>IF(((Y132-0.1)*AW119)&gt;0,((Y132-0.1)*AW119),0)</f>
        <v>#DIV/0!</v>
      </c>
      <c r="Z135" s="2543"/>
      <c r="AA135" s="2543"/>
      <c r="AB135" s="2544"/>
      <c r="AC135" s="475"/>
      <c r="AD135" s="2542" t="e">
        <f>IF(((AD132-0.1)*AW120)&gt;0,((AD132-0.1)*AW120),0)</f>
        <v>#DIV/0!</v>
      </c>
      <c r="AE135" s="2543"/>
      <c r="AF135" s="2543"/>
      <c r="AG135" s="2544"/>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3">
        <f>ROUNDDOWN(SUMIF(E135:AG135,"&gt;0"),2)</f>
        <v>0.56000000000000005</v>
      </c>
      <c r="F137" s="2354"/>
      <c r="G137" s="2354"/>
      <c r="H137" s="2355"/>
      <c r="I137" s="475"/>
      <c r="J137" s="478" t="s">
        <v>2196</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4">
        <f>IF((E137*100)&gt;10,10,E137*100)</f>
        <v>10</v>
      </c>
      <c r="F138" s="2515"/>
      <c r="G138" s="2515"/>
      <c r="H138" s="2516"/>
      <c r="I138" s="475"/>
      <c r="J138" s="478" t="s">
        <v>2176</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2197</v>
      </c>
      <c r="AK142" s="2514">
        <f>E138</f>
        <v>10</v>
      </c>
      <c r="AL142" s="2515"/>
      <c r="AM142" s="2516"/>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2198</v>
      </c>
      <c r="AE145" s="2380" t="s">
        <v>2155</v>
      </c>
      <c r="AF145" s="2380"/>
      <c r="AG145" s="2380"/>
      <c r="AH145" s="2380"/>
      <c r="AI145" s="2380"/>
      <c r="AJ145" s="2380"/>
      <c r="AK145" s="2380"/>
      <c r="AL145" s="489"/>
      <c r="AN145" s="490"/>
      <c r="AO145" s="436"/>
    </row>
    <row r="146" spans="1:42" s="439" customFormat="1" ht="12.9" customHeight="1">
      <c r="A146" s="438"/>
      <c r="AE146" s="489"/>
      <c r="AF146" s="489"/>
      <c r="AG146" s="489"/>
      <c r="AH146" s="489"/>
      <c r="AI146" s="489"/>
      <c r="AJ146" s="489"/>
      <c r="AK146" s="489"/>
      <c r="AL146" s="489"/>
      <c r="AN146" s="490"/>
    </row>
    <row r="147" spans="1:42" s="436" customFormat="1" ht="12.75" customHeight="1">
      <c r="A147" s="438"/>
      <c r="B147" s="438" t="s">
        <v>2199</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1" t="s">
        <v>2200</v>
      </c>
      <c r="AG147" s="2321"/>
      <c r="AH147" s="2321"/>
      <c r="AI147" s="2321"/>
      <c r="AJ147" s="2321"/>
      <c r="AK147" s="2321"/>
      <c r="AL147" s="2321"/>
      <c r="AM147" s="439"/>
      <c r="AN147" s="435"/>
    </row>
    <row r="148" spans="1:42" s="436" customFormat="1" ht="12.75" customHeight="1">
      <c r="A148" s="438"/>
      <c r="B148" s="438" t="s">
        <v>1095</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8" t="s">
        <v>1107</v>
      </c>
      <c r="C149" s="2518"/>
      <c r="D149" s="2518"/>
      <c r="E149" s="2518"/>
      <c r="F149" s="2518"/>
      <c r="G149" s="2518"/>
      <c r="H149" s="2518"/>
      <c r="I149" s="2518"/>
      <c r="J149" s="2518"/>
      <c r="K149" s="2518"/>
      <c r="L149" s="2518"/>
      <c r="M149" s="2518"/>
      <c r="N149" s="2518"/>
      <c r="O149" s="2518"/>
      <c r="P149" s="2518"/>
      <c r="Q149" s="2518"/>
      <c r="R149" s="2518"/>
      <c r="S149" s="2518"/>
      <c r="T149" s="2518"/>
      <c r="U149" s="2518"/>
      <c r="V149" s="2518"/>
      <c r="W149" s="2518"/>
      <c r="X149" s="2518"/>
      <c r="Y149" s="2518"/>
      <c r="Z149" s="2518"/>
      <c r="AA149" s="2518"/>
      <c r="AB149" s="2518"/>
      <c r="AC149" s="251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2201</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2202</v>
      </c>
      <c r="AP151" s="390">
        <v>5</v>
      </c>
    </row>
    <row r="152" spans="1:42" s="436" customFormat="1" ht="12.75" customHeight="1">
      <c r="A152" s="438"/>
      <c r="B152" s="2519" t="s">
        <v>2203</v>
      </c>
      <c r="C152" s="2519"/>
      <c r="D152" s="2519"/>
      <c r="E152" s="2519"/>
      <c r="F152" s="2519"/>
      <c r="G152" s="2519"/>
      <c r="H152" s="2519"/>
      <c r="I152" s="2519"/>
      <c r="J152" s="2519"/>
      <c r="K152" s="2519"/>
      <c r="L152" s="2519"/>
      <c r="M152" s="2519"/>
      <c r="N152" s="2519"/>
      <c r="O152" s="2519"/>
      <c r="P152" s="2519"/>
      <c r="Q152" s="2519"/>
      <c r="R152" s="2519"/>
      <c r="S152" s="2519"/>
      <c r="T152" s="2519"/>
      <c r="U152" s="2519"/>
      <c r="V152" s="2519"/>
      <c r="W152" s="2519"/>
      <c r="X152" s="2519"/>
      <c r="Y152" s="2519"/>
      <c r="Z152" s="2519"/>
      <c r="AA152" s="2519"/>
      <c r="AB152" s="2519"/>
      <c r="AC152" s="2519"/>
      <c r="AD152" s="2519"/>
      <c r="AE152" s="2519"/>
      <c r="AF152" s="2519"/>
      <c r="AG152" s="2519"/>
      <c r="AH152" s="2519"/>
      <c r="AI152" s="2519"/>
      <c r="AM152" s="439"/>
      <c r="AN152" s="435"/>
      <c r="AO152" s="377" t="s">
        <v>2203</v>
      </c>
      <c r="AP152" s="390">
        <v>7</v>
      </c>
    </row>
    <row r="153" spans="1:42" s="436" customFormat="1" ht="12.9"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2204</v>
      </c>
      <c r="AP153" s="390">
        <v>7</v>
      </c>
    </row>
    <row r="154" spans="1:42" s="436" customFormat="1" ht="12.75" customHeight="1">
      <c r="A154" s="438"/>
      <c r="B154" s="439" t="s">
        <v>2205</v>
      </c>
      <c r="AB154" s="2328" t="s">
        <v>820</v>
      </c>
      <c r="AC154" s="2328"/>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2206</v>
      </c>
      <c r="AP155" s="390"/>
    </row>
    <row r="156" spans="1:42" s="436" customFormat="1" ht="12.75" customHeight="1">
      <c r="A156" s="438"/>
      <c r="B156" s="438" t="s">
        <v>2207</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2208</v>
      </c>
      <c r="AP156" s="390">
        <v>5</v>
      </c>
    </row>
    <row r="157" spans="1:42" s="436" customFormat="1" ht="12.75" customHeight="1">
      <c r="A157" s="438"/>
      <c r="B157" s="2519" t="s">
        <v>2206</v>
      </c>
      <c r="C157" s="2519"/>
      <c r="D157" s="2519"/>
      <c r="E157" s="2519"/>
      <c r="F157" s="2519"/>
      <c r="G157" s="2519"/>
      <c r="H157" s="2519"/>
      <c r="I157" s="2519"/>
      <c r="J157" s="2519"/>
      <c r="K157" s="2519"/>
      <c r="L157" s="2519"/>
      <c r="M157" s="2519"/>
      <c r="N157" s="2519"/>
      <c r="O157" s="2519"/>
      <c r="P157" s="2519"/>
      <c r="Q157" s="2519"/>
      <c r="R157" s="2519"/>
      <c r="S157" s="2519"/>
      <c r="T157" s="2519"/>
      <c r="U157" s="2519"/>
      <c r="V157" s="2519"/>
      <c r="W157" s="2519"/>
      <c r="X157" s="2519"/>
      <c r="Y157" s="2519"/>
      <c r="Z157" s="2519"/>
      <c r="AA157" s="2519"/>
      <c r="AB157" s="2519"/>
      <c r="AC157" s="2519"/>
      <c r="AD157" s="2519"/>
      <c r="AE157" s="2519"/>
      <c r="AF157" s="2519"/>
      <c r="AG157" s="2519"/>
      <c r="AH157" s="2519"/>
      <c r="AI157" s="2519"/>
      <c r="AJ157" s="2519"/>
      <c r="AN157" s="435"/>
      <c r="AO157" s="377" t="s">
        <v>2209</v>
      </c>
      <c r="AP157" s="390">
        <v>7</v>
      </c>
    </row>
    <row r="158" spans="1:42" s="436" customFormat="1" ht="12.75" customHeight="1">
      <c r="B158" s="439" t="s">
        <v>2210</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5" t="s">
        <v>2211</v>
      </c>
      <c r="C160" s="2325"/>
      <c r="D160" s="2325"/>
      <c r="E160" s="2325"/>
      <c r="F160" s="2325"/>
      <c r="G160" s="2325"/>
      <c r="H160" s="2325"/>
      <c r="I160" s="2325"/>
      <c r="J160" s="2325"/>
      <c r="K160" s="2325"/>
      <c r="L160" s="2325"/>
      <c r="M160" s="2325"/>
      <c r="N160" s="2325"/>
      <c r="O160" s="2325"/>
      <c r="P160" s="2325"/>
      <c r="Q160" s="2325"/>
      <c r="R160" s="2325"/>
      <c r="S160" s="2325"/>
      <c r="T160" s="2325"/>
      <c r="U160" s="2325"/>
      <c r="V160" s="2325"/>
      <c r="W160" s="2325"/>
      <c r="X160" s="2325"/>
      <c r="Y160" s="2325"/>
      <c r="Z160" s="2325"/>
      <c r="AA160" s="2325"/>
      <c r="AB160" s="2325"/>
      <c r="AC160" s="2325"/>
      <c r="AD160" s="2325"/>
      <c r="AE160" s="2325"/>
      <c r="AF160" s="2325"/>
      <c r="AG160" s="2325"/>
      <c r="AH160" s="2325"/>
      <c r="AI160" s="2325"/>
      <c r="AJ160" s="2325"/>
      <c r="AK160" s="1061"/>
      <c r="AM160" s="439"/>
      <c r="AN160" s="435"/>
      <c r="AO160" s="377"/>
      <c r="AP160" s="390"/>
    </row>
    <row r="161" spans="1:42" s="436" customFormat="1" ht="12.75" customHeight="1">
      <c r="B161" s="2325"/>
      <c r="C161" s="2325"/>
      <c r="D161" s="2325"/>
      <c r="E161" s="2325"/>
      <c r="F161" s="2325"/>
      <c r="G161" s="2325"/>
      <c r="H161" s="2325"/>
      <c r="I161" s="2325"/>
      <c r="J161" s="2325"/>
      <c r="K161" s="2325"/>
      <c r="L161" s="2325"/>
      <c r="M161" s="2325"/>
      <c r="N161" s="2325"/>
      <c r="O161" s="2325"/>
      <c r="P161" s="2325"/>
      <c r="Q161" s="2325"/>
      <c r="R161" s="2325"/>
      <c r="S161" s="2325"/>
      <c r="T161" s="2325"/>
      <c r="U161" s="2325"/>
      <c r="V161" s="2325"/>
      <c r="W161" s="2325"/>
      <c r="X161" s="2325"/>
      <c r="Y161" s="2325"/>
      <c r="Z161" s="2325"/>
      <c r="AA161" s="2325"/>
      <c r="AB161" s="2325"/>
      <c r="AC161" s="2325"/>
      <c r="AD161" s="2325"/>
      <c r="AE161" s="2325"/>
      <c r="AF161" s="2325"/>
      <c r="AG161" s="2325"/>
      <c r="AH161" s="2325"/>
      <c r="AI161" s="2325"/>
      <c r="AJ161" s="2325"/>
      <c r="AK161" s="1061"/>
      <c r="AM161" s="439"/>
      <c r="AN161" s="435"/>
      <c r="AO161" s="377"/>
      <c r="AP161" s="390"/>
    </row>
    <row r="162" spans="1:42" s="436" customFormat="1" ht="12.75" customHeight="1">
      <c r="C162" s="2326" t="s">
        <v>2212</v>
      </c>
      <c r="D162" s="2326"/>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D162" s="2326"/>
      <c r="AE162" s="2326"/>
      <c r="AF162" s="2326"/>
      <c r="AG162" s="2326"/>
      <c r="AH162" s="2326"/>
      <c r="AI162" s="2326"/>
      <c r="AJ162" s="2326"/>
      <c r="AK162" s="1061"/>
      <c r="AM162" s="439"/>
      <c r="AN162" s="435"/>
      <c r="AO162" s="377"/>
      <c r="AP162" s="390"/>
    </row>
    <row r="163" spans="1:42" s="436" customFormat="1" ht="12.75" customHeight="1">
      <c r="B163" s="1061"/>
      <c r="C163" s="2327" t="s">
        <v>2213</v>
      </c>
      <c r="D163" s="2327"/>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1051"/>
      <c r="AB163" s="1051"/>
      <c r="AC163" s="1051"/>
      <c r="AD163" s="1051"/>
      <c r="AE163" s="1051"/>
      <c r="AF163" s="1051"/>
      <c r="AG163" s="1051"/>
      <c r="AH163" s="1051"/>
      <c r="AJ163" s="2328" t="s">
        <v>820</v>
      </c>
      <c r="AK163" s="2328"/>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2214</v>
      </c>
      <c r="AJ165" s="2420">
        <f>IF($AB$154="N/A",VLOOKUP($B$152,$AO$150:$AP$153,2,FALSE),VLOOKUP($B$157,$AO$155:$AP$157,2,FALSE))</f>
        <v>7</v>
      </c>
      <c r="AK165" s="2420"/>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2215</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1" t="s">
        <v>2216</v>
      </c>
      <c r="AG167" s="2321"/>
      <c r="AH167" s="2321"/>
      <c r="AI167" s="2321"/>
      <c r="AJ167" s="2321"/>
      <c r="AK167" s="2321"/>
      <c r="AL167" s="2321"/>
      <c r="AM167" s="501"/>
      <c r="AN167" s="496"/>
    </row>
    <row r="168" spans="1:42" s="449" customFormat="1" ht="12.75" customHeight="1">
      <c r="A168" s="436"/>
      <c r="B168" s="439" t="s">
        <v>2217</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9" t="s">
        <v>2218</v>
      </c>
      <c r="D169" s="2519"/>
      <c r="E169" s="2519"/>
      <c r="F169" s="2519"/>
      <c r="G169" s="2519"/>
      <c r="H169" s="2519"/>
      <c r="I169" s="2519"/>
      <c r="J169" s="2519"/>
      <c r="K169" s="2519"/>
      <c r="L169" s="2519"/>
      <c r="M169" s="2519"/>
      <c r="N169" s="2519"/>
      <c r="O169" s="2519"/>
      <c r="P169" s="2519"/>
      <c r="Q169" s="2519"/>
      <c r="R169" s="2519"/>
      <c r="S169" s="2519"/>
      <c r="T169" s="2519"/>
      <c r="U169" s="2519"/>
      <c r="V169" s="2519"/>
      <c r="W169" s="2519"/>
      <c r="X169" s="2519"/>
      <c r="Y169" s="2519"/>
      <c r="Z169" s="2519"/>
      <c r="AA169" s="2519"/>
      <c r="AB169" s="2519"/>
      <c r="AC169" s="2519"/>
      <c r="AD169" s="2519"/>
      <c r="AE169" s="2519"/>
      <c r="AF169" s="2519"/>
      <c r="AG169" s="2519"/>
      <c r="AH169" s="2519"/>
      <c r="AI169" s="2519"/>
      <c r="AJ169" s="436"/>
      <c r="AK169" s="436"/>
      <c r="AL169" s="436"/>
      <c r="AM169" s="501"/>
      <c r="AN169" s="495"/>
      <c r="AO169" s="377" t="s">
        <v>311</v>
      </c>
      <c r="AP169" s="377"/>
    </row>
    <row r="170" spans="1:42" s="449" customFormat="1" ht="12.9"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2219</v>
      </c>
      <c r="AP170" s="497">
        <v>2</v>
      </c>
    </row>
    <row r="171" spans="1:42" s="449" customFormat="1" ht="12.75" customHeight="1">
      <c r="A171" s="436"/>
      <c r="B171" s="436"/>
      <c r="C171" s="439" t="s">
        <v>2220</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8" t="s">
        <v>820</v>
      </c>
      <c r="AG171" s="2328"/>
      <c r="AH171" s="436"/>
      <c r="AI171" s="436"/>
      <c r="AJ171" s="436"/>
      <c r="AK171" s="436"/>
      <c r="AL171" s="436"/>
      <c r="AM171" s="501"/>
      <c r="AN171" s="495"/>
      <c r="AO171" s="377" t="s">
        <v>2218</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2221</v>
      </c>
      <c r="AP172" s="497">
        <v>3</v>
      </c>
    </row>
    <row r="173" spans="1:42" s="449" customFormat="1" ht="12.75" customHeight="1">
      <c r="A173" s="436"/>
      <c r="B173" s="436"/>
      <c r="C173" s="2519" t="s">
        <v>2206</v>
      </c>
      <c r="D173" s="2519"/>
      <c r="E173" s="2519"/>
      <c r="F173" s="2519"/>
      <c r="G173" s="2519"/>
      <c r="H173" s="2519"/>
      <c r="I173" s="2519"/>
      <c r="J173" s="2519"/>
      <c r="K173" s="2519"/>
      <c r="L173" s="2519"/>
      <c r="M173" s="2519"/>
      <c r="N173" s="2519"/>
      <c r="O173" s="2519"/>
      <c r="P173" s="2519"/>
      <c r="Q173" s="2519"/>
      <c r="R173" s="2519"/>
      <c r="S173" s="2519"/>
      <c r="T173" s="2519"/>
      <c r="U173" s="2519"/>
      <c r="V173" s="2519"/>
      <c r="W173" s="2519"/>
      <c r="X173" s="2519"/>
      <c r="Y173" s="2519"/>
      <c r="Z173" s="2519"/>
      <c r="AA173" s="2519"/>
      <c r="AB173" s="2519"/>
      <c r="AC173" s="2519"/>
      <c r="AD173" s="2519"/>
      <c r="AE173" s="436"/>
      <c r="AF173" s="436"/>
      <c r="AG173" s="436"/>
      <c r="AH173" s="436"/>
      <c r="AI173" s="436"/>
      <c r="AJ173" s="436"/>
      <c r="AK173" s="436"/>
      <c r="AL173" s="436"/>
      <c r="AM173" s="501"/>
      <c r="AN173" s="495"/>
      <c r="AO173" s="500"/>
      <c r="AP173" s="497"/>
    </row>
    <row r="174" spans="1:42" s="449" customFormat="1" ht="12.75" customHeight="1">
      <c r="A174" s="436"/>
      <c r="B174" s="436"/>
      <c r="C174" s="439" t="s">
        <v>2210</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2222</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2206</v>
      </c>
      <c r="AP176" s="377"/>
    </row>
    <row r="177" spans="1:73" s="449" customFormat="1" ht="12.75" customHeight="1">
      <c r="A177" s="436"/>
      <c r="B177" s="436"/>
      <c r="C177" s="2520" t="str">
        <f>Application!AA344</f>
        <v>Caritas Management Corporation</v>
      </c>
      <c r="D177" s="2520"/>
      <c r="E177" s="2520"/>
      <c r="F177" s="2520"/>
      <c r="G177" s="2520"/>
      <c r="H177" s="2520"/>
      <c r="I177" s="2520"/>
      <c r="J177" s="2520"/>
      <c r="K177" s="2520"/>
      <c r="L177" s="2520"/>
      <c r="M177" s="2520"/>
      <c r="N177" s="2520"/>
      <c r="O177" s="2520"/>
      <c r="P177" s="2520"/>
      <c r="Q177" s="2520"/>
      <c r="R177" s="2520"/>
      <c r="S177" s="2520"/>
      <c r="T177" s="2520"/>
      <c r="U177" s="2520"/>
      <c r="V177" s="2520"/>
      <c r="W177" s="2520"/>
      <c r="X177" s="2520"/>
      <c r="Y177" s="2520"/>
      <c r="Z177" s="2520"/>
      <c r="AA177" s="2520"/>
      <c r="AB177" s="2520"/>
      <c r="AC177" s="2520"/>
      <c r="AD177" s="2520"/>
      <c r="AE177" s="436"/>
      <c r="AF177" s="436"/>
      <c r="AG177" s="436"/>
      <c r="AH177" s="436"/>
      <c r="AI177" s="436"/>
      <c r="AJ177" s="436"/>
      <c r="AK177" s="436"/>
      <c r="AL177" s="436"/>
      <c r="AM177" s="501"/>
      <c r="AN177" s="495"/>
      <c r="AO177" s="377" t="s">
        <v>2223</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2224</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2225</v>
      </c>
      <c r="AJ179" s="2419">
        <f>IF($AF$171="N/A",VLOOKUP($C$169,$AO$169:$AP$172,2,FALSE),VLOOKUP($C$173,$AO$176:$AP$178,2,FALSE))</f>
        <v>3</v>
      </c>
      <c r="AK179" s="2419"/>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2226</v>
      </c>
      <c r="AK182" s="2514">
        <f>$AJ$165+$AJ$179</f>
        <v>10</v>
      </c>
      <c r="AL182" s="2515"/>
      <c r="AM182" s="2516"/>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2227</v>
      </c>
      <c r="AQ184" s="510">
        <v>0</v>
      </c>
    </row>
    <row r="185" spans="1:73" s="449" customFormat="1" ht="12.75" customHeight="1">
      <c r="A185" s="438" t="s">
        <v>2228</v>
      </c>
      <c r="B185" s="438" t="s">
        <v>2229</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80" t="s">
        <v>2155</v>
      </c>
      <c r="AF185" s="2380"/>
      <c r="AG185" s="2380"/>
      <c r="AH185" s="2380"/>
      <c r="AI185" s="2380"/>
      <c r="AJ185" s="2380"/>
      <c r="AK185" s="2380"/>
      <c r="AL185" s="489"/>
      <c r="AN185" s="495"/>
      <c r="AP185" s="449" t="s">
        <v>947</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2230</v>
      </c>
      <c r="AQ186" s="449">
        <v>10</v>
      </c>
    </row>
    <row r="187" spans="1:73" s="449" customFormat="1" ht="12.75" customHeight="1">
      <c r="A187" s="436"/>
      <c r="B187" s="2517" t="s">
        <v>2227</v>
      </c>
      <c r="C187" s="2517"/>
      <c r="D187" s="2517"/>
      <c r="E187" s="2517"/>
      <c r="F187" s="2517"/>
      <c r="G187" s="2517"/>
      <c r="H187" s="2517"/>
      <c r="I187" s="2517"/>
      <c r="J187" s="2517"/>
      <c r="K187" s="2517"/>
      <c r="L187" s="2517"/>
      <c r="M187" s="2517"/>
      <c r="N187" s="2517"/>
      <c r="O187" s="2517"/>
      <c r="P187" s="2517"/>
      <c r="Q187" s="2517"/>
      <c r="R187" s="2517"/>
      <c r="S187" s="2517"/>
      <c r="T187" s="2517"/>
      <c r="U187" s="2517"/>
      <c r="V187" s="2517"/>
      <c r="W187" s="2517"/>
      <c r="X187" s="2517"/>
      <c r="Y187" s="2517"/>
      <c r="Z187" s="2517"/>
      <c r="AA187" s="2517"/>
      <c r="AB187" s="2517"/>
      <c r="AC187" s="2517"/>
      <c r="AD187" s="436"/>
      <c r="AE187" s="436"/>
      <c r="AF187" s="2321" t="s">
        <v>2231</v>
      </c>
      <c r="AG187" s="2321"/>
      <c r="AH187" s="2321"/>
      <c r="AI187" s="2321"/>
      <c r="AJ187" s="2321"/>
      <c r="AK187" s="2321"/>
      <c r="AL187" s="2321"/>
      <c r="AN187" s="495"/>
      <c r="AP187" s="449" t="s">
        <v>954</v>
      </c>
      <c r="AQ187" s="449">
        <v>10</v>
      </c>
    </row>
    <row r="188" spans="1:73" s="449" customFormat="1" ht="12.75" customHeight="1">
      <c r="A188" s="436"/>
      <c r="B188" s="2327" t="s">
        <v>2232</v>
      </c>
      <c r="C188" s="2327"/>
      <c r="D188" s="2327"/>
      <c r="E188" s="2327"/>
      <c r="F188" s="2327"/>
      <c r="G188" s="2327"/>
      <c r="H188" s="2327"/>
      <c r="I188" s="2327"/>
      <c r="J188" s="2327"/>
      <c r="K188" s="2327"/>
      <c r="L188" s="2327"/>
      <c r="M188" s="2327"/>
      <c r="N188" s="2327"/>
      <c r="O188" s="2327"/>
      <c r="P188" s="2327"/>
      <c r="Q188" s="2327"/>
      <c r="R188" s="2327"/>
      <c r="S188" s="2327"/>
      <c r="T188" s="2518" t="s">
        <v>820</v>
      </c>
      <c r="U188" s="2518"/>
      <c r="V188" s="2518"/>
      <c r="W188" s="2518"/>
      <c r="X188" s="2518"/>
      <c r="Y188" s="2518"/>
      <c r="Z188" s="2518"/>
      <c r="AA188" s="2518"/>
      <c r="AB188" s="2518"/>
      <c r="AC188" s="2518"/>
      <c r="AD188" s="436"/>
      <c r="AE188" s="436"/>
      <c r="AF188" s="436"/>
      <c r="AG188" s="436"/>
      <c r="AH188" s="436"/>
      <c r="AI188" s="436"/>
      <c r="AJ188" s="443"/>
      <c r="AK188" s="493"/>
      <c r="AL188" s="493"/>
      <c r="AM188" s="493"/>
      <c r="AN188" s="495"/>
      <c r="AP188" s="449" t="s">
        <v>955</v>
      </c>
      <c r="AQ188" s="449">
        <v>10</v>
      </c>
      <c r="AS188" s="449" t="s">
        <v>820</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2233</v>
      </c>
      <c r="AQ189" s="449">
        <v>10</v>
      </c>
      <c r="AS189" s="449" t="s">
        <v>2234</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2235</v>
      </c>
      <c r="AK190" s="2323">
        <f>IF(AK83&gt;0,VLOOKUP($B$187,AP184:AQ190,2,FALSE),0)</f>
        <v>0</v>
      </c>
      <c r="AL190" s="2369"/>
      <c r="AM190" s="2324"/>
      <c r="AN190" s="435"/>
      <c r="AP190" s="449" t="s">
        <v>2236</v>
      </c>
      <c r="AQ190" s="449">
        <v>10</v>
      </c>
      <c r="AS190" s="449" t="s">
        <v>2237</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2238</v>
      </c>
      <c r="B193" s="438" t="s">
        <v>2239</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80" t="s">
        <v>2240</v>
      </c>
      <c r="AF193" s="2380"/>
      <c r="AG193" s="2380"/>
      <c r="AH193" s="2380"/>
      <c r="AI193" s="2380"/>
      <c r="AJ193" s="2380"/>
      <c r="AK193" s="2380"/>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2241</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2242</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8"/>
      <c r="C198" s="2488"/>
      <c r="D198" s="2488"/>
      <c r="E198" s="2488"/>
      <c r="F198" s="2488"/>
      <c r="G198" s="2488"/>
      <c r="H198" s="2488"/>
      <c r="I198" s="2488"/>
      <c r="J198" s="2488"/>
      <c r="K198" s="2488"/>
      <c r="L198" s="2488"/>
      <c r="M198" s="2488"/>
      <c r="N198" s="2488"/>
      <c r="O198" s="2488"/>
      <c r="P198" s="2488"/>
      <c r="Q198" s="2488"/>
      <c r="R198" s="2488"/>
      <c r="S198" s="2488"/>
      <c r="T198" s="2488"/>
      <c r="U198" s="2488"/>
      <c r="V198" s="2488"/>
      <c r="W198" s="2488"/>
      <c r="X198" s="2488"/>
      <c r="Y198" s="2488"/>
      <c r="Z198" s="2488"/>
      <c r="AA198" s="2488"/>
      <c r="AB198" s="2488"/>
      <c r="AC198" s="742"/>
      <c r="AD198" s="2504"/>
      <c r="AE198" s="2504"/>
      <c r="AF198" s="2504"/>
      <c r="AG198" s="2504"/>
      <c r="AH198" s="2504"/>
      <c r="AI198" s="2504"/>
      <c r="AJ198" s="2504"/>
      <c r="AK198" s="508"/>
    </row>
    <row r="199" spans="1:37" hidden="1">
      <c r="A199" s="503"/>
      <c r="B199" s="2488"/>
      <c r="C199" s="2488"/>
      <c r="D199" s="2488"/>
      <c r="E199" s="2488"/>
      <c r="F199" s="2488"/>
      <c r="G199" s="2488"/>
      <c r="H199" s="2488"/>
      <c r="I199" s="2488"/>
      <c r="J199" s="2488"/>
      <c r="K199" s="2488"/>
      <c r="L199" s="2488"/>
      <c r="M199" s="2488"/>
      <c r="N199" s="2488"/>
      <c r="O199" s="2488"/>
      <c r="P199" s="2488"/>
      <c r="Q199" s="2488"/>
      <c r="R199" s="2488"/>
      <c r="S199" s="2488"/>
      <c r="T199" s="2488"/>
      <c r="U199" s="2488"/>
      <c r="V199" s="2488"/>
      <c r="W199" s="2488"/>
      <c r="X199" s="2488"/>
      <c r="Y199" s="2488"/>
      <c r="Z199" s="2488"/>
      <c r="AA199" s="2488"/>
      <c r="AB199" s="2488"/>
      <c r="AC199" s="742"/>
      <c r="AD199" s="2504"/>
      <c r="AE199" s="2504"/>
      <c r="AF199" s="2504"/>
      <c r="AG199" s="2504"/>
      <c r="AH199" s="2504"/>
      <c r="AI199" s="2504"/>
      <c r="AJ199" s="2504"/>
      <c r="AK199" s="508"/>
    </row>
    <row r="200" spans="1:37" hidden="1">
      <c r="A200" s="503"/>
      <c r="B200" s="2488"/>
      <c r="C200" s="2488"/>
      <c r="D200" s="2488"/>
      <c r="E200" s="2488"/>
      <c r="F200" s="2488"/>
      <c r="G200" s="2488"/>
      <c r="H200" s="2488"/>
      <c r="I200" s="2488"/>
      <c r="J200" s="2488"/>
      <c r="K200" s="2488"/>
      <c r="L200" s="2488"/>
      <c r="M200" s="2488"/>
      <c r="N200" s="2488"/>
      <c r="O200" s="2488"/>
      <c r="P200" s="2488"/>
      <c r="Q200" s="2488"/>
      <c r="R200" s="2488"/>
      <c r="S200" s="2488"/>
      <c r="T200" s="2488"/>
      <c r="U200" s="2488"/>
      <c r="V200" s="2488"/>
      <c r="W200" s="2488"/>
      <c r="X200" s="2488"/>
      <c r="Y200" s="2488"/>
      <c r="Z200" s="2488"/>
      <c r="AA200" s="2488"/>
      <c r="AB200" s="2488"/>
      <c r="AC200" s="742"/>
      <c r="AD200" s="2504"/>
      <c r="AE200" s="2504"/>
      <c r="AF200" s="2504"/>
      <c r="AG200" s="2504"/>
      <c r="AH200" s="2504"/>
      <c r="AI200" s="2504"/>
      <c r="AJ200" s="2504"/>
      <c r="AK200" s="508"/>
    </row>
    <row r="201" spans="1:37" hidden="1">
      <c r="A201" s="503"/>
      <c r="B201" s="2488"/>
      <c r="C201" s="2488"/>
      <c r="D201" s="2488"/>
      <c r="E201" s="2488"/>
      <c r="F201" s="2488"/>
      <c r="G201" s="2488"/>
      <c r="H201" s="2488"/>
      <c r="I201" s="2488"/>
      <c r="J201" s="2488"/>
      <c r="K201" s="2488"/>
      <c r="L201" s="2488"/>
      <c r="M201" s="2488"/>
      <c r="N201" s="2488"/>
      <c r="O201" s="2488"/>
      <c r="P201" s="2488"/>
      <c r="Q201" s="2488"/>
      <c r="R201" s="2488"/>
      <c r="S201" s="2488"/>
      <c r="T201" s="2488"/>
      <c r="U201" s="2488"/>
      <c r="V201" s="2488"/>
      <c r="W201" s="2488"/>
      <c r="X201" s="2488"/>
      <c r="Y201" s="2488"/>
      <c r="Z201" s="2488"/>
      <c r="AA201" s="2488"/>
      <c r="AB201" s="2488"/>
      <c r="AC201" s="742"/>
      <c r="AD201" s="2504"/>
      <c r="AE201" s="2504"/>
      <c r="AF201" s="2504"/>
      <c r="AG201" s="2504"/>
      <c r="AH201" s="2504"/>
      <c r="AI201" s="2504"/>
      <c r="AJ201" s="2504"/>
      <c r="AK201" s="508"/>
    </row>
    <row r="202" spans="1:37" hidden="1">
      <c r="A202" s="503"/>
      <c r="B202" s="2488"/>
      <c r="C202" s="2488"/>
      <c r="D202" s="2488"/>
      <c r="E202" s="2488"/>
      <c r="F202" s="2488"/>
      <c r="G202" s="2488"/>
      <c r="H202" s="2488"/>
      <c r="I202" s="2488"/>
      <c r="J202" s="2488"/>
      <c r="K202" s="2488"/>
      <c r="L202" s="2488"/>
      <c r="M202" s="2488"/>
      <c r="N202" s="2488"/>
      <c r="O202" s="2488"/>
      <c r="P202" s="2488"/>
      <c r="Q202" s="2488"/>
      <c r="R202" s="2488"/>
      <c r="S202" s="2488"/>
      <c r="T202" s="2488"/>
      <c r="U202" s="2488"/>
      <c r="V202" s="2488"/>
      <c r="W202" s="2488"/>
      <c r="X202" s="2488"/>
      <c r="Y202" s="2488"/>
      <c r="Z202" s="2488"/>
      <c r="AA202" s="2488"/>
      <c r="AB202" s="2488"/>
      <c r="AC202" s="742"/>
      <c r="AD202" s="2504"/>
      <c r="AE202" s="2504"/>
      <c r="AF202" s="2504"/>
      <c r="AG202" s="2504"/>
      <c r="AH202" s="2504"/>
      <c r="AI202" s="2504"/>
      <c r="AJ202" s="2504"/>
      <c r="AK202" s="508"/>
    </row>
    <row r="203" spans="1:37" hidden="1">
      <c r="A203" s="503"/>
      <c r="B203" s="2488"/>
      <c r="C203" s="2488"/>
      <c r="D203" s="2488"/>
      <c r="E203" s="2488"/>
      <c r="F203" s="2488"/>
      <c r="G203" s="2488"/>
      <c r="H203" s="2488"/>
      <c r="I203" s="2488"/>
      <c r="J203" s="2488"/>
      <c r="K203" s="2488"/>
      <c r="L203" s="2488"/>
      <c r="M203" s="2488"/>
      <c r="N203" s="2488"/>
      <c r="O203" s="2488"/>
      <c r="P203" s="2488"/>
      <c r="Q203" s="2488"/>
      <c r="R203" s="2488"/>
      <c r="S203" s="2488"/>
      <c r="T203" s="2488"/>
      <c r="U203" s="2488"/>
      <c r="V203" s="2488"/>
      <c r="W203" s="2488"/>
      <c r="X203" s="2488"/>
      <c r="Y203" s="2488"/>
      <c r="Z203" s="2488"/>
      <c r="AA203" s="2488"/>
      <c r="AB203" s="2488"/>
      <c r="AC203" s="742"/>
      <c r="AD203" s="2504"/>
      <c r="AE203" s="2504"/>
      <c r="AF203" s="2504"/>
      <c r="AG203" s="2504"/>
      <c r="AH203" s="2504"/>
      <c r="AI203" s="2504"/>
      <c r="AJ203" s="2504"/>
      <c r="AK203" s="508"/>
    </row>
    <row r="204" spans="1:37" hidden="1">
      <c r="A204" s="503"/>
      <c r="B204" s="2488"/>
      <c r="C204" s="2488"/>
      <c r="D204" s="2488"/>
      <c r="E204" s="2488"/>
      <c r="F204" s="2488"/>
      <c r="G204" s="2488"/>
      <c r="H204" s="2488"/>
      <c r="I204" s="2488"/>
      <c r="J204" s="2488"/>
      <c r="K204" s="2488"/>
      <c r="L204" s="2488"/>
      <c r="M204" s="2488"/>
      <c r="N204" s="2488"/>
      <c r="O204" s="2488"/>
      <c r="P204" s="2488"/>
      <c r="Q204" s="2488"/>
      <c r="R204" s="2488"/>
      <c r="S204" s="2488"/>
      <c r="T204" s="2488"/>
      <c r="U204" s="2488"/>
      <c r="V204" s="2488"/>
      <c r="W204" s="2488"/>
      <c r="X204" s="2488"/>
      <c r="Y204" s="2488"/>
      <c r="Z204" s="2488"/>
      <c r="AA204" s="2488"/>
      <c r="AB204" s="2488"/>
      <c r="AC204" s="742"/>
      <c r="AD204" s="2504"/>
      <c r="AE204" s="2504"/>
      <c r="AF204" s="2504"/>
      <c r="AG204" s="2504"/>
      <c r="AH204" s="2504"/>
      <c r="AI204" s="2504"/>
      <c r="AJ204" s="2504"/>
      <c r="AK204" s="508"/>
    </row>
    <row r="205" spans="1:37" hidden="1">
      <c r="A205" s="503"/>
      <c r="B205" s="2488"/>
      <c r="C205" s="2488"/>
      <c r="D205" s="2488"/>
      <c r="E205" s="2488"/>
      <c r="F205" s="2488"/>
      <c r="G205" s="2488"/>
      <c r="H205" s="2488"/>
      <c r="I205" s="2488"/>
      <c r="J205" s="2488"/>
      <c r="K205" s="2488"/>
      <c r="L205" s="2488"/>
      <c r="M205" s="2488"/>
      <c r="N205" s="2488"/>
      <c r="O205" s="2488"/>
      <c r="P205" s="2488"/>
      <c r="Q205" s="2488"/>
      <c r="R205" s="2488"/>
      <c r="S205" s="2488"/>
      <c r="T205" s="2488"/>
      <c r="U205" s="2488"/>
      <c r="V205" s="2488"/>
      <c r="W205" s="2488"/>
      <c r="X205" s="2488"/>
      <c r="Y205" s="2488"/>
      <c r="Z205" s="2488"/>
      <c r="AA205" s="2488"/>
      <c r="AB205" s="2488"/>
      <c r="AC205" s="742"/>
      <c r="AD205" s="2504"/>
      <c r="AE205" s="2504"/>
      <c r="AF205" s="2504"/>
      <c r="AG205" s="2504"/>
      <c r="AH205" s="2504"/>
      <c r="AI205" s="2504"/>
      <c r="AJ205" s="2504"/>
      <c r="AK205" s="508"/>
    </row>
    <row r="206" spans="1:37" hidden="1">
      <c r="A206" s="503"/>
      <c r="B206" s="2488"/>
      <c r="C206" s="2488"/>
      <c r="D206" s="2488"/>
      <c r="E206" s="2488"/>
      <c r="F206" s="2488"/>
      <c r="G206" s="2488"/>
      <c r="H206" s="2488"/>
      <c r="I206" s="2488"/>
      <c r="J206" s="2488"/>
      <c r="K206" s="2488"/>
      <c r="L206" s="2488"/>
      <c r="M206" s="2488"/>
      <c r="N206" s="2488"/>
      <c r="O206" s="2488"/>
      <c r="P206" s="2488"/>
      <c r="Q206" s="2488"/>
      <c r="R206" s="2488"/>
      <c r="S206" s="2488"/>
      <c r="T206" s="2488"/>
      <c r="U206" s="2488"/>
      <c r="V206" s="2488"/>
      <c r="W206" s="2488"/>
      <c r="X206" s="2488"/>
      <c r="Y206" s="2488"/>
      <c r="Z206" s="2488"/>
      <c r="AA206" s="2488"/>
      <c r="AB206" s="2488"/>
      <c r="AC206" s="742"/>
      <c r="AD206" s="2504"/>
      <c r="AE206" s="2504"/>
      <c r="AF206" s="2504"/>
      <c r="AG206" s="2504"/>
      <c r="AH206" s="2504"/>
      <c r="AI206" s="2504"/>
      <c r="AJ206" s="2504"/>
      <c r="AK206" s="508"/>
    </row>
    <row r="207" spans="1:37" hidden="1">
      <c r="A207" s="503"/>
      <c r="B207" s="2488"/>
      <c r="C207" s="2488"/>
      <c r="D207" s="2488"/>
      <c r="E207" s="2488"/>
      <c r="F207" s="2488"/>
      <c r="G207" s="2488"/>
      <c r="H207" s="2488"/>
      <c r="I207" s="2488"/>
      <c r="J207" s="2488"/>
      <c r="K207" s="2488"/>
      <c r="L207" s="2488"/>
      <c r="M207" s="2488"/>
      <c r="N207" s="2488"/>
      <c r="O207" s="2488"/>
      <c r="P207" s="2488"/>
      <c r="Q207" s="2488"/>
      <c r="R207" s="2488"/>
      <c r="S207" s="2488"/>
      <c r="T207" s="2488"/>
      <c r="U207" s="2488"/>
      <c r="V207" s="2488"/>
      <c r="W207" s="2488"/>
      <c r="X207" s="2488"/>
      <c r="Y207" s="2488"/>
      <c r="Z207" s="2488"/>
      <c r="AA207" s="2488"/>
      <c r="AB207" s="2488"/>
      <c r="AC207" s="742"/>
      <c r="AD207" s="2504"/>
      <c r="AE207" s="2504"/>
      <c r="AF207" s="2504"/>
      <c r="AG207" s="2504"/>
      <c r="AH207" s="2504"/>
      <c r="AI207" s="2504"/>
      <c r="AJ207" s="2504"/>
      <c r="AK207" s="508"/>
    </row>
    <row r="208" spans="1:37" hidden="1">
      <c r="A208" s="503"/>
      <c r="B208" s="2497" t="s">
        <v>2243</v>
      </c>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436"/>
      <c r="AD208" s="2502">
        <f>AB259</f>
        <v>0</v>
      </c>
      <c r="AE208" s="2502"/>
      <c r="AF208" s="2502"/>
      <c r="AG208" s="2502"/>
      <c r="AH208" s="2502"/>
      <c r="AI208" s="2502"/>
      <c r="AJ208" s="2502"/>
      <c r="AK208" s="508"/>
    </row>
    <row r="209" spans="1:37" hidden="1">
      <c r="A209" s="503"/>
      <c r="B209" s="2343" t="s">
        <v>2244</v>
      </c>
      <c r="C209" s="2343"/>
      <c r="D209" s="2343"/>
      <c r="E209" s="2343"/>
      <c r="F209" s="2343"/>
      <c r="G209" s="2343"/>
      <c r="H209" s="2343"/>
      <c r="I209" s="2343"/>
      <c r="J209" s="2343"/>
      <c r="K209" s="2343"/>
      <c r="L209" s="2343"/>
      <c r="M209" s="2343"/>
      <c r="N209" s="2343"/>
      <c r="O209" s="2343"/>
      <c r="P209" s="2343"/>
      <c r="Q209" s="2343"/>
      <c r="R209" s="2343"/>
      <c r="S209" s="2343"/>
      <c r="T209" s="2343"/>
      <c r="U209" s="2343"/>
      <c r="V209" s="2343"/>
      <c r="W209" s="2343"/>
      <c r="X209" s="2343"/>
      <c r="Y209" s="2343"/>
      <c r="Z209" s="2343"/>
      <c r="AA209" s="2343"/>
      <c r="AB209" s="2343"/>
      <c r="AC209" s="742"/>
      <c r="AD209" s="2503">
        <f>'Sources and Uses Budget'!B15</f>
        <v>0</v>
      </c>
      <c r="AE209" s="2503"/>
      <c r="AF209" s="2503"/>
      <c r="AG209" s="2503"/>
      <c r="AH209" s="2503"/>
      <c r="AI209" s="2503"/>
      <c r="AJ209" s="250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1491</v>
      </c>
      <c r="AC210" s="436"/>
      <c r="AD210" s="2508">
        <f>SUM(AD198:AJ208)-AD209</f>
        <v>0</v>
      </c>
      <c r="AE210" s="2508"/>
      <c r="AF210" s="2508"/>
      <c r="AG210" s="2508"/>
      <c r="AH210" s="2508"/>
      <c r="AI210" s="2508"/>
      <c r="AJ210" s="250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2245</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2246</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2247</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2248</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2249</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2250</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2251</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2252</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1" t="s">
        <v>2253</v>
      </c>
      <c r="J221" s="2531"/>
      <c r="K221" s="2531"/>
      <c r="L221" s="436"/>
      <c r="M221" s="436"/>
      <c r="N221" s="436"/>
      <c r="O221" s="436"/>
      <c r="P221" s="436"/>
      <c r="Q221" s="436"/>
      <c r="R221" s="436"/>
      <c r="S221" s="436"/>
      <c r="T221" s="2357" t="s">
        <v>2254</v>
      </c>
      <c r="U221" s="2357"/>
      <c r="V221" s="2357"/>
      <c r="W221" s="2357"/>
      <c r="X221" s="2357"/>
      <c r="Y221" s="2357"/>
      <c r="Z221" s="745"/>
      <c r="AA221" s="390"/>
      <c r="AB221" s="2521" t="s">
        <v>2255</v>
      </c>
      <c r="AC221" s="2521"/>
      <c r="AD221" s="2521"/>
      <c r="AE221" s="2521"/>
      <c r="AF221" s="2521"/>
      <c r="AG221" s="2521"/>
      <c r="AH221" s="723"/>
      <c r="AI221" s="723"/>
      <c r="AJ221" s="723"/>
      <c r="AK221" s="508"/>
    </row>
    <row r="222" spans="1:37" hidden="1">
      <c r="A222" s="503"/>
      <c r="B222" s="2529" t="s">
        <v>2256</v>
      </c>
      <c r="C222" s="2529"/>
      <c r="D222" s="2529"/>
      <c r="E222" s="2529"/>
      <c r="F222" s="2529"/>
      <c r="G222" s="2529"/>
      <c r="I222" s="2530" t="s">
        <v>2257</v>
      </c>
      <c r="J222" s="2530"/>
      <c r="K222" s="2530"/>
      <c r="L222" s="897"/>
      <c r="N222" s="2344" t="s">
        <v>2258</v>
      </c>
      <c r="O222" s="2344"/>
      <c r="P222" s="2344"/>
      <c r="Q222" s="2344"/>
      <c r="R222" s="2344"/>
      <c r="T222" s="2344" t="s">
        <v>2259</v>
      </c>
      <c r="U222" s="2344"/>
      <c r="V222" s="2344"/>
      <c r="W222" s="2344"/>
      <c r="X222" s="2344"/>
      <c r="Y222" s="2344"/>
      <c r="Z222" s="746"/>
      <c r="AA222" s="390"/>
      <c r="AB222" s="2400" t="s">
        <v>2260</v>
      </c>
      <c r="AC222" s="2400"/>
      <c r="AD222" s="2400"/>
      <c r="AE222" s="2400"/>
      <c r="AF222" s="2400"/>
      <c r="AG222" s="2400"/>
      <c r="AH222" s="723"/>
      <c r="AI222" s="723"/>
      <c r="AJ222" s="723"/>
      <c r="AK222" s="508"/>
    </row>
    <row r="223" spans="1:37" hidden="1">
      <c r="A223" s="503"/>
      <c r="B223" s="2401" t="s">
        <v>1009</v>
      </c>
      <c r="C223" s="2401"/>
      <c r="D223" s="2401"/>
      <c r="E223" s="2401"/>
      <c r="F223" s="2401"/>
      <c r="G223" s="2401"/>
      <c r="H223" s="748"/>
      <c r="I223" s="2360"/>
      <c r="J223" s="2360"/>
      <c r="K223" s="2360"/>
      <c r="L223" s="897"/>
      <c r="N223" s="2358"/>
      <c r="O223" s="2358"/>
      <c r="P223" s="2358"/>
      <c r="Q223" s="2358"/>
      <c r="R223" s="2358"/>
      <c r="T223" s="2340"/>
      <c r="U223" s="2340"/>
      <c r="V223" s="2340"/>
      <c r="W223" s="2340"/>
      <c r="X223" s="2340"/>
      <c r="Y223" s="2340"/>
      <c r="Z223" s="747"/>
      <c r="AA223" s="747"/>
      <c r="AB223" s="2338">
        <f t="shared" ref="AB223:AB232" si="0">MAX(($T223-$N223)*$I223*12,0)</f>
        <v>0</v>
      </c>
      <c r="AC223" s="2338"/>
      <c r="AD223" s="2338"/>
      <c r="AE223" s="2338"/>
      <c r="AF223" s="2338"/>
      <c r="AG223" s="2338"/>
      <c r="AH223" s="723"/>
      <c r="AI223" s="723"/>
      <c r="AJ223" s="723"/>
      <c r="AK223" s="508"/>
    </row>
    <row r="224" spans="1:37" hidden="1">
      <c r="A224" s="503"/>
      <c r="B224" s="2401" t="s">
        <v>1009</v>
      </c>
      <c r="C224" s="2401"/>
      <c r="D224" s="2401"/>
      <c r="E224" s="2401"/>
      <c r="F224" s="2401"/>
      <c r="G224" s="2401"/>
      <c r="I224" s="2360"/>
      <c r="J224" s="2360"/>
      <c r="K224" s="2360"/>
      <c r="L224" s="897"/>
      <c r="N224" s="2358"/>
      <c r="O224" s="2358"/>
      <c r="P224" s="2358"/>
      <c r="Q224" s="2358"/>
      <c r="R224" s="2358"/>
      <c r="T224" s="2340"/>
      <c r="U224" s="2340"/>
      <c r="V224" s="2340"/>
      <c r="W224" s="2340"/>
      <c r="X224" s="2340"/>
      <c r="Y224" s="2340"/>
      <c r="Z224" s="747"/>
      <c r="AA224" s="747"/>
      <c r="AB224" s="2338">
        <f t="shared" si="0"/>
        <v>0</v>
      </c>
      <c r="AC224" s="2338"/>
      <c r="AD224" s="2338"/>
      <c r="AE224" s="2338"/>
      <c r="AF224" s="2338"/>
      <c r="AG224" s="2338"/>
      <c r="AH224" s="723"/>
      <c r="AI224" s="723"/>
      <c r="AJ224" s="723"/>
      <c r="AK224" s="508"/>
    </row>
    <row r="225" spans="1:37" hidden="1">
      <c r="A225" s="503"/>
      <c r="B225" s="2401" t="s">
        <v>1009</v>
      </c>
      <c r="C225" s="2401"/>
      <c r="D225" s="2401"/>
      <c r="E225" s="2401"/>
      <c r="F225" s="2401"/>
      <c r="G225" s="2401"/>
      <c r="I225" s="2360"/>
      <c r="J225" s="2360"/>
      <c r="K225" s="2360"/>
      <c r="L225" s="897"/>
      <c r="N225" s="2358"/>
      <c r="O225" s="2358"/>
      <c r="P225" s="2358"/>
      <c r="Q225" s="2358"/>
      <c r="R225" s="2358"/>
      <c r="T225" s="2340"/>
      <c r="U225" s="2340"/>
      <c r="V225" s="2340"/>
      <c r="W225" s="2340"/>
      <c r="X225" s="2340"/>
      <c r="Y225" s="2340"/>
      <c r="Z225" s="747"/>
      <c r="AA225" s="747"/>
      <c r="AB225" s="2338">
        <f t="shared" si="0"/>
        <v>0</v>
      </c>
      <c r="AC225" s="2338"/>
      <c r="AD225" s="2338"/>
      <c r="AE225" s="2338"/>
      <c r="AF225" s="2338"/>
      <c r="AG225" s="2338"/>
      <c r="AH225" s="723"/>
      <c r="AI225" s="723"/>
      <c r="AJ225" s="723"/>
      <c r="AK225" s="508"/>
    </row>
    <row r="226" spans="1:37" hidden="1">
      <c r="A226" s="503"/>
      <c r="B226" s="2401" t="s">
        <v>1009</v>
      </c>
      <c r="C226" s="2401"/>
      <c r="D226" s="2401"/>
      <c r="E226" s="2401"/>
      <c r="F226" s="2401"/>
      <c r="G226" s="2401"/>
      <c r="I226" s="2360"/>
      <c r="J226" s="2360"/>
      <c r="K226" s="2360"/>
      <c r="L226" s="897"/>
      <c r="N226" s="2358"/>
      <c r="O226" s="2358"/>
      <c r="P226" s="2358"/>
      <c r="Q226" s="2358"/>
      <c r="R226" s="2358"/>
      <c r="T226" s="2340"/>
      <c r="U226" s="2340"/>
      <c r="V226" s="2340"/>
      <c r="W226" s="2340"/>
      <c r="X226" s="2340"/>
      <c r="Y226" s="2340"/>
      <c r="Z226" s="747"/>
      <c r="AA226" s="747"/>
      <c r="AB226" s="2338">
        <f t="shared" si="0"/>
        <v>0</v>
      </c>
      <c r="AC226" s="2338"/>
      <c r="AD226" s="2338"/>
      <c r="AE226" s="2338"/>
      <c r="AF226" s="2338"/>
      <c r="AG226" s="2338"/>
      <c r="AH226" s="723"/>
      <c r="AI226" s="723"/>
      <c r="AJ226" s="723"/>
      <c r="AK226" s="508"/>
    </row>
    <row r="227" spans="1:37" hidden="1">
      <c r="A227" s="503"/>
      <c r="B227" s="2401" t="s">
        <v>1009</v>
      </c>
      <c r="C227" s="2401"/>
      <c r="D227" s="2401"/>
      <c r="E227" s="2401"/>
      <c r="F227" s="2401"/>
      <c r="G227" s="2401"/>
      <c r="I227" s="2360"/>
      <c r="J227" s="2360"/>
      <c r="K227" s="2360"/>
      <c r="L227" s="902"/>
      <c r="N227" s="2358"/>
      <c r="O227" s="2358"/>
      <c r="P227" s="2358"/>
      <c r="Q227" s="2358"/>
      <c r="R227" s="2358"/>
      <c r="T227" s="2340"/>
      <c r="U227" s="2340"/>
      <c r="V227" s="2340"/>
      <c r="W227" s="2340"/>
      <c r="X227" s="2340"/>
      <c r="Y227" s="2340"/>
      <c r="Z227" s="747"/>
      <c r="AA227" s="747"/>
      <c r="AB227" s="2338">
        <f t="shared" si="0"/>
        <v>0</v>
      </c>
      <c r="AC227" s="2338"/>
      <c r="AD227" s="2338"/>
      <c r="AE227" s="2338"/>
      <c r="AF227" s="2338"/>
      <c r="AG227" s="2338"/>
      <c r="AH227" s="723"/>
      <c r="AI227" s="723"/>
      <c r="AJ227" s="723"/>
      <c r="AK227" s="508"/>
    </row>
    <row r="228" spans="1:37" hidden="1">
      <c r="A228" s="503"/>
      <c r="B228" s="2401" t="s">
        <v>1009</v>
      </c>
      <c r="C228" s="2401"/>
      <c r="D228" s="2401"/>
      <c r="E228" s="2401"/>
      <c r="F228" s="2401"/>
      <c r="G228" s="2401"/>
      <c r="I228" s="2360"/>
      <c r="J228" s="2360"/>
      <c r="K228" s="2360"/>
      <c r="L228" s="902"/>
      <c r="N228" s="2358"/>
      <c r="O228" s="2358"/>
      <c r="P228" s="2358"/>
      <c r="Q228" s="2358"/>
      <c r="R228" s="2358"/>
      <c r="T228" s="2340"/>
      <c r="U228" s="2340"/>
      <c r="V228" s="2340"/>
      <c r="W228" s="2340"/>
      <c r="X228" s="2340"/>
      <c r="Y228" s="2340"/>
      <c r="Z228" s="747"/>
      <c r="AA228" s="747"/>
      <c r="AB228" s="2338">
        <f t="shared" si="0"/>
        <v>0</v>
      </c>
      <c r="AC228" s="2338"/>
      <c r="AD228" s="2338"/>
      <c r="AE228" s="2338"/>
      <c r="AF228" s="2338"/>
      <c r="AG228" s="2338"/>
      <c r="AH228" s="723"/>
      <c r="AI228" s="723"/>
      <c r="AJ228" s="723"/>
      <c r="AK228" s="508"/>
    </row>
    <row r="229" spans="1:37" hidden="1">
      <c r="A229" s="503"/>
      <c r="B229" s="2401" t="s">
        <v>1009</v>
      </c>
      <c r="C229" s="2401"/>
      <c r="D229" s="2401"/>
      <c r="E229" s="2401"/>
      <c r="F229" s="2401"/>
      <c r="G229" s="2401"/>
      <c r="I229" s="2360"/>
      <c r="J229" s="2360"/>
      <c r="K229" s="2360"/>
      <c r="L229" s="902"/>
      <c r="N229" s="2358"/>
      <c r="O229" s="2358"/>
      <c r="P229" s="2358"/>
      <c r="Q229" s="2358"/>
      <c r="R229" s="2358"/>
      <c r="T229" s="2340"/>
      <c r="U229" s="2340"/>
      <c r="V229" s="2340"/>
      <c r="W229" s="2340"/>
      <c r="X229" s="2340"/>
      <c r="Y229" s="2340"/>
      <c r="Z229" s="747"/>
      <c r="AA229" s="747"/>
      <c r="AB229" s="2338">
        <f t="shared" si="0"/>
        <v>0</v>
      </c>
      <c r="AC229" s="2338"/>
      <c r="AD229" s="2338"/>
      <c r="AE229" s="2338"/>
      <c r="AF229" s="2338"/>
      <c r="AG229" s="2338"/>
      <c r="AH229" s="723"/>
      <c r="AI229" s="723"/>
      <c r="AJ229" s="723"/>
      <c r="AK229" s="508"/>
    </row>
    <row r="230" spans="1:37" hidden="1">
      <c r="A230" s="503"/>
      <c r="B230" s="2401" t="s">
        <v>1009</v>
      </c>
      <c r="C230" s="2401"/>
      <c r="D230" s="2401"/>
      <c r="E230" s="2401"/>
      <c r="F230" s="2401"/>
      <c r="G230" s="2401"/>
      <c r="I230" s="2360"/>
      <c r="J230" s="2360"/>
      <c r="K230" s="2360"/>
      <c r="L230" s="902"/>
      <c r="N230" s="2358"/>
      <c r="O230" s="2358"/>
      <c r="P230" s="2358"/>
      <c r="Q230" s="2358"/>
      <c r="R230" s="2358"/>
      <c r="T230" s="2340"/>
      <c r="U230" s="2340"/>
      <c r="V230" s="2340"/>
      <c r="W230" s="2340"/>
      <c r="X230" s="2340"/>
      <c r="Y230" s="2340"/>
      <c r="Z230" s="747"/>
      <c r="AA230" s="747"/>
      <c r="AB230" s="2338">
        <f t="shared" si="0"/>
        <v>0</v>
      </c>
      <c r="AC230" s="2338"/>
      <c r="AD230" s="2338"/>
      <c r="AE230" s="2338"/>
      <c r="AF230" s="2338"/>
      <c r="AG230" s="2338"/>
      <c r="AH230" s="723"/>
      <c r="AI230" s="723"/>
      <c r="AJ230" s="723"/>
      <c r="AK230" s="508"/>
    </row>
    <row r="231" spans="1:37" hidden="1">
      <c r="A231" s="503"/>
      <c r="B231" s="2401" t="s">
        <v>1009</v>
      </c>
      <c r="C231" s="2401"/>
      <c r="D231" s="2401"/>
      <c r="E231" s="2401"/>
      <c r="F231" s="2401"/>
      <c r="G231" s="2401"/>
      <c r="I231" s="2360"/>
      <c r="J231" s="2360"/>
      <c r="K231" s="2360"/>
      <c r="L231" s="902"/>
      <c r="N231" s="2358"/>
      <c r="O231" s="2358"/>
      <c r="P231" s="2358"/>
      <c r="Q231" s="2358"/>
      <c r="R231" s="2358"/>
      <c r="T231" s="2340"/>
      <c r="U231" s="2340"/>
      <c r="V231" s="2340"/>
      <c r="W231" s="2340"/>
      <c r="X231" s="2340"/>
      <c r="Y231" s="2340"/>
      <c r="Z231" s="747"/>
      <c r="AA231" s="747"/>
      <c r="AB231" s="2338">
        <f t="shared" si="0"/>
        <v>0</v>
      </c>
      <c r="AC231" s="2338"/>
      <c r="AD231" s="2338"/>
      <c r="AE231" s="2338"/>
      <c r="AF231" s="2338"/>
      <c r="AG231" s="2338"/>
      <c r="AH231" s="723"/>
      <c r="AI231" s="723"/>
      <c r="AJ231" s="723"/>
      <c r="AK231" s="508"/>
    </row>
    <row r="232" spans="1:37" hidden="1">
      <c r="A232" s="503"/>
      <c r="B232" s="2401" t="s">
        <v>1009</v>
      </c>
      <c r="C232" s="2401"/>
      <c r="D232" s="2401"/>
      <c r="E232" s="2401"/>
      <c r="F232" s="2401"/>
      <c r="G232" s="2401"/>
      <c r="I232" s="2532"/>
      <c r="J232" s="2532"/>
      <c r="K232" s="2532"/>
      <c r="L232" s="902"/>
      <c r="N232" s="2358"/>
      <c r="O232" s="2358"/>
      <c r="P232" s="2358"/>
      <c r="Q232" s="2358"/>
      <c r="R232" s="2358"/>
      <c r="T232" s="2340"/>
      <c r="U232" s="2340"/>
      <c r="V232" s="2340"/>
      <c r="W232" s="2340"/>
      <c r="X232" s="2340"/>
      <c r="Y232" s="2340"/>
      <c r="Z232" s="747"/>
      <c r="AA232" s="747"/>
      <c r="AB232" s="2339">
        <f t="shared" si="0"/>
        <v>0</v>
      </c>
      <c r="AC232" s="2339"/>
      <c r="AD232" s="2339"/>
      <c r="AE232" s="2339"/>
      <c r="AF232" s="2339"/>
      <c r="AG232" s="2339"/>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2261</v>
      </c>
      <c r="AA233" s="749"/>
      <c r="AB233" s="2338">
        <f>SUM(AB223:AB232)</f>
        <v>0</v>
      </c>
      <c r="AC233" s="2338"/>
      <c r="AD233" s="2338"/>
      <c r="AE233" s="2338"/>
      <c r="AF233" s="2338"/>
      <c r="AG233" s="2338"/>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2262</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2263</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2264</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2265</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3"/>
      <c r="AC239" s="2373"/>
      <c r="AD239" s="2373"/>
      <c r="AE239" s="2373"/>
      <c r="AF239" s="2373"/>
      <c r="AG239" s="2373"/>
      <c r="AH239" s="508"/>
      <c r="AI239" s="508"/>
      <c r="AJ239" s="508"/>
      <c r="AK239" s="508"/>
    </row>
    <row r="240" spans="1:37" hidden="1">
      <c r="A240" s="503"/>
      <c r="B240" s="733" t="s">
        <v>2266</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2267</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2268</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3"/>
      <c r="AC242" s="2373"/>
      <c r="AD242" s="2373"/>
      <c r="AE242" s="2373"/>
      <c r="AF242" s="2373"/>
      <c r="AG242" s="2373"/>
      <c r="AH242" s="508"/>
      <c r="AI242" s="508"/>
      <c r="AJ242" s="508"/>
      <c r="AK242" s="508"/>
    </row>
    <row r="243" spans="1:37" hidden="1">
      <c r="A243" s="503"/>
      <c r="B243" s="734" t="s">
        <v>2269</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6"/>
      <c r="AC243" s="2356"/>
      <c r="AD243" s="2356"/>
      <c r="AE243" s="2356"/>
      <c r="AF243" s="2356"/>
      <c r="AG243" s="2356"/>
      <c r="AH243" s="508"/>
      <c r="AI243" s="508"/>
      <c r="AJ243" s="508"/>
      <c r="AK243" s="508"/>
    </row>
    <row r="244" spans="1:37" hidden="1">
      <c r="A244" s="503"/>
      <c r="B244" s="734" t="s">
        <v>2270</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1">
        <f>IFERROR(AB242/AB243,0)</f>
        <v>0</v>
      </c>
      <c r="AC244" s="2341"/>
      <c r="AD244" s="2341"/>
      <c r="AE244" s="2341"/>
      <c r="AF244" s="2341"/>
      <c r="AG244" s="2341"/>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2271</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9">
        <f>MAX(AB239,AB244)</f>
        <v>0</v>
      </c>
      <c r="AC246" s="2339"/>
      <c r="AD246" s="2339"/>
      <c r="AE246" s="2339"/>
      <c r="AF246" s="2339"/>
      <c r="AG246" s="2339"/>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2272</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8">
        <f>AB233+AB246</f>
        <v>0</v>
      </c>
      <c r="AC249" s="2338"/>
      <c r="AD249" s="2338"/>
      <c r="AE249" s="2338"/>
      <c r="AF249" s="2338"/>
      <c r="AG249" s="2338"/>
      <c r="AH249" s="508"/>
      <c r="AI249" s="508"/>
      <c r="AJ249" s="508"/>
      <c r="AK249" s="508"/>
    </row>
    <row r="250" spans="1:37" hidden="1">
      <c r="A250" s="503"/>
      <c r="B250" s="377" t="s">
        <v>2273</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2">
        <v>0.05</v>
      </c>
      <c r="AC250" s="2512"/>
      <c r="AD250" s="2512"/>
      <c r="AE250" s="2512"/>
      <c r="AF250" s="2512"/>
      <c r="AG250" s="2512"/>
      <c r="AH250" s="508"/>
      <c r="AI250" s="508"/>
      <c r="AJ250" s="508"/>
      <c r="AK250" s="508"/>
    </row>
    <row r="251" spans="1:37" hidden="1">
      <c r="A251" s="503"/>
      <c r="B251" s="377" t="s">
        <v>2274</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3">
        <f>AB249-(AB249*AB250)</f>
        <v>0</v>
      </c>
      <c r="AC251" s="2513"/>
      <c r="AD251" s="2513"/>
      <c r="AE251" s="2513"/>
      <c r="AF251" s="2513"/>
      <c r="AG251" s="2513"/>
      <c r="AH251" s="508"/>
      <c r="AI251" s="508"/>
      <c r="AJ251" s="508"/>
      <c r="AK251" s="508"/>
    </row>
    <row r="252" spans="1:37" hidden="1">
      <c r="A252" s="503"/>
      <c r="B252" s="377" t="s">
        <v>2275</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2276</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8">
        <f>AB251/AB257</f>
        <v>0</v>
      </c>
      <c r="AC253" s="2338"/>
      <c r="AD253" s="2338"/>
      <c r="AE253" s="2338"/>
      <c r="AF253" s="2338"/>
      <c r="AG253" s="2338"/>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2277</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1">
        <v>15</v>
      </c>
      <c r="AC255" s="2521"/>
      <c r="AD255" s="2521"/>
      <c r="AE255" s="2521"/>
      <c r="AF255" s="2521"/>
      <c r="AG255" s="2521"/>
      <c r="AH255" s="508"/>
      <c r="AI255" s="508"/>
      <c r="AJ255" s="508"/>
      <c r="AK255" s="508"/>
    </row>
    <row r="256" spans="1:37" hidden="1">
      <c r="A256" s="503"/>
      <c r="B256" s="377" t="s">
        <v>2278</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9">
        <v>0.04</v>
      </c>
      <c r="AC256" s="2489"/>
      <c r="AD256" s="2489"/>
      <c r="AE256" s="2489"/>
      <c r="AF256" s="2489"/>
      <c r="AG256" s="2489"/>
      <c r="AH256" s="508"/>
      <c r="AI256" s="508"/>
      <c r="AJ256" s="508"/>
      <c r="AK256" s="508"/>
    </row>
    <row r="257" spans="1:39" hidden="1">
      <c r="A257" s="503"/>
      <c r="B257" s="377" t="s">
        <v>2279</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8">
        <v>1.1499999999999999</v>
      </c>
      <c r="AC257" s="2498"/>
      <c r="AD257" s="2498"/>
      <c r="AE257" s="2498"/>
      <c r="AF257" s="2498"/>
      <c r="AG257" s="249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2280</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5">
        <f>PV(AB256/12,AB255*12,-AB253/12, ,0)</f>
        <v>0</v>
      </c>
      <c r="AC259" s="2506"/>
      <c r="AD259" s="2506"/>
      <c r="AE259" s="2506"/>
      <c r="AF259" s="2506"/>
      <c r="AG259" s="2507"/>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2281</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2282</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2283</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2284</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9">
        <f>IFERROR(('Sources and Uses Budget'!D105/'Sources and Uses Budget'!B105),0)</f>
        <v>0</v>
      </c>
      <c r="AC265" s="2510"/>
      <c r="AD265" s="2510"/>
      <c r="AE265" s="2510"/>
      <c r="AF265" s="2510"/>
      <c r="AG265" s="251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2285</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6">
        <f>AD210*(1-AB265)</f>
        <v>0</v>
      </c>
      <c r="AH267" s="2366"/>
      <c r="AI267" s="2366"/>
      <c r="AJ267" s="2366"/>
      <c r="AK267" s="2366"/>
    </row>
    <row r="268" spans="1:39" hidden="1">
      <c r="A268" s="520"/>
      <c r="B268" s="523" t="s">
        <v>2286</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6">
        <f>'Sources and Uses Budget'!C105</f>
        <v>86048414</v>
      </c>
      <c r="AH268" s="2366"/>
      <c r="AI268" s="2366"/>
      <c r="AJ268" s="2366"/>
      <c r="AK268" s="2366"/>
    </row>
    <row r="269" spans="1:39" hidden="1">
      <c r="A269" s="520"/>
      <c r="B269" s="522" t="s">
        <v>1643</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1">
        <f>ROUNDDOWN(IF(AND(C305="Yes",AK83=10),((AG267*2)/AG268),AG267/AG268),2)</f>
        <v>0</v>
      </c>
      <c r="AH269" s="2501"/>
      <c r="AI269" s="2501"/>
      <c r="AJ269" s="2501"/>
      <c r="AK269" s="2501"/>
    </row>
    <row r="270" spans="1:39" hidden="1">
      <c r="A270" s="520"/>
      <c r="B270" s="867" t="s">
        <v>2287</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2288</v>
      </c>
      <c r="AK272" s="2491">
        <f>IFERROR(IF(AG269=0,0,IF((AG269*100)&gt;8,8,(AG269*100))),0)</f>
        <v>0</v>
      </c>
      <c r="AL272" s="2491"/>
      <c r="AM272" s="2492"/>
    </row>
    <row r="273" spans="1:52" ht="13.8"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2238</v>
      </c>
      <c r="B275" s="438" t="s">
        <v>2289</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2155</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2290</v>
      </c>
      <c r="AI277" s="450"/>
      <c r="AJ277" s="449"/>
      <c r="AK277" s="449"/>
      <c r="AL277" s="449"/>
      <c r="AM277" s="449"/>
      <c r="AO277" s="449"/>
    </row>
    <row r="278" spans="1:52" ht="14.25" customHeight="1">
      <c r="AI278" s="450"/>
      <c r="AJ278" s="449"/>
      <c r="AK278" s="449"/>
      <c r="AL278" s="449"/>
      <c r="AM278" s="449"/>
      <c r="AO278" s="449"/>
    </row>
    <row r="279" spans="1:52" ht="13.65" customHeight="1">
      <c r="A279" s="449"/>
      <c r="B279" s="494"/>
      <c r="C279" s="2342" t="s">
        <v>856</v>
      </c>
      <c r="D279" s="2342"/>
      <c r="E279" s="446"/>
      <c r="F279" s="2329" t="s">
        <v>2291</v>
      </c>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1"/>
      <c r="AE279" s="449"/>
      <c r="AF279" s="533"/>
      <c r="AG279" s="2499" t="s">
        <v>2231</v>
      </c>
      <c r="AH279" s="2499"/>
      <c r="AI279" s="2499"/>
      <c r="AJ279" s="2499"/>
      <c r="AK279" s="449"/>
      <c r="AL279" s="449"/>
      <c r="AM279" s="449"/>
      <c r="AO279" s="449"/>
    </row>
    <row r="280" spans="1:52" ht="13.65" customHeight="1">
      <c r="A280" s="449"/>
      <c r="B280" s="494"/>
      <c r="C280" s="534"/>
      <c r="D280" s="449"/>
      <c r="E280" s="446"/>
      <c r="F280" s="2332"/>
      <c r="G280" s="2333"/>
      <c r="H280" s="2333"/>
      <c r="I280" s="2333"/>
      <c r="J280" s="2333"/>
      <c r="K280" s="2333"/>
      <c r="L280" s="2333"/>
      <c r="M280" s="2333"/>
      <c r="N280" s="2333"/>
      <c r="O280" s="2333"/>
      <c r="P280" s="2333"/>
      <c r="Q280" s="2333"/>
      <c r="R280" s="2333"/>
      <c r="S280" s="2333"/>
      <c r="T280" s="2333"/>
      <c r="U280" s="2333"/>
      <c r="V280" s="2333"/>
      <c r="W280" s="2333"/>
      <c r="X280" s="2333"/>
      <c r="Y280" s="2333"/>
      <c r="Z280" s="2333"/>
      <c r="AA280" s="2333"/>
      <c r="AB280" s="2333"/>
      <c r="AC280" s="2333"/>
      <c r="AD280" s="2334"/>
      <c r="AE280" s="449"/>
      <c r="AF280" s="533"/>
      <c r="AG280" s="533"/>
      <c r="AH280" s="533"/>
      <c r="AI280" s="533"/>
      <c r="AJ280" s="449"/>
      <c r="AK280" s="449"/>
      <c r="AL280" s="449"/>
      <c r="AM280" s="449"/>
      <c r="AO280" s="449"/>
    </row>
    <row r="281" spans="1:52" ht="13.65" customHeight="1">
      <c r="A281" s="449"/>
      <c r="B281" s="494"/>
      <c r="C281" s="534"/>
      <c r="D281" s="449"/>
      <c r="E281" s="446"/>
      <c r="F281" s="2332"/>
      <c r="G281" s="2333"/>
      <c r="H281" s="2333"/>
      <c r="I281" s="2333"/>
      <c r="J281" s="2333"/>
      <c r="K281" s="2333"/>
      <c r="L281" s="2333"/>
      <c r="M281" s="2333"/>
      <c r="N281" s="2333"/>
      <c r="O281" s="2333"/>
      <c r="P281" s="2333"/>
      <c r="Q281" s="2333"/>
      <c r="R281" s="2333"/>
      <c r="S281" s="2333"/>
      <c r="T281" s="2333"/>
      <c r="U281" s="2333"/>
      <c r="V281" s="2333"/>
      <c r="W281" s="2333"/>
      <c r="X281" s="2333"/>
      <c r="Y281" s="2333"/>
      <c r="Z281" s="2333"/>
      <c r="AA281" s="2333"/>
      <c r="AB281" s="2333"/>
      <c r="AC281" s="2333"/>
      <c r="AD281" s="2334"/>
      <c r="AE281" s="449"/>
      <c r="AF281" s="533"/>
      <c r="AG281" s="533"/>
      <c r="AH281" s="533"/>
      <c r="AI281" s="533"/>
      <c r="AJ281" s="449"/>
      <c r="AK281" s="449"/>
      <c r="AL281" s="449"/>
      <c r="AM281" s="449"/>
      <c r="AO281" s="449"/>
    </row>
    <row r="282" spans="1:52" ht="13.65" customHeight="1">
      <c r="A282" s="449"/>
      <c r="B282" s="494"/>
      <c r="C282" s="534"/>
      <c r="D282" s="449"/>
      <c r="E282" s="446"/>
      <c r="F282" s="2332"/>
      <c r="G282" s="2333"/>
      <c r="H282" s="2333"/>
      <c r="I282" s="2333"/>
      <c r="J282" s="2333"/>
      <c r="K282" s="2333"/>
      <c r="L282" s="2333"/>
      <c r="M282" s="2333"/>
      <c r="N282" s="2333"/>
      <c r="O282" s="2333"/>
      <c r="P282" s="2333"/>
      <c r="Q282" s="2333"/>
      <c r="R282" s="2333"/>
      <c r="S282" s="2333"/>
      <c r="T282" s="2333"/>
      <c r="U282" s="2333"/>
      <c r="V282" s="2333"/>
      <c r="W282" s="2333"/>
      <c r="X282" s="2333"/>
      <c r="Y282" s="2333"/>
      <c r="Z282" s="2333"/>
      <c r="AA282" s="2333"/>
      <c r="AB282" s="2333"/>
      <c r="AC282" s="2333"/>
      <c r="AD282" s="2334"/>
      <c r="AE282" s="449"/>
      <c r="AF282" s="533"/>
      <c r="AG282" s="533"/>
      <c r="AH282" s="533"/>
      <c r="AI282" s="533"/>
      <c r="AJ282" s="449"/>
      <c r="AK282" s="449"/>
      <c r="AL282" s="449"/>
      <c r="AM282" s="449"/>
      <c r="AO282" s="449"/>
    </row>
    <row r="283" spans="1:52" ht="13.65" customHeight="1">
      <c r="A283" s="449"/>
      <c r="B283" s="494"/>
      <c r="C283" s="534"/>
      <c r="D283" s="449"/>
      <c r="E283" s="446"/>
      <c r="F283" s="2332"/>
      <c r="G283" s="2333"/>
      <c r="H283" s="2333"/>
      <c r="I283" s="2333"/>
      <c r="J283" s="2333"/>
      <c r="K283" s="2333"/>
      <c r="L283" s="2333"/>
      <c r="M283" s="2333"/>
      <c r="N283" s="2333"/>
      <c r="O283" s="2333"/>
      <c r="P283" s="2333"/>
      <c r="Q283" s="2333"/>
      <c r="R283" s="2333"/>
      <c r="S283" s="2333"/>
      <c r="T283" s="2333"/>
      <c r="U283" s="2333"/>
      <c r="V283" s="2333"/>
      <c r="W283" s="2333"/>
      <c r="X283" s="2333"/>
      <c r="Y283" s="2333"/>
      <c r="Z283" s="2333"/>
      <c r="AA283" s="2333"/>
      <c r="AB283" s="2333"/>
      <c r="AC283" s="2333"/>
      <c r="AD283" s="2334"/>
      <c r="AE283" s="449"/>
      <c r="AF283" s="533"/>
      <c r="AG283" s="533"/>
      <c r="AH283" s="533"/>
      <c r="AI283" s="533"/>
      <c r="AJ283" s="449"/>
      <c r="AK283" s="449"/>
      <c r="AL283" s="449"/>
      <c r="AM283" s="449"/>
      <c r="AO283" s="449"/>
    </row>
    <row r="284" spans="1:52">
      <c r="A284" s="449"/>
      <c r="B284" s="494"/>
      <c r="C284" s="534"/>
      <c r="D284" s="449"/>
      <c r="E284" s="446"/>
      <c r="F284" s="2332"/>
      <c r="G284" s="2333"/>
      <c r="H284" s="2333"/>
      <c r="I284" s="2333"/>
      <c r="J284" s="2333"/>
      <c r="K284" s="2333"/>
      <c r="L284" s="2333"/>
      <c r="M284" s="2333"/>
      <c r="N284" s="2333"/>
      <c r="O284" s="2333"/>
      <c r="P284" s="2333"/>
      <c r="Q284" s="2333"/>
      <c r="R284" s="2333"/>
      <c r="S284" s="2333"/>
      <c r="T284" s="2333"/>
      <c r="U284" s="2333"/>
      <c r="V284" s="2333"/>
      <c r="W284" s="2333"/>
      <c r="X284" s="2333"/>
      <c r="Y284" s="2333"/>
      <c r="Z284" s="2333"/>
      <c r="AA284" s="2333"/>
      <c r="AB284" s="2333"/>
      <c r="AC284" s="2333"/>
      <c r="AD284" s="2334"/>
      <c r="AE284" s="449"/>
      <c r="AF284" s="533"/>
      <c r="AG284" s="533"/>
      <c r="AH284" s="533"/>
      <c r="AI284" s="533"/>
      <c r="AJ284" s="449"/>
      <c r="AK284" s="449"/>
      <c r="AL284" s="449"/>
      <c r="AM284" s="449"/>
      <c r="AO284" s="449"/>
      <c r="AP284" s="535"/>
    </row>
    <row r="285" spans="1:52">
      <c r="A285" s="449"/>
      <c r="B285" s="494"/>
      <c r="C285" s="534"/>
      <c r="D285" s="449"/>
      <c r="E285" s="446"/>
      <c r="F285" s="2332"/>
      <c r="G285" s="2333"/>
      <c r="H285" s="2333"/>
      <c r="I285" s="2333"/>
      <c r="J285" s="2333"/>
      <c r="K285" s="2333"/>
      <c r="L285" s="2333"/>
      <c r="M285" s="2333"/>
      <c r="N285" s="2333"/>
      <c r="O285" s="2333"/>
      <c r="P285" s="2333"/>
      <c r="Q285" s="2333"/>
      <c r="R285" s="2333"/>
      <c r="S285" s="2333"/>
      <c r="T285" s="2333"/>
      <c r="U285" s="2333"/>
      <c r="V285" s="2333"/>
      <c r="W285" s="2333"/>
      <c r="X285" s="2333"/>
      <c r="Y285" s="2333"/>
      <c r="Z285" s="2333"/>
      <c r="AA285" s="2333"/>
      <c r="AB285" s="2333"/>
      <c r="AC285" s="2333"/>
      <c r="AD285" s="2334"/>
      <c r="AE285" s="449"/>
      <c r="AF285" s="533"/>
      <c r="AG285" s="533"/>
      <c r="AH285" s="533"/>
      <c r="AI285" s="533"/>
      <c r="AJ285" s="449"/>
      <c r="AK285" s="449"/>
      <c r="AL285" s="449"/>
      <c r="AM285" s="449"/>
      <c r="AO285" s="449"/>
      <c r="AP285" s="535"/>
    </row>
    <row r="286" spans="1:52" ht="13.65" customHeight="1">
      <c r="A286" s="449"/>
      <c r="B286" s="494"/>
      <c r="C286" s="2500"/>
      <c r="D286" s="2500"/>
      <c r="E286" s="446"/>
      <c r="F286" s="2335"/>
      <c r="G286" s="2336"/>
      <c r="H286" s="2336"/>
      <c r="I286" s="2336"/>
      <c r="J286" s="2336"/>
      <c r="K286" s="2336"/>
      <c r="L286" s="2336"/>
      <c r="M286" s="2336"/>
      <c r="N286" s="2336"/>
      <c r="O286" s="2336"/>
      <c r="P286" s="2336"/>
      <c r="Q286" s="2336"/>
      <c r="R286" s="2336"/>
      <c r="S286" s="2336"/>
      <c r="T286" s="2336"/>
      <c r="U286" s="2336"/>
      <c r="V286" s="2336"/>
      <c r="W286" s="2336"/>
      <c r="X286" s="2336"/>
      <c r="Y286" s="2336"/>
      <c r="Z286" s="2336"/>
      <c r="AA286" s="2336"/>
      <c r="AB286" s="2336"/>
      <c r="AC286" s="2336"/>
      <c r="AD286" s="2337"/>
      <c r="AE286" s="449"/>
      <c r="AF286" s="533"/>
      <c r="AG286" s="2499"/>
      <c r="AH286" s="2499"/>
      <c r="AI286" s="2499"/>
      <c r="AJ286" s="2499"/>
      <c r="AK286" s="449"/>
      <c r="AL286" s="449"/>
      <c r="AM286" s="449"/>
    </row>
    <row r="287" spans="1:52" ht="13.6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1" t="s">
        <v>2292</v>
      </c>
      <c r="C289" s="2371"/>
      <c r="D289" s="2371"/>
      <c r="E289" s="2371"/>
      <c r="F289" s="2371"/>
      <c r="G289" s="2371"/>
      <c r="H289" s="2371"/>
      <c r="I289" s="2371"/>
      <c r="J289" s="2371"/>
      <c r="K289" s="2371"/>
      <c r="L289" s="2371"/>
      <c r="M289" s="2371"/>
      <c r="N289" s="2371"/>
      <c r="O289" s="2371"/>
      <c r="P289" s="2371"/>
      <c r="Q289" s="2371"/>
      <c r="R289" s="2371"/>
      <c r="S289" s="2371"/>
      <c r="T289" s="2371"/>
      <c r="U289" s="2371"/>
      <c r="V289" s="2371"/>
      <c r="W289" s="2371"/>
      <c r="X289" s="2371"/>
      <c r="Y289" s="2371"/>
      <c r="Z289" s="2371"/>
      <c r="AA289" s="2371"/>
      <c r="AB289" s="2371"/>
      <c r="AC289" s="2371"/>
      <c r="AD289" s="2371"/>
      <c r="AE289" s="2371"/>
      <c r="AF289" s="2371"/>
      <c r="AG289" s="2371"/>
      <c r="AH289" s="2371"/>
      <c r="AI289" s="2371"/>
      <c r="AJ289" s="2371"/>
      <c r="AK289" s="2371"/>
      <c r="AL289" s="2371"/>
      <c r="AM289" s="449"/>
      <c r="AN289" s="58"/>
    </row>
    <row r="290" spans="1:49">
      <c r="A290" s="449"/>
      <c r="B290" s="2371"/>
      <c r="C290" s="2371"/>
      <c r="D290" s="2371"/>
      <c r="E290" s="2371"/>
      <c r="F290" s="2371"/>
      <c r="G290" s="2371"/>
      <c r="H290" s="2371"/>
      <c r="I290" s="2371"/>
      <c r="J290" s="2371"/>
      <c r="K290" s="2371"/>
      <c r="L290" s="2371"/>
      <c r="M290" s="2371"/>
      <c r="N290" s="2371"/>
      <c r="O290" s="2371"/>
      <c r="P290" s="2371"/>
      <c r="Q290" s="2371"/>
      <c r="R290" s="2371"/>
      <c r="S290" s="2371"/>
      <c r="T290" s="2371"/>
      <c r="U290" s="2371"/>
      <c r="V290" s="2371"/>
      <c r="W290" s="2371"/>
      <c r="X290" s="2371"/>
      <c r="Y290" s="2371"/>
      <c r="Z290" s="2371"/>
      <c r="AA290" s="2371"/>
      <c r="AB290" s="2371"/>
      <c r="AC290" s="2371"/>
      <c r="AD290" s="2371"/>
      <c r="AE290" s="2371"/>
      <c r="AF290" s="2371"/>
      <c r="AG290" s="2371"/>
      <c r="AH290" s="2371"/>
      <c r="AI290" s="2371"/>
      <c r="AJ290" s="2371"/>
      <c r="AK290" s="2371"/>
      <c r="AL290" s="2371"/>
      <c r="AM290" s="449"/>
      <c r="AN290" s="58"/>
    </row>
    <row r="291" spans="1:49">
      <c r="A291" s="449"/>
      <c r="B291" s="2371"/>
      <c r="C291" s="2371"/>
      <c r="D291" s="2371"/>
      <c r="E291" s="2371"/>
      <c r="F291" s="2371"/>
      <c r="G291" s="2371"/>
      <c r="H291" s="2371"/>
      <c r="I291" s="2371"/>
      <c r="J291" s="2371"/>
      <c r="K291" s="2371"/>
      <c r="L291" s="2371"/>
      <c r="M291" s="2371"/>
      <c r="N291" s="2371"/>
      <c r="O291" s="2371"/>
      <c r="P291" s="2371"/>
      <c r="Q291" s="2371"/>
      <c r="R291" s="2371"/>
      <c r="S291" s="2371"/>
      <c r="T291" s="2371"/>
      <c r="U291" s="2371"/>
      <c r="V291" s="2371"/>
      <c r="W291" s="2371"/>
      <c r="X291" s="2371"/>
      <c r="Y291" s="2371"/>
      <c r="Z291" s="2371"/>
      <c r="AA291" s="2371"/>
      <c r="AB291" s="2371"/>
      <c r="AC291" s="2371"/>
      <c r="AD291" s="2371"/>
      <c r="AE291" s="2371"/>
      <c r="AF291" s="2371"/>
      <c r="AG291" s="2371"/>
      <c r="AH291" s="2371"/>
      <c r="AI291" s="2371"/>
      <c r="AJ291" s="2371"/>
      <c r="AK291" s="2371"/>
      <c r="AL291" s="2371"/>
      <c r="AM291" s="449"/>
      <c r="AN291" s="58"/>
    </row>
    <row r="292" spans="1:49">
      <c r="A292" s="449"/>
      <c r="B292" s="2371"/>
      <c r="C292" s="2371"/>
      <c r="D292" s="2371"/>
      <c r="E292" s="2371"/>
      <c r="F292" s="2371"/>
      <c r="G292" s="2371"/>
      <c r="H292" s="2371"/>
      <c r="I292" s="2371"/>
      <c r="J292" s="2371"/>
      <c r="K292" s="2371"/>
      <c r="L292" s="2371"/>
      <c r="M292" s="2371"/>
      <c r="N292" s="2371"/>
      <c r="O292" s="2371"/>
      <c r="P292" s="2371"/>
      <c r="Q292" s="2371"/>
      <c r="R292" s="2371"/>
      <c r="S292" s="2371"/>
      <c r="T292" s="2371"/>
      <c r="U292" s="2371"/>
      <c r="V292" s="2371"/>
      <c r="W292" s="2371"/>
      <c r="X292" s="2371"/>
      <c r="Y292" s="2371"/>
      <c r="Z292" s="2371"/>
      <c r="AA292" s="2371"/>
      <c r="AB292" s="2371"/>
      <c r="AC292" s="2371"/>
      <c r="AD292" s="2371"/>
      <c r="AE292" s="2371"/>
      <c r="AF292" s="2371"/>
      <c r="AG292" s="2371"/>
      <c r="AH292" s="2371"/>
      <c r="AI292" s="2371"/>
      <c r="AJ292" s="2371"/>
      <c r="AK292" s="2371"/>
      <c r="AL292" s="2371"/>
      <c r="AM292" s="449"/>
      <c r="AN292" s="58"/>
    </row>
    <row r="293" spans="1:49">
      <c r="A293" s="449"/>
      <c r="B293" s="2371"/>
      <c r="C293" s="2371"/>
      <c r="D293" s="2371"/>
      <c r="E293" s="2371"/>
      <c r="F293" s="2371"/>
      <c r="G293" s="2371"/>
      <c r="H293" s="2371"/>
      <c r="I293" s="2371"/>
      <c r="J293" s="2371"/>
      <c r="K293" s="2371"/>
      <c r="L293" s="2371"/>
      <c r="M293" s="2371"/>
      <c r="N293" s="2371"/>
      <c r="O293" s="2371"/>
      <c r="P293" s="2371"/>
      <c r="Q293" s="2371"/>
      <c r="R293" s="2371"/>
      <c r="S293" s="2371"/>
      <c r="T293" s="2371"/>
      <c r="U293" s="2371"/>
      <c r="V293" s="2371"/>
      <c r="W293" s="2371"/>
      <c r="X293" s="2371"/>
      <c r="Y293" s="2371"/>
      <c r="Z293" s="2371"/>
      <c r="AA293" s="2371"/>
      <c r="AB293" s="2371"/>
      <c r="AC293" s="2371"/>
      <c r="AD293" s="2371"/>
      <c r="AE293" s="2371"/>
      <c r="AF293" s="2371"/>
      <c r="AG293" s="2371"/>
      <c r="AH293" s="2371"/>
      <c r="AI293" s="2371"/>
      <c r="AJ293" s="2371"/>
      <c r="AK293" s="2371"/>
      <c r="AL293" s="2371"/>
      <c r="AM293" s="449"/>
      <c r="AN293" s="58"/>
    </row>
    <row r="294" spans="1:49">
      <c r="A294" s="449"/>
      <c r="B294" s="2371"/>
      <c r="C294" s="2371"/>
      <c r="D294" s="2371"/>
      <c r="E294" s="2371"/>
      <c r="F294" s="2371"/>
      <c r="G294" s="2371"/>
      <c r="H294" s="2371"/>
      <c r="I294" s="2371"/>
      <c r="J294" s="2371"/>
      <c r="K294" s="2371"/>
      <c r="L294" s="2371"/>
      <c r="M294" s="2371"/>
      <c r="N294" s="2371"/>
      <c r="O294" s="2371"/>
      <c r="P294" s="2371"/>
      <c r="Q294" s="2371"/>
      <c r="R294" s="2371"/>
      <c r="S294" s="2371"/>
      <c r="T294" s="2371"/>
      <c r="U294" s="2371"/>
      <c r="V294" s="2371"/>
      <c r="W294" s="2371"/>
      <c r="X294" s="2371"/>
      <c r="Y294" s="2371"/>
      <c r="Z294" s="2371"/>
      <c r="AA294" s="2371"/>
      <c r="AB294" s="2371"/>
      <c r="AC294" s="2371"/>
      <c r="AD294" s="2371"/>
      <c r="AE294" s="2371"/>
      <c r="AF294" s="2371"/>
      <c r="AG294" s="2371"/>
      <c r="AH294" s="2371"/>
      <c r="AI294" s="2371"/>
      <c r="AJ294" s="2371"/>
      <c r="AK294" s="2371"/>
      <c r="AL294" s="2371"/>
      <c r="AM294" s="449"/>
      <c r="AN294" s="58"/>
    </row>
    <row r="295" spans="1:49">
      <c r="A295" s="449"/>
      <c r="B295" s="2371"/>
      <c r="C295" s="2371"/>
      <c r="D295" s="2371"/>
      <c r="E295" s="2371"/>
      <c r="F295" s="2371"/>
      <c r="G295" s="2371"/>
      <c r="H295" s="2371"/>
      <c r="I295" s="2371"/>
      <c r="J295" s="2371"/>
      <c r="K295" s="2371"/>
      <c r="L295" s="2371"/>
      <c r="M295" s="2371"/>
      <c r="N295" s="2371"/>
      <c r="O295" s="2371"/>
      <c r="P295" s="2371"/>
      <c r="Q295" s="2371"/>
      <c r="R295" s="2371"/>
      <c r="S295" s="2371"/>
      <c r="T295" s="2371"/>
      <c r="U295" s="2371"/>
      <c r="V295" s="2371"/>
      <c r="W295" s="2371"/>
      <c r="X295" s="2371"/>
      <c r="Y295" s="2371"/>
      <c r="Z295" s="2371"/>
      <c r="AA295" s="2371"/>
      <c r="AB295" s="2371"/>
      <c r="AC295" s="2371"/>
      <c r="AD295" s="2371"/>
      <c r="AE295" s="2371"/>
      <c r="AF295" s="2371"/>
      <c r="AG295" s="2371"/>
      <c r="AH295" s="2371"/>
      <c r="AI295" s="2371"/>
      <c r="AJ295" s="2371"/>
      <c r="AK295" s="2371"/>
      <c r="AL295" s="2371"/>
      <c r="AM295" s="449"/>
      <c r="AN295" s="58"/>
    </row>
    <row r="296" spans="1:49">
      <c r="A296" s="449"/>
      <c r="B296" s="2371"/>
      <c r="C296" s="2371"/>
      <c r="D296" s="2371"/>
      <c r="E296" s="2371"/>
      <c r="F296" s="2371"/>
      <c r="G296" s="2371"/>
      <c r="H296" s="2371"/>
      <c r="I296" s="2371"/>
      <c r="J296" s="2371"/>
      <c r="K296" s="2371"/>
      <c r="L296" s="2371"/>
      <c r="M296" s="2371"/>
      <c r="N296" s="2371"/>
      <c r="O296" s="2371"/>
      <c r="P296" s="2371"/>
      <c r="Q296" s="2371"/>
      <c r="R296" s="2371"/>
      <c r="S296" s="2371"/>
      <c r="T296" s="2371"/>
      <c r="U296" s="2371"/>
      <c r="V296" s="2371"/>
      <c r="W296" s="2371"/>
      <c r="X296" s="2371"/>
      <c r="Y296" s="2371"/>
      <c r="Z296" s="2371"/>
      <c r="AA296" s="2371"/>
      <c r="AB296" s="2371"/>
      <c r="AC296" s="2371"/>
      <c r="AD296" s="2371"/>
      <c r="AE296" s="2371"/>
      <c r="AF296" s="2371"/>
      <c r="AG296" s="2371"/>
      <c r="AH296" s="2371"/>
      <c r="AI296" s="2371"/>
      <c r="AJ296" s="2371"/>
      <c r="AK296" s="2371"/>
      <c r="AL296" s="2371"/>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2293</v>
      </c>
      <c r="AK298" s="2491">
        <f>IF($C$279="yes",10,0)</f>
        <v>10</v>
      </c>
      <c r="AL298" s="2491"/>
      <c r="AM298" s="2492"/>
      <c r="AN298" s="58"/>
    </row>
    <row r="299" spans="1:49" ht="13.8" thickBot="1"/>
    <row r="300" spans="1:49" ht="13.8"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2294</v>
      </c>
      <c r="B301" s="438" t="s">
        <v>2295</v>
      </c>
      <c r="AH301" s="489" t="s">
        <v>2155</v>
      </c>
    </row>
    <row r="302" spans="1:49" ht="15" customHeight="1">
      <c r="B302" s="439"/>
    </row>
    <row r="303" spans="1:49" ht="15" customHeight="1">
      <c r="B303" s="439" t="s">
        <v>2156</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94" t="s">
        <v>2296</v>
      </c>
      <c r="B305" s="1594"/>
      <c r="C305" s="2328" t="s">
        <v>820</v>
      </c>
      <c r="D305" s="2342"/>
      <c r="E305" s="446"/>
      <c r="F305" s="2493" t="s">
        <v>2297</v>
      </c>
      <c r="G305" s="2494"/>
      <c r="H305" s="2494"/>
      <c r="I305" s="2494"/>
      <c r="J305" s="2494"/>
      <c r="K305" s="2494"/>
      <c r="L305" s="2494"/>
      <c r="M305" s="2494"/>
      <c r="N305" s="2494"/>
      <c r="O305" s="2494"/>
      <c r="P305" s="2494"/>
      <c r="Q305" s="2494"/>
      <c r="R305" s="2494"/>
      <c r="S305" s="2494"/>
      <c r="T305" s="2494"/>
      <c r="U305" s="2494"/>
      <c r="V305" s="2494"/>
      <c r="W305" s="2494"/>
      <c r="X305" s="2494"/>
      <c r="Y305" s="2494"/>
      <c r="Z305" s="2494"/>
      <c r="AA305" s="2494"/>
      <c r="AB305" s="2494"/>
      <c r="AC305" s="2494"/>
      <c r="AD305" s="2495"/>
      <c r="AE305" s="540"/>
      <c r="AF305" s="449"/>
      <c r="AG305" s="2496" t="s">
        <v>2298</v>
      </c>
      <c r="AH305" s="2496"/>
      <c r="AI305" s="2496"/>
      <c r="AJ305" s="2496"/>
      <c r="AK305" s="2496"/>
      <c r="AL305" s="449"/>
      <c r="AM305" s="449"/>
      <c r="AN305" s="58"/>
      <c r="AO305" s="13"/>
      <c r="AP305" s="25"/>
      <c r="AS305" s="468"/>
      <c r="AT305" s="468"/>
      <c r="AU305" s="468"/>
      <c r="AV305" s="27"/>
      <c r="AW305" s="27"/>
    </row>
    <row r="306" spans="1:49">
      <c r="A306" s="538"/>
      <c r="B306" s="494"/>
      <c r="F306" s="2362"/>
      <c r="G306" s="2320"/>
      <c r="H306" s="2320"/>
      <c r="I306" s="2320"/>
      <c r="J306" s="2320"/>
      <c r="K306" s="2320"/>
      <c r="L306" s="2320"/>
      <c r="M306" s="2320"/>
      <c r="N306" s="2320"/>
      <c r="O306" s="2320"/>
      <c r="P306" s="2320"/>
      <c r="Q306" s="2320"/>
      <c r="R306" s="2320"/>
      <c r="S306" s="2320"/>
      <c r="T306" s="2320"/>
      <c r="U306" s="2320"/>
      <c r="V306" s="2320"/>
      <c r="W306" s="2320"/>
      <c r="X306" s="2320"/>
      <c r="Y306" s="2320"/>
      <c r="Z306" s="2320"/>
      <c r="AA306" s="2320"/>
      <c r="AB306" s="2320"/>
      <c r="AC306" s="2320"/>
      <c r="AD306" s="2363"/>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2"/>
      <c r="G307" s="2320"/>
      <c r="H307" s="2320"/>
      <c r="I307" s="2320"/>
      <c r="J307" s="2320"/>
      <c r="K307" s="2320"/>
      <c r="L307" s="2320"/>
      <c r="M307" s="2320"/>
      <c r="N307" s="2320"/>
      <c r="O307" s="2320"/>
      <c r="P307" s="2320"/>
      <c r="Q307" s="2320"/>
      <c r="R307" s="2320"/>
      <c r="S307" s="2320"/>
      <c r="T307" s="2320"/>
      <c r="U307" s="2320"/>
      <c r="V307" s="2320"/>
      <c r="W307" s="2320"/>
      <c r="X307" s="2320"/>
      <c r="Y307" s="2320"/>
      <c r="Z307" s="2320"/>
      <c r="AA307" s="2320"/>
      <c r="AB307" s="2320"/>
      <c r="AC307" s="2320"/>
      <c r="AD307" s="2363"/>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62" t="s">
        <v>2299</v>
      </c>
      <c r="G308" s="2320"/>
      <c r="H308" s="2320"/>
      <c r="I308" s="2320"/>
      <c r="J308" s="2320"/>
      <c r="K308" s="2320"/>
      <c r="L308" s="2320"/>
      <c r="M308" s="2320"/>
      <c r="N308" s="2320"/>
      <c r="O308" s="2320"/>
      <c r="P308" s="2320"/>
      <c r="Q308" s="2320"/>
      <c r="R308" s="2320"/>
      <c r="S308" s="2320"/>
      <c r="T308" s="2320"/>
      <c r="U308" s="2320"/>
      <c r="V308" s="2320"/>
      <c r="W308" s="2320"/>
      <c r="X308" s="2320"/>
      <c r="Y308" s="2320"/>
      <c r="Z308" s="2320"/>
      <c r="AA308" s="2320"/>
      <c r="AB308" s="2320"/>
      <c r="AC308" s="2320"/>
      <c r="AD308" s="2363"/>
      <c r="AE308" s="540"/>
      <c r="AF308" s="450"/>
      <c r="AH308" s="450"/>
      <c r="AI308" s="450"/>
      <c r="AJ308" s="449"/>
      <c r="AK308" s="449"/>
      <c r="AL308" s="449"/>
      <c r="AM308" s="449"/>
      <c r="AN308" s="58"/>
      <c r="AO308" s="13"/>
      <c r="AP308" s="509">
        <f>MAX(AP306,AP307)</f>
        <v>0</v>
      </c>
      <c r="AQ308" s="472" t="s">
        <v>2159</v>
      </c>
      <c r="AS308" s="468"/>
      <c r="AT308" s="468"/>
      <c r="AU308" s="468"/>
      <c r="AV308" s="27"/>
      <c r="AW308" s="27"/>
    </row>
    <row r="309" spans="1:49">
      <c r="A309" s="538"/>
      <c r="B309" s="494"/>
      <c r="F309" s="2362"/>
      <c r="G309" s="2320"/>
      <c r="H309" s="2320"/>
      <c r="I309" s="2320"/>
      <c r="J309" s="2320"/>
      <c r="K309" s="2320"/>
      <c r="L309" s="2320"/>
      <c r="M309" s="2320"/>
      <c r="N309" s="2320"/>
      <c r="O309" s="2320"/>
      <c r="P309" s="2320"/>
      <c r="Q309" s="2320"/>
      <c r="R309" s="2320"/>
      <c r="S309" s="2320"/>
      <c r="T309" s="2320"/>
      <c r="U309" s="2320"/>
      <c r="V309" s="2320"/>
      <c r="W309" s="2320"/>
      <c r="X309" s="2320"/>
      <c r="Y309" s="2320"/>
      <c r="Z309" s="2320"/>
      <c r="AA309" s="2320"/>
      <c r="AB309" s="2320"/>
      <c r="AC309" s="2320"/>
      <c r="AD309" s="2363"/>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2" t="s">
        <v>2300</v>
      </c>
      <c r="G310" s="2320"/>
      <c r="H310" s="2320"/>
      <c r="I310" s="2320"/>
      <c r="J310" s="2320"/>
      <c r="K310" s="2320"/>
      <c r="L310" s="2320"/>
      <c r="M310" s="2320"/>
      <c r="N310" s="2320"/>
      <c r="O310" s="2320"/>
      <c r="P310" s="2320"/>
      <c r="Q310" s="2320"/>
      <c r="R310" s="2320"/>
      <c r="S310" s="2320"/>
      <c r="T310" s="2320"/>
      <c r="U310" s="2320"/>
      <c r="V310" s="2320"/>
      <c r="W310" s="2320"/>
      <c r="X310" s="2320"/>
      <c r="Y310" s="2320"/>
      <c r="Z310" s="2320"/>
      <c r="AA310" s="2320"/>
      <c r="AB310" s="2320"/>
      <c r="AC310" s="2320"/>
      <c r="AD310" s="2363"/>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2"/>
      <c r="G311" s="2320"/>
      <c r="H311" s="2320"/>
      <c r="I311" s="2320"/>
      <c r="J311" s="2320"/>
      <c r="K311" s="2320"/>
      <c r="L311" s="2320"/>
      <c r="M311" s="2320"/>
      <c r="N311" s="2320"/>
      <c r="O311" s="2320"/>
      <c r="P311" s="2320"/>
      <c r="Q311" s="2320"/>
      <c r="R311" s="2320"/>
      <c r="S311" s="2320"/>
      <c r="T311" s="2320"/>
      <c r="U311" s="2320"/>
      <c r="V311" s="2320"/>
      <c r="W311" s="2320"/>
      <c r="X311" s="2320"/>
      <c r="Y311" s="2320"/>
      <c r="Z311" s="2320"/>
      <c r="AA311" s="2320"/>
      <c r="AB311" s="2320"/>
      <c r="AC311" s="2320"/>
      <c r="AD311" s="2363"/>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2" t="s">
        <v>2301</v>
      </c>
      <c r="G312" s="2320"/>
      <c r="H312" s="2320"/>
      <c r="I312" s="2320"/>
      <c r="J312" s="2320"/>
      <c r="K312" s="2320"/>
      <c r="L312" s="2320"/>
      <c r="M312" s="2320"/>
      <c r="N312" s="2320"/>
      <c r="O312" s="2320"/>
      <c r="P312" s="2320"/>
      <c r="Q312" s="2320"/>
      <c r="R312" s="2320"/>
      <c r="S312" s="2320"/>
      <c r="T312" s="2320"/>
      <c r="U312" s="2320"/>
      <c r="V312" s="2320"/>
      <c r="W312" s="2320"/>
      <c r="X312" s="2320"/>
      <c r="Y312" s="2320"/>
      <c r="Z312" s="2320"/>
      <c r="AA312" s="2320"/>
      <c r="AB312" s="2320"/>
      <c r="AC312" s="2320"/>
      <c r="AD312" s="2363"/>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4"/>
      <c r="G313" s="2365"/>
      <c r="H313" s="2365"/>
      <c r="I313" s="2365"/>
      <c r="J313" s="2365"/>
      <c r="K313" s="2365"/>
      <c r="L313" s="2365"/>
      <c r="M313" s="2365"/>
      <c r="N313" s="2365"/>
      <c r="O313" s="2365"/>
      <c r="P313" s="2365"/>
      <c r="Q313" s="2365"/>
      <c r="R313" s="2365"/>
      <c r="S313" s="2365"/>
      <c r="T313" s="2365"/>
      <c r="U313" s="2365"/>
      <c r="V313" s="2365"/>
      <c r="W313" s="2365"/>
      <c r="X313" s="2365"/>
      <c r="Y313" s="2365"/>
      <c r="Z313" s="2365"/>
      <c r="AA313" s="2365"/>
      <c r="AB313" s="2365"/>
      <c r="AC313" s="2365"/>
      <c r="AD313" s="2490"/>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94" t="s">
        <v>2302</v>
      </c>
      <c r="B315" s="1594"/>
      <c r="C315" s="2342" t="s">
        <v>820</v>
      </c>
      <c r="D315" s="2342"/>
      <c r="E315" s="446"/>
      <c r="F315" s="861" t="s">
        <v>2303</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2304</v>
      </c>
      <c r="AH315" s="450"/>
      <c r="AI315" s="450"/>
      <c r="AJ315" s="449"/>
      <c r="AK315" s="449"/>
      <c r="AL315" s="449"/>
      <c r="AM315" s="449"/>
      <c r="AN315" s="543"/>
      <c r="AO315" s="13"/>
    </row>
    <row r="316" spans="1:49">
      <c r="A316" s="449"/>
      <c r="B316" s="450"/>
      <c r="C316" s="449"/>
      <c r="D316" s="450"/>
      <c r="E316" s="449"/>
      <c r="F316" s="2362" t="s">
        <v>2305</v>
      </c>
      <c r="G316" s="2320"/>
      <c r="H316" s="2320"/>
      <c r="I316" s="2320"/>
      <c r="J316" s="2320"/>
      <c r="K316" s="2320"/>
      <c r="L316" s="2320"/>
      <c r="M316" s="2320"/>
      <c r="N316" s="2320"/>
      <c r="O316" s="2320"/>
      <c r="P316" s="2320"/>
      <c r="Q316" s="2320"/>
      <c r="R316" s="2320"/>
      <c r="S316" s="2320"/>
      <c r="T316" s="2320"/>
      <c r="U316" s="2320"/>
      <c r="V316" s="2320"/>
      <c r="W316" s="2320"/>
      <c r="X316" s="2320"/>
      <c r="Y316" s="2320"/>
      <c r="Z316" s="2320"/>
      <c r="AA316" s="2320"/>
      <c r="AB316" s="2320"/>
      <c r="AC316" s="2320"/>
      <c r="AD316" s="2363"/>
      <c r="AE316" s="450"/>
      <c r="AF316" s="450"/>
      <c r="AG316" s="450"/>
      <c r="AH316" s="450"/>
      <c r="AI316" s="450"/>
      <c r="AJ316" s="449"/>
      <c r="AK316" s="449"/>
      <c r="AL316" s="449"/>
      <c r="AM316" s="449"/>
      <c r="AR316" s="544"/>
    </row>
    <row r="317" spans="1:49" ht="15" customHeight="1">
      <c r="A317" s="449"/>
      <c r="B317" s="450"/>
      <c r="C317" s="449"/>
      <c r="D317" s="450"/>
      <c r="E317" s="449"/>
      <c r="F317" s="2362"/>
      <c r="G317" s="2320"/>
      <c r="H317" s="2320"/>
      <c r="I317" s="2320"/>
      <c r="J317" s="2320"/>
      <c r="K317" s="2320"/>
      <c r="L317" s="2320"/>
      <c r="M317" s="2320"/>
      <c r="N317" s="2320"/>
      <c r="O317" s="2320"/>
      <c r="P317" s="2320"/>
      <c r="Q317" s="2320"/>
      <c r="R317" s="2320"/>
      <c r="S317" s="2320"/>
      <c r="T317" s="2320"/>
      <c r="U317" s="2320"/>
      <c r="V317" s="2320"/>
      <c r="W317" s="2320"/>
      <c r="X317" s="2320"/>
      <c r="Y317" s="2320"/>
      <c r="Z317" s="2320"/>
      <c r="AA317" s="2320"/>
      <c r="AB317" s="2320"/>
      <c r="AC317" s="2320"/>
      <c r="AD317" s="2363"/>
      <c r="AE317" s="450"/>
      <c r="AF317" s="450"/>
      <c r="AG317" s="450"/>
      <c r="AH317" s="450"/>
      <c r="AI317" s="450"/>
      <c r="AJ317" s="449"/>
      <c r="AK317" s="449"/>
      <c r="AL317" s="449"/>
      <c r="AM317" s="449"/>
      <c r="AR317" s="544"/>
    </row>
    <row r="318" spans="1:49">
      <c r="A318" s="449"/>
      <c r="B318" s="450"/>
      <c r="C318" s="449"/>
      <c r="D318" s="450"/>
      <c r="E318" s="449"/>
      <c r="F318" s="2362"/>
      <c r="G318" s="2320"/>
      <c r="H318" s="2320"/>
      <c r="I318" s="2320"/>
      <c r="J318" s="2320"/>
      <c r="K318" s="2320"/>
      <c r="L318" s="2320"/>
      <c r="M318" s="2320"/>
      <c r="N318" s="2320"/>
      <c r="O318" s="2320"/>
      <c r="P318" s="2320"/>
      <c r="Q318" s="2320"/>
      <c r="R318" s="2320"/>
      <c r="S318" s="2320"/>
      <c r="T318" s="2320"/>
      <c r="U318" s="2320"/>
      <c r="V318" s="2320"/>
      <c r="W318" s="2320"/>
      <c r="X318" s="2320"/>
      <c r="Y318" s="2320"/>
      <c r="Z318" s="2320"/>
      <c r="AA318" s="2320"/>
      <c r="AB318" s="2320"/>
      <c r="AC318" s="2320"/>
      <c r="AD318" s="2363"/>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4"/>
      <c r="G319" s="2365"/>
      <c r="H319" s="2365"/>
      <c r="I319" s="2365"/>
      <c r="J319" s="2365"/>
      <c r="K319" s="2365"/>
      <c r="L319" s="2365"/>
      <c r="M319" s="2365"/>
      <c r="N319" s="2365"/>
      <c r="O319" s="2365"/>
      <c r="P319" s="2365"/>
      <c r="Q319" s="2365"/>
      <c r="R319" s="2365"/>
      <c r="S319" s="2365"/>
      <c r="T319" s="2365"/>
      <c r="U319" s="2365"/>
      <c r="V319" s="2365"/>
      <c r="W319" s="2365"/>
      <c r="X319" s="2365"/>
      <c r="Y319" s="2365"/>
      <c r="Z319" s="2365"/>
      <c r="AA319" s="2365"/>
      <c r="AB319" s="2365"/>
      <c r="AC319" s="2365"/>
      <c r="AD319" s="2490"/>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94" t="s">
        <v>2306</v>
      </c>
      <c r="B323" s="1594"/>
      <c r="C323" s="2342" t="s">
        <v>820</v>
      </c>
      <c r="D323" s="2342"/>
      <c r="E323" s="446"/>
      <c r="F323" s="542" t="s">
        <v>2307</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2304</v>
      </c>
      <c r="AH323" s="450"/>
      <c r="AI323" s="450"/>
      <c r="AJ323" s="449"/>
      <c r="AK323" s="449"/>
      <c r="AL323" s="449"/>
      <c r="AM323" s="449"/>
      <c r="AN323" s="58"/>
      <c r="AO323" s="13"/>
    </row>
    <row r="324" spans="1:44" hidden="1">
      <c r="A324" s="65"/>
      <c r="B324" s="65"/>
      <c r="C324" s="626"/>
      <c r="D324" s="626"/>
      <c r="E324" s="446"/>
      <c r="F324" s="2362" t="s">
        <v>2308</v>
      </c>
      <c r="G324" s="2320"/>
      <c r="H324" s="2320"/>
      <c r="I324" s="2320"/>
      <c r="J324" s="2320"/>
      <c r="K324" s="2320"/>
      <c r="L324" s="2320"/>
      <c r="M324" s="2320"/>
      <c r="N324" s="2320"/>
      <c r="O324" s="2320"/>
      <c r="P324" s="2320"/>
      <c r="Q324" s="2320"/>
      <c r="R324" s="2320"/>
      <c r="S324" s="2320"/>
      <c r="T324" s="2320"/>
      <c r="U324" s="2320"/>
      <c r="V324" s="2320"/>
      <c r="W324" s="2320"/>
      <c r="X324" s="2320"/>
      <c r="Y324" s="2320"/>
      <c r="Z324" s="2320"/>
      <c r="AA324" s="2320"/>
      <c r="AB324" s="2320"/>
      <c r="AC324" s="2320"/>
      <c r="AD324" s="2363"/>
      <c r="AE324" s="450"/>
      <c r="AF324" s="450"/>
      <c r="AG324" s="439"/>
      <c r="AH324" s="450"/>
      <c r="AI324" s="450"/>
      <c r="AJ324" s="449"/>
      <c r="AK324" s="449"/>
      <c r="AL324" s="449"/>
      <c r="AM324" s="449"/>
      <c r="AN324" s="58"/>
      <c r="AO324" s="13"/>
      <c r="AP324" s="455" t="s">
        <v>1009</v>
      </c>
    </row>
    <row r="325" spans="1:44" hidden="1">
      <c r="F325" s="2362"/>
      <c r="G325" s="2320"/>
      <c r="H325" s="2320"/>
      <c r="I325" s="2320"/>
      <c r="J325" s="2320"/>
      <c r="K325" s="2320"/>
      <c r="L325" s="2320"/>
      <c r="M325" s="2320"/>
      <c r="N325" s="2320"/>
      <c r="O325" s="2320"/>
      <c r="P325" s="2320"/>
      <c r="Q325" s="2320"/>
      <c r="R325" s="2320"/>
      <c r="S325" s="2320"/>
      <c r="T325" s="2320"/>
      <c r="U325" s="2320"/>
      <c r="V325" s="2320"/>
      <c r="W325" s="2320"/>
      <c r="X325" s="2320"/>
      <c r="Y325" s="2320"/>
      <c r="Z325" s="2320"/>
      <c r="AA325" s="2320"/>
      <c r="AB325" s="2320"/>
      <c r="AC325" s="2320"/>
      <c r="AD325" s="2363"/>
      <c r="AE325" s="450"/>
      <c r="AF325" s="450"/>
      <c r="AH325" s="450"/>
      <c r="AI325" s="450"/>
      <c r="AJ325" s="449"/>
      <c r="AK325" s="449"/>
      <c r="AL325" s="449"/>
      <c r="AM325" s="449"/>
      <c r="AN325" s="58"/>
      <c r="AO325" s="13"/>
      <c r="AP325" s="455" t="s">
        <v>2309</v>
      </c>
    </row>
    <row r="326" spans="1:44" hidden="1">
      <c r="A326" s="449"/>
      <c r="B326" s="450"/>
      <c r="C326" s="626"/>
      <c r="D326" s="626"/>
      <c r="E326" s="446"/>
      <c r="F326" s="548" t="s">
        <v>2310</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2311</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2312</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70" t="s">
        <v>1009</v>
      </c>
      <c r="G329" s="2471"/>
      <c r="H329" s="2471"/>
      <c r="I329" s="2471"/>
      <c r="J329" s="2471"/>
      <c r="K329" s="2471"/>
      <c r="L329" s="2471"/>
      <c r="M329" s="2471"/>
      <c r="N329" s="2471"/>
      <c r="O329" s="2471"/>
      <c r="P329" s="2471"/>
      <c r="Q329" s="2471"/>
      <c r="R329" s="2471"/>
      <c r="S329" s="2471"/>
      <c r="T329" s="2471"/>
      <c r="U329" s="2471"/>
      <c r="V329" s="2471"/>
      <c r="W329" s="2471"/>
      <c r="X329" s="2471"/>
      <c r="Y329" s="2471"/>
      <c r="Z329" s="2471"/>
      <c r="AA329" s="2471"/>
      <c r="AB329" s="2471"/>
      <c r="AC329" s="2471"/>
      <c r="AD329" s="2472"/>
      <c r="AE329" s="540"/>
      <c r="AF329" s="540"/>
      <c r="AG329" s="540"/>
      <c r="AH329" s="540"/>
      <c r="AI329" s="540"/>
      <c r="AJ329" s="540"/>
      <c r="AK329" s="540"/>
      <c r="AL329" s="449"/>
      <c r="AM329" s="449"/>
      <c r="AN329" s="58"/>
      <c r="AO329" s="13"/>
      <c r="AP329" s="25"/>
    </row>
    <row r="330" spans="1:44" hidden="1">
      <c r="A330" s="449"/>
      <c r="B330" s="450"/>
      <c r="C330" s="626"/>
      <c r="D330" s="626"/>
      <c r="E330" s="446"/>
      <c r="F330" s="2470"/>
      <c r="G330" s="2471"/>
      <c r="H330" s="2471"/>
      <c r="I330" s="2471"/>
      <c r="J330" s="2471"/>
      <c r="K330" s="2471"/>
      <c r="L330" s="2471"/>
      <c r="M330" s="2471"/>
      <c r="N330" s="2471"/>
      <c r="O330" s="2471"/>
      <c r="P330" s="2471"/>
      <c r="Q330" s="2471"/>
      <c r="R330" s="2471"/>
      <c r="S330" s="2471"/>
      <c r="T330" s="2471"/>
      <c r="U330" s="2471"/>
      <c r="V330" s="2471"/>
      <c r="W330" s="2471"/>
      <c r="X330" s="2471"/>
      <c r="Y330" s="2471"/>
      <c r="Z330" s="2471"/>
      <c r="AA330" s="2471"/>
      <c r="AB330" s="2471"/>
      <c r="AC330" s="2471"/>
      <c r="AD330" s="2472"/>
      <c r="AE330" s="450"/>
      <c r="AF330" s="450"/>
      <c r="AG330" s="439"/>
      <c r="AH330" s="450"/>
      <c r="AI330" s="450"/>
      <c r="AJ330" s="449"/>
      <c r="AK330" s="449"/>
      <c r="AL330" s="449"/>
      <c r="AM330" s="449"/>
      <c r="AN330" s="58"/>
      <c r="AO330" s="13"/>
      <c r="AP330" s="25"/>
    </row>
    <row r="331" spans="1:44" hidden="1">
      <c r="A331" s="449"/>
      <c r="B331" s="450"/>
      <c r="C331" s="626"/>
      <c r="D331" s="626"/>
      <c r="E331" s="446"/>
      <c r="F331" s="2470"/>
      <c r="G331" s="2471"/>
      <c r="H331" s="2471"/>
      <c r="I331" s="2471"/>
      <c r="J331" s="2471"/>
      <c r="K331" s="2471"/>
      <c r="L331" s="2471"/>
      <c r="M331" s="2471"/>
      <c r="N331" s="2471"/>
      <c r="O331" s="2471"/>
      <c r="P331" s="2471"/>
      <c r="Q331" s="2471"/>
      <c r="R331" s="2471"/>
      <c r="S331" s="2471"/>
      <c r="T331" s="2471"/>
      <c r="U331" s="2471"/>
      <c r="V331" s="2471"/>
      <c r="W331" s="2471"/>
      <c r="X331" s="2471"/>
      <c r="Y331" s="2471"/>
      <c r="Z331" s="2471"/>
      <c r="AA331" s="2471"/>
      <c r="AB331" s="2471"/>
      <c r="AC331" s="2471"/>
      <c r="AD331" s="2472"/>
      <c r="AE331" s="450"/>
      <c r="AF331" s="450"/>
      <c r="AG331" s="439"/>
      <c r="AH331" s="450"/>
      <c r="AI331" s="450"/>
      <c r="AJ331" s="449"/>
      <c r="AK331" s="449"/>
      <c r="AL331" s="449"/>
      <c r="AM331" s="449"/>
      <c r="AN331" s="58"/>
      <c r="AO331" s="13"/>
      <c r="AP331" s="25"/>
    </row>
    <row r="332" spans="1:44" hidden="1">
      <c r="A332" s="449"/>
      <c r="B332" s="450"/>
      <c r="C332" s="626"/>
      <c r="D332" s="626"/>
      <c r="E332" s="446"/>
      <c r="F332" s="2470"/>
      <c r="G332" s="2471"/>
      <c r="H332" s="2471"/>
      <c r="I332" s="2471"/>
      <c r="J332" s="2471"/>
      <c r="K332" s="2471"/>
      <c r="L332" s="2471"/>
      <c r="M332" s="2471"/>
      <c r="N332" s="2471"/>
      <c r="O332" s="2471"/>
      <c r="P332" s="2471"/>
      <c r="Q332" s="2471"/>
      <c r="R332" s="2471"/>
      <c r="S332" s="2471"/>
      <c r="T332" s="2471"/>
      <c r="U332" s="2471"/>
      <c r="V332" s="2471"/>
      <c r="W332" s="2471"/>
      <c r="X332" s="2471"/>
      <c r="Y332" s="2471"/>
      <c r="Z332" s="2471"/>
      <c r="AA332" s="2471"/>
      <c r="AB332" s="2471"/>
      <c r="AC332" s="2471"/>
      <c r="AD332" s="2472"/>
      <c r="AE332" s="450"/>
      <c r="AF332" s="450"/>
      <c r="AG332" s="439"/>
      <c r="AH332" s="450"/>
      <c r="AI332" s="450"/>
      <c r="AJ332" s="449"/>
      <c r="AK332" s="449"/>
      <c r="AL332" s="449"/>
      <c r="AM332" s="449"/>
      <c r="AN332" s="58"/>
      <c r="AO332" s="13"/>
      <c r="AP332" s="25"/>
    </row>
    <row r="333" spans="1:44" hidden="1">
      <c r="A333" s="449"/>
      <c r="B333" s="450"/>
      <c r="C333" s="626"/>
      <c r="D333" s="626"/>
      <c r="E333" s="446"/>
      <c r="F333" s="2473"/>
      <c r="G333" s="2474"/>
      <c r="H333" s="2474"/>
      <c r="I333" s="2474"/>
      <c r="J333" s="2474"/>
      <c r="K333" s="2474"/>
      <c r="L333" s="2474"/>
      <c r="M333" s="2474"/>
      <c r="N333" s="2474"/>
      <c r="O333" s="2474"/>
      <c r="P333" s="2474"/>
      <c r="Q333" s="2474"/>
      <c r="R333" s="2474"/>
      <c r="S333" s="2474"/>
      <c r="T333" s="2474"/>
      <c r="U333" s="2474"/>
      <c r="V333" s="2474"/>
      <c r="W333" s="2474"/>
      <c r="X333" s="2474"/>
      <c r="Y333" s="2474"/>
      <c r="Z333" s="2474"/>
      <c r="AA333" s="2474"/>
      <c r="AB333" s="2474"/>
      <c r="AC333" s="2474"/>
      <c r="AD333" s="2475"/>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2313</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1009</v>
      </c>
    </row>
    <row r="337" spans="1:42" ht="12.75" hidden="1" customHeight="1">
      <c r="A337" s="449"/>
      <c r="B337" s="450"/>
      <c r="C337" s="626"/>
      <c r="D337" s="626"/>
      <c r="E337" s="446"/>
      <c r="F337" s="552"/>
      <c r="G337" s="473" t="s">
        <v>22</v>
      </c>
      <c r="H337" s="473"/>
      <c r="I337" s="2476" t="s">
        <v>1009</v>
      </c>
      <c r="J337" s="2476"/>
      <c r="K337" s="2476"/>
      <c r="L337" s="2476"/>
      <c r="M337" s="2476"/>
      <c r="N337" s="2476"/>
      <c r="O337" s="2476"/>
      <c r="P337" s="2476"/>
      <c r="Q337" s="2476"/>
      <c r="R337" s="2476"/>
      <c r="S337" s="2476"/>
      <c r="T337" s="2476"/>
      <c r="U337" s="2476"/>
      <c r="V337" s="2476"/>
      <c r="W337" s="2476"/>
      <c r="X337" s="2476"/>
      <c r="Y337" s="2476"/>
      <c r="Z337" s="2476"/>
      <c r="AA337" s="2476"/>
      <c r="AB337" s="2476"/>
      <c r="AC337" s="2476"/>
      <c r="AD337" s="2477"/>
      <c r="AE337" s="450"/>
      <c r="AF337" s="450"/>
      <c r="AG337" s="439"/>
      <c r="AH337" s="450"/>
      <c r="AI337" s="450"/>
      <c r="AJ337" s="449"/>
      <c r="AK337" s="449"/>
      <c r="AL337" s="449"/>
      <c r="AM337" s="449"/>
      <c r="AN337" s="58"/>
      <c r="AO337" s="13"/>
      <c r="AP337" s="455" t="s">
        <v>2314</v>
      </c>
    </row>
    <row r="338" spans="1:42" hidden="1">
      <c r="A338" s="449"/>
      <c r="B338" s="450"/>
      <c r="C338" s="626"/>
      <c r="D338" s="626"/>
      <c r="E338" s="446"/>
      <c r="F338" s="552"/>
      <c r="G338" s="473"/>
      <c r="H338" s="473"/>
      <c r="I338" s="2476"/>
      <c r="J338" s="2476"/>
      <c r="K338" s="2476"/>
      <c r="L338" s="2476"/>
      <c r="M338" s="2476"/>
      <c r="N338" s="2476"/>
      <c r="O338" s="2476"/>
      <c r="P338" s="2476"/>
      <c r="Q338" s="2476"/>
      <c r="R338" s="2476"/>
      <c r="S338" s="2476"/>
      <c r="T338" s="2476"/>
      <c r="U338" s="2476"/>
      <c r="V338" s="2476"/>
      <c r="W338" s="2476"/>
      <c r="X338" s="2476"/>
      <c r="Y338" s="2476"/>
      <c r="Z338" s="2476"/>
      <c r="AA338" s="2476"/>
      <c r="AB338" s="2476"/>
      <c r="AC338" s="2476"/>
      <c r="AD338" s="2477"/>
      <c r="AE338" s="450"/>
      <c r="AF338" s="450"/>
      <c r="AG338" s="439"/>
      <c r="AH338" s="450"/>
      <c r="AI338" s="450"/>
      <c r="AJ338" s="449"/>
      <c r="AK338" s="449"/>
      <c r="AL338" s="449"/>
      <c r="AM338" s="449"/>
      <c r="AN338" s="58"/>
      <c r="AO338" s="13"/>
      <c r="AP338" s="455" t="s">
        <v>2315</v>
      </c>
    </row>
    <row r="339" spans="1:42" hidden="1">
      <c r="A339" s="449"/>
      <c r="B339" s="450"/>
      <c r="C339" s="547"/>
      <c r="D339" s="547"/>
      <c r="E339" s="446"/>
      <c r="F339" s="552"/>
      <c r="G339" s="473"/>
      <c r="H339" s="473"/>
      <c r="I339" s="2476"/>
      <c r="J339" s="2476"/>
      <c r="K339" s="2476"/>
      <c r="L339" s="2476"/>
      <c r="M339" s="2476"/>
      <c r="N339" s="2476"/>
      <c r="O339" s="2476"/>
      <c r="P339" s="2476"/>
      <c r="Q339" s="2476"/>
      <c r="R339" s="2476"/>
      <c r="S339" s="2476"/>
      <c r="T339" s="2476"/>
      <c r="U339" s="2476"/>
      <c r="V339" s="2476"/>
      <c r="W339" s="2476"/>
      <c r="X339" s="2476"/>
      <c r="Y339" s="2476"/>
      <c r="Z339" s="2476"/>
      <c r="AA339" s="2476"/>
      <c r="AB339" s="2476"/>
      <c r="AC339" s="2476"/>
      <c r="AD339" s="2477"/>
      <c r="AE339" s="450"/>
      <c r="AF339" s="450"/>
      <c r="AG339" s="439"/>
      <c r="AH339" s="450"/>
      <c r="AI339" s="450"/>
      <c r="AJ339" s="449"/>
      <c r="AK339" s="449"/>
      <c r="AL339" s="449"/>
      <c r="AM339" s="449"/>
      <c r="AN339" s="58"/>
      <c r="AO339" s="13"/>
      <c r="AP339" s="455" t="s">
        <v>2316</v>
      </c>
    </row>
    <row r="340" spans="1:42" hidden="1">
      <c r="A340" s="449"/>
      <c r="B340" s="450"/>
      <c r="C340" s="547"/>
      <c r="D340" s="547"/>
      <c r="E340" s="446"/>
      <c r="F340" s="550"/>
      <c r="G340" s="450"/>
      <c r="H340" s="450"/>
      <c r="I340" s="2478"/>
      <c r="J340" s="2478"/>
      <c r="K340" s="2478"/>
      <c r="L340" s="2478"/>
      <c r="M340" s="2478"/>
      <c r="N340" s="2478"/>
      <c r="O340" s="2478"/>
      <c r="P340" s="2478"/>
      <c r="Q340" s="2478"/>
      <c r="R340" s="2478"/>
      <c r="S340" s="2478"/>
      <c r="T340" s="2478"/>
      <c r="U340" s="2478"/>
      <c r="V340" s="2478"/>
      <c r="W340" s="2478"/>
      <c r="X340" s="2478"/>
      <c r="Y340" s="2478"/>
      <c r="Z340" s="2478"/>
      <c r="AA340" s="2478"/>
      <c r="AB340" s="2478"/>
      <c r="AC340" s="2478"/>
      <c r="AD340" s="2479"/>
      <c r="AE340" s="450"/>
      <c r="AF340" s="450"/>
      <c r="AG340" s="439"/>
      <c r="AH340" s="450"/>
      <c r="AI340" s="450"/>
      <c r="AJ340" s="449"/>
      <c r="AK340" s="449"/>
      <c r="AL340" s="449"/>
      <c r="AM340" s="449"/>
      <c r="AN340" s="58"/>
      <c r="AO340" s="13"/>
      <c r="AP340" s="455" t="s">
        <v>2317</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6" t="s">
        <v>1009</v>
      </c>
      <c r="J342" s="2476"/>
      <c r="K342" s="2476"/>
      <c r="L342" s="2476"/>
      <c r="M342" s="2476"/>
      <c r="N342" s="2476"/>
      <c r="O342" s="2476"/>
      <c r="P342" s="2476"/>
      <c r="Q342" s="2476"/>
      <c r="R342" s="2476"/>
      <c r="S342" s="2476"/>
      <c r="T342" s="2476"/>
      <c r="U342" s="2476"/>
      <c r="V342" s="2476"/>
      <c r="W342" s="2476"/>
      <c r="X342" s="2476"/>
      <c r="Y342" s="2476"/>
      <c r="Z342" s="2476"/>
      <c r="AA342" s="2476"/>
      <c r="AB342" s="2476"/>
      <c r="AC342" s="2476"/>
      <c r="AD342" s="2477"/>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6"/>
      <c r="J343" s="2476"/>
      <c r="K343" s="2476"/>
      <c r="L343" s="2476"/>
      <c r="M343" s="2476"/>
      <c r="N343" s="2476"/>
      <c r="O343" s="2476"/>
      <c r="P343" s="2476"/>
      <c r="Q343" s="2476"/>
      <c r="R343" s="2476"/>
      <c r="S343" s="2476"/>
      <c r="T343" s="2476"/>
      <c r="U343" s="2476"/>
      <c r="V343" s="2476"/>
      <c r="W343" s="2476"/>
      <c r="X343" s="2476"/>
      <c r="Y343" s="2476"/>
      <c r="Z343" s="2476"/>
      <c r="AA343" s="2476"/>
      <c r="AB343" s="2476"/>
      <c r="AC343" s="2476"/>
      <c r="AD343" s="2477"/>
      <c r="AE343" s="450"/>
      <c r="AF343" s="450"/>
      <c r="AG343" s="439"/>
      <c r="AH343" s="450"/>
      <c r="AI343" s="450"/>
      <c r="AJ343" s="449"/>
      <c r="AK343" s="449"/>
      <c r="AL343" s="449"/>
      <c r="AM343" s="449"/>
      <c r="AN343" s="58"/>
      <c r="AO343" s="13"/>
      <c r="AP343" s="455" t="s">
        <v>1009</v>
      </c>
    </row>
    <row r="344" spans="1:42" hidden="1">
      <c r="A344" s="449"/>
      <c r="B344" s="450"/>
      <c r="C344" s="547"/>
      <c r="D344" s="547"/>
      <c r="E344" s="446"/>
      <c r="F344" s="553"/>
      <c r="G344" s="554"/>
      <c r="H344" s="554"/>
      <c r="I344" s="2478"/>
      <c r="J344" s="2478"/>
      <c r="K344" s="2478"/>
      <c r="L344" s="2478"/>
      <c r="M344" s="2478"/>
      <c r="N344" s="2478"/>
      <c r="O344" s="2478"/>
      <c r="P344" s="2478"/>
      <c r="Q344" s="2478"/>
      <c r="R344" s="2478"/>
      <c r="S344" s="2478"/>
      <c r="T344" s="2478"/>
      <c r="U344" s="2478"/>
      <c r="V344" s="2478"/>
      <c r="W344" s="2478"/>
      <c r="X344" s="2478"/>
      <c r="Y344" s="2478"/>
      <c r="Z344" s="2478"/>
      <c r="AA344" s="2478"/>
      <c r="AB344" s="2478"/>
      <c r="AC344" s="2478"/>
      <c r="AD344" s="2479"/>
      <c r="AE344" s="450"/>
      <c r="AF344" s="450"/>
      <c r="AG344" s="439"/>
      <c r="AH344" s="450"/>
      <c r="AI344" s="450"/>
      <c r="AJ344" s="449"/>
      <c r="AK344" s="449"/>
      <c r="AL344" s="449"/>
      <c r="AM344" s="449"/>
      <c r="AN344" s="58"/>
      <c r="AO344" s="13"/>
      <c r="AP344" s="455" t="s">
        <v>2318</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2319</v>
      </c>
    </row>
    <row r="346" spans="1:42" ht="12.75" hidden="1" customHeight="1">
      <c r="A346" s="1594" t="s">
        <v>2320</v>
      </c>
      <c r="B346" s="1594"/>
      <c r="C346" s="2342" t="s">
        <v>820</v>
      </c>
      <c r="D346" s="2342"/>
      <c r="E346" s="446"/>
      <c r="F346" s="2383" t="s">
        <v>2321</v>
      </c>
      <c r="G346" s="2384"/>
      <c r="H346" s="2384"/>
      <c r="I346" s="2384"/>
      <c r="J346" s="2384"/>
      <c r="K346" s="2384"/>
      <c r="L346" s="2384"/>
      <c r="M346" s="2384"/>
      <c r="N346" s="2384"/>
      <c r="O346" s="2384"/>
      <c r="P346" s="2384"/>
      <c r="Q346" s="2384"/>
      <c r="R346" s="2384"/>
      <c r="S346" s="2384"/>
      <c r="T346" s="2384"/>
      <c r="U346" s="2384"/>
      <c r="V346" s="2384"/>
      <c r="W346" s="2384"/>
      <c r="X346" s="2384"/>
      <c r="Y346" s="2384"/>
      <c r="Z346" s="2384"/>
      <c r="AA346" s="2384"/>
      <c r="AB346" s="2384"/>
      <c r="AC346" s="2384"/>
      <c r="AD346" s="2385"/>
      <c r="AE346" s="450"/>
      <c r="AF346" s="450"/>
      <c r="AG346" s="439" t="s">
        <v>2304</v>
      </c>
      <c r="AH346" s="450"/>
      <c r="AI346" s="450"/>
      <c r="AJ346" s="449"/>
      <c r="AK346" s="449"/>
      <c r="AL346" s="449"/>
      <c r="AM346" s="449"/>
      <c r="AN346" s="58"/>
      <c r="AO346" s="13"/>
    </row>
    <row r="347" spans="1:42" ht="15" hidden="1" customHeight="1">
      <c r="A347" s="449"/>
      <c r="B347" s="450"/>
      <c r="C347" s="450"/>
      <c r="D347" s="450"/>
      <c r="E347" s="450"/>
      <c r="F347" s="2386"/>
      <c r="G347" s="2387"/>
      <c r="H347" s="2387"/>
      <c r="I347" s="2387"/>
      <c r="J347" s="2387"/>
      <c r="K347" s="2387"/>
      <c r="L347" s="2387"/>
      <c r="M347" s="2387"/>
      <c r="N347" s="2387"/>
      <c r="O347" s="2387"/>
      <c r="P347" s="2387"/>
      <c r="Q347" s="2387"/>
      <c r="R347" s="2387"/>
      <c r="S347" s="2387"/>
      <c r="T347" s="2387"/>
      <c r="U347" s="2387"/>
      <c r="V347" s="2387"/>
      <c r="W347" s="2387"/>
      <c r="X347" s="2387"/>
      <c r="Y347" s="2387"/>
      <c r="Z347" s="2387"/>
      <c r="AA347" s="2387"/>
      <c r="AB347" s="2387"/>
      <c r="AC347" s="2387"/>
      <c r="AD347" s="2388"/>
      <c r="AE347" s="450"/>
      <c r="AF347" s="450"/>
      <c r="AG347" s="450"/>
      <c r="AH347" s="450"/>
      <c r="AI347" s="450"/>
      <c r="AJ347" s="449"/>
      <c r="AK347" s="449"/>
      <c r="AL347" s="449"/>
      <c r="AM347" s="449"/>
      <c r="AN347" s="58"/>
      <c r="AO347" s="13"/>
    </row>
    <row r="348" spans="1:42" ht="15" hidden="1" customHeight="1">
      <c r="A348" s="449"/>
      <c r="B348" s="450"/>
      <c r="C348" s="450"/>
      <c r="D348" s="450"/>
      <c r="E348" s="450"/>
      <c r="F348" s="2386"/>
      <c r="G348" s="2387"/>
      <c r="H348" s="2387"/>
      <c r="I348" s="2387"/>
      <c r="J348" s="2387"/>
      <c r="K348" s="2387"/>
      <c r="L348" s="2387"/>
      <c r="M348" s="2387"/>
      <c r="N348" s="2387"/>
      <c r="O348" s="2387"/>
      <c r="P348" s="2387"/>
      <c r="Q348" s="2387"/>
      <c r="R348" s="2387"/>
      <c r="S348" s="2387"/>
      <c r="T348" s="2387"/>
      <c r="U348" s="2387"/>
      <c r="V348" s="2387"/>
      <c r="W348" s="2387"/>
      <c r="X348" s="2387"/>
      <c r="Y348" s="2387"/>
      <c r="Z348" s="2387"/>
      <c r="AA348" s="2387"/>
      <c r="AB348" s="2387"/>
      <c r="AC348" s="2387"/>
      <c r="AD348" s="2388"/>
      <c r="AE348" s="450"/>
      <c r="AF348" s="450"/>
      <c r="AG348" s="450"/>
      <c r="AH348" s="450"/>
      <c r="AI348" s="450"/>
      <c r="AJ348" s="449"/>
      <c r="AK348" s="449"/>
      <c r="AL348" s="449"/>
      <c r="AM348" s="555"/>
      <c r="AN348" s="13"/>
      <c r="AO348" s="13"/>
    </row>
    <row r="349" spans="1:42" hidden="1">
      <c r="A349" s="449"/>
      <c r="B349" s="450"/>
      <c r="C349" s="449"/>
      <c r="D349" s="450"/>
      <c r="E349" s="449"/>
      <c r="F349" s="556" t="s">
        <v>2322</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2323</v>
      </c>
      <c r="AK351" s="2323">
        <f>IF(NOT(OR(Application!M364="Yes",Application!M365="Yes")),0,AP308)</f>
        <v>0</v>
      </c>
      <c r="AL351" s="2369"/>
      <c r="AM351" s="2324"/>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2324</v>
      </c>
      <c r="B354" s="439" t="s">
        <v>2325</v>
      </c>
      <c r="C354" s="436"/>
      <c r="AC354" s="439"/>
      <c r="AE354" s="2380" t="s">
        <v>2155</v>
      </c>
      <c r="AF354" s="2380"/>
      <c r="AG354" s="2380"/>
      <c r="AH354" s="2380"/>
      <c r="AI354" s="2380"/>
      <c r="AJ354" s="2380"/>
      <c r="AK354" s="2380"/>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1" t="s">
        <v>2326</v>
      </c>
      <c r="D356" s="2391"/>
      <c r="E356" s="2391"/>
      <c r="F356" s="2391"/>
      <c r="G356" s="2391"/>
      <c r="H356" s="2391"/>
      <c r="I356" s="2391"/>
      <c r="J356" s="2391"/>
      <c r="K356" s="2391"/>
      <c r="L356" s="2391"/>
      <c r="M356" s="2391"/>
      <c r="N356" s="2391"/>
      <c r="O356" s="2391"/>
      <c r="P356" s="2391"/>
      <c r="Q356" s="2391"/>
      <c r="R356" s="2391"/>
      <c r="S356" s="2391"/>
      <c r="T356" s="2391"/>
      <c r="U356" s="2391"/>
      <c r="V356" s="2391"/>
      <c r="W356" s="2391"/>
      <c r="X356" s="2391"/>
      <c r="Y356" s="2391"/>
      <c r="Z356" s="2391"/>
      <c r="AA356" s="2391"/>
      <c r="AB356" s="2391"/>
      <c r="AC356" s="2391"/>
      <c r="AD356" s="2391"/>
      <c r="AE356" s="2391"/>
      <c r="AF356" s="2391"/>
      <c r="AG356" s="2391"/>
      <c r="AH356" s="2391"/>
      <c r="AI356" s="2391"/>
      <c r="AJ356" s="2391"/>
      <c r="AK356" s="501"/>
      <c r="AL356" s="501"/>
      <c r="AM356" s="501"/>
      <c r="AN356" s="495"/>
    </row>
    <row r="357" spans="1:44" s="449" customFormat="1" ht="12.75" customHeight="1">
      <c r="A357" s="501"/>
      <c r="B357" s="509"/>
      <c r="C357" s="2391"/>
      <c r="D357" s="2391"/>
      <c r="E357" s="2391"/>
      <c r="F357" s="2391"/>
      <c r="G357" s="2391"/>
      <c r="H357" s="2391"/>
      <c r="I357" s="2391"/>
      <c r="J357" s="2391"/>
      <c r="K357" s="2391"/>
      <c r="L357" s="2391"/>
      <c r="M357" s="2391"/>
      <c r="N357" s="2391"/>
      <c r="O357" s="2391"/>
      <c r="P357" s="2391"/>
      <c r="Q357" s="2391"/>
      <c r="R357" s="2391"/>
      <c r="S357" s="2391"/>
      <c r="T357" s="2391"/>
      <c r="U357" s="2391"/>
      <c r="V357" s="2391"/>
      <c r="W357" s="2391"/>
      <c r="X357" s="2391"/>
      <c r="Y357" s="2391"/>
      <c r="Z357" s="2391"/>
      <c r="AA357" s="2391"/>
      <c r="AB357" s="2391"/>
      <c r="AC357" s="2391"/>
      <c r="AD357" s="2391"/>
      <c r="AE357" s="2391"/>
      <c r="AF357" s="2391"/>
      <c r="AG357" s="2391"/>
      <c r="AH357" s="2391"/>
      <c r="AI357" s="2391"/>
      <c r="AJ357" s="2391"/>
      <c r="AK357" s="501"/>
      <c r="AL357" s="501"/>
      <c r="AM357" s="501"/>
      <c r="AN357" s="495"/>
    </row>
    <row r="358" spans="1:44" s="449" customFormat="1" ht="12.75" customHeight="1">
      <c r="A358" s="501"/>
      <c r="B358" s="509"/>
      <c r="C358" s="2391"/>
      <c r="D358" s="2391"/>
      <c r="E358" s="2391"/>
      <c r="F358" s="2391"/>
      <c r="G358" s="2391"/>
      <c r="H358" s="2391"/>
      <c r="I358" s="2391"/>
      <c r="J358" s="2391"/>
      <c r="K358" s="2391"/>
      <c r="L358" s="2391"/>
      <c r="M358" s="2391"/>
      <c r="N358" s="2391"/>
      <c r="O358" s="2391"/>
      <c r="P358" s="2391"/>
      <c r="Q358" s="2391"/>
      <c r="R358" s="2391"/>
      <c r="S358" s="2391"/>
      <c r="T358" s="2391"/>
      <c r="U358" s="2391"/>
      <c r="V358" s="2391"/>
      <c r="W358" s="2391"/>
      <c r="X358" s="2391"/>
      <c r="Y358" s="2391"/>
      <c r="Z358" s="2391"/>
      <c r="AA358" s="2391"/>
      <c r="AB358" s="2391"/>
      <c r="AC358" s="2391"/>
      <c r="AD358" s="2391"/>
      <c r="AE358" s="2391"/>
      <c r="AF358" s="2391"/>
      <c r="AG358" s="2391"/>
      <c r="AH358" s="2391"/>
      <c r="AI358" s="2391"/>
      <c r="AJ358" s="2391"/>
      <c r="AK358" s="501"/>
      <c r="AL358" s="501"/>
      <c r="AM358" s="501"/>
      <c r="AN358" s="495"/>
      <c r="AQ358" s="468"/>
    </row>
    <row r="359" spans="1:44" s="449" customFormat="1" ht="12.75" customHeight="1">
      <c r="A359" s="501"/>
      <c r="B359" s="509"/>
      <c r="C359" s="2391"/>
      <c r="D359" s="2391"/>
      <c r="E359" s="2391"/>
      <c r="F359" s="2391"/>
      <c r="G359" s="2391"/>
      <c r="H359" s="2391"/>
      <c r="I359" s="2391"/>
      <c r="J359" s="2391"/>
      <c r="K359" s="2391"/>
      <c r="L359" s="2391"/>
      <c r="M359" s="2391"/>
      <c r="N359" s="2391"/>
      <c r="O359" s="2391"/>
      <c r="P359" s="2391"/>
      <c r="Q359" s="2391"/>
      <c r="R359" s="2391"/>
      <c r="S359" s="2391"/>
      <c r="T359" s="2391"/>
      <c r="U359" s="2391"/>
      <c r="V359" s="2391"/>
      <c r="W359" s="2391"/>
      <c r="X359" s="2391"/>
      <c r="Y359" s="2391"/>
      <c r="Z359" s="2391"/>
      <c r="AA359" s="2391"/>
      <c r="AB359" s="2391"/>
      <c r="AC359" s="2391"/>
      <c r="AD359" s="2391"/>
      <c r="AE359" s="2391"/>
      <c r="AF359" s="2391"/>
      <c r="AG359" s="2391"/>
      <c r="AH359" s="2391"/>
      <c r="AI359" s="2391"/>
      <c r="AJ359" s="2391"/>
      <c r="AK359" s="501"/>
      <c r="AL359" s="501"/>
      <c r="AM359" s="501"/>
      <c r="AN359" s="495"/>
      <c r="AQ359" s="468"/>
    </row>
    <row r="360" spans="1:44" s="449" customFormat="1" ht="12.45" customHeight="1">
      <c r="A360" s="501"/>
      <c r="B360" s="509"/>
      <c r="C360" s="2391"/>
      <c r="D360" s="2391"/>
      <c r="E360" s="2391"/>
      <c r="F360" s="2391"/>
      <c r="G360" s="2391"/>
      <c r="H360" s="2391"/>
      <c r="I360" s="2391"/>
      <c r="J360" s="2391"/>
      <c r="K360" s="2391"/>
      <c r="L360" s="2391"/>
      <c r="M360" s="2391"/>
      <c r="N360" s="2391"/>
      <c r="O360" s="2391"/>
      <c r="P360" s="2391"/>
      <c r="Q360" s="2391"/>
      <c r="R360" s="2391"/>
      <c r="S360" s="2391"/>
      <c r="T360" s="2391"/>
      <c r="U360" s="2391"/>
      <c r="V360" s="2391"/>
      <c r="W360" s="2391"/>
      <c r="X360" s="2391"/>
      <c r="Y360" s="2391"/>
      <c r="Z360" s="2391"/>
      <c r="AA360" s="2391"/>
      <c r="AB360" s="2391"/>
      <c r="AC360" s="2391"/>
      <c r="AD360" s="2391"/>
      <c r="AE360" s="2391"/>
      <c r="AF360" s="2391"/>
      <c r="AG360" s="2391"/>
      <c r="AH360" s="2391"/>
      <c r="AI360" s="2391"/>
      <c r="AJ360" s="2391"/>
      <c r="AK360" s="501"/>
      <c r="AL360" s="501"/>
      <c r="AM360" s="501"/>
      <c r="AN360" s="495"/>
      <c r="AQ360" s="468"/>
      <c r="AR360" s="468"/>
    </row>
    <row r="361" spans="1:44" s="449" customFormat="1" ht="45.75" customHeight="1">
      <c r="A361" s="501"/>
      <c r="B361" s="509"/>
      <c r="C361" s="2391" t="s">
        <v>2327</v>
      </c>
      <c r="D361" s="2391"/>
      <c r="E361" s="2391"/>
      <c r="F361" s="2391"/>
      <c r="G361" s="2391"/>
      <c r="H361" s="2391"/>
      <c r="I361" s="2391"/>
      <c r="J361" s="2391"/>
      <c r="K361" s="2391"/>
      <c r="L361" s="2391"/>
      <c r="M361" s="2391"/>
      <c r="N361" s="2391"/>
      <c r="O361" s="2391"/>
      <c r="P361" s="2391"/>
      <c r="Q361" s="2391"/>
      <c r="R361" s="2391"/>
      <c r="S361" s="2391"/>
      <c r="T361" s="2391"/>
      <c r="U361" s="2391"/>
      <c r="V361" s="2391"/>
      <c r="W361" s="2391"/>
      <c r="X361" s="2391"/>
      <c r="Y361" s="2391"/>
      <c r="Z361" s="2391"/>
      <c r="AA361" s="2391"/>
      <c r="AB361" s="2391"/>
      <c r="AC361" s="2391"/>
      <c r="AD361" s="2391"/>
      <c r="AE361" s="2391"/>
      <c r="AF361" s="2391"/>
      <c r="AG361" s="2391"/>
      <c r="AH361" s="2391"/>
      <c r="AI361" s="2391"/>
      <c r="AJ361" s="2391"/>
      <c r="AK361" s="501"/>
      <c r="AL361" s="501"/>
      <c r="AM361" s="501"/>
      <c r="AN361" s="495"/>
      <c r="AQ361" s="468"/>
      <c r="AR361" s="468"/>
    </row>
    <row r="362" spans="1:44" s="449" customFormat="1" ht="12.4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1" t="s">
        <v>2328</v>
      </c>
      <c r="D363" s="2391"/>
      <c r="E363" s="2391"/>
      <c r="F363" s="2391"/>
      <c r="G363" s="2391"/>
      <c r="H363" s="2391"/>
      <c r="I363" s="2391"/>
      <c r="J363" s="2391"/>
      <c r="K363" s="2391"/>
      <c r="L363" s="2391"/>
      <c r="M363" s="2391"/>
      <c r="N363" s="2391"/>
      <c r="O363" s="2391"/>
      <c r="P363" s="2391"/>
      <c r="Q363" s="2391"/>
      <c r="R363" s="2391"/>
      <c r="S363" s="2391"/>
      <c r="T363" s="2391"/>
      <c r="U363" s="2391"/>
      <c r="V363" s="2391"/>
      <c r="W363" s="2391"/>
      <c r="X363" s="2391"/>
      <c r="Y363" s="2391"/>
      <c r="Z363" s="2391"/>
      <c r="AA363" s="2391"/>
      <c r="AB363" s="2391"/>
      <c r="AC363" s="2391"/>
      <c r="AD363" s="2391"/>
      <c r="AE363" s="2391"/>
      <c r="AF363" s="2391"/>
      <c r="AG363" s="2391"/>
      <c r="AH363" s="2391"/>
      <c r="AI363" s="2391"/>
      <c r="AJ363" s="2391"/>
      <c r="AK363" s="501"/>
      <c r="AL363" s="501"/>
      <c r="AM363" s="501"/>
      <c r="AN363" s="495"/>
      <c r="AQ363" s="468"/>
      <c r="AR363" s="468"/>
    </row>
    <row r="364" spans="1:44" s="449" customFormat="1" ht="30" customHeight="1">
      <c r="A364" s="501"/>
      <c r="B364" s="509"/>
      <c r="C364" s="2391"/>
      <c r="D364" s="2391"/>
      <c r="E364" s="2391"/>
      <c r="F364" s="2391"/>
      <c r="G364" s="2391"/>
      <c r="H364" s="2391"/>
      <c r="I364" s="2391"/>
      <c r="J364" s="2391"/>
      <c r="K364" s="2391"/>
      <c r="L364" s="2391"/>
      <c r="M364" s="2391"/>
      <c r="N364" s="2391"/>
      <c r="O364" s="2391"/>
      <c r="P364" s="2391"/>
      <c r="Q364" s="2391"/>
      <c r="R364" s="2391"/>
      <c r="S364" s="2391"/>
      <c r="T364" s="2391"/>
      <c r="U364" s="2391"/>
      <c r="V364" s="2391"/>
      <c r="W364" s="2391"/>
      <c r="X364" s="2391"/>
      <c r="Y364" s="2391"/>
      <c r="Z364" s="2391"/>
      <c r="AA364" s="2391"/>
      <c r="AB364" s="2391"/>
      <c r="AC364" s="2391"/>
      <c r="AD364" s="2391"/>
      <c r="AE364" s="2391"/>
      <c r="AF364" s="2391"/>
      <c r="AG364" s="2391"/>
      <c r="AH364" s="2391"/>
      <c r="AI364" s="2391"/>
      <c r="AJ364" s="2391"/>
      <c r="AK364" s="501"/>
      <c r="AL364" s="501"/>
      <c r="AM364" s="501"/>
      <c r="AN364" s="495"/>
      <c r="AR364" s="468"/>
    </row>
    <row r="365" spans="1:44" s="449" customFormat="1" ht="12.75" customHeight="1">
      <c r="A365" s="501"/>
      <c r="B365" s="509"/>
      <c r="C365" s="2391"/>
      <c r="D365" s="2391"/>
      <c r="E365" s="2391"/>
      <c r="F365" s="2391"/>
      <c r="G365" s="2391"/>
      <c r="H365" s="2391"/>
      <c r="I365" s="2391"/>
      <c r="J365" s="2391"/>
      <c r="K365" s="2391"/>
      <c r="L365" s="2391"/>
      <c r="M365" s="2391"/>
      <c r="N365" s="2391"/>
      <c r="O365" s="2391"/>
      <c r="P365" s="2391"/>
      <c r="Q365" s="2391"/>
      <c r="R365" s="2391"/>
      <c r="S365" s="2391"/>
      <c r="T365" s="2391"/>
      <c r="U365" s="2391"/>
      <c r="V365" s="2391"/>
      <c r="W365" s="2391"/>
      <c r="X365" s="2391"/>
      <c r="Y365" s="2391"/>
      <c r="Z365" s="2391"/>
      <c r="AA365" s="2391"/>
      <c r="AB365" s="2391"/>
      <c r="AC365" s="2391"/>
      <c r="AD365" s="2391"/>
      <c r="AE365" s="2391"/>
      <c r="AF365" s="2391"/>
      <c r="AG365" s="2391"/>
      <c r="AH365" s="2391"/>
      <c r="AI365" s="2391"/>
      <c r="AJ365" s="2391"/>
      <c r="AK365" s="501"/>
      <c r="AL365" s="501"/>
      <c r="AM365" s="501"/>
      <c r="AN365" s="495"/>
      <c r="AR365" s="468"/>
    </row>
    <row r="366" spans="1:44" s="449" customFormat="1" ht="12.75" customHeight="1">
      <c r="A366" s="501"/>
      <c r="B366" s="509"/>
      <c r="C366" s="2391" t="s">
        <v>2329</v>
      </c>
      <c r="D366" s="2391"/>
      <c r="E366" s="2391"/>
      <c r="F366" s="2391"/>
      <c r="G366" s="2391"/>
      <c r="H366" s="2391"/>
      <c r="I366" s="2391"/>
      <c r="J366" s="2391"/>
      <c r="K366" s="2391"/>
      <c r="L366" s="2391"/>
      <c r="M366" s="2391"/>
      <c r="N366" s="2391"/>
      <c r="O366" s="2391"/>
      <c r="P366" s="2391"/>
      <c r="Q366" s="2391"/>
      <c r="R366" s="2391"/>
      <c r="S366" s="2391"/>
      <c r="T366" s="2391"/>
      <c r="U366" s="2391"/>
      <c r="V366" s="2391"/>
      <c r="W366" s="2391"/>
      <c r="X366" s="2391"/>
      <c r="Y366" s="2391"/>
      <c r="Z366" s="2391"/>
      <c r="AA366" s="2391"/>
      <c r="AB366" s="2391"/>
      <c r="AC366" s="2391"/>
      <c r="AD366" s="2391"/>
      <c r="AE366" s="2391"/>
      <c r="AF366" s="2391"/>
      <c r="AG366" s="2391"/>
      <c r="AH366" s="2391"/>
      <c r="AI366" s="2391"/>
      <c r="AJ366" s="2391"/>
      <c r="AK366" s="501"/>
      <c r="AL366" s="501"/>
      <c r="AM366" s="501"/>
      <c r="AN366" s="495"/>
      <c r="AQ366" s="468"/>
      <c r="AR366" s="468"/>
    </row>
    <row r="367" spans="1:44" s="449" customFormat="1" ht="12.75" customHeight="1">
      <c r="A367" s="501"/>
      <c r="B367" s="509"/>
      <c r="C367" s="2391"/>
      <c r="D367" s="2391"/>
      <c r="E367" s="2391"/>
      <c r="F367" s="2391"/>
      <c r="G367" s="2391"/>
      <c r="H367" s="2391"/>
      <c r="I367" s="2391"/>
      <c r="J367" s="2391"/>
      <c r="K367" s="2391"/>
      <c r="L367" s="2391"/>
      <c r="M367" s="2391"/>
      <c r="N367" s="2391"/>
      <c r="O367" s="2391"/>
      <c r="P367" s="2391"/>
      <c r="Q367" s="2391"/>
      <c r="R367" s="2391"/>
      <c r="S367" s="2391"/>
      <c r="T367" s="2391"/>
      <c r="U367" s="2391"/>
      <c r="V367" s="2391"/>
      <c r="W367" s="2391"/>
      <c r="X367" s="2391"/>
      <c r="Y367" s="2391"/>
      <c r="Z367" s="2391"/>
      <c r="AA367" s="2391"/>
      <c r="AB367" s="2391"/>
      <c r="AC367" s="2391"/>
      <c r="AD367" s="2391"/>
      <c r="AE367" s="2391"/>
      <c r="AF367" s="2391"/>
      <c r="AG367" s="2391"/>
      <c r="AH367" s="2391"/>
      <c r="AI367" s="2391"/>
      <c r="AJ367" s="2391"/>
      <c r="AK367" s="501"/>
      <c r="AL367" s="501"/>
      <c r="AM367" s="501"/>
      <c r="AN367" s="495"/>
      <c r="AQ367" s="468"/>
      <c r="AR367" s="468"/>
    </row>
    <row r="368" spans="1:44" s="449" customFormat="1" ht="13.2" customHeight="1">
      <c r="A368" s="501"/>
      <c r="B368" s="509"/>
      <c r="C368" s="2391"/>
      <c r="D368" s="2391"/>
      <c r="E368" s="2391"/>
      <c r="F368" s="2391"/>
      <c r="G368" s="2391"/>
      <c r="H368" s="2391"/>
      <c r="I368" s="2391"/>
      <c r="J368" s="2391"/>
      <c r="K368" s="2391"/>
      <c r="L368" s="2391"/>
      <c r="M368" s="2391"/>
      <c r="N368" s="2391"/>
      <c r="O368" s="2391"/>
      <c r="P368" s="2391"/>
      <c r="Q368" s="2391"/>
      <c r="R368" s="2391"/>
      <c r="S368" s="2391"/>
      <c r="T368" s="2391"/>
      <c r="U368" s="2391"/>
      <c r="V368" s="2391"/>
      <c r="W368" s="2391"/>
      <c r="X368" s="2391"/>
      <c r="Y368" s="2391"/>
      <c r="Z368" s="2391"/>
      <c r="AA368" s="2391"/>
      <c r="AB368" s="2391"/>
      <c r="AC368" s="2391"/>
      <c r="AD368" s="2391"/>
      <c r="AE368" s="2391"/>
      <c r="AF368" s="2391"/>
      <c r="AG368" s="2391"/>
      <c r="AH368" s="2391"/>
      <c r="AI368" s="2391"/>
      <c r="AJ368" s="2391"/>
      <c r="AK368" s="501"/>
      <c r="AL368" s="501"/>
      <c r="AM368" s="501"/>
      <c r="AN368" s="495"/>
      <c r="AQ368" s="468"/>
      <c r="AR368" s="468"/>
    </row>
    <row r="369" spans="1:46" s="449" customFormat="1" ht="12.75" customHeight="1">
      <c r="A369" s="501"/>
      <c r="B369" s="509"/>
      <c r="C369" s="2391"/>
      <c r="D369" s="2391"/>
      <c r="E369" s="2391"/>
      <c r="F369" s="2391"/>
      <c r="G369" s="2391"/>
      <c r="H369" s="2391"/>
      <c r="I369" s="2391"/>
      <c r="J369" s="2391"/>
      <c r="K369" s="2391"/>
      <c r="L369" s="2391"/>
      <c r="M369" s="2391"/>
      <c r="N369" s="2391"/>
      <c r="O369" s="2391"/>
      <c r="P369" s="2391"/>
      <c r="Q369" s="2391"/>
      <c r="R369" s="2391"/>
      <c r="S369" s="2391"/>
      <c r="T369" s="2391"/>
      <c r="U369" s="2391"/>
      <c r="V369" s="2391"/>
      <c r="W369" s="2391"/>
      <c r="X369" s="2391"/>
      <c r="Y369" s="2391"/>
      <c r="Z369" s="2391"/>
      <c r="AA369" s="2391"/>
      <c r="AB369" s="2391"/>
      <c r="AC369" s="2391"/>
      <c r="AD369" s="2391"/>
      <c r="AE369" s="2391"/>
      <c r="AF369" s="2391"/>
      <c r="AG369" s="2391"/>
      <c r="AH369" s="2391"/>
      <c r="AI369" s="2391"/>
      <c r="AJ369" s="2391"/>
      <c r="AK369" s="501"/>
      <c r="AL369" s="501"/>
      <c r="AM369" s="501"/>
      <c r="AN369" s="495"/>
      <c r="AO369" s="590"/>
      <c r="AP369" s="590"/>
      <c r="AQ369" s="468"/>
    </row>
    <row r="370" spans="1:46" s="449" customFormat="1" ht="11.85" customHeight="1">
      <c r="A370" s="501"/>
      <c r="B370" s="509"/>
      <c r="C370" s="2391"/>
      <c r="D370" s="2391"/>
      <c r="E370" s="2391"/>
      <c r="F370" s="2391"/>
      <c r="G370" s="2391"/>
      <c r="H370" s="2391"/>
      <c r="I370" s="2391"/>
      <c r="J370" s="2391"/>
      <c r="K370" s="2391"/>
      <c r="L370" s="2391"/>
      <c r="M370" s="2391"/>
      <c r="N370" s="2391"/>
      <c r="O370" s="2391"/>
      <c r="P370" s="2391"/>
      <c r="Q370" s="2391"/>
      <c r="R370" s="2391"/>
      <c r="S370" s="2391"/>
      <c r="T370" s="2391"/>
      <c r="U370" s="2391"/>
      <c r="V370" s="2391"/>
      <c r="W370" s="2391"/>
      <c r="X370" s="2391"/>
      <c r="Y370" s="2391"/>
      <c r="Z370" s="2391"/>
      <c r="AA370" s="2391"/>
      <c r="AB370" s="2391"/>
      <c r="AC370" s="2391"/>
      <c r="AD370" s="2391"/>
      <c r="AE370" s="2391"/>
      <c r="AF370" s="2391"/>
      <c r="AG370" s="2391"/>
      <c r="AH370" s="2391"/>
      <c r="AI370" s="2391"/>
      <c r="AJ370" s="2391"/>
      <c r="AK370" s="501"/>
      <c r="AL370" s="501"/>
      <c r="AM370" s="501"/>
      <c r="AN370" s="495"/>
      <c r="AO370" s="591" t="s">
        <v>18</v>
      </c>
      <c r="AP370" s="592">
        <f>IF(C394="Yes",5,0)</f>
        <v>5</v>
      </c>
      <c r="AS370" s="439" t="s">
        <v>2330</v>
      </c>
    </row>
    <row r="371" spans="1:46" s="449" customFormat="1" ht="12.75" customHeight="1">
      <c r="A371" s="501"/>
      <c r="B371" s="509"/>
      <c r="C371" s="2391"/>
      <c r="D371" s="2391"/>
      <c r="E371" s="2391"/>
      <c r="F371" s="2391"/>
      <c r="G371" s="2391"/>
      <c r="H371" s="2391"/>
      <c r="I371" s="2391"/>
      <c r="J371" s="2391"/>
      <c r="K371" s="2391"/>
      <c r="L371" s="2391"/>
      <c r="M371" s="2391"/>
      <c r="N371" s="2391"/>
      <c r="O371" s="2391"/>
      <c r="P371" s="2391"/>
      <c r="Q371" s="2391"/>
      <c r="R371" s="2391"/>
      <c r="S371" s="2391"/>
      <c r="T371" s="2391"/>
      <c r="U371" s="2391"/>
      <c r="V371" s="2391"/>
      <c r="W371" s="2391"/>
      <c r="X371" s="2391"/>
      <c r="Y371" s="2391"/>
      <c r="Z371" s="2391"/>
      <c r="AA371" s="2391"/>
      <c r="AB371" s="2391"/>
      <c r="AC371" s="2391"/>
      <c r="AD371" s="2391"/>
      <c r="AE371" s="2391"/>
      <c r="AF371" s="2391"/>
      <c r="AG371" s="2391"/>
      <c r="AH371" s="2391"/>
      <c r="AI371" s="2391"/>
      <c r="AJ371" s="2391"/>
      <c r="AK371" s="501"/>
      <c r="AL371" s="501"/>
      <c r="AM371" s="501"/>
      <c r="AN371" s="495"/>
      <c r="AO371" s="591" t="s">
        <v>31</v>
      </c>
      <c r="AP371" s="592">
        <f>IF(C402="Yes",5,0)</f>
        <v>0</v>
      </c>
      <c r="AS371" s="2459">
        <f>IF(Application!D211="Non-Targeted",(SUM(AQ379+AQ388)),AS375)</f>
        <v>10</v>
      </c>
      <c r="AT371" s="2459"/>
    </row>
    <row r="372" spans="1:46" s="449" customFormat="1" ht="12.75" customHeight="1">
      <c r="A372" s="501"/>
      <c r="B372" s="509"/>
      <c r="C372" s="2391"/>
      <c r="D372" s="2391"/>
      <c r="E372" s="2391"/>
      <c r="F372" s="2391"/>
      <c r="G372" s="2391"/>
      <c r="H372" s="2391"/>
      <c r="I372" s="2391"/>
      <c r="J372" s="2391"/>
      <c r="K372" s="2391"/>
      <c r="L372" s="2391"/>
      <c r="M372" s="2391"/>
      <c r="N372" s="2391"/>
      <c r="O372" s="2391"/>
      <c r="P372" s="2391"/>
      <c r="Q372" s="2391"/>
      <c r="R372" s="2391"/>
      <c r="S372" s="2391"/>
      <c r="T372" s="2391"/>
      <c r="U372" s="2391"/>
      <c r="V372" s="2391"/>
      <c r="W372" s="2391"/>
      <c r="X372" s="2391"/>
      <c r="Y372" s="2391"/>
      <c r="Z372" s="2391"/>
      <c r="AA372" s="2391"/>
      <c r="AB372" s="2391"/>
      <c r="AC372" s="2391"/>
      <c r="AD372" s="2391"/>
      <c r="AE372" s="2391"/>
      <c r="AF372" s="2391"/>
      <c r="AG372" s="2391"/>
      <c r="AH372" s="2391"/>
      <c r="AI372" s="2391"/>
      <c r="AJ372" s="2391"/>
      <c r="AK372" s="501"/>
      <c r="AL372" s="501"/>
      <c r="AM372" s="501"/>
      <c r="AN372" s="495"/>
      <c r="AO372" s="591" t="s">
        <v>39</v>
      </c>
      <c r="AP372" s="592">
        <f>IF(C410="Yes",7,0)</f>
        <v>0</v>
      </c>
      <c r="AS372" s="439" t="s">
        <v>2331</v>
      </c>
    </row>
    <row r="373" spans="1:46" s="449" customFormat="1" ht="12.75" customHeight="1">
      <c r="B373" s="509"/>
      <c r="C373" s="2391"/>
      <c r="D373" s="2391"/>
      <c r="E373" s="2391"/>
      <c r="F373" s="2391"/>
      <c r="G373" s="2391"/>
      <c r="H373" s="2391"/>
      <c r="I373" s="2391"/>
      <c r="J373" s="2391"/>
      <c r="K373" s="2391"/>
      <c r="L373" s="2391"/>
      <c r="M373" s="2391"/>
      <c r="N373" s="2391"/>
      <c r="O373" s="2391"/>
      <c r="P373" s="2391"/>
      <c r="Q373" s="2391"/>
      <c r="R373" s="2391"/>
      <c r="S373" s="2391"/>
      <c r="T373" s="2391"/>
      <c r="U373" s="2391"/>
      <c r="V373" s="2391"/>
      <c r="W373" s="2391"/>
      <c r="X373" s="2391"/>
      <c r="Y373" s="2391"/>
      <c r="Z373" s="2391"/>
      <c r="AA373" s="2391"/>
      <c r="AB373" s="2391"/>
      <c r="AC373" s="2391"/>
      <c r="AD373" s="2391"/>
      <c r="AE373" s="2391"/>
      <c r="AF373" s="2391"/>
      <c r="AG373" s="2391"/>
      <c r="AH373" s="2391"/>
      <c r="AI373" s="2391"/>
      <c r="AJ373" s="2391"/>
      <c r="AK373" s="501"/>
      <c r="AL373" s="501"/>
      <c r="AM373" s="501"/>
      <c r="AN373" s="495"/>
      <c r="AO373" s="495"/>
      <c r="AP373" s="592">
        <f>IF(C412="Yes",5,0)</f>
        <v>5</v>
      </c>
      <c r="AS373" s="2459">
        <f>IF(AND(AQ379&gt;0,AQ388&gt;0),(AQ379+AQ388)/2,0)</f>
        <v>0</v>
      </c>
      <c r="AT373" s="2459"/>
    </row>
    <row r="374" spans="1:46" s="449" customFormat="1" ht="12.75" customHeight="1">
      <c r="A374" s="501"/>
      <c r="B374" s="509"/>
      <c r="C374" s="2391"/>
      <c r="D374" s="2391"/>
      <c r="E374" s="2391"/>
      <c r="F374" s="2391"/>
      <c r="G374" s="2391"/>
      <c r="H374" s="2391"/>
      <c r="I374" s="2391"/>
      <c r="J374" s="2391"/>
      <c r="K374" s="2391"/>
      <c r="L374" s="2391"/>
      <c r="M374" s="2391"/>
      <c r="N374" s="2391"/>
      <c r="O374" s="2391"/>
      <c r="P374" s="2391"/>
      <c r="Q374" s="2391"/>
      <c r="R374" s="2391"/>
      <c r="S374" s="2391"/>
      <c r="T374" s="2391"/>
      <c r="U374" s="2391"/>
      <c r="V374" s="2391"/>
      <c r="W374" s="2391"/>
      <c r="X374" s="2391"/>
      <c r="Y374" s="2391"/>
      <c r="Z374" s="2391"/>
      <c r="AA374" s="2391"/>
      <c r="AB374" s="2391"/>
      <c r="AC374" s="2391"/>
      <c r="AD374" s="2391"/>
      <c r="AE374" s="2391"/>
      <c r="AF374" s="2391"/>
      <c r="AG374" s="2391"/>
      <c r="AH374" s="2391"/>
      <c r="AI374" s="2391"/>
      <c r="AJ374" s="2391"/>
      <c r="AK374" s="501"/>
      <c r="AL374" s="501"/>
      <c r="AM374" s="501"/>
      <c r="AN374" s="495"/>
      <c r="AO374" s="591" t="s">
        <v>82</v>
      </c>
      <c r="AP374" s="592">
        <f>IF(C420="Yes",5,0)</f>
        <v>0</v>
      </c>
      <c r="AS374" s="439" t="s">
        <v>2332</v>
      </c>
    </row>
    <row r="375" spans="1:46" s="449" customFormat="1" ht="12.75" customHeight="1">
      <c r="A375" s="501"/>
      <c r="B375" s="509"/>
      <c r="C375" s="2460" t="s">
        <v>2333</v>
      </c>
      <c r="D375" s="2460"/>
      <c r="E375" s="2460"/>
      <c r="F375" s="2460"/>
      <c r="G375" s="2460"/>
      <c r="H375" s="2460"/>
      <c r="I375" s="2460"/>
      <c r="J375" s="2460"/>
      <c r="K375" s="2460"/>
      <c r="L375" s="2460"/>
      <c r="M375" s="2460"/>
      <c r="N375" s="2460"/>
      <c r="O375" s="2460"/>
      <c r="P375" s="2460"/>
      <c r="Q375" s="2460"/>
      <c r="R375" s="2460"/>
      <c r="S375" s="2460"/>
      <c r="T375" s="2460"/>
      <c r="U375" s="2460"/>
      <c r="V375" s="2460"/>
      <c r="W375" s="2460"/>
      <c r="X375" s="2460"/>
      <c r="Y375" s="2460"/>
      <c r="Z375" s="2460"/>
      <c r="AA375" s="2460"/>
      <c r="AB375" s="2460"/>
      <c r="AC375" s="2460"/>
      <c r="AD375" s="2460"/>
      <c r="AE375" s="2460"/>
      <c r="AF375" s="2460"/>
      <c r="AG375" s="2460"/>
      <c r="AH375" s="2460"/>
      <c r="AI375" s="2460"/>
      <c r="AJ375" s="2460"/>
      <c r="AK375" s="501"/>
      <c r="AL375" s="501"/>
      <c r="AM375" s="501"/>
      <c r="AN375" s="495"/>
      <c r="AO375" s="495"/>
      <c r="AP375" s="592">
        <f>IF(C422="Yes",3,0)</f>
        <v>0</v>
      </c>
      <c r="AS375" s="2459">
        <f>IF(AQ379=0,AQ388,AQ379)</f>
        <v>10</v>
      </c>
      <c r="AT375" s="2459"/>
    </row>
    <row r="376" spans="1:46" s="449" customFormat="1" ht="12.75" customHeight="1">
      <c r="A376" s="501"/>
      <c r="B376" s="509"/>
      <c r="C376" s="2460"/>
      <c r="D376" s="2460"/>
      <c r="E376" s="2460"/>
      <c r="F376" s="2460"/>
      <c r="G376" s="2460"/>
      <c r="H376" s="2460"/>
      <c r="I376" s="2460"/>
      <c r="J376" s="2460"/>
      <c r="K376" s="2460"/>
      <c r="L376" s="2460"/>
      <c r="M376" s="2460"/>
      <c r="N376" s="2460"/>
      <c r="O376" s="2460"/>
      <c r="P376" s="2460"/>
      <c r="Q376" s="2460"/>
      <c r="R376" s="2460"/>
      <c r="S376" s="2460"/>
      <c r="T376" s="2460"/>
      <c r="U376" s="2460"/>
      <c r="V376" s="2460"/>
      <c r="W376" s="2460"/>
      <c r="X376" s="2460"/>
      <c r="Y376" s="2460"/>
      <c r="Z376" s="2460"/>
      <c r="AA376" s="2460"/>
      <c r="AB376" s="2460"/>
      <c r="AC376" s="2460"/>
      <c r="AD376" s="2460"/>
      <c r="AE376" s="2460"/>
      <c r="AF376" s="2460"/>
      <c r="AG376" s="2460"/>
      <c r="AH376" s="2460"/>
      <c r="AI376" s="2460"/>
      <c r="AJ376" s="2460"/>
      <c r="AK376" s="501"/>
      <c r="AL376" s="501"/>
      <c r="AM376" s="501"/>
      <c r="AN376" s="495"/>
      <c r="AO376" s="591" t="s">
        <v>86</v>
      </c>
      <c r="AP376" s="592">
        <f>IF(C425="Yes",5,0)</f>
        <v>0</v>
      </c>
    </row>
    <row r="377" spans="1:46" s="449" customFormat="1" ht="12.75" customHeight="1">
      <c r="A377" s="501"/>
      <c r="B377" s="509"/>
      <c r="C377" s="2460"/>
      <c r="D377" s="2460"/>
      <c r="E377" s="2460"/>
      <c r="F377" s="2460"/>
      <c r="G377" s="2460"/>
      <c r="H377" s="2460"/>
      <c r="I377" s="2460"/>
      <c r="J377" s="2460"/>
      <c r="K377" s="2460"/>
      <c r="L377" s="2460"/>
      <c r="M377" s="2460"/>
      <c r="N377" s="2460"/>
      <c r="O377" s="2460"/>
      <c r="P377" s="2460"/>
      <c r="Q377" s="2460"/>
      <c r="R377" s="2460"/>
      <c r="S377" s="2460"/>
      <c r="T377" s="2460"/>
      <c r="U377" s="2460"/>
      <c r="V377" s="2460"/>
      <c r="W377" s="2460"/>
      <c r="X377" s="2460"/>
      <c r="Y377" s="2460"/>
      <c r="Z377" s="2460"/>
      <c r="AA377" s="2460"/>
      <c r="AB377" s="2460"/>
      <c r="AC377" s="2460"/>
      <c r="AD377" s="2460"/>
      <c r="AE377" s="2460"/>
      <c r="AF377" s="2460"/>
      <c r="AG377" s="2460"/>
      <c r="AH377" s="2460"/>
      <c r="AI377" s="2460"/>
      <c r="AJ377" s="2460"/>
      <c r="AK377" s="501"/>
      <c r="AL377" s="501"/>
      <c r="AM377" s="501"/>
      <c r="AN377" s="495"/>
      <c r="AO377" s="591" t="s">
        <v>1413</v>
      </c>
      <c r="AP377" s="592">
        <f>IF(C434="Yes",5,0)</f>
        <v>0</v>
      </c>
    </row>
    <row r="378" spans="1:46" s="449" customFormat="1" ht="11.85" customHeight="1">
      <c r="A378" s="501"/>
      <c r="B378" s="509"/>
      <c r="C378" s="2460"/>
      <c r="D378" s="2460"/>
      <c r="E378" s="2460"/>
      <c r="F378" s="2460"/>
      <c r="G378" s="2460"/>
      <c r="H378" s="2460"/>
      <c r="I378" s="2460"/>
      <c r="J378" s="2460"/>
      <c r="K378" s="2460"/>
      <c r="L378" s="2460"/>
      <c r="M378" s="2460"/>
      <c r="N378" s="2460"/>
      <c r="O378" s="2460"/>
      <c r="P378" s="2460"/>
      <c r="Q378" s="2460"/>
      <c r="R378" s="2460"/>
      <c r="S378" s="2460"/>
      <c r="T378" s="2460"/>
      <c r="U378" s="2460"/>
      <c r="V378" s="2460"/>
      <c r="W378" s="2460"/>
      <c r="X378" s="2460"/>
      <c r="Y378" s="2460"/>
      <c r="Z378" s="2460"/>
      <c r="AA378" s="2460"/>
      <c r="AB378" s="2460"/>
      <c r="AC378" s="2460"/>
      <c r="AD378" s="2460"/>
      <c r="AE378" s="2460"/>
      <c r="AF378" s="2460"/>
      <c r="AG378" s="2460"/>
      <c r="AH378" s="2460"/>
      <c r="AI378" s="2460"/>
      <c r="AJ378" s="2460"/>
      <c r="AK378" s="501"/>
      <c r="AL378" s="501"/>
      <c r="AM378" s="501"/>
      <c r="AN378" s="495"/>
      <c r="AO378" s="593"/>
      <c r="AP378" s="594">
        <f>IF(C436="Yes",3,0)</f>
        <v>0</v>
      </c>
    </row>
    <row r="379" spans="1:46" s="449" customFormat="1" ht="12.45" customHeight="1">
      <c r="A379" s="501"/>
      <c r="B379" s="509"/>
      <c r="C379" s="2460"/>
      <c r="D379" s="2460"/>
      <c r="E379" s="2460"/>
      <c r="F379" s="2460"/>
      <c r="G379" s="2460"/>
      <c r="H379" s="2460"/>
      <c r="I379" s="2460"/>
      <c r="J379" s="2460"/>
      <c r="K379" s="2460"/>
      <c r="L379" s="2460"/>
      <c r="M379" s="2460"/>
      <c r="N379" s="2460"/>
      <c r="O379" s="2460"/>
      <c r="P379" s="2460"/>
      <c r="Q379" s="2460"/>
      <c r="R379" s="2460"/>
      <c r="S379" s="2460"/>
      <c r="T379" s="2460"/>
      <c r="U379" s="2460"/>
      <c r="V379" s="2460"/>
      <c r="W379" s="2460"/>
      <c r="X379" s="2460"/>
      <c r="Y379" s="2460"/>
      <c r="Z379" s="2460"/>
      <c r="AA379" s="2460"/>
      <c r="AB379" s="2460"/>
      <c r="AC379" s="2460"/>
      <c r="AD379" s="2460"/>
      <c r="AE379" s="2460"/>
      <c r="AF379" s="2460"/>
      <c r="AG379" s="2460"/>
      <c r="AH379" s="2460"/>
      <c r="AI379" s="2460"/>
      <c r="AJ379" s="2460"/>
      <c r="AK379" s="501"/>
      <c r="AL379" s="501"/>
      <c r="AM379" s="501"/>
      <c r="AN379" s="495"/>
      <c r="AO379" s="595" t="s">
        <v>2334</v>
      </c>
      <c r="AP379" s="596">
        <f>SUM(AP370:AP378)</f>
        <v>10</v>
      </c>
      <c r="AQ379" s="2394">
        <f>IF(AP379&gt;0,AP379,0)</f>
        <v>10</v>
      </c>
      <c r="AR379" s="2394"/>
    </row>
    <row r="380" spans="1:46" s="449" customFormat="1" ht="12.75" customHeight="1">
      <c r="A380" s="501"/>
      <c r="B380" s="509"/>
      <c r="C380" s="2460"/>
      <c r="D380" s="2460"/>
      <c r="E380" s="2460"/>
      <c r="F380" s="2460"/>
      <c r="G380" s="2460"/>
      <c r="H380" s="2460"/>
      <c r="I380" s="2460"/>
      <c r="J380" s="2460"/>
      <c r="K380" s="2460"/>
      <c r="L380" s="2460"/>
      <c r="M380" s="2460"/>
      <c r="N380" s="2460"/>
      <c r="O380" s="2460"/>
      <c r="P380" s="2460"/>
      <c r="Q380" s="2460"/>
      <c r="R380" s="2460"/>
      <c r="S380" s="2460"/>
      <c r="T380" s="2460"/>
      <c r="U380" s="2460"/>
      <c r="V380" s="2460"/>
      <c r="W380" s="2460"/>
      <c r="X380" s="2460"/>
      <c r="Y380" s="2460"/>
      <c r="Z380" s="2460"/>
      <c r="AA380" s="2460"/>
      <c r="AB380" s="2460"/>
      <c r="AC380" s="2460"/>
      <c r="AD380" s="2460"/>
      <c r="AE380" s="2460"/>
      <c r="AF380" s="2460"/>
      <c r="AG380" s="2460"/>
      <c r="AH380" s="2460"/>
      <c r="AI380" s="2460"/>
      <c r="AJ380" s="2460"/>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1415</v>
      </c>
      <c r="AP381" s="592">
        <f>IF(C443="Yes",5,0)</f>
        <v>0</v>
      </c>
    </row>
    <row r="382" spans="1:46" s="449" customFormat="1" ht="12.75" customHeight="1">
      <c r="A382" s="501"/>
      <c r="B382" s="509"/>
      <c r="C382" s="2391" t="s">
        <v>2335</v>
      </c>
      <c r="D382" s="2391"/>
      <c r="E382" s="2391"/>
      <c r="F382" s="2391"/>
      <c r="G382" s="2391"/>
      <c r="H382" s="2391"/>
      <c r="I382" s="2391"/>
      <c r="J382" s="2391"/>
      <c r="K382" s="2391"/>
      <c r="L382" s="2391"/>
      <c r="M382" s="2391"/>
      <c r="N382" s="2391"/>
      <c r="O382" s="2391"/>
      <c r="P382" s="2391"/>
      <c r="Q382" s="2391"/>
      <c r="R382" s="2391"/>
      <c r="S382" s="2391"/>
      <c r="T382" s="2391"/>
      <c r="U382" s="2391"/>
      <c r="V382" s="2391"/>
      <c r="W382" s="2391"/>
      <c r="X382" s="2391"/>
      <c r="Y382" s="2391"/>
      <c r="Z382" s="2391"/>
      <c r="AA382" s="2391"/>
      <c r="AB382" s="2391"/>
      <c r="AC382" s="2391"/>
      <c r="AD382" s="2391"/>
      <c r="AE382" s="2391"/>
      <c r="AF382" s="2391"/>
      <c r="AG382" s="2391"/>
      <c r="AH382" s="2391"/>
      <c r="AI382" s="2391"/>
      <c r="AJ382" s="2391"/>
      <c r="AK382" s="501"/>
      <c r="AL382" s="501"/>
      <c r="AM382" s="501"/>
      <c r="AN382" s="495"/>
      <c r="AO382" s="591" t="s">
        <v>1416</v>
      </c>
      <c r="AP382" s="592">
        <f>IF(C455="Yes",5,0)</f>
        <v>0</v>
      </c>
    </row>
    <row r="383" spans="1:46" s="449" customFormat="1" ht="12.75" customHeight="1">
      <c r="A383" s="501"/>
      <c r="B383" s="509"/>
      <c r="C383" s="2391"/>
      <c r="D383" s="2391"/>
      <c r="E383" s="2391"/>
      <c r="F383" s="2391"/>
      <c r="G383" s="2391"/>
      <c r="H383" s="2391"/>
      <c r="I383" s="2391"/>
      <c r="J383" s="2391"/>
      <c r="K383" s="2391"/>
      <c r="L383" s="2391"/>
      <c r="M383" s="2391"/>
      <c r="N383" s="2391"/>
      <c r="O383" s="2391"/>
      <c r="P383" s="2391"/>
      <c r="Q383" s="2391"/>
      <c r="R383" s="2391"/>
      <c r="S383" s="2391"/>
      <c r="T383" s="2391"/>
      <c r="U383" s="2391"/>
      <c r="V383" s="2391"/>
      <c r="W383" s="2391"/>
      <c r="X383" s="2391"/>
      <c r="Y383" s="2391"/>
      <c r="Z383" s="2391"/>
      <c r="AA383" s="2391"/>
      <c r="AB383" s="2391"/>
      <c r="AC383" s="2391"/>
      <c r="AD383" s="2391"/>
      <c r="AE383" s="2391"/>
      <c r="AF383" s="2391"/>
      <c r="AG383" s="2391"/>
      <c r="AH383" s="2391"/>
      <c r="AI383" s="2391"/>
      <c r="AJ383" s="2391"/>
      <c r="AK383" s="501"/>
      <c r="AL383" s="501"/>
      <c r="AM383" s="501"/>
      <c r="AN383" s="495"/>
      <c r="AO383" s="591" t="s">
        <v>1417</v>
      </c>
      <c r="AP383" s="592">
        <f>IF(C462="Yes",5,0)</f>
        <v>0</v>
      </c>
    </row>
    <row r="384" spans="1:46" s="449" customFormat="1" ht="68.099999999999994" customHeight="1">
      <c r="A384" s="501"/>
      <c r="B384" s="509"/>
      <c r="C384" s="2391"/>
      <c r="D384" s="2391"/>
      <c r="E384" s="2391"/>
      <c r="F384" s="2391"/>
      <c r="G384" s="2391"/>
      <c r="H384" s="2391"/>
      <c r="I384" s="2391"/>
      <c r="J384" s="2391"/>
      <c r="K384" s="2391"/>
      <c r="L384" s="2391"/>
      <c r="M384" s="2391"/>
      <c r="N384" s="2391"/>
      <c r="O384" s="2391"/>
      <c r="P384" s="2391"/>
      <c r="Q384" s="2391"/>
      <c r="R384" s="2391"/>
      <c r="S384" s="2391"/>
      <c r="T384" s="2391"/>
      <c r="U384" s="2391"/>
      <c r="V384" s="2391"/>
      <c r="W384" s="2391"/>
      <c r="X384" s="2391"/>
      <c r="Y384" s="2391"/>
      <c r="Z384" s="2391"/>
      <c r="AA384" s="2391"/>
      <c r="AB384" s="2391"/>
      <c r="AC384" s="2391"/>
      <c r="AD384" s="2391"/>
      <c r="AE384" s="2391"/>
      <c r="AF384" s="2391"/>
      <c r="AG384" s="2391"/>
      <c r="AH384" s="2391"/>
      <c r="AI384" s="2391"/>
      <c r="AJ384" s="2391"/>
      <c r="AK384" s="501"/>
      <c r="AL384" s="501"/>
      <c r="AM384" s="501"/>
      <c r="AN384" s="495"/>
      <c r="AO384" s="591" t="s">
        <v>1418</v>
      </c>
      <c r="AP384" s="597">
        <f>IF(C466="Yes",5,0)</f>
        <v>0</v>
      </c>
    </row>
    <row r="385" spans="1:81" s="449" customFormat="1" ht="12.45" customHeight="1">
      <c r="B385" s="509"/>
      <c r="C385" s="449" t="s">
        <v>2336</v>
      </c>
      <c r="AF385" s="501"/>
      <c r="AG385" s="501"/>
      <c r="AH385" s="501"/>
      <c r="AI385" s="501"/>
      <c r="AJ385" s="501"/>
      <c r="AK385" s="501"/>
      <c r="AL385" s="501"/>
      <c r="AM385" s="501"/>
      <c r="AN385" s="495"/>
      <c r="AO385" s="591" t="s">
        <v>1419</v>
      </c>
      <c r="AP385" s="592">
        <f>IF(C470="Yes",5,0)</f>
        <v>0</v>
      </c>
    </row>
    <row r="386" spans="1:81" s="449" customFormat="1" ht="12.75" customHeight="1">
      <c r="A386" s="501"/>
      <c r="B386" s="509"/>
      <c r="C386" s="598" t="s">
        <v>2337</v>
      </c>
      <c r="D386" s="599"/>
      <c r="E386" s="599"/>
      <c r="F386" s="599"/>
      <c r="G386" s="599"/>
      <c r="H386" s="599"/>
      <c r="I386" s="599"/>
      <c r="J386" s="599"/>
      <c r="K386" s="599"/>
      <c r="L386" s="599"/>
      <c r="M386" s="563"/>
      <c r="N386" s="563"/>
      <c r="O386" s="600"/>
      <c r="P386" s="599"/>
      <c r="Q386" s="599"/>
      <c r="R386" s="563"/>
      <c r="S386" s="563"/>
      <c r="T386" s="599"/>
      <c r="U386" s="2392">
        <f>Application!DU810-U387</f>
        <v>149</v>
      </c>
      <c r="V386" s="2392"/>
      <c r="W386" s="2392"/>
      <c r="X386" s="599"/>
      <c r="Y386" s="599"/>
      <c r="Z386" s="599"/>
      <c r="AA386" s="601"/>
      <c r="AB386" s="602"/>
      <c r="AC386" s="602"/>
      <c r="AD386" s="602"/>
      <c r="AE386" s="501"/>
      <c r="AF386" s="501"/>
      <c r="AG386" s="501"/>
      <c r="AH386" s="501"/>
      <c r="AI386" s="501"/>
      <c r="AJ386" s="501"/>
      <c r="AK386" s="501"/>
      <c r="AL386" s="501"/>
      <c r="AM386" s="501"/>
      <c r="AN386" s="495"/>
      <c r="AO386" s="591" t="s">
        <v>1420</v>
      </c>
      <c r="AP386" s="592">
        <f>IF(C479="Yes",5,0)</f>
        <v>0</v>
      </c>
    </row>
    <row r="387" spans="1:81" s="449" customFormat="1" ht="12.75" customHeight="1">
      <c r="A387" s="501"/>
      <c r="B387" s="509"/>
      <c r="C387" s="603" t="s">
        <v>2338</v>
      </c>
      <c r="D387" s="590"/>
      <c r="E387" s="590"/>
      <c r="F387" s="590"/>
      <c r="G387" s="590"/>
      <c r="H387" s="590"/>
      <c r="I387" s="590"/>
      <c r="J387" s="590"/>
      <c r="K387" s="590"/>
      <c r="L387" s="590"/>
      <c r="M387" s="590"/>
      <c r="N387" s="590"/>
      <c r="O387" s="590"/>
      <c r="P387" s="590"/>
      <c r="Q387" s="590"/>
      <c r="R387" s="590"/>
      <c r="S387" s="590"/>
      <c r="T387" s="590"/>
      <c r="U387" s="2393">
        <f>IF(Application!D211="SRO",Application!DU763,Application!AG764)</f>
        <v>0</v>
      </c>
      <c r="V387" s="2393"/>
      <c r="W387" s="2393"/>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2334</v>
      </c>
      <c r="AP388" s="607">
        <f>SUM(AP381:AP386)</f>
        <v>0</v>
      </c>
      <c r="AQ388" s="2394">
        <f>IF(AP388&gt;0,AP388,0)</f>
        <v>0</v>
      </c>
      <c r="AR388" s="2394"/>
    </row>
    <row r="389" spans="1:81" s="449" customFormat="1" ht="12.75" customHeight="1">
      <c r="A389" s="501"/>
      <c r="B389" s="13"/>
      <c r="C389" s="608" t="s">
        <v>2339</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2157</v>
      </c>
      <c r="F390" s="2370" t="s">
        <v>2340</v>
      </c>
      <c r="G390" s="2370"/>
      <c r="H390" s="2370"/>
      <c r="I390" s="2370"/>
      <c r="J390" s="2370"/>
      <c r="K390" s="2370"/>
      <c r="L390" s="2370"/>
      <c r="M390" s="2370"/>
      <c r="N390" s="2370"/>
      <c r="O390" s="2370"/>
      <c r="P390" s="2370"/>
      <c r="Q390" s="2370"/>
      <c r="R390" s="2370"/>
      <c r="S390" s="2370"/>
      <c r="T390" s="2370"/>
      <c r="U390" s="2370"/>
      <c r="V390" s="2370"/>
      <c r="W390" s="2370"/>
      <c r="X390" s="2370"/>
      <c r="Y390" s="2370"/>
      <c r="Z390" s="2370"/>
      <c r="AA390" s="2370"/>
      <c r="AB390" s="2370"/>
      <c r="AC390" s="2370"/>
      <c r="AD390" s="2370"/>
      <c r="AE390" s="2370"/>
      <c r="AF390" s="2370"/>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1"/>
      <c r="G391" s="2371"/>
      <c r="H391" s="2371"/>
      <c r="I391" s="2371"/>
      <c r="J391" s="2371"/>
      <c r="K391" s="2371"/>
      <c r="L391" s="2371"/>
      <c r="M391" s="2371"/>
      <c r="N391" s="2371"/>
      <c r="O391" s="2371"/>
      <c r="P391" s="2371"/>
      <c r="Q391" s="2371"/>
      <c r="R391" s="2371"/>
      <c r="S391" s="2371"/>
      <c r="T391" s="2371"/>
      <c r="U391" s="2371"/>
      <c r="V391" s="2371"/>
      <c r="W391" s="2371"/>
      <c r="X391" s="2371"/>
      <c r="Y391" s="2371"/>
      <c r="Z391" s="2371"/>
      <c r="AA391" s="2371"/>
      <c r="AB391" s="2371"/>
      <c r="AC391" s="2371"/>
      <c r="AD391" s="2371"/>
      <c r="AE391" s="2371"/>
      <c r="AF391" s="2371"/>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1"/>
      <c r="G392" s="2371"/>
      <c r="H392" s="2371"/>
      <c r="I392" s="2371"/>
      <c r="J392" s="2371"/>
      <c r="K392" s="2371"/>
      <c r="L392" s="2371"/>
      <c r="M392" s="2371"/>
      <c r="N392" s="2371"/>
      <c r="O392" s="2371"/>
      <c r="P392" s="2371"/>
      <c r="Q392" s="2371"/>
      <c r="R392" s="2371"/>
      <c r="S392" s="2371"/>
      <c r="T392" s="2371"/>
      <c r="U392" s="2371"/>
      <c r="V392" s="2371"/>
      <c r="W392" s="2371"/>
      <c r="X392" s="2371"/>
      <c r="Y392" s="2371"/>
      <c r="Z392" s="2371"/>
      <c r="AA392" s="2371"/>
      <c r="AB392" s="2371"/>
      <c r="AC392" s="2371"/>
      <c r="AD392" s="2371"/>
      <c r="AE392" s="2371"/>
      <c r="AF392" s="2371"/>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1"/>
      <c r="G393" s="2371"/>
      <c r="H393" s="2371"/>
      <c r="I393" s="2371"/>
      <c r="J393" s="2371"/>
      <c r="K393" s="2371"/>
      <c r="L393" s="2371"/>
      <c r="M393" s="2371"/>
      <c r="N393" s="2371"/>
      <c r="O393" s="2371"/>
      <c r="P393" s="2371"/>
      <c r="Q393" s="2371"/>
      <c r="R393" s="2371"/>
      <c r="S393" s="2371"/>
      <c r="T393" s="2371"/>
      <c r="U393" s="2371"/>
      <c r="V393" s="2371"/>
      <c r="W393" s="2371"/>
      <c r="X393" s="2371"/>
      <c r="Y393" s="2371"/>
      <c r="Z393" s="2371"/>
      <c r="AA393" s="2371"/>
      <c r="AB393" s="2371"/>
      <c r="AC393" s="2371"/>
      <c r="AD393" s="2371"/>
      <c r="AE393" s="2371"/>
      <c r="AF393" s="2371"/>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5" t="s">
        <v>856</v>
      </c>
      <c r="D394" s="2342"/>
      <c r="E394" s="615"/>
      <c r="F394" s="617" t="s">
        <v>2341</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6" t="s">
        <v>2342</v>
      </c>
      <c r="AG394" s="2396"/>
      <c r="AH394" s="2396"/>
      <c r="AI394" s="2396"/>
      <c r="AJ394" s="2396"/>
      <c r="AK394" s="2396"/>
      <c r="AL394" s="2397"/>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2160</v>
      </c>
      <c r="F397" s="2370" t="s">
        <v>2343</v>
      </c>
      <c r="G397" s="2370"/>
      <c r="H397" s="2370"/>
      <c r="I397" s="2370"/>
      <c r="J397" s="2370"/>
      <c r="K397" s="2370"/>
      <c r="L397" s="2370"/>
      <c r="M397" s="2370"/>
      <c r="N397" s="2370"/>
      <c r="O397" s="2370"/>
      <c r="P397" s="2370"/>
      <c r="Q397" s="2370"/>
      <c r="R397" s="2370"/>
      <c r="S397" s="2370"/>
      <c r="T397" s="2370"/>
      <c r="U397" s="2370"/>
      <c r="V397" s="2370"/>
      <c r="W397" s="2370"/>
      <c r="X397" s="2370"/>
      <c r="Y397" s="2370"/>
      <c r="Z397" s="2370"/>
      <c r="AA397" s="2370"/>
      <c r="AB397" s="2370"/>
      <c r="AC397" s="2370"/>
      <c r="AD397" s="2370"/>
      <c r="AE397" s="2370"/>
      <c r="AF397" s="2370"/>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1"/>
      <c r="G401" s="2371"/>
      <c r="H401" s="2371"/>
      <c r="I401" s="2371"/>
      <c r="J401" s="2371"/>
      <c r="K401" s="2371"/>
      <c r="L401" s="2371"/>
      <c r="M401" s="2371"/>
      <c r="N401" s="2371"/>
      <c r="O401" s="2371"/>
      <c r="P401" s="2371"/>
      <c r="Q401" s="2371"/>
      <c r="R401" s="2371"/>
      <c r="S401" s="2371"/>
      <c r="T401" s="2371"/>
      <c r="U401" s="2371"/>
      <c r="V401" s="2371"/>
      <c r="W401" s="2371"/>
      <c r="X401" s="2371"/>
      <c r="Y401" s="2371"/>
      <c r="Z401" s="2371"/>
      <c r="AA401" s="2371"/>
      <c r="AB401" s="2371"/>
      <c r="AC401" s="2371"/>
      <c r="AD401" s="2371"/>
      <c r="AE401" s="2371"/>
      <c r="AF401" s="2371"/>
      <c r="AL401" s="628"/>
      <c r="AN401" s="495"/>
      <c r="BS401" s="25"/>
      <c r="BT401" s="25"/>
      <c r="BU401" s="13"/>
      <c r="BV401" s="13"/>
      <c r="BW401" s="13"/>
      <c r="BX401" s="13"/>
      <c r="BY401" s="13"/>
      <c r="BZ401" s="13"/>
      <c r="CA401" s="13"/>
      <c r="CB401" s="13"/>
      <c r="CC401" s="13"/>
    </row>
    <row r="402" spans="1:81" s="449" customFormat="1" ht="12.75" customHeight="1">
      <c r="A402" s="436"/>
      <c r="B402" s="13"/>
      <c r="C402" s="2395" t="s">
        <v>820</v>
      </c>
      <c r="D402" s="2342"/>
      <c r="E402" s="587"/>
      <c r="F402" s="617" t="s">
        <v>2344</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6" t="s">
        <v>2342</v>
      </c>
      <c r="AG402" s="2396"/>
      <c r="AH402" s="2396"/>
      <c r="AI402" s="2396"/>
      <c r="AJ402" s="2396"/>
      <c r="AK402" s="2396"/>
      <c r="AL402" s="2397"/>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2165</v>
      </c>
      <c r="F405" s="2370" t="s">
        <v>2345</v>
      </c>
      <c r="G405" s="2370"/>
      <c r="H405" s="2370"/>
      <c r="I405" s="2370"/>
      <c r="J405" s="2370"/>
      <c r="K405" s="2370"/>
      <c r="L405" s="2370"/>
      <c r="M405" s="2370"/>
      <c r="N405" s="2370"/>
      <c r="O405" s="2370"/>
      <c r="P405" s="2370"/>
      <c r="Q405" s="2370"/>
      <c r="R405" s="2370"/>
      <c r="S405" s="2370"/>
      <c r="T405" s="2370"/>
      <c r="U405" s="2370"/>
      <c r="V405" s="2370"/>
      <c r="W405" s="2370"/>
      <c r="X405" s="2370"/>
      <c r="Y405" s="2370"/>
      <c r="Z405" s="2370"/>
      <c r="AA405" s="2370"/>
      <c r="AB405" s="2370"/>
      <c r="AC405" s="2370"/>
      <c r="AD405" s="2370"/>
      <c r="AE405" s="2370"/>
      <c r="AF405" s="2370"/>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1"/>
      <c r="G406" s="2371"/>
      <c r="H406" s="2371"/>
      <c r="I406" s="2371"/>
      <c r="J406" s="2371"/>
      <c r="K406" s="2371"/>
      <c r="L406" s="2371"/>
      <c r="M406" s="2371"/>
      <c r="N406" s="2371"/>
      <c r="O406" s="2371"/>
      <c r="P406" s="2371"/>
      <c r="Q406" s="2371"/>
      <c r="R406" s="2371"/>
      <c r="S406" s="2371"/>
      <c r="T406" s="2371"/>
      <c r="U406" s="2371"/>
      <c r="V406" s="2371"/>
      <c r="W406" s="2371"/>
      <c r="X406" s="2371"/>
      <c r="Y406" s="2371"/>
      <c r="Z406" s="2371"/>
      <c r="AA406" s="2371"/>
      <c r="AB406" s="2371"/>
      <c r="AC406" s="2371"/>
      <c r="AD406" s="2371"/>
      <c r="AE406" s="2371"/>
      <c r="AF406" s="2371"/>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1"/>
      <c r="G407" s="2371"/>
      <c r="H407" s="2371"/>
      <c r="I407" s="2371"/>
      <c r="J407" s="2371"/>
      <c r="K407" s="2371"/>
      <c r="L407" s="2371"/>
      <c r="M407" s="2371"/>
      <c r="N407" s="2371"/>
      <c r="O407" s="2371"/>
      <c r="P407" s="2371"/>
      <c r="Q407" s="2371"/>
      <c r="R407" s="2371"/>
      <c r="S407" s="2371"/>
      <c r="T407" s="2371"/>
      <c r="U407" s="2371"/>
      <c r="V407" s="2371"/>
      <c r="W407" s="2371"/>
      <c r="X407" s="2371"/>
      <c r="Y407" s="2371"/>
      <c r="Z407" s="2371"/>
      <c r="AA407" s="2371"/>
      <c r="AB407" s="2371"/>
      <c r="AC407" s="2371"/>
      <c r="AD407" s="2371"/>
      <c r="AE407" s="2371"/>
      <c r="AF407" s="2371"/>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1"/>
      <c r="G408" s="2371"/>
      <c r="H408" s="2371"/>
      <c r="I408" s="2371"/>
      <c r="J408" s="2371"/>
      <c r="K408" s="2371"/>
      <c r="L408" s="2371"/>
      <c r="M408" s="2371"/>
      <c r="N408" s="2371"/>
      <c r="O408" s="2371"/>
      <c r="P408" s="2371"/>
      <c r="Q408" s="2371"/>
      <c r="R408" s="2371"/>
      <c r="S408" s="2371"/>
      <c r="T408" s="2371"/>
      <c r="U408" s="2371"/>
      <c r="V408" s="2371"/>
      <c r="W408" s="2371"/>
      <c r="X408" s="2371"/>
      <c r="Y408" s="2371"/>
      <c r="Z408" s="2371"/>
      <c r="AA408" s="2371"/>
      <c r="AB408" s="2371"/>
      <c r="AC408" s="2371"/>
      <c r="AD408" s="2371"/>
      <c r="AE408" s="2371"/>
      <c r="AF408" s="2371"/>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1"/>
      <c r="G409" s="2371"/>
      <c r="H409" s="2371"/>
      <c r="I409" s="2371"/>
      <c r="J409" s="2371"/>
      <c r="K409" s="2371"/>
      <c r="L409" s="2371"/>
      <c r="M409" s="2371"/>
      <c r="N409" s="2371"/>
      <c r="O409" s="2371"/>
      <c r="P409" s="2371"/>
      <c r="Q409" s="2371"/>
      <c r="R409" s="2371"/>
      <c r="S409" s="2371"/>
      <c r="T409" s="2371"/>
      <c r="U409" s="2371"/>
      <c r="V409" s="2371"/>
      <c r="W409" s="2371"/>
      <c r="X409" s="2371"/>
      <c r="Y409" s="2371"/>
      <c r="Z409" s="2371"/>
      <c r="AA409" s="2371"/>
      <c r="AB409" s="2371"/>
      <c r="AC409" s="2371"/>
      <c r="AD409" s="2371"/>
      <c r="AE409" s="2371"/>
      <c r="AF409" s="2371"/>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5" t="s">
        <v>820</v>
      </c>
      <c r="D410" s="2342"/>
      <c r="E410" s="587"/>
      <c r="F410" s="617" t="s">
        <v>2346</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6" t="s">
        <v>2347</v>
      </c>
      <c r="AG410" s="2396"/>
      <c r="AH410" s="2396"/>
      <c r="AI410" s="2396"/>
      <c r="AJ410" s="2396"/>
      <c r="AK410" s="2396"/>
      <c r="AL410" s="2397"/>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5" t="s">
        <v>856</v>
      </c>
      <c r="D412" s="2342"/>
      <c r="E412" s="587"/>
      <c r="F412" s="634" t="s">
        <v>2348</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6" t="s">
        <v>2342</v>
      </c>
      <c r="AG412" s="2396"/>
      <c r="AH412" s="2396"/>
      <c r="AI412" s="2396"/>
      <c r="AJ412" s="2396"/>
      <c r="AK412" s="2396"/>
      <c r="AL412" s="2397"/>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2349</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2167</v>
      </c>
      <c r="F416" s="2370" t="s">
        <v>2350</v>
      </c>
      <c r="G416" s="2370"/>
      <c r="H416" s="2370"/>
      <c r="I416" s="2370"/>
      <c r="J416" s="2370"/>
      <c r="K416" s="2370"/>
      <c r="L416" s="2370"/>
      <c r="M416" s="2370"/>
      <c r="N416" s="2370"/>
      <c r="O416" s="2370"/>
      <c r="P416" s="2370"/>
      <c r="Q416" s="2370"/>
      <c r="R416" s="2370"/>
      <c r="S416" s="2370"/>
      <c r="T416" s="2370"/>
      <c r="U416" s="2370"/>
      <c r="V416" s="2370"/>
      <c r="W416" s="2370"/>
      <c r="X416" s="2370"/>
      <c r="Y416" s="2370"/>
      <c r="Z416" s="2370"/>
      <c r="AA416" s="2370"/>
      <c r="AB416" s="2370"/>
      <c r="AC416" s="2370"/>
      <c r="AD416" s="2370"/>
      <c r="AE416" s="2370"/>
      <c r="AF416" s="2370"/>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1"/>
      <c r="G417" s="2371"/>
      <c r="H417" s="2371"/>
      <c r="I417" s="2371"/>
      <c r="J417" s="2371"/>
      <c r="K417" s="2371"/>
      <c r="L417" s="2371"/>
      <c r="M417" s="2371"/>
      <c r="N417" s="2371"/>
      <c r="O417" s="2371"/>
      <c r="P417" s="2371"/>
      <c r="Q417" s="2371"/>
      <c r="R417" s="2371"/>
      <c r="S417" s="2371"/>
      <c r="T417" s="2371"/>
      <c r="U417" s="2371"/>
      <c r="V417" s="2371"/>
      <c r="W417" s="2371"/>
      <c r="X417" s="2371"/>
      <c r="Y417" s="2371"/>
      <c r="Z417" s="2371"/>
      <c r="AA417" s="2371"/>
      <c r="AB417" s="2371"/>
      <c r="AC417" s="2371"/>
      <c r="AD417" s="2371"/>
      <c r="AE417" s="2371"/>
      <c r="AF417" s="2371"/>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2371"/>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1"/>
      <c r="G419" s="2371"/>
      <c r="H419" s="2371"/>
      <c r="I419" s="2371"/>
      <c r="J419" s="2371"/>
      <c r="K419" s="2371"/>
      <c r="L419" s="2371"/>
      <c r="M419" s="2371"/>
      <c r="N419" s="2371"/>
      <c r="O419" s="2371"/>
      <c r="P419" s="2371"/>
      <c r="Q419" s="2371"/>
      <c r="R419" s="2371"/>
      <c r="S419" s="2371"/>
      <c r="T419" s="2371"/>
      <c r="U419" s="2371"/>
      <c r="V419" s="2371"/>
      <c r="W419" s="2371"/>
      <c r="X419" s="2371"/>
      <c r="Y419" s="2371"/>
      <c r="Z419" s="2371"/>
      <c r="AA419" s="2371"/>
      <c r="AB419" s="2371"/>
      <c r="AC419" s="2371"/>
      <c r="AD419" s="2371"/>
      <c r="AE419" s="2371"/>
      <c r="AF419" s="2371"/>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5" t="s">
        <v>820</v>
      </c>
      <c r="D420" s="2342"/>
      <c r="E420" s="587"/>
      <c r="F420" s="617" t="s">
        <v>2351</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6" t="s">
        <v>2342</v>
      </c>
      <c r="AG420" s="2396"/>
      <c r="AH420" s="2396"/>
      <c r="AI420" s="2396"/>
      <c r="AJ420" s="2396"/>
      <c r="AK420" s="2396"/>
      <c r="AL420" s="2397"/>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5" t="s">
        <v>820</v>
      </c>
      <c r="D422" s="2342"/>
      <c r="E422" s="615"/>
      <c r="F422" s="617" t="s">
        <v>2352</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6" t="s">
        <v>2353</v>
      </c>
      <c r="AG422" s="2396"/>
      <c r="AH422" s="2396"/>
      <c r="AI422" s="2396"/>
      <c r="AJ422" s="2396"/>
      <c r="AK422" s="2396"/>
      <c r="AL422" s="2397"/>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5" t="s">
        <v>820</v>
      </c>
      <c r="D425" s="2342"/>
      <c r="E425" s="611" t="s">
        <v>2354</v>
      </c>
      <c r="F425" s="2370" t="s">
        <v>2355</v>
      </c>
      <c r="G425" s="2370"/>
      <c r="H425" s="2370"/>
      <c r="I425" s="2370"/>
      <c r="J425" s="2370"/>
      <c r="K425" s="2370"/>
      <c r="L425" s="2370"/>
      <c r="M425" s="2370"/>
      <c r="N425" s="2370"/>
      <c r="O425" s="2370"/>
      <c r="P425" s="2370"/>
      <c r="Q425" s="2370"/>
      <c r="R425" s="2370"/>
      <c r="S425" s="2370"/>
      <c r="T425" s="2370"/>
      <c r="U425" s="2370"/>
      <c r="V425" s="2370"/>
      <c r="W425" s="2370"/>
      <c r="X425" s="2370"/>
      <c r="Y425" s="2370"/>
      <c r="Z425" s="2370"/>
      <c r="AA425" s="2370"/>
      <c r="AB425" s="2370"/>
      <c r="AC425" s="2370"/>
      <c r="AD425" s="2370"/>
      <c r="AE425" s="2370"/>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1"/>
      <c r="G426" s="2371"/>
      <c r="H426" s="2371"/>
      <c r="I426" s="2371"/>
      <c r="J426" s="2371"/>
      <c r="K426" s="2371"/>
      <c r="L426" s="2371"/>
      <c r="M426" s="2371"/>
      <c r="N426" s="2371"/>
      <c r="O426" s="2371"/>
      <c r="P426" s="2371"/>
      <c r="Q426" s="2371"/>
      <c r="R426" s="2371"/>
      <c r="S426" s="2371"/>
      <c r="T426" s="2371"/>
      <c r="U426" s="2371"/>
      <c r="V426" s="2371"/>
      <c r="W426" s="2371"/>
      <c r="X426" s="2371"/>
      <c r="Y426" s="2371"/>
      <c r="Z426" s="2371"/>
      <c r="AA426" s="2371"/>
      <c r="AB426" s="2371"/>
      <c r="AC426" s="2371"/>
      <c r="AD426" s="2371"/>
      <c r="AE426" s="2371"/>
      <c r="AF426" s="2321" t="s">
        <v>2342</v>
      </c>
      <c r="AG426" s="2321"/>
      <c r="AH426" s="2321"/>
      <c r="AI426" s="2321"/>
      <c r="AJ426" s="2321"/>
      <c r="AK426" s="2321"/>
      <c r="AL426" s="2402"/>
      <c r="AM426" s="468"/>
      <c r="AN426" s="495"/>
      <c r="BS426" s="468"/>
      <c r="BT426" s="468"/>
      <c r="BY426" s="468"/>
      <c r="BZ426" s="468"/>
      <c r="CA426" s="468"/>
      <c r="CB426" s="468"/>
      <c r="CC426" s="468"/>
    </row>
    <row r="427" spans="1:81" s="449" customFormat="1" ht="12.75" customHeight="1">
      <c r="A427" s="436"/>
      <c r="B427" s="13"/>
      <c r="C427" s="627"/>
      <c r="D427" s="13"/>
      <c r="E427" s="587"/>
      <c r="F427" s="2371"/>
      <c r="G427" s="2371"/>
      <c r="H427" s="2371"/>
      <c r="I427" s="2371"/>
      <c r="J427" s="2371"/>
      <c r="K427" s="2371"/>
      <c r="L427" s="2371"/>
      <c r="M427" s="2371"/>
      <c r="N427" s="2371"/>
      <c r="O427" s="2371"/>
      <c r="P427" s="2371"/>
      <c r="Q427" s="2371"/>
      <c r="R427" s="2371"/>
      <c r="S427" s="2371"/>
      <c r="T427" s="2371"/>
      <c r="U427" s="2371"/>
      <c r="V427" s="2371"/>
      <c r="W427" s="2371"/>
      <c r="X427" s="2371"/>
      <c r="Y427" s="2371"/>
      <c r="Z427" s="2371"/>
      <c r="AA427" s="2371"/>
      <c r="AB427" s="2371"/>
      <c r="AC427" s="2371"/>
      <c r="AD427" s="2371"/>
      <c r="AE427" s="2371"/>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2"/>
      <c r="G428" s="2372"/>
      <c r="H428" s="2372"/>
      <c r="I428" s="2372"/>
      <c r="J428" s="2372"/>
      <c r="K428" s="2372"/>
      <c r="L428" s="2372"/>
      <c r="M428" s="2372"/>
      <c r="N428" s="2372"/>
      <c r="O428" s="2372"/>
      <c r="P428" s="2372"/>
      <c r="Q428" s="2372"/>
      <c r="R428" s="2372"/>
      <c r="S428" s="2372"/>
      <c r="T428" s="2372"/>
      <c r="U428" s="2372"/>
      <c r="V428" s="2372"/>
      <c r="W428" s="2372"/>
      <c r="X428" s="2372"/>
      <c r="Y428" s="2372"/>
      <c r="Z428" s="2372"/>
      <c r="AA428" s="2372"/>
      <c r="AB428" s="2372"/>
      <c r="AC428" s="2372"/>
      <c r="AD428" s="2372"/>
      <c r="AE428" s="2372"/>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2356</v>
      </c>
      <c r="F430" s="2370" t="s">
        <v>2357</v>
      </c>
      <c r="G430" s="2370"/>
      <c r="H430" s="2370"/>
      <c r="I430" s="2370"/>
      <c r="J430" s="2370"/>
      <c r="K430" s="2370"/>
      <c r="L430" s="2370"/>
      <c r="M430" s="2370"/>
      <c r="N430" s="2370"/>
      <c r="O430" s="2370"/>
      <c r="P430" s="2370"/>
      <c r="Q430" s="2370"/>
      <c r="R430" s="2370"/>
      <c r="S430" s="2370"/>
      <c r="T430" s="2370"/>
      <c r="U430" s="2370"/>
      <c r="V430" s="2370"/>
      <c r="W430" s="2370"/>
      <c r="X430" s="2370"/>
      <c r="Y430" s="2370"/>
      <c r="Z430" s="2370"/>
      <c r="AA430" s="2370"/>
      <c r="AB430" s="2370"/>
      <c r="AC430" s="2370"/>
      <c r="AD430" s="2370"/>
      <c r="AE430" s="2370"/>
      <c r="AF430" s="643"/>
      <c r="AG430" s="643"/>
      <c r="AH430" s="643"/>
      <c r="AI430" s="643"/>
      <c r="AJ430" s="643"/>
      <c r="AK430" s="643"/>
      <c r="AL430" s="644"/>
      <c r="AM430" s="468"/>
    </row>
    <row r="431" spans="1:81">
      <c r="A431" s="436"/>
      <c r="C431" s="627"/>
      <c r="E431" s="587"/>
      <c r="F431" s="2371"/>
      <c r="G431" s="2371"/>
      <c r="H431" s="2371"/>
      <c r="I431" s="2371"/>
      <c r="J431" s="2371"/>
      <c r="K431" s="2371"/>
      <c r="L431" s="2371"/>
      <c r="M431" s="2371"/>
      <c r="N431" s="2371"/>
      <c r="O431" s="2371"/>
      <c r="P431" s="2371"/>
      <c r="Q431" s="2371"/>
      <c r="R431" s="2371"/>
      <c r="S431" s="2371"/>
      <c r="T431" s="2371"/>
      <c r="U431" s="2371"/>
      <c r="V431" s="2371"/>
      <c r="W431" s="2371"/>
      <c r="X431" s="2371"/>
      <c r="Y431" s="2371"/>
      <c r="Z431" s="2371"/>
      <c r="AA431" s="2371"/>
      <c r="AB431" s="2371"/>
      <c r="AC431" s="2371"/>
      <c r="AD431" s="2371"/>
      <c r="AE431" s="2371"/>
      <c r="AF431" s="439"/>
      <c r="AG431" s="436"/>
      <c r="AH431" s="449"/>
      <c r="AI431" s="449"/>
      <c r="AJ431" s="449"/>
      <c r="AK431" s="449"/>
      <c r="AL431" s="628"/>
      <c r="AM431" s="468"/>
    </row>
    <row r="432" spans="1:81" s="449" customFormat="1" ht="12.75" customHeight="1">
      <c r="A432" s="436"/>
      <c r="B432" s="13"/>
      <c r="C432" s="627"/>
      <c r="D432" s="13"/>
      <c r="E432" s="587"/>
      <c r="F432" s="2371"/>
      <c r="G432" s="2371"/>
      <c r="H432" s="2371"/>
      <c r="I432" s="2371"/>
      <c r="J432" s="2371"/>
      <c r="K432" s="2371"/>
      <c r="L432" s="2371"/>
      <c r="M432" s="2371"/>
      <c r="N432" s="2371"/>
      <c r="O432" s="2371"/>
      <c r="P432" s="2371"/>
      <c r="Q432" s="2371"/>
      <c r="R432" s="2371"/>
      <c r="S432" s="2371"/>
      <c r="T432" s="2371"/>
      <c r="U432" s="2371"/>
      <c r="V432" s="2371"/>
      <c r="W432" s="2371"/>
      <c r="X432" s="2371"/>
      <c r="Y432" s="2371"/>
      <c r="Z432" s="2371"/>
      <c r="AA432" s="2371"/>
      <c r="AB432" s="2371"/>
      <c r="AC432" s="2371"/>
      <c r="AD432" s="2371"/>
      <c r="AE432" s="2371"/>
      <c r="AL432" s="628"/>
      <c r="AM432" s="468"/>
      <c r="AN432" s="495"/>
    </row>
    <row r="433" spans="1:60" s="449" customFormat="1" ht="12.75" customHeight="1">
      <c r="A433" s="436"/>
      <c r="B433" s="13"/>
      <c r="C433" s="635"/>
      <c r="F433" s="2371"/>
      <c r="G433" s="2371"/>
      <c r="H433" s="2371"/>
      <c r="I433" s="2371"/>
      <c r="J433" s="2371"/>
      <c r="K433" s="2371"/>
      <c r="L433" s="2371"/>
      <c r="M433" s="2371"/>
      <c r="N433" s="2371"/>
      <c r="O433" s="2371"/>
      <c r="P433" s="2371"/>
      <c r="Q433" s="2371"/>
      <c r="R433" s="2371"/>
      <c r="S433" s="2371"/>
      <c r="T433" s="2371"/>
      <c r="U433" s="2371"/>
      <c r="V433" s="2371"/>
      <c r="W433" s="2371"/>
      <c r="X433" s="2371"/>
      <c r="Y433" s="2371"/>
      <c r="Z433" s="2371"/>
      <c r="AA433" s="2371"/>
      <c r="AB433" s="2371"/>
      <c r="AC433" s="2371"/>
      <c r="AD433" s="2371"/>
      <c r="AE433" s="2371"/>
      <c r="AL433" s="628"/>
      <c r="AM433" s="468"/>
      <c r="AN433" s="495"/>
    </row>
    <row r="434" spans="1:60" s="449" customFormat="1" ht="12.75" customHeight="1">
      <c r="A434" s="436"/>
      <c r="B434" s="13"/>
      <c r="C434" s="2395" t="s">
        <v>820</v>
      </c>
      <c r="D434" s="2342"/>
      <c r="E434" s="587"/>
      <c r="F434" s="617" t="s">
        <v>2358</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1" t="s">
        <v>2342</v>
      </c>
      <c r="AG434" s="2321"/>
      <c r="AH434" s="2321"/>
      <c r="AI434" s="2321"/>
      <c r="AJ434" s="2321"/>
      <c r="AK434" s="2321"/>
      <c r="AL434" s="2402"/>
      <c r="AM434" s="468"/>
      <c r="AN434" s="495"/>
    </row>
    <row r="435" spans="1:60" s="449" customFormat="1" ht="12.75" customHeight="1">
      <c r="A435" s="436"/>
      <c r="B435" s="13"/>
      <c r="C435" s="635"/>
      <c r="AL435" s="628"/>
      <c r="AM435" s="468"/>
      <c r="AN435" s="495"/>
    </row>
    <row r="436" spans="1:60" s="449" customFormat="1" ht="12.75" customHeight="1">
      <c r="A436" s="436"/>
      <c r="B436" s="13"/>
      <c r="C436" s="2395" t="s">
        <v>820</v>
      </c>
      <c r="D436" s="2342"/>
      <c r="E436" s="615"/>
      <c r="F436" s="617" t="s">
        <v>2359</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1" t="s">
        <v>2353</v>
      </c>
      <c r="AG436" s="2321"/>
      <c r="AH436" s="2321"/>
      <c r="AI436" s="2321"/>
      <c r="AJ436" s="2321"/>
      <c r="AK436" s="2321"/>
      <c r="AL436" s="2402"/>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2360</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2361</v>
      </c>
      <c r="F440" s="2370" t="s">
        <v>2362</v>
      </c>
      <c r="G440" s="2370"/>
      <c r="H440" s="2370"/>
      <c r="I440" s="2370"/>
      <c r="J440" s="2370"/>
      <c r="K440" s="2370"/>
      <c r="L440" s="2370"/>
      <c r="M440" s="2370"/>
      <c r="N440" s="2370"/>
      <c r="O440" s="2370"/>
      <c r="P440" s="2370"/>
      <c r="Q440" s="2370"/>
      <c r="R440" s="2370"/>
      <c r="S440" s="2370"/>
      <c r="T440" s="2370"/>
      <c r="U440" s="2370"/>
      <c r="V440" s="2370"/>
      <c r="W440" s="2370"/>
      <c r="X440" s="2370"/>
      <c r="Y440" s="2370"/>
      <c r="Z440" s="2370"/>
      <c r="AA440" s="2370"/>
      <c r="AB440" s="2370"/>
      <c r="AC440" s="2370"/>
      <c r="AD440" s="2370"/>
      <c r="AE440" s="2370"/>
      <c r="AF440" s="610"/>
      <c r="AG440" s="610"/>
      <c r="AH440" s="610"/>
      <c r="AI440" s="610"/>
      <c r="AJ440" s="610"/>
      <c r="AK440" s="610"/>
      <c r="AL440" s="641"/>
      <c r="AM440" s="468"/>
      <c r="AN440" s="495"/>
    </row>
    <row r="441" spans="1:60" s="449" customFormat="1" ht="12.75" customHeight="1">
      <c r="A441" s="436"/>
      <c r="B441" s="13"/>
      <c r="C441" s="627"/>
      <c r="D441" s="13"/>
      <c r="E441" s="587"/>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F441" s="439"/>
      <c r="AG441" s="436"/>
      <c r="AL441" s="628"/>
      <c r="AM441" s="468"/>
      <c r="AN441" s="495"/>
    </row>
    <row r="442" spans="1:60" s="449" customFormat="1" ht="12.45" customHeight="1">
      <c r="A442" s="436"/>
      <c r="B442" s="13"/>
      <c r="C442" s="627"/>
      <c r="D442" s="13"/>
      <c r="E442" s="587"/>
      <c r="F442" s="2371"/>
      <c r="G442" s="2371"/>
      <c r="H442" s="2371"/>
      <c r="I442" s="2371"/>
      <c r="J442" s="2371"/>
      <c r="K442" s="2371"/>
      <c r="L442" s="2371"/>
      <c r="M442" s="2371"/>
      <c r="N442" s="2371"/>
      <c r="O442" s="2371"/>
      <c r="P442" s="2371"/>
      <c r="Q442" s="2371"/>
      <c r="R442" s="2371"/>
      <c r="S442" s="2371"/>
      <c r="T442" s="2371"/>
      <c r="U442" s="2371"/>
      <c r="V442" s="2371"/>
      <c r="W442" s="2371"/>
      <c r="X442" s="2371"/>
      <c r="Y442" s="2371"/>
      <c r="Z442" s="2371"/>
      <c r="AA442" s="2371"/>
      <c r="AB442" s="2371"/>
      <c r="AC442" s="2371"/>
      <c r="AD442" s="2371"/>
      <c r="AE442" s="2371"/>
      <c r="AL442" s="628"/>
      <c r="AM442" s="468"/>
      <c r="AN442" s="495"/>
    </row>
    <row r="443" spans="1:60" s="449" customFormat="1" ht="12.75" customHeight="1">
      <c r="A443" s="436"/>
      <c r="B443" s="13"/>
      <c r="C443" s="2395" t="s">
        <v>820</v>
      </c>
      <c r="D443" s="2342"/>
      <c r="E443" s="587"/>
      <c r="F443" s="617" t="s">
        <v>2363</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1" t="s">
        <v>2342</v>
      </c>
      <c r="AG443" s="2321"/>
      <c r="AH443" s="2321"/>
      <c r="AI443" s="2321"/>
      <c r="AJ443" s="2321"/>
      <c r="AK443" s="2321"/>
      <c r="AL443" s="2402"/>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2" customHeight="1">
      <c r="A446" s="436"/>
      <c r="C446" s="642"/>
      <c r="D446" s="643"/>
      <c r="E446" s="611" t="s">
        <v>2364</v>
      </c>
      <c r="F446" s="2370" t="s">
        <v>2365</v>
      </c>
      <c r="G446" s="2370"/>
      <c r="H446" s="2370"/>
      <c r="I446" s="2370"/>
      <c r="J446" s="2370"/>
      <c r="K446" s="2370"/>
      <c r="L446" s="2370"/>
      <c r="M446" s="2370"/>
      <c r="N446" s="2370"/>
      <c r="O446" s="2370"/>
      <c r="P446" s="2370"/>
      <c r="Q446" s="2370"/>
      <c r="R446" s="2370"/>
      <c r="S446" s="2370"/>
      <c r="T446" s="2370"/>
      <c r="U446" s="2370"/>
      <c r="V446" s="2370"/>
      <c r="W446" s="2370"/>
      <c r="X446" s="2370"/>
      <c r="Y446" s="2370"/>
      <c r="Z446" s="2370"/>
      <c r="AA446" s="2370"/>
      <c r="AB446" s="2370"/>
      <c r="AC446" s="2370"/>
      <c r="AD446" s="2370"/>
      <c r="AE446" s="2370"/>
      <c r="AF446" s="643"/>
      <c r="AG446" s="643"/>
      <c r="AH446" s="643"/>
      <c r="AI446" s="643"/>
      <c r="AJ446" s="643"/>
      <c r="AK446" s="643"/>
      <c r="AL446" s="644"/>
      <c r="AM446" s="468"/>
      <c r="AO446" s="449"/>
      <c r="AP446" s="449"/>
      <c r="BD446" s="13"/>
      <c r="BE446" s="13"/>
      <c r="BF446" s="13"/>
      <c r="BG446" s="13"/>
      <c r="BH446" s="13"/>
    </row>
    <row r="447" spans="1:60">
      <c r="A447" s="436"/>
      <c r="C447" s="627"/>
      <c r="E447" s="587"/>
      <c r="F447" s="2371"/>
      <c r="G447" s="2371"/>
      <c r="H447" s="2371"/>
      <c r="I447" s="2371"/>
      <c r="J447" s="2371"/>
      <c r="K447" s="2371"/>
      <c r="L447" s="2371"/>
      <c r="M447" s="2371"/>
      <c r="N447" s="2371"/>
      <c r="O447" s="2371"/>
      <c r="P447" s="2371"/>
      <c r="Q447" s="2371"/>
      <c r="R447" s="2371"/>
      <c r="S447" s="2371"/>
      <c r="T447" s="2371"/>
      <c r="U447" s="2371"/>
      <c r="V447" s="2371"/>
      <c r="W447" s="2371"/>
      <c r="X447" s="2371"/>
      <c r="Y447" s="2371"/>
      <c r="Z447" s="2371"/>
      <c r="AA447" s="2371"/>
      <c r="AB447" s="2371"/>
      <c r="AC447" s="2371"/>
      <c r="AD447" s="2371"/>
      <c r="AE447" s="2371"/>
      <c r="AF447" s="492"/>
      <c r="AG447" s="492"/>
      <c r="AH447" s="492"/>
      <c r="AI447" s="492"/>
      <c r="AJ447" s="492"/>
      <c r="AK447" s="492"/>
      <c r="AL447" s="646"/>
      <c r="AM447" s="468"/>
      <c r="AO447" s="449"/>
      <c r="AP447" s="449"/>
    </row>
    <row r="448" spans="1:60" s="449" customFormat="1" ht="12.75" customHeight="1">
      <c r="A448" s="436"/>
      <c r="B448" s="13"/>
      <c r="C448" s="627"/>
      <c r="D448" s="13"/>
      <c r="E448" s="587"/>
      <c r="F448" s="2371"/>
      <c r="G448" s="2371"/>
      <c r="H448" s="2371"/>
      <c r="I448" s="2371"/>
      <c r="J448" s="2371"/>
      <c r="K448" s="2371"/>
      <c r="L448" s="2371"/>
      <c r="M448" s="2371"/>
      <c r="N448" s="2371"/>
      <c r="O448" s="2371"/>
      <c r="P448" s="2371"/>
      <c r="Q448" s="2371"/>
      <c r="R448" s="2371"/>
      <c r="S448" s="2371"/>
      <c r="T448" s="2371"/>
      <c r="U448" s="2371"/>
      <c r="V448" s="2371"/>
      <c r="W448" s="2371"/>
      <c r="X448" s="2371"/>
      <c r="Y448" s="2371"/>
      <c r="Z448" s="2371"/>
      <c r="AA448" s="2371"/>
      <c r="AB448" s="2371"/>
      <c r="AC448" s="2371"/>
      <c r="AD448" s="2371"/>
      <c r="AE448" s="2371"/>
      <c r="AF448" s="492"/>
      <c r="AG448" s="492"/>
      <c r="AH448" s="492"/>
      <c r="AI448" s="492"/>
      <c r="AJ448" s="492"/>
      <c r="AK448" s="492"/>
      <c r="AL448" s="646"/>
      <c r="AM448" s="468"/>
      <c r="AN448" s="495"/>
    </row>
    <row r="449" spans="1:42" s="449" customFormat="1" ht="12.75" customHeight="1">
      <c r="A449" s="436"/>
      <c r="B449" s="13"/>
      <c r="C449" s="647"/>
      <c r="D449" s="626"/>
      <c r="E449" s="615"/>
      <c r="F449" s="2371"/>
      <c r="G449" s="2371"/>
      <c r="H449" s="2371"/>
      <c r="I449" s="2371"/>
      <c r="J449" s="2371"/>
      <c r="K449" s="2371"/>
      <c r="L449" s="2371"/>
      <c r="M449" s="2371"/>
      <c r="N449" s="2371"/>
      <c r="O449" s="2371"/>
      <c r="P449" s="2371"/>
      <c r="Q449" s="2371"/>
      <c r="R449" s="2371"/>
      <c r="S449" s="2371"/>
      <c r="T449" s="2371"/>
      <c r="U449" s="2371"/>
      <c r="V449" s="2371"/>
      <c r="W449" s="2371"/>
      <c r="X449" s="2371"/>
      <c r="Y449" s="2371"/>
      <c r="Z449" s="2371"/>
      <c r="AA449" s="2371"/>
      <c r="AB449" s="2371"/>
      <c r="AC449" s="2371"/>
      <c r="AD449" s="2371"/>
      <c r="AE449" s="2371"/>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1"/>
      <c r="G450" s="2371"/>
      <c r="H450" s="2371"/>
      <c r="I450" s="2371"/>
      <c r="J450" s="2371"/>
      <c r="K450" s="2371"/>
      <c r="L450" s="2371"/>
      <c r="M450" s="2371"/>
      <c r="N450" s="2371"/>
      <c r="O450" s="2371"/>
      <c r="P450" s="2371"/>
      <c r="Q450" s="2371"/>
      <c r="R450" s="2371"/>
      <c r="S450" s="2371"/>
      <c r="T450" s="2371"/>
      <c r="U450" s="2371"/>
      <c r="V450" s="2371"/>
      <c r="W450" s="2371"/>
      <c r="X450" s="2371"/>
      <c r="Y450" s="2371"/>
      <c r="Z450" s="2371"/>
      <c r="AA450" s="2371"/>
      <c r="AB450" s="2371"/>
      <c r="AC450" s="2371"/>
      <c r="AD450" s="2371"/>
      <c r="AE450" s="2371"/>
      <c r="AF450" s="492"/>
      <c r="AG450" s="492"/>
      <c r="AH450" s="492"/>
      <c r="AI450" s="492"/>
      <c r="AJ450" s="492"/>
      <c r="AK450" s="492"/>
      <c r="AL450" s="646"/>
      <c r="AM450" s="468"/>
      <c r="AN450" s="495"/>
    </row>
    <row r="451" spans="1:42" s="449" customFormat="1" ht="12.75" customHeight="1">
      <c r="A451" s="436"/>
      <c r="B451" s="13"/>
      <c r="C451" s="647"/>
      <c r="D451" s="626"/>
      <c r="E451" s="615"/>
      <c r="F451" s="2371"/>
      <c r="G451" s="2371"/>
      <c r="H451" s="2371"/>
      <c r="I451" s="2371"/>
      <c r="J451" s="2371"/>
      <c r="K451" s="2371"/>
      <c r="L451" s="2371"/>
      <c r="M451" s="2371"/>
      <c r="N451" s="2371"/>
      <c r="O451" s="2371"/>
      <c r="P451" s="2371"/>
      <c r="Q451" s="2371"/>
      <c r="R451" s="2371"/>
      <c r="S451" s="2371"/>
      <c r="T451" s="2371"/>
      <c r="U451" s="2371"/>
      <c r="V451" s="2371"/>
      <c r="W451" s="2371"/>
      <c r="X451" s="2371"/>
      <c r="Y451" s="2371"/>
      <c r="Z451" s="2371"/>
      <c r="AA451" s="2371"/>
      <c r="AB451" s="2371"/>
      <c r="AC451" s="2371"/>
      <c r="AD451" s="2371"/>
      <c r="AE451" s="2371"/>
      <c r="AF451" s="492"/>
      <c r="AG451" s="492"/>
      <c r="AH451" s="492"/>
      <c r="AI451" s="492"/>
      <c r="AJ451" s="492"/>
      <c r="AK451" s="492"/>
      <c r="AL451" s="646"/>
      <c r="AM451" s="468"/>
      <c r="AN451" s="495"/>
    </row>
    <row r="452" spans="1:42" s="449" customFormat="1" ht="12.75" customHeight="1">
      <c r="A452" s="436"/>
      <c r="B452" s="13"/>
      <c r="C452" s="647"/>
      <c r="D452" s="626"/>
      <c r="E452" s="615"/>
      <c r="F452" s="2371"/>
      <c r="G452" s="2371"/>
      <c r="H452" s="2371"/>
      <c r="I452" s="2371"/>
      <c r="J452" s="2371"/>
      <c r="K452" s="2371"/>
      <c r="L452" s="2371"/>
      <c r="M452" s="2371"/>
      <c r="N452" s="2371"/>
      <c r="O452" s="2371"/>
      <c r="P452" s="2371"/>
      <c r="Q452" s="2371"/>
      <c r="R452" s="2371"/>
      <c r="S452" s="2371"/>
      <c r="T452" s="2371"/>
      <c r="U452" s="2371"/>
      <c r="V452" s="2371"/>
      <c r="W452" s="2371"/>
      <c r="X452" s="2371"/>
      <c r="Y452" s="2371"/>
      <c r="Z452" s="2371"/>
      <c r="AA452" s="2371"/>
      <c r="AB452" s="2371"/>
      <c r="AC452" s="2371"/>
      <c r="AD452" s="2371"/>
      <c r="AE452" s="2371"/>
      <c r="AF452" s="492"/>
      <c r="AG452" s="492"/>
      <c r="AH452" s="492"/>
      <c r="AI452" s="492"/>
      <c r="AJ452" s="492"/>
      <c r="AK452" s="492"/>
      <c r="AL452" s="646"/>
      <c r="AM452" s="468"/>
      <c r="AN452" s="495"/>
    </row>
    <row r="453" spans="1:42" s="449" customFormat="1" ht="12.75" customHeight="1">
      <c r="A453" s="436"/>
      <c r="B453" s="13"/>
      <c r="C453" s="647"/>
      <c r="D453" s="626"/>
      <c r="E453" s="615"/>
      <c r="F453" s="2371"/>
      <c r="G453" s="2371"/>
      <c r="H453" s="2371"/>
      <c r="I453" s="2371"/>
      <c r="J453" s="2371"/>
      <c r="K453" s="2371"/>
      <c r="L453" s="2371"/>
      <c r="M453" s="2371"/>
      <c r="N453" s="2371"/>
      <c r="O453" s="2371"/>
      <c r="P453" s="2371"/>
      <c r="Q453" s="2371"/>
      <c r="R453" s="2371"/>
      <c r="S453" s="2371"/>
      <c r="T453" s="2371"/>
      <c r="U453" s="2371"/>
      <c r="V453" s="2371"/>
      <c r="W453" s="2371"/>
      <c r="X453" s="2371"/>
      <c r="Y453" s="2371"/>
      <c r="Z453" s="2371"/>
      <c r="AA453" s="2371"/>
      <c r="AB453" s="2371"/>
      <c r="AC453" s="2371"/>
      <c r="AD453" s="2371"/>
      <c r="AE453" s="2371"/>
      <c r="AF453" s="492"/>
      <c r="AG453" s="492"/>
      <c r="AH453" s="492"/>
      <c r="AI453" s="492"/>
      <c r="AJ453" s="492"/>
      <c r="AK453" s="492"/>
      <c r="AL453" s="646"/>
      <c r="AM453" s="468"/>
      <c r="AN453" s="495"/>
    </row>
    <row r="454" spans="1:42" s="449" customFormat="1" ht="17.25" customHeight="1">
      <c r="A454" s="436"/>
      <c r="B454" s="13"/>
      <c r="C454" s="647"/>
      <c r="D454" s="626"/>
      <c r="E454" s="615"/>
      <c r="F454" s="2371"/>
      <c r="G454" s="2371"/>
      <c r="H454" s="2371"/>
      <c r="I454" s="2371"/>
      <c r="J454" s="2371"/>
      <c r="K454" s="2371"/>
      <c r="L454" s="2371"/>
      <c r="M454" s="2371"/>
      <c r="N454" s="2371"/>
      <c r="O454" s="2371"/>
      <c r="P454" s="2371"/>
      <c r="Q454" s="2371"/>
      <c r="R454" s="2371"/>
      <c r="S454" s="2371"/>
      <c r="T454" s="2371"/>
      <c r="U454" s="2371"/>
      <c r="V454" s="2371"/>
      <c r="W454" s="2371"/>
      <c r="X454" s="2371"/>
      <c r="Y454" s="2371"/>
      <c r="Z454" s="2371"/>
      <c r="AA454" s="2371"/>
      <c r="AB454" s="2371"/>
      <c r="AC454" s="2371"/>
      <c r="AD454" s="2371"/>
      <c r="AE454" s="2371"/>
      <c r="AL454" s="628"/>
      <c r="AM454" s="468"/>
      <c r="AN454" s="495"/>
    </row>
    <row r="455" spans="1:42" s="449" customFormat="1" ht="12.75" customHeight="1">
      <c r="A455" s="436"/>
      <c r="B455" s="13"/>
      <c r="C455" s="2395" t="s">
        <v>820</v>
      </c>
      <c r="D455" s="2342"/>
      <c r="E455" s="615"/>
      <c r="F455" s="494" t="s">
        <v>2366</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1" t="s">
        <v>2342</v>
      </c>
      <c r="AG455" s="2321"/>
      <c r="AH455" s="2321"/>
      <c r="AI455" s="2321"/>
      <c r="AJ455" s="2321"/>
      <c r="AK455" s="2321"/>
      <c r="AL455" s="2402"/>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2367</v>
      </c>
      <c r="F458" s="2370" t="s">
        <v>2368</v>
      </c>
      <c r="G458" s="2370"/>
      <c r="H458" s="2370"/>
      <c r="I458" s="2370"/>
      <c r="J458" s="2370"/>
      <c r="K458" s="2370"/>
      <c r="L458" s="2370"/>
      <c r="M458" s="2370"/>
      <c r="N458" s="2370"/>
      <c r="O458" s="2370"/>
      <c r="P458" s="2370"/>
      <c r="Q458" s="2370"/>
      <c r="R458" s="2370"/>
      <c r="S458" s="2370"/>
      <c r="T458" s="2370"/>
      <c r="U458" s="2370"/>
      <c r="V458" s="2370"/>
      <c r="W458" s="2370"/>
      <c r="X458" s="2370"/>
      <c r="Y458" s="2370"/>
      <c r="Z458" s="2370"/>
      <c r="AA458" s="2370"/>
      <c r="AB458" s="2370"/>
      <c r="AC458" s="2370"/>
      <c r="AD458" s="2370"/>
      <c r="AE458" s="2370"/>
      <c r="AF458" s="610"/>
      <c r="AG458" s="610"/>
      <c r="AH458" s="610"/>
      <c r="AI458" s="610"/>
      <c r="AJ458" s="610"/>
      <c r="AK458" s="610"/>
      <c r="AL458" s="641"/>
      <c r="AM458" s="468"/>
      <c r="AN458" s="495"/>
    </row>
    <row r="459" spans="1:42" s="449" customFormat="1" ht="12.75" customHeight="1">
      <c r="A459" s="436"/>
      <c r="B459" s="13"/>
      <c r="C459" s="647"/>
      <c r="D459" s="626"/>
      <c r="E459" s="615"/>
      <c r="F459" s="2371"/>
      <c r="G459" s="2371"/>
      <c r="H459" s="2371"/>
      <c r="I459" s="2371"/>
      <c r="J459" s="2371"/>
      <c r="K459" s="2371"/>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489"/>
      <c r="AG459" s="489"/>
      <c r="AH459" s="489"/>
      <c r="AI459" s="489"/>
      <c r="AJ459" s="489"/>
      <c r="AK459" s="489"/>
      <c r="AL459" s="616"/>
      <c r="AM459" s="468"/>
      <c r="AN459" s="495"/>
    </row>
    <row r="460" spans="1:42" s="449" customFormat="1" ht="12.75" customHeight="1">
      <c r="A460" s="436"/>
      <c r="B460" s="13"/>
      <c r="C460" s="647"/>
      <c r="D460" s="626"/>
      <c r="E460" s="615"/>
      <c r="F460" s="2371"/>
      <c r="G460" s="2371"/>
      <c r="H460" s="2371"/>
      <c r="I460" s="2371"/>
      <c r="J460" s="2371"/>
      <c r="K460" s="2371"/>
      <c r="L460" s="2371"/>
      <c r="M460" s="2371"/>
      <c r="N460" s="2371"/>
      <c r="O460" s="2371"/>
      <c r="P460" s="2371"/>
      <c r="Q460" s="2371"/>
      <c r="R460" s="2371"/>
      <c r="S460" s="2371"/>
      <c r="T460" s="2371"/>
      <c r="U460" s="2371"/>
      <c r="V460" s="2371"/>
      <c r="W460" s="2371"/>
      <c r="X460" s="2371"/>
      <c r="Y460" s="2371"/>
      <c r="Z460" s="2371"/>
      <c r="AA460" s="2371"/>
      <c r="AB460" s="2371"/>
      <c r="AC460" s="2371"/>
      <c r="AD460" s="2371"/>
      <c r="AE460" s="2371"/>
      <c r="AF460" s="489"/>
      <c r="AG460" s="489"/>
      <c r="AH460" s="489"/>
      <c r="AI460" s="489"/>
      <c r="AJ460" s="489"/>
      <c r="AK460" s="489"/>
      <c r="AL460" s="616"/>
      <c r="AM460" s="468"/>
      <c r="AN460" s="495"/>
    </row>
    <row r="461" spans="1:42" s="449" customFormat="1" ht="12.75" customHeight="1">
      <c r="A461" s="436"/>
      <c r="B461" s="13"/>
      <c r="C461" s="647"/>
      <c r="D461" s="626"/>
      <c r="E461" s="615"/>
      <c r="F461" s="2371"/>
      <c r="G461" s="2371"/>
      <c r="H461" s="2371"/>
      <c r="I461" s="2371"/>
      <c r="J461" s="2371"/>
      <c r="K461" s="2371"/>
      <c r="L461" s="2371"/>
      <c r="M461" s="2371"/>
      <c r="N461" s="2371"/>
      <c r="O461" s="2371"/>
      <c r="P461" s="2371"/>
      <c r="Q461" s="2371"/>
      <c r="R461" s="2371"/>
      <c r="S461" s="2371"/>
      <c r="T461" s="2371"/>
      <c r="U461" s="2371"/>
      <c r="V461" s="2371"/>
      <c r="W461" s="2371"/>
      <c r="X461" s="2371"/>
      <c r="Y461" s="2371"/>
      <c r="Z461" s="2371"/>
      <c r="AA461" s="2371"/>
      <c r="AB461" s="2371"/>
      <c r="AC461" s="2371"/>
      <c r="AD461" s="2371"/>
      <c r="AE461" s="2371"/>
      <c r="AL461" s="628"/>
      <c r="AM461" s="468"/>
      <c r="AN461" s="495"/>
    </row>
    <row r="462" spans="1:42" s="449" customFormat="1" ht="12.75" customHeight="1">
      <c r="A462" s="436"/>
      <c r="B462" s="13"/>
      <c r="C462" s="2395" t="s">
        <v>820</v>
      </c>
      <c r="D462" s="2342"/>
      <c r="E462" s="615"/>
      <c r="F462" s="617" t="s">
        <v>2369</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1" t="s">
        <v>2342</v>
      </c>
      <c r="AG462" s="2321"/>
      <c r="AH462" s="2321"/>
      <c r="AI462" s="2321"/>
      <c r="AJ462" s="2321"/>
      <c r="AK462" s="2321"/>
      <c r="AL462" s="2402"/>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2349</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80" t="s">
        <v>820</v>
      </c>
      <c r="D466" s="2481"/>
      <c r="E466" s="611" t="s">
        <v>2370</v>
      </c>
      <c r="F466" s="2370" t="s">
        <v>2371</v>
      </c>
      <c r="G466" s="2370"/>
      <c r="H466" s="2370"/>
      <c r="I466" s="2370"/>
      <c r="J466" s="2370"/>
      <c r="K466" s="2370"/>
      <c r="L466" s="2370"/>
      <c r="M466" s="2370"/>
      <c r="N466" s="2370"/>
      <c r="O466" s="2370"/>
      <c r="P466" s="2370"/>
      <c r="Q466" s="2370"/>
      <c r="R466" s="2370"/>
      <c r="S466" s="2370"/>
      <c r="T466" s="2370"/>
      <c r="U466" s="2370"/>
      <c r="V466" s="2370"/>
      <c r="W466" s="2370"/>
      <c r="X466" s="2370"/>
      <c r="Y466" s="2370"/>
      <c r="Z466" s="2370"/>
      <c r="AA466" s="2370"/>
      <c r="AB466" s="2370"/>
      <c r="AC466" s="2370"/>
      <c r="AD466" s="2370"/>
      <c r="AE466" s="2370"/>
      <c r="AF466" s="2398" t="s">
        <v>2342</v>
      </c>
      <c r="AG466" s="2398"/>
      <c r="AH466" s="2398"/>
      <c r="AI466" s="2398"/>
      <c r="AJ466" s="2398"/>
      <c r="AK466" s="2398"/>
      <c r="AL466" s="2399"/>
      <c r="AM466" s="468"/>
      <c r="AN466" s="649"/>
    </row>
    <row r="467" spans="1:40" s="449" customFormat="1" ht="12.75" customHeight="1">
      <c r="A467" s="436"/>
      <c r="B467" s="13"/>
      <c r="C467" s="647"/>
      <c r="D467" s="626"/>
      <c r="E467" s="615"/>
      <c r="F467" s="2371"/>
      <c r="G467" s="2371"/>
      <c r="H467" s="2371"/>
      <c r="I467" s="2371"/>
      <c r="J467" s="2371"/>
      <c r="K467" s="2371"/>
      <c r="L467" s="2371"/>
      <c r="M467" s="2371"/>
      <c r="N467" s="2371"/>
      <c r="O467" s="2371"/>
      <c r="P467" s="2371"/>
      <c r="Q467" s="2371"/>
      <c r="R467" s="2371"/>
      <c r="S467" s="2371"/>
      <c r="T467" s="2371"/>
      <c r="U467" s="2371"/>
      <c r="V467" s="2371"/>
      <c r="W467" s="2371"/>
      <c r="X467" s="2371"/>
      <c r="Y467" s="2371"/>
      <c r="Z467" s="2371"/>
      <c r="AA467" s="2371"/>
      <c r="AB467" s="2371"/>
      <c r="AC467" s="2371"/>
      <c r="AD467" s="2371"/>
      <c r="AE467" s="2371"/>
      <c r="AF467" s="489"/>
      <c r="AG467" s="489"/>
      <c r="AH467" s="489"/>
      <c r="AI467" s="489"/>
      <c r="AJ467" s="489"/>
      <c r="AK467" s="489"/>
      <c r="AL467" s="616"/>
      <c r="AM467" s="468"/>
      <c r="AN467" s="650"/>
    </row>
    <row r="468" spans="1:40" s="449" customFormat="1" ht="17.7" customHeight="1">
      <c r="A468" s="436"/>
      <c r="B468" s="13"/>
      <c r="C468" s="652"/>
      <c r="D468" s="619"/>
      <c r="E468" s="620"/>
      <c r="F468" s="2372"/>
      <c r="G468" s="2372"/>
      <c r="H468" s="2372"/>
      <c r="I468" s="2372"/>
      <c r="J468" s="2372"/>
      <c r="K468" s="2372"/>
      <c r="L468" s="2372"/>
      <c r="M468" s="2372"/>
      <c r="N468" s="2372"/>
      <c r="O468" s="2372"/>
      <c r="P468" s="2372"/>
      <c r="Q468" s="2372"/>
      <c r="R468" s="2372"/>
      <c r="S468" s="2372"/>
      <c r="T468" s="2372"/>
      <c r="U468" s="2372"/>
      <c r="V468" s="2372"/>
      <c r="W468" s="2372"/>
      <c r="X468" s="2372"/>
      <c r="Y468" s="2372"/>
      <c r="Z468" s="2372"/>
      <c r="AA468" s="2372"/>
      <c r="AB468" s="2372"/>
      <c r="AC468" s="2372"/>
      <c r="AD468" s="2372"/>
      <c r="AE468" s="2372"/>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5" t="s">
        <v>820</v>
      </c>
      <c r="D470" s="2342"/>
      <c r="E470" s="611" t="s">
        <v>2372</v>
      </c>
      <c r="F470" s="2370" t="s">
        <v>2373</v>
      </c>
      <c r="G470" s="2370"/>
      <c r="H470" s="2370"/>
      <c r="I470" s="2370"/>
      <c r="J470" s="2370"/>
      <c r="K470" s="2370"/>
      <c r="L470" s="2370"/>
      <c r="M470" s="2370"/>
      <c r="N470" s="2370"/>
      <c r="O470" s="2370"/>
      <c r="P470" s="2370"/>
      <c r="Q470" s="2370"/>
      <c r="R470" s="2370"/>
      <c r="S470" s="2370"/>
      <c r="T470" s="2370"/>
      <c r="U470" s="2370"/>
      <c r="V470" s="2370"/>
      <c r="W470" s="2370"/>
      <c r="X470" s="2370"/>
      <c r="Y470" s="2370"/>
      <c r="Z470" s="2370"/>
      <c r="AA470" s="2370"/>
      <c r="AB470" s="2370"/>
      <c r="AC470" s="2370"/>
      <c r="AD470" s="2370"/>
      <c r="AE470" s="2370"/>
      <c r="AF470" s="2398" t="s">
        <v>2342</v>
      </c>
      <c r="AG470" s="2398"/>
      <c r="AH470" s="2398"/>
      <c r="AI470" s="2398"/>
      <c r="AJ470" s="2398"/>
      <c r="AK470" s="2398"/>
      <c r="AL470" s="2399"/>
      <c r="AM470" s="468"/>
      <c r="AN470" s="435"/>
    </row>
    <row r="471" spans="1:40" s="449" customFormat="1" ht="12.75" customHeight="1">
      <c r="A471" s="436"/>
      <c r="B471" s="13"/>
      <c r="C471" s="627"/>
      <c r="D471" s="13"/>
      <c r="E471" s="587"/>
      <c r="F471" s="2371"/>
      <c r="G471" s="2371"/>
      <c r="H471" s="2371"/>
      <c r="I471" s="2371"/>
      <c r="J471" s="2371"/>
      <c r="K471" s="2371"/>
      <c r="L471" s="2371"/>
      <c r="M471" s="2371"/>
      <c r="N471" s="2371"/>
      <c r="O471" s="2371"/>
      <c r="P471" s="2371"/>
      <c r="Q471" s="2371"/>
      <c r="R471" s="2371"/>
      <c r="S471" s="2371"/>
      <c r="T471" s="2371"/>
      <c r="U471" s="2371"/>
      <c r="V471" s="2371"/>
      <c r="W471" s="2371"/>
      <c r="X471" s="2371"/>
      <c r="Y471" s="2371"/>
      <c r="Z471" s="2371"/>
      <c r="AA471" s="2371"/>
      <c r="AB471" s="2371"/>
      <c r="AC471" s="2371"/>
      <c r="AD471" s="2371"/>
      <c r="AE471" s="2371"/>
      <c r="AF471" s="439"/>
      <c r="AG471" s="436"/>
      <c r="AL471" s="628"/>
      <c r="AM471" s="468"/>
      <c r="AN471" s="435"/>
    </row>
    <row r="472" spans="1:40" s="449" customFormat="1" ht="12.75" customHeight="1">
      <c r="A472" s="436"/>
      <c r="B472" s="13"/>
      <c r="C472" s="627"/>
      <c r="D472" s="13"/>
      <c r="E472" s="587"/>
      <c r="F472" s="2371"/>
      <c r="G472" s="2371"/>
      <c r="H472" s="2371"/>
      <c r="I472" s="2371"/>
      <c r="J472" s="2371"/>
      <c r="K472" s="2371"/>
      <c r="L472" s="2371"/>
      <c r="M472" s="2371"/>
      <c r="N472" s="2371"/>
      <c r="O472" s="2371"/>
      <c r="P472" s="2371"/>
      <c r="Q472" s="2371"/>
      <c r="R472" s="2371"/>
      <c r="S472" s="2371"/>
      <c r="T472" s="2371"/>
      <c r="U472" s="2371"/>
      <c r="V472" s="2371"/>
      <c r="W472" s="2371"/>
      <c r="X472" s="2371"/>
      <c r="Y472" s="2371"/>
      <c r="Z472" s="2371"/>
      <c r="AA472" s="2371"/>
      <c r="AB472" s="2371"/>
      <c r="AC472" s="2371"/>
      <c r="AD472" s="2371"/>
      <c r="AE472" s="2371"/>
      <c r="AF472" s="439"/>
      <c r="AG472" s="436"/>
      <c r="AL472" s="628"/>
      <c r="AM472" s="468"/>
      <c r="AN472" s="435"/>
    </row>
    <row r="473" spans="1:40" s="449" customFormat="1" ht="12.75" customHeight="1">
      <c r="A473" s="436"/>
      <c r="B473" s="13"/>
      <c r="C473" s="652"/>
      <c r="D473" s="619"/>
      <c r="E473" s="620"/>
      <c r="F473" s="2372"/>
      <c r="G473" s="2372"/>
      <c r="H473" s="2372"/>
      <c r="I473" s="2372"/>
      <c r="J473" s="2372"/>
      <c r="K473" s="2372"/>
      <c r="L473" s="2372"/>
      <c r="M473" s="2372"/>
      <c r="N473" s="2372"/>
      <c r="O473" s="2372"/>
      <c r="P473" s="2372"/>
      <c r="Q473" s="2372"/>
      <c r="R473" s="2372"/>
      <c r="S473" s="2372"/>
      <c r="T473" s="2372"/>
      <c r="U473" s="2372"/>
      <c r="V473" s="2372"/>
      <c r="W473" s="2372"/>
      <c r="X473" s="2372"/>
      <c r="Y473" s="2372"/>
      <c r="Z473" s="2372"/>
      <c r="AA473" s="2372"/>
      <c r="AB473" s="2372"/>
      <c r="AC473" s="2372"/>
      <c r="AD473" s="2372"/>
      <c r="AE473" s="2372"/>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2374</v>
      </c>
      <c r="F475" s="2370" t="s">
        <v>2375</v>
      </c>
      <c r="G475" s="2370"/>
      <c r="H475" s="2370"/>
      <c r="I475" s="2370"/>
      <c r="J475" s="2370"/>
      <c r="K475" s="2370"/>
      <c r="L475" s="2370"/>
      <c r="M475" s="2370"/>
      <c r="N475" s="2370"/>
      <c r="O475" s="2370"/>
      <c r="P475" s="2370"/>
      <c r="Q475" s="2370"/>
      <c r="R475" s="2370"/>
      <c r="S475" s="2370"/>
      <c r="T475" s="2370"/>
      <c r="U475" s="2370"/>
      <c r="V475" s="2370"/>
      <c r="W475" s="2370"/>
      <c r="X475" s="2370"/>
      <c r="Y475" s="2370"/>
      <c r="Z475" s="2370"/>
      <c r="AA475" s="2370"/>
      <c r="AB475" s="2370"/>
      <c r="AC475" s="2370"/>
      <c r="AD475" s="2370"/>
      <c r="AE475" s="2370"/>
      <c r="AF475" s="2370"/>
      <c r="AG475" s="640"/>
      <c r="AH475" s="610"/>
      <c r="AI475" s="610"/>
      <c r="AJ475" s="610"/>
      <c r="AK475" s="610"/>
      <c r="AL475" s="641"/>
      <c r="AM475" s="468"/>
      <c r="AN475" s="495"/>
    </row>
    <row r="476" spans="1:40" s="449" customFormat="1" ht="12.75" customHeight="1">
      <c r="A476" s="436"/>
      <c r="B476" s="13"/>
      <c r="C476" s="627"/>
      <c r="D476" s="13"/>
      <c r="E476" s="587"/>
      <c r="F476" s="2371"/>
      <c r="G476" s="2371"/>
      <c r="H476" s="2371"/>
      <c r="I476" s="2371"/>
      <c r="J476" s="2371"/>
      <c r="K476" s="2371"/>
      <c r="L476" s="2371"/>
      <c r="M476" s="2371"/>
      <c r="N476" s="2371"/>
      <c r="O476" s="2371"/>
      <c r="P476" s="2371"/>
      <c r="Q476" s="2371"/>
      <c r="R476" s="2371"/>
      <c r="S476" s="2371"/>
      <c r="T476" s="2371"/>
      <c r="U476" s="2371"/>
      <c r="V476" s="2371"/>
      <c r="W476" s="2371"/>
      <c r="X476" s="2371"/>
      <c r="Y476" s="2371"/>
      <c r="Z476" s="2371"/>
      <c r="AA476" s="2371"/>
      <c r="AB476" s="2371"/>
      <c r="AC476" s="2371"/>
      <c r="AD476" s="2371"/>
      <c r="AE476" s="2371"/>
      <c r="AF476" s="2371"/>
      <c r="AL476" s="628"/>
      <c r="AM476" s="468"/>
      <c r="AN476" s="495"/>
    </row>
    <row r="477" spans="1:40" s="449" customFormat="1" ht="12.75" customHeight="1">
      <c r="A477" s="436"/>
      <c r="B477" s="13"/>
      <c r="C477" s="635"/>
      <c r="F477" s="2371"/>
      <c r="G477" s="2371"/>
      <c r="H477" s="2371"/>
      <c r="I477" s="2371"/>
      <c r="J477" s="2371"/>
      <c r="K477" s="2371"/>
      <c r="L477" s="2371"/>
      <c r="M477" s="2371"/>
      <c r="N477" s="2371"/>
      <c r="O477" s="2371"/>
      <c r="P477" s="2371"/>
      <c r="Q477" s="2371"/>
      <c r="R477" s="2371"/>
      <c r="S477" s="2371"/>
      <c r="T477" s="2371"/>
      <c r="U477" s="2371"/>
      <c r="V477" s="2371"/>
      <c r="W477" s="2371"/>
      <c r="X477" s="2371"/>
      <c r="Y477" s="2371"/>
      <c r="Z477" s="2371"/>
      <c r="AA477" s="2371"/>
      <c r="AB477" s="2371"/>
      <c r="AC477" s="2371"/>
      <c r="AD477" s="2371"/>
      <c r="AE477" s="2371"/>
      <c r="AF477" s="2371"/>
      <c r="AL477" s="628"/>
      <c r="AM477" s="468"/>
      <c r="AN477" s="495"/>
    </row>
    <row r="478" spans="1:40" s="449" customFormat="1" ht="12.75" customHeight="1">
      <c r="A478" s="436"/>
      <c r="B478" s="13"/>
      <c r="C478" s="635"/>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L478" s="628"/>
      <c r="AM478" s="468"/>
      <c r="AN478" s="495"/>
    </row>
    <row r="479" spans="1:40" s="449" customFormat="1" ht="12.75" customHeight="1">
      <c r="A479" s="436"/>
      <c r="B479" s="13"/>
      <c r="C479" s="2395" t="s">
        <v>820</v>
      </c>
      <c r="D479" s="2342"/>
      <c r="E479" s="615"/>
      <c r="F479" s="617" t="s">
        <v>2358</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6" t="s">
        <v>2342</v>
      </c>
      <c r="AG479" s="2396"/>
      <c r="AH479" s="2396"/>
      <c r="AI479" s="2396"/>
      <c r="AJ479" s="2396"/>
      <c r="AK479" s="2396"/>
      <c r="AL479" s="2397"/>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2376</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2377</v>
      </c>
      <c r="AK482" s="2323">
        <f>IF(Application!D214="N/A",AS371,AS373)</f>
        <v>10</v>
      </c>
      <c r="AL482" s="2369"/>
      <c r="AM482" s="2324"/>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820</v>
      </c>
      <c r="AP484" s="449">
        <v>0</v>
      </c>
      <c r="AT484" s="449" t="s">
        <v>820</v>
      </c>
      <c r="AU484" s="449">
        <v>0</v>
      </c>
      <c r="AV484" s="648"/>
    </row>
    <row r="485" spans="1:59" s="449" customFormat="1" ht="12.75" hidden="1" customHeight="1">
      <c r="A485" s="439" t="s">
        <v>2378</v>
      </c>
      <c r="C485" s="439"/>
      <c r="E485" s="494"/>
      <c r="AE485" s="2396" t="s">
        <v>2379</v>
      </c>
      <c r="AF485" s="2396"/>
      <c r="AG485" s="2396"/>
      <c r="AH485" s="2396"/>
      <c r="AI485" s="2396"/>
      <c r="AJ485" s="2396"/>
      <c r="AK485" s="2396"/>
      <c r="AL485" s="489"/>
      <c r="AN485" s="495"/>
      <c r="AO485" s="449" t="s">
        <v>2380</v>
      </c>
      <c r="AP485" s="449">
        <v>5</v>
      </c>
      <c r="AT485" s="449" t="s">
        <v>2380</v>
      </c>
      <c r="AU485" s="449">
        <v>5</v>
      </c>
      <c r="AV485" s="648"/>
    </row>
    <row r="486" spans="1:59" s="449" customFormat="1" ht="12.75" hidden="1" customHeight="1">
      <c r="A486" s="439"/>
      <c r="B486" s="436" t="s">
        <v>2381</v>
      </c>
      <c r="C486" s="439"/>
      <c r="E486" s="494"/>
      <c r="AE486" s="489"/>
      <c r="AF486" s="489"/>
      <c r="AG486" s="489"/>
      <c r="AH486" s="489"/>
      <c r="AI486" s="489"/>
      <c r="AJ486" s="489"/>
      <c r="AK486" s="489"/>
      <c r="AL486" s="489"/>
      <c r="AN486" s="495"/>
      <c r="AO486" s="449" t="s">
        <v>2382</v>
      </c>
      <c r="AP486" s="449">
        <v>5</v>
      </c>
      <c r="AT486" s="449" t="s">
        <v>2383</v>
      </c>
      <c r="AU486" s="449">
        <v>5</v>
      </c>
      <c r="AV486" s="648"/>
    </row>
    <row r="487" spans="1:59" s="449" customFormat="1" ht="12.75" hidden="1" customHeight="1">
      <c r="A487" s="439"/>
      <c r="B487" s="439" t="s">
        <v>2384</v>
      </c>
      <c r="C487" s="439"/>
      <c r="E487" s="494"/>
      <c r="AE487" s="489"/>
      <c r="AF487" s="489"/>
      <c r="AG487" s="489"/>
      <c r="AH487" s="489"/>
      <c r="AI487" s="489"/>
      <c r="AJ487" s="489"/>
      <c r="AK487" s="489"/>
      <c r="AL487" s="489"/>
      <c r="AN487" s="495"/>
      <c r="AO487" s="449" t="s">
        <v>2385</v>
      </c>
      <c r="AP487" s="449">
        <v>5</v>
      </c>
      <c r="AQ487" s="439"/>
      <c r="AR487" s="439"/>
      <c r="AS487" s="651"/>
      <c r="AT487" s="449" t="s">
        <v>2385</v>
      </c>
      <c r="AU487" s="449">
        <v>5</v>
      </c>
      <c r="AV487" s="436"/>
    </row>
    <row r="488" spans="1:59" s="449" customFormat="1" ht="12.75" hidden="1" customHeight="1">
      <c r="A488" s="439"/>
      <c r="B488" s="439" t="s">
        <v>2386</v>
      </c>
      <c r="C488" s="439"/>
      <c r="E488" s="494"/>
      <c r="AE488" s="489"/>
      <c r="AF488" s="489"/>
      <c r="AG488" s="489"/>
      <c r="AH488" s="489"/>
      <c r="AI488" s="489"/>
      <c r="AJ488" s="489"/>
      <c r="AK488" s="489"/>
      <c r="AL488" s="489"/>
      <c r="AN488" s="495"/>
      <c r="AO488" s="449" t="s">
        <v>2387</v>
      </c>
      <c r="AP488" s="449">
        <v>5</v>
      </c>
      <c r="AQ488" s="439"/>
      <c r="AR488" s="439"/>
      <c r="AT488" s="449" t="s">
        <v>2387</v>
      </c>
      <c r="AU488" s="449">
        <v>5</v>
      </c>
    </row>
    <row r="489" spans="1:59" s="449" customFormat="1" ht="12.75" hidden="1" customHeight="1">
      <c r="A489" s="439"/>
      <c r="C489" s="439"/>
      <c r="E489" s="494"/>
      <c r="AE489" s="489"/>
      <c r="AF489" s="489"/>
      <c r="AG489" s="489"/>
      <c r="AH489" s="489"/>
      <c r="AI489" s="489"/>
      <c r="AJ489" s="489"/>
      <c r="AK489" s="489"/>
      <c r="AL489" s="489"/>
      <c r="AN489" s="495"/>
      <c r="AO489" s="449" t="s">
        <v>2388</v>
      </c>
      <c r="AP489" s="449">
        <v>5</v>
      </c>
      <c r="AQ489" s="439"/>
      <c r="AR489" s="439"/>
      <c r="AT489" s="449" t="s">
        <v>2388</v>
      </c>
      <c r="AU489" s="449">
        <v>5</v>
      </c>
    </row>
    <row r="490" spans="1:59" s="449" customFormat="1" ht="12.75" hidden="1" customHeight="1">
      <c r="A490" s="439"/>
      <c r="C490" s="608" t="s">
        <v>2389</v>
      </c>
      <c r="D490" s="468"/>
      <c r="AE490" s="489"/>
      <c r="AF490" s="489"/>
      <c r="AG490" s="494"/>
      <c r="AH490" s="494"/>
      <c r="AI490" s="494"/>
      <c r="AJ490" s="494"/>
      <c r="AK490" s="494"/>
      <c r="AL490" s="494"/>
      <c r="AN490" s="495"/>
      <c r="AO490" s="449" t="s">
        <v>2390</v>
      </c>
      <c r="AP490" s="449">
        <v>5</v>
      </c>
      <c r="AT490" s="449" t="s">
        <v>2390</v>
      </c>
      <c r="AU490" s="449">
        <v>5</v>
      </c>
    </row>
    <row r="491" spans="1:59" s="449" customFormat="1" ht="12.75" hidden="1" customHeight="1">
      <c r="A491" s="439"/>
      <c r="C491" s="2345" t="s">
        <v>820</v>
      </c>
      <c r="D491" s="2346"/>
      <c r="E491" s="657" t="s">
        <v>51</v>
      </c>
      <c r="F491" s="2381" t="s">
        <v>2391</v>
      </c>
      <c r="G491" s="2381"/>
      <c r="H491" s="2381"/>
      <c r="I491" s="2381"/>
      <c r="J491" s="2381"/>
      <c r="K491" s="2381"/>
      <c r="L491" s="2381"/>
      <c r="M491" s="2381"/>
      <c r="N491" s="2381"/>
      <c r="O491" s="2381"/>
      <c r="P491" s="2381"/>
      <c r="Q491" s="2381"/>
      <c r="R491" s="2381"/>
      <c r="S491" s="2381"/>
      <c r="T491" s="2381"/>
      <c r="U491" s="2381"/>
      <c r="V491" s="2381"/>
      <c r="W491" s="2381"/>
      <c r="X491" s="2381"/>
      <c r="Y491" s="2381"/>
      <c r="Z491" s="2381"/>
      <c r="AA491" s="2381"/>
      <c r="AB491" s="2381"/>
      <c r="AC491" s="2381"/>
      <c r="AD491" s="2381"/>
      <c r="AE491" s="2381"/>
      <c r="AF491" s="610"/>
      <c r="AG491" s="610"/>
      <c r="AH491" s="610"/>
      <c r="AI491" s="610"/>
      <c r="AJ491" s="610"/>
      <c r="AK491" s="641"/>
      <c r="AN491" s="495"/>
      <c r="AO491" s="449" t="s">
        <v>2392</v>
      </c>
      <c r="AP491" s="449">
        <v>5</v>
      </c>
      <c r="AS491" s="654"/>
      <c r="AT491" s="449" t="s">
        <v>2393</v>
      </c>
      <c r="AU491" s="449">
        <v>5</v>
      </c>
    </row>
    <row r="492" spans="1:59" s="449" customFormat="1" ht="12.75" hidden="1" customHeight="1">
      <c r="C492" s="658"/>
      <c r="E492" s="659"/>
      <c r="F492" s="2382"/>
      <c r="G492" s="2382"/>
      <c r="H492" s="2382"/>
      <c r="I492" s="2382"/>
      <c r="J492" s="2382"/>
      <c r="K492" s="2382"/>
      <c r="L492" s="2382"/>
      <c r="M492" s="2382"/>
      <c r="N492" s="2382"/>
      <c r="O492" s="2382"/>
      <c r="P492" s="2382"/>
      <c r="Q492" s="2382"/>
      <c r="R492" s="2382"/>
      <c r="S492" s="2382"/>
      <c r="T492" s="2382"/>
      <c r="U492" s="2382"/>
      <c r="V492" s="2382"/>
      <c r="W492" s="2382"/>
      <c r="X492" s="2382"/>
      <c r="Y492" s="2382"/>
      <c r="Z492" s="2382"/>
      <c r="AA492" s="2382"/>
      <c r="AB492" s="2382"/>
      <c r="AC492" s="2382"/>
      <c r="AD492" s="2382"/>
      <c r="AE492" s="2382"/>
      <c r="AG492" s="450"/>
      <c r="AH492" s="450"/>
      <c r="AI492" s="450"/>
      <c r="AJ492" s="450"/>
      <c r="AK492" s="628"/>
      <c r="AN492" s="495"/>
      <c r="AO492" s="449" t="s">
        <v>2394</v>
      </c>
      <c r="AP492" s="449">
        <v>1</v>
      </c>
      <c r="AT492" s="449" t="s">
        <v>2394</v>
      </c>
      <c r="AU492" s="449">
        <v>1</v>
      </c>
    </row>
    <row r="493" spans="1:59" s="449" customFormat="1" ht="12.75" hidden="1" customHeight="1">
      <c r="C493" s="660"/>
      <c r="D493" s="623"/>
      <c r="E493" s="661"/>
      <c r="F493" s="2379" t="s">
        <v>820</v>
      </c>
      <c r="G493" s="2379"/>
      <c r="H493" s="2379"/>
      <c r="I493" s="2379"/>
      <c r="J493" s="2379"/>
      <c r="K493" s="2379"/>
      <c r="L493" s="2379"/>
      <c r="M493" s="2379"/>
      <c r="N493" s="2379"/>
      <c r="O493" s="2379"/>
      <c r="P493" s="2379"/>
      <c r="Q493" s="2379"/>
      <c r="R493" s="2379"/>
      <c r="S493" s="2379"/>
      <c r="T493" s="2379"/>
      <c r="U493" s="2379"/>
      <c r="V493" s="2379"/>
      <c r="W493" s="2379"/>
      <c r="X493" s="2379"/>
      <c r="Y493" s="2379"/>
      <c r="Z493" s="2379"/>
      <c r="AA493" s="662"/>
      <c r="AB493" s="554"/>
      <c r="AC493" s="554"/>
      <c r="AD493" s="623"/>
      <c r="AE493" s="623"/>
      <c r="AF493" s="623"/>
      <c r="AG493" s="663">
        <f>IF($C$491="Yes",(VLOOKUP($F$493,$AT$484:$AU$492,2,FALSE)),0)</f>
        <v>0</v>
      </c>
      <c r="AH493" s="664" t="s">
        <v>2176</v>
      </c>
      <c r="AI493" s="663"/>
      <c r="AJ493" s="663"/>
      <c r="AK493" s="638"/>
      <c r="AN493" s="495"/>
      <c r="AS493" s="651"/>
      <c r="AX493" s="651"/>
      <c r="BB493" s="651" t="s">
        <v>2395</v>
      </c>
      <c r="BF493" s="651" t="s">
        <v>2396</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820</v>
      </c>
      <c r="AP494" s="535">
        <v>0</v>
      </c>
      <c r="AT494" s="449" t="s">
        <v>820</v>
      </c>
      <c r="AU494" s="535">
        <v>0</v>
      </c>
      <c r="AW494" s="449" t="s">
        <v>820</v>
      </c>
      <c r="AX494" s="535">
        <v>0</v>
      </c>
      <c r="AY494" s="491"/>
      <c r="BB494" s="449" t="s">
        <v>820</v>
      </c>
      <c r="BC494" s="491">
        <v>0</v>
      </c>
      <c r="BF494" s="449" t="s">
        <v>820</v>
      </c>
      <c r="BG494" s="491">
        <v>0</v>
      </c>
    </row>
    <row r="495" spans="1:59" s="449" customFormat="1" ht="12.75" hidden="1" customHeight="1">
      <c r="C495" s="2348" t="s">
        <v>856</v>
      </c>
      <c r="D495" s="2349"/>
      <c r="E495" s="657" t="s">
        <v>53</v>
      </c>
      <c r="F495" s="665" t="s">
        <v>2397</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2398</v>
      </c>
      <c r="AX495" s="535">
        <v>3</v>
      </c>
      <c r="AY495" s="491"/>
      <c r="BB495" s="654">
        <v>0.4</v>
      </c>
      <c r="BC495" s="491">
        <v>3</v>
      </c>
      <c r="BF495" s="654">
        <v>0.4</v>
      </c>
      <c r="BG495" s="491">
        <v>4</v>
      </c>
    </row>
    <row r="496" spans="1:59" s="449" customFormat="1" ht="12.75" hidden="1" customHeight="1">
      <c r="C496" s="666" t="s">
        <v>2399</v>
      </c>
      <c r="F496" s="667" t="s">
        <v>2400</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2401</v>
      </c>
      <c r="AX496" s="535">
        <v>5</v>
      </c>
      <c r="AY496" s="491"/>
      <c r="BB496" s="654">
        <v>0.6</v>
      </c>
      <c r="BC496" s="491">
        <v>4</v>
      </c>
      <c r="BF496" s="654">
        <v>0.6</v>
      </c>
      <c r="BG496" s="491">
        <v>5</v>
      </c>
    </row>
    <row r="497" spans="1:81" s="449" customFormat="1" ht="12.75" hidden="1" customHeight="1">
      <c r="C497" s="647"/>
      <c r="D497" s="626"/>
      <c r="E497" s="668"/>
      <c r="F497" s="667" t="s">
        <v>2402</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2403</v>
      </c>
      <c r="G498" s="449"/>
      <c r="H498" s="449"/>
      <c r="I498" s="667"/>
      <c r="J498" s="667"/>
      <c r="K498" s="667"/>
      <c r="L498" s="667"/>
      <c r="M498" s="667"/>
      <c r="N498" s="667"/>
      <c r="O498" s="667"/>
      <c r="P498" s="667"/>
      <c r="Q498" s="667"/>
      <c r="R498" s="667"/>
      <c r="S498" s="667"/>
      <c r="T498" s="667"/>
      <c r="U498" s="667"/>
      <c r="V498" s="2378" t="s">
        <v>820</v>
      </c>
      <c r="W498" s="2378"/>
      <c r="X498" s="2378"/>
      <c r="Y498" s="667"/>
      <c r="Z498" s="667"/>
      <c r="AA498" s="667"/>
      <c r="AB498" s="667"/>
      <c r="AC498" s="667"/>
      <c r="AD498" s="507"/>
      <c r="AE498" s="507"/>
      <c r="AF498" s="507"/>
      <c r="AG498" s="511">
        <f>IF(AND($C$495="Yes",$V$500="N/A",$V$505="N/A",$V$509="N/A",$V$511="N/A"),(VLOOKUP(V498,$AW$494:$AX$496,2,FALSE)),0)</f>
        <v>0</v>
      </c>
      <c r="AH498" s="538" t="s">
        <v>2176</v>
      </c>
      <c r="AI498" s="450"/>
      <c r="AJ498" s="450"/>
      <c r="AK498" s="628"/>
      <c r="AL498" s="449"/>
      <c r="AM498" s="449"/>
      <c r="AN498" s="495"/>
      <c r="AT498" s="449" t="s">
        <v>820</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2404</v>
      </c>
      <c r="G500" s="449"/>
      <c r="H500" s="449"/>
      <c r="I500" s="667"/>
      <c r="J500" s="667"/>
      <c r="K500" s="667"/>
      <c r="L500" s="667"/>
      <c r="M500" s="667"/>
      <c r="N500" s="667"/>
      <c r="O500" s="667"/>
      <c r="P500" s="667"/>
      <c r="Q500" s="667"/>
      <c r="R500" s="667"/>
      <c r="S500" s="667"/>
      <c r="T500" s="667"/>
      <c r="U500" s="667"/>
      <c r="V500" s="2378" t="s">
        <v>820</v>
      </c>
      <c r="W500" s="2378"/>
      <c r="X500" s="2378"/>
      <c r="Y500" s="667"/>
      <c r="Z500" s="667"/>
      <c r="AA500" s="667"/>
      <c r="AB500" s="667"/>
      <c r="AC500" s="667"/>
      <c r="AD500" s="507"/>
      <c r="AE500" s="507"/>
      <c r="AF500" s="507"/>
      <c r="AG500" s="511">
        <f>IF(AND($C$495="Yes",$V$498="N/A", $V$505="N/A",$V$509="N/A",$V$511="N/A"),(VLOOKUP(V500,$AT$494:$AU$496,2,FALSE)),0)</f>
        <v>0</v>
      </c>
      <c r="AH500" s="538" t="s">
        <v>2176</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820</v>
      </c>
      <c r="AP501" s="449">
        <v>0</v>
      </c>
    </row>
    <row r="502" spans="1:81" s="449" customFormat="1" ht="12.75" hidden="1" customHeight="1">
      <c r="C502" s="658"/>
      <c r="E502" s="659"/>
      <c r="F502" s="672" t="s">
        <v>2405</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2406</v>
      </c>
      <c r="AP502" s="535">
        <v>2</v>
      </c>
    </row>
    <row r="503" spans="1:81" s="449" customFormat="1" ht="12.75" hidden="1" customHeight="1">
      <c r="C503" s="658"/>
      <c r="F503" s="507" t="s">
        <v>2407</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2408</v>
      </c>
      <c r="AP503" s="449">
        <v>2</v>
      </c>
    </row>
    <row r="504" spans="1:81" s="494" customFormat="1" ht="12.75" hidden="1" customHeight="1">
      <c r="A504" s="449"/>
      <c r="B504" s="449"/>
      <c r="C504" s="635"/>
      <c r="D504" s="468"/>
      <c r="E504" s="468"/>
      <c r="F504" s="507" t="s">
        <v>2409</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2410</v>
      </c>
      <c r="AP504" s="449">
        <v>2</v>
      </c>
    </row>
    <row r="505" spans="1:81" s="449" customFormat="1" ht="12.75" hidden="1" customHeight="1">
      <c r="C505" s="673"/>
      <c r="F505" s="671" t="s">
        <v>2411</v>
      </c>
      <c r="M505" s="659"/>
      <c r="N505" s="659"/>
      <c r="O505" s="659"/>
      <c r="P505" s="659"/>
      <c r="Q505" s="450"/>
      <c r="R505" s="450"/>
      <c r="S505" s="450"/>
      <c r="T505" s="450"/>
      <c r="U505" s="450"/>
      <c r="V505" s="2378" t="s">
        <v>820</v>
      </c>
      <c r="W505" s="2378"/>
      <c r="X505" s="2378"/>
      <c r="Y505" s="450"/>
      <c r="Z505" s="450"/>
      <c r="AA505" s="450"/>
      <c r="AB505" s="450"/>
      <c r="AC505" s="450"/>
      <c r="AG505" s="511">
        <f>IF(AND($C$495="Yes",$V$498="N/A",$V$500="N/A", $V$509="N/A",$V$511="N/A"),(VLOOKUP($V$505,$AT$498:$AU$500,2,FALSE)),0)</f>
        <v>0</v>
      </c>
      <c r="AH505" s="538" t="s">
        <v>2176</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2412</v>
      </c>
      <c r="D507" s="610"/>
      <c r="E507" s="610"/>
      <c r="F507" s="676" t="s">
        <v>2413</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820</v>
      </c>
      <c r="AP507" s="449">
        <v>0</v>
      </c>
      <c r="AQ507" s="439"/>
    </row>
    <row r="508" spans="1:81" s="494" customFormat="1" ht="12.75" hidden="1" customHeight="1">
      <c r="A508" s="449"/>
      <c r="B508" s="449"/>
      <c r="C508" s="677"/>
      <c r="D508" s="2347"/>
      <c r="E508" s="2347"/>
      <c r="F508" s="667" t="s">
        <v>2414</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2415</v>
      </c>
      <c r="AP508" s="535">
        <v>5</v>
      </c>
      <c r="AQ508" s="439"/>
    </row>
    <row r="509" spans="1:81" s="468" customFormat="1" ht="12.75" hidden="1" customHeight="1">
      <c r="A509" s="575"/>
      <c r="B509" s="449"/>
      <c r="C509" s="658"/>
      <c r="D509" s="449"/>
      <c r="E509" s="449"/>
      <c r="F509" s="678" t="s">
        <v>2403</v>
      </c>
      <c r="G509" s="449"/>
      <c r="H509" s="449"/>
      <c r="I509" s="449"/>
      <c r="J509" s="449"/>
      <c r="K509" s="449"/>
      <c r="L509" s="449"/>
      <c r="M509" s="449"/>
      <c r="N509" s="449"/>
      <c r="O509" s="449"/>
      <c r="P509" s="449"/>
      <c r="Q509" s="449"/>
      <c r="R509" s="449"/>
      <c r="S509" s="449"/>
      <c r="T509" s="449"/>
      <c r="U509" s="449"/>
      <c r="V509" s="2378" t="s">
        <v>820</v>
      </c>
      <c r="W509" s="2378"/>
      <c r="X509" s="2378"/>
      <c r="Y509" s="449"/>
      <c r="Z509" s="449"/>
      <c r="AA509" s="449"/>
      <c r="AB509" s="449"/>
      <c r="AC509" s="449"/>
      <c r="AD509" s="449"/>
      <c r="AE509" s="449"/>
      <c r="AF509" s="449"/>
      <c r="AG509" s="511">
        <f>IF(AND($C$495="Yes",$V$498="N/A",V500="N/A",$V$505="N/A",$V$511="N/A"),(VLOOKUP($V$509,$BB$494:$BC$497,2,FALSE)),0)</f>
        <v>0</v>
      </c>
      <c r="AH509" s="538" t="s">
        <v>2176</v>
      </c>
      <c r="AI509" s="450"/>
      <c r="AJ509" s="449"/>
      <c r="AK509" s="628"/>
      <c r="AL509" s="449"/>
      <c r="AM509" s="449"/>
      <c r="AN509" s="580"/>
      <c r="AO509" s="449" t="s">
        <v>2416</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2417</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2404</v>
      </c>
      <c r="G511" s="662"/>
      <c r="H511" s="662"/>
      <c r="I511" s="623"/>
      <c r="J511" s="623"/>
      <c r="K511" s="623"/>
      <c r="L511" s="623"/>
      <c r="M511" s="623"/>
      <c r="N511" s="623"/>
      <c r="O511" s="623"/>
      <c r="P511" s="623"/>
      <c r="Q511" s="623"/>
      <c r="R511" s="623"/>
      <c r="S511" s="623"/>
      <c r="T511" s="623"/>
      <c r="U511" s="623"/>
      <c r="V511" s="2378" t="s">
        <v>820</v>
      </c>
      <c r="W511" s="2378"/>
      <c r="X511" s="2378"/>
      <c r="Y511" s="623"/>
      <c r="Z511" s="623"/>
      <c r="AA511" s="623"/>
      <c r="AB511" s="623"/>
      <c r="AC511" s="623"/>
      <c r="AD511" s="623"/>
      <c r="AE511" s="623"/>
      <c r="AF511" s="623"/>
      <c r="AG511" s="679">
        <f>IF(AND($C$495="Yes",$V$498="N/A",$V$500="N/A",$V$505="N/A",$V$509="N/A"),(VLOOKUP($V$511,$BF$494:$BG$496,2,FALSE)),0)</f>
        <v>0</v>
      </c>
      <c r="AH511" s="664" t="s">
        <v>2176</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2418</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5" t="s">
        <v>820</v>
      </c>
      <c r="D514" s="2346"/>
      <c r="E514" s="657" t="s">
        <v>51</v>
      </c>
      <c r="F514" s="2381" t="s">
        <v>2391</v>
      </c>
      <c r="G514" s="2381"/>
      <c r="H514" s="2381"/>
      <c r="I514" s="2381"/>
      <c r="J514" s="2381"/>
      <c r="K514" s="2381"/>
      <c r="L514" s="2381"/>
      <c r="M514" s="2381"/>
      <c r="N514" s="2381"/>
      <c r="O514" s="2381"/>
      <c r="P514" s="2381"/>
      <c r="Q514" s="2381"/>
      <c r="R514" s="2381"/>
      <c r="S514" s="2381"/>
      <c r="T514" s="2381"/>
      <c r="U514" s="2381"/>
      <c r="V514" s="2381"/>
      <c r="W514" s="2381"/>
      <c r="X514" s="2381"/>
      <c r="Y514" s="2381"/>
      <c r="Z514" s="2381"/>
      <c r="AA514" s="2381"/>
      <c r="AB514" s="2381"/>
      <c r="AC514" s="2381"/>
      <c r="AD514" s="2381"/>
      <c r="AE514" s="2381"/>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2"/>
      <c r="G515" s="2382"/>
      <c r="H515" s="2382"/>
      <c r="I515" s="2382"/>
      <c r="J515" s="2382"/>
      <c r="K515" s="2382"/>
      <c r="L515" s="2382"/>
      <c r="M515" s="2382"/>
      <c r="N515" s="2382"/>
      <c r="O515" s="2382"/>
      <c r="P515" s="2382"/>
      <c r="Q515" s="2382"/>
      <c r="R515" s="2382"/>
      <c r="S515" s="2382"/>
      <c r="T515" s="2382"/>
      <c r="U515" s="2382"/>
      <c r="V515" s="2382"/>
      <c r="W515" s="2382"/>
      <c r="X515" s="2382"/>
      <c r="Y515" s="2382"/>
      <c r="Z515" s="2382"/>
      <c r="AA515" s="2382"/>
      <c r="AB515" s="2382"/>
      <c r="AC515" s="2382"/>
      <c r="AD515" s="2382"/>
      <c r="AE515" s="2382"/>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4" t="s">
        <v>820</v>
      </c>
      <c r="G516" s="2374"/>
      <c r="H516" s="2374"/>
      <c r="I516" s="2374"/>
      <c r="J516" s="2374"/>
      <c r="K516" s="2374"/>
      <c r="L516" s="2374"/>
      <c r="M516" s="2374"/>
      <c r="N516" s="2374"/>
      <c r="O516" s="2374"/>
      <c r="P516" s="2374"/>
      <c r="Q516" s="2374"/>
      <c r="R516" s="2374"/>
      <c r="S516" s="2374"/>
      <c r="T516" s="2374"/>
      <c r="U516" s="2374"/>
      <c r="V516" s="2374"/>
      <c r="W516" s="2374"/>
      <c r="X516" s="2374"/>
      <c r="Y516" s="2374"/>
      <c r="Z516" s="2374"/>
      <c r="AA516" s="662"/>
      <c r="AB516" s="554"/>
      <c r="AC516" s="554"/>
      <c r="AD516" s="623"/>
      <c r="AE516" s="623"/>
      <c r="AF516" s="623"/>
      <c r="AG516" s="663">
        <f>IF($C$514="Yes",(VLOOKUP($F$516,$AO$484:$AP$492,2,FALSE)),0)</f>
        <v>0</v>
      </c>
      <c r="AH516" s="664" t="s">
        <v>2176</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5" t="s">
        <v>820</v>
      </c>
      <c r="D518" s="2346"/>
      <c r="E518" s="657" t="s">
        <v>53</v>
      </c>
      <c r="F518" s="2375" t="s">
        <v>2419</v>
      </c>
      <c r="G518" s="2375"/>
      <c r="H518" s="2375"/>
      <c r="I518" s="2375"/>
      <c r="J518" s="2375"/>
      <c r="K518" s="2375"/>
      <c r="L518" s="2375"/>
      <c r="M518" s="2375"/>
      <c r="N518" s="2375"/>
      <c r="O518" s="2375"/>
      <c r="P518" s="2375"/>
      <c r="Q518" s="2375"/>
      <c r="R518" s="2375"/>
      <c r="S518" s="2375"/>
      <c r="T518" s="2375"/>
      <c r="U518" s="2375"/>
      <c r="V518" s="2375"/>
      <c r="W518" s="2375"/>
      <c r="X518" s="2375"/>
      <c r="Y518" s="2375"/>
      <c r="Z518" s="2375"/>
      <c r="AA518" s="2375"/>
      <c r="AB518" s="2375"/>
      <c r="AC518" s="2375"/>
      <c r="AD518" s="2375"/>
      <c r="AE518" s="2375"/>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6"/>
      <c r="G519" s="2376"/>
      <c r="H519" s="2376"/>
      <c r="I519" s="2376"/>
      <c r="J519" s="2376"/>
      <c r="K519" s="2376"/>
      <c r="L519" s="2376"/>
      <c r="M519" s="2376"/>
      <c r="N519" s="2376"/>
      <c r="O519" s="2376"/>
      <c r="P519" s="2376"/>
      <c r="Q519" s="2376"/>
      <c r="R519" s="2376"/>
      <c r="S519" s="2376"/>
      <c r="T519" s="2376"/>
      <c r="U519" s="2376"/>
      <c r="V519" s="2376"/>
      <c r="W519" s="2376"/>
      <c r="X519" s="2376"/>
      <c r="Y519" s="2376"/>
      <c r="Z519" s="2376"/>
      <c r="AA519" s="2376"/>
      <c r="AB519" s="2376"/>
      <c r="AC519" s="2376"/>
      <c r="AD519" s="2376"/>
      <c r="AE519" s="2376"/>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2420</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7" t="s">
        <v>820</v>
      </c>
      <c r="G521" s="2377"/>
      <c r="H521" s="2377"/>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2176</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5" t="s">
        <v>820</v>
      </c>
      <c r="D523" s="2346"/>
      <c r="E523" s="657" t="s">
        <v>2421</v>
      </c>
      <c r="F523" s="676" t="s">
        <v>2422</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3"/>
      <c r="D525" s="2347"/>
      <c r="E525" s="668"/>
      <c r="F525" s="450" t="s">
        <v>2423</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2176</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4" t="s">
        <v>820</v>
      </c>
      <c r="H526" s="2404"/>
      <c r="I526" s="2404"/>
      <c r="J526" s="2404"/>
      <c r="K526" s="2404"/>
      <c r="L526" s="2404"/>
      <c r="M526" s="2404"/>
      <c r="N526" s="2404"/>
      <c r="O526" s="2404"/>
      <c r="P526" s="2404"/>
      <c r="Q526" s="2404"/>
      <c r="R526" s="2404"/>
      <c r="S526" s="2404"/>
      <c r="T526" s="2404"/>
      <c r="U526" s="2404"/>
      <c r="V526" s="2404"/>
      <c r="W526" s="2404"/>
      <c r="X526" s="2404"/>
      <c r="Y526" s="2404"/>
      <c r="Z526" s="2404"/>
      <c r="AA526" s="2404"/>
      <c r="AB526" s="2404"/>
      <c r="AC526" s="2404"/>
      <c r="AD526" s="2404"/>
      <c r="AE526" s="2404"/>
      <c r="AF526" s="2404"/>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5" t="s">
        <v>820</v>
      </c>
      <c r="D528" s="2406"/>
      <c r="F528" s="450" t="s">
        <v>2424</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2176</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2425</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2426</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5" t="s">
        <v>820</v>
      </c>
      <c r="D532" s="2406"/>
      <c r="F532" s="691" t="s">
        <v>2427</v>
      </c>
      <c r="G532" s="2371" t="s">
        <v>2428</v>
      </c>
      <c r="H532" s="2371"/>
      <c r="I532" s="2371"/>
      <c r="J532" s="2371"/>
      <c r="K532" s="2371"/>
      <c r="L532" s="2371"/>
      <c r="M532" s="2371"/>
      <c r="N532" s="2371"/>
      <c r="O532" s="2371"/>
      <c r="P532" s="2371"/>
      <c r="Q532" s="2371"/>
      <c r="R532" s="2371"/>
      <c r="S532" s="2371"/>
      <c r="T532" s="2371"/>
      <c r="U532" s="2371"/>
      <c r="V532" s="2371"/>
      <c r="W532" s="2371"/>
      <c r="X532" s="2371"/>
      <c r="Y532" s="2371"/>
      <c r="Z532" s="2371"/>
      <c r="AA532" s="2371"/>
      <c r="AB532" s="2371"/>
      <c r="AC532" s="2371"/>
      <c r="AD532" s="2371"/>
      <c r="AE532" s="2371"/>
      <c r="AF532" s="2371"/>
      <c r="AG532" s="511">
        <f>IF(AND($C$532="Yes",$C$523="Yes"),2,0)</f>
        <v>0</v>
      </c>
      <c r="AH532" s="538" t="s">
        <v>2176</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2"/>
      <c r="H533" s="2372"/>
      <c r="I533" s="2372"/>
      <c r="J533" s="2372"/>
      <c r="K533" s="2372"/>
      <c r="L533" s="2372"/>
      <c r="M533" s="2372"/>
      <c r="N533" s="2372"/>
      <c r="O533" s="2372"/>
      <c r="P533" s="2372"/>
      <c r="Q533" s="2372"/>
      <c r="R533" s="2372"/>
      <c r="S533" s="2372"/>
      <c r="T533" s="2372"/>
      <c r="U533" s="2372"/>
      <c r="V533" s="2372"/>
      <c r="W533" s="2372"/>
      <c r="X533" s="2372"/>
      <c r="Y533" s="2372"/>
      <c r="Z533" s="2372"/>
      <c r="AA533" s="2372"/>
      <c r="AB533" s="2372"/>
      <c r="AC533" s="2372"/>
      <c r="AD533" s="2372"/>
      <c r="AE533" s="2372"/>
      <c r="AF533" s="2372"/>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2429</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7" t="s">
        <v>820</v>
      </c>
      <c r="D536" s="2408"/>
      <c r="E536" s="698" t="s">
        <v>2430</v>
      </c>
      <c r="F536" s="667" t="s">
        <v>2431</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2176</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9" t="s">
        <v>820</v>
      </c>
      <c r="G537" s="2409"/>
      <c r="H537" s="2409"/>
      <c r="I537" s="2409"/>
      <c r="J537" s="2409"/>
      <c r="K537" s="2409"/>
      <c r="L537" s="2409"/>
      <c r="M537" s="2409"/>
      <c r="N537" s="2409"/>
      <c r="O537" s="2409"/>
      <c r="P537" s="2409"/>
      <c r="Q537" s="2409"/>
      <c r="R537" s="2409"/>
      <c r="S537" s="2409"/>
      <c r="T537" s="2409"/>
      <c r="U537" s="2409"/>
      <c r="V537" s="2409"/>
      <c r="W537" s="2409"/>
      <c r="X537" s="2409"/>
      <c r="Y537" s="2409"/>
      <c r="Z537" s="2409"/>
      <c r="AA537" s="2409"/>
      <c r="AB537" s="2409"/>
      <c r="AC537" s="2409"/>
      <c r="AD537" s="2409"/>
      <c r="AE537" s="2409"/>
      <c r="AF537" s="2409"/>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10"/>
      <c r="G538" s="2410"/>
      <c r="H538" s="2410"/>
      <c r="I538" s="2410"/>
      <c r="J538" s="2410"/>
      <c r="K538" s="2410"/>
      <c r="L538" s="2410"/>
      <c r="M538" s="2410"/>
      <c r="N538" s="2410"/>
      <c r="O538" s="2410"/>
      <c r="P538" s="2410"/>
      <c r="Q538" s="2410"/>
      <c r="R538" s="2410"/>
      <c r="S538" s="2410"/>
      <c r="T538" s="2410"/>
      <c r="U538" s="2410"/>
      <c r="V538" s="2410"/>
      <c r="W538" s="2410"/>
      <c r="X538" s="2410"/>
      <c r="Y538" s="2410"/>
      <c r="Z538" s="2410"/>
      <c r="AA538" s="2410"/>
      <c r="AB538" s="2410"/>
      <c r="AC538" s="2410"/>
      <c r="AD538" s="2410"/>
      <c r="AE538" s="2410"/>
      <c r="AF538" s="2410"/>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2432</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2433</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2434</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2435</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2436</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2437</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2438</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2439</v>
      </c>
      <c r="AK548" s="2323">
        <f>SUM(AG492:AG537)</f>
        <v>0</v>
      </c>
      <c r="AL548" s="2369"/>
      <c r="AM548" s="2324"/>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8" thickTop="1"/>
    <row r="551" spans="1:81" s="449" customFormat="1" ht="12.75" customHeight="1">
      <c r="A551" s="439" t="s">
        <v>2440</v>
      </c>
      <c r="B551" s="439" t="s">
        <v>2441</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80" t="s">
        <v>2442</v>
      </c>
      <c r="AF551" s="2380"/>
      <c r="AG551" s="2380"/>
      <c r="AH551" s="2380"/>
      <c r="AI551" s="2380"/>
      <c r="AJ551" s="2380"/>
      <c r="AK551" s="2380"/>
      <c r="AL551" s="493"/>
      <c r="AM551" s="493"/>
      <c r="AN551" s="495"/>
    </row>
    <row r="552" spans="1:81" s="449" customFormat="1" ht="12.75" customHeight="1">
      <c r="A552" s="439"/>
      <c r="B552" s="439" t="s">
        <v>2172</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2" t="s">
        <v>856</v>
      </c>
      <c r="D554" s="2342"/>
      <c r="E554" s="450"/>
      <c r="F554" s="2482" t="s">
        <v>2443</v>
      </c>
      <c r="G554" s="2483"/>
      <c r="H554" s="2483"/>
      <c r="I554" s="2483"/>
      <c r="J554" s="2483"/>
      <c r="K554" s="2483"/>
      <c r="L554" s="2483"/>
      <c r="M554" s="2483"/>
      <c r="N554" s="2483"/>
      <c r="O554" s="2483"/>
      <c r="P554" s="2483"/>
      <c r="Q554" s="2483"/>
      <c r="R554" s="2483"/>
      <c r="S554" s="2483"/>
      <c r="T554" s="2483"/>
      <c r="U554" s="2483"/>
      <c r="V554" s="2483"/>
      <c r="W554" s="2483"/>
      <c r="X554" s="2483"/>
      <c r="Y554" s="2483"/>
      <c r="Z554" s="2483"/>
      <c r="AA554" s="2483"/>
      <c r="AB554" s="2483"/>
      <c r="AC554" s="2483"/>
      <c r="AD554" s="2483"/>
      <c r="AE554" s="2483"/>
      <c r="AF554" s="2483"/>
      <c r="AG554" s="2483"/>
      <c r="AH554" s="2483"/>
      <c r="AI554" s="2483"/>
      <c r="AJ554" s="2483"/>
      <c r="AK554" s="2483"/>
      <c r="AL554" s="2484"/>
      <c r="AM554" s="493"/>
      <c r="AN554" s="495"/>
    </row>
    <row r="555" spans="1:81" s="449" customFormat="1" ht="12.75" customHeight="1">
      <c r="B555" s="439"/>
      <c r="C555" s="450"/>
      <c r="D555" s="450"/>
      <c r="E555" s="450"/>
      <c r="F555" s="2485"/>
      <c r="G555" s="2486"/>
      <c r="H555" s="2486"/>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86"/>
      <c r="AD555" s="2486"/>
      <c r="AE555" s="2486"/>
      <c r="AF555" s="2486"/>
      <c r="AG555" s="2486"/>
      <c r="AH555" s="2486"/>
      <c r="AI555" s="2486"/>
      <c r="AJ555" s="2486"/>
      <c r="AK555" s="2486"/>
      <c r="AL555" s="2487"/>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2" t="s">
        <v>820</v>
      </c>
      <c r="D557" s="2342"/>
      <c r="E557" s="702"/>
      <c r="F557" s="542" t="s">
        <v>2444</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2" t="s">
        <v>2445</v>
      </c>
      <c r="G558" s="2320"/>
      <c r="H558" s="2320"/>
      <c r="I558" s="2320"/>
      <c r="J558" s="2320"/>
      <c r="K558" s="2320"/>
      <c r="L558" s="2320"/>
      <c r="M558" s="2320"/>
      <c r="N558" s="2320"/>
      <c r="O558" s="2320"/>
      <c r="P558" s="2320"/>
      <c r="Q558" s="2320"/>
      <c r="R558" s="2320"/>
      <c r="S558" s="2320"/>
      <c r="T558" s="2320"/>
      <c r="U558" s="2320"/>
      <c r="V558" s="2320"/>
      <c r="W558" s="2320"/>
      <c r="X558" s="2320"/>
      <c r="Y558" s="2320"/>
      <c r="Z558" s="2320"/>
      <c r="AA558" s="2320"/>
      <c r="AB558" s="2320"/>
      <c r="AC558" s="2320"/>
      <c r="AD558" s="2320"/>
      <c r="AE558" s="2320"/>
      <c r="AF558" s="2320"/>
      <c r="AG558" s="2320"/>
      <c r="AH558" s="2320"/>
      <c r="AI558" s="2320"/>
      <c r="AJ558" s="2320"/>
      <c r="AK558" s="2320"/>
      <c r="AL558" s="2363"/>
      <c r="AM558" s="493"/>
      <c r="AN558" s="495"/>
      <c r="AS558" s="765"/>
      <c r="AT558" s="765"/>
      <c r="AU558" s="765"/>
      <c r="AV558" s="765"/>
      <c r="AW558" s="765"/>
    </row>
    <row r="559" spans="1:81" s="449" customFormat="1" ht="12.75" customHeight="1">
      <c r="B559" s="702"/>
      <c r="C559" s="702"/>
      <c r="D559" s="702"/>
      <c r="E559" s="702"/>
      <c r="F559" s="2362"/>
      <c r="G559" s="2320"/>
      <c r="H559" s="2320"/>
      <c r="I559" s="2320"/>
      <c r="J559" s="2320"/>
      <c r="K559" s="2320"/>
      <c r="L559" s="2320"/>
      <c r="M559" s="2320"/>
      <c r="N559" s="2320"/>
      <c r="O559" s="2320"/>
      <c r="P559" s="2320"/>
      <c r="Q559" s="2320"/>
      <c r="R559" s="2320"/>
      <c r="S559" s="2320"/>
      <c r="T559" s="2320"/>
      <c r="U559" s="2320"/>
      <c r="V559" s="2320"/>
      <c r="W559" s="2320"/>
      <c r="X559" s="2320"/>
      <c r="Y559" s="2320"/>
      <c r="Z559" s="2320"/>
      <c r="AA559" s="2320"/>
      <c r="AB559" s="2320"/>
      <c r="AC559" s="2320"/>
      <c r="AD559" s="2320"/>
      <c r="AE559" s="2320"/>
      <c r="AF559" s="2320"/>
      <c r="AG559" s="2320"/>
      <c r="AH559" s="2320"/>
      <c r="AI559" s="2320"/>
      <c r="AJ559" s="2320"/>
      <c r="AK559" s="2320"/>
      <c r="AL559" s="2363"/>
      <c r="AM559" s="493"/>
      <c r="AN559" s="495"/>
    </row>
    <row r="560" spans="1:81" s="449" customFormat="1" ht="12.75" customHeight="1">
      <c r="B560" s="702"/>
      <c r="C560" s="702"/>
      <c r="D560" s="702"/>
      <c r="E560" s="702"/>
      <c r="F560" s="707" t="s">
        <v>2446</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2" t="s">
        <v>2447</v>
      </c>
      <c r="G561" s="2320"/>
      <c r="H561" s="2320"/>
      <c r="I561" s="2320"/>
      <c r="J561" s="2320"/>
      <c r="K561" s="2320"/>
      <c r="L561" s="2320"/>
      <c r="M561" s="2320"/>
      <c r="N561" s="2320"/>
      <c r="O561" s="2320"/>
      <c r="P561" s="2320"/>
      <c r="Q561" s="2320"/>
      <c r="R561" s="2320"/>
      <c r="S561" s="2320"/>
      <c r="T561" s="2320"/>
      <c r="U561" s="2320"/>
      <c r="V561" s="2320"/>
      <c r="W561" s="2320"/>
      <c r="X561" s="2320"/>
      <c r="Y561" s="2320"/>
      <c r="Z561" s="2320"/>
      <c r="AA561" s="2320"/>
      <c r="AB561" s="2320"/>
      <c r="AC561" s="2320"/>
      <c r="AD561" s="2320"/>
      <c r="AE561" s="2320"/>
      <c r="AF561" s="2320"/>
      <c r="AG561" s="2320"/>
      <c r="AH561" s="2320"/>
      <c r="AI561" s="2320"/>
      <c r="AJ561" s="2320"/>
      <c r="AK561" s="2320"/>
      <c r="AL561" s="709"/>
      <c r="AM561" s="493"/>
      <c r="AN561" s="495"/>
    </row>
    <row r="562" spans="1:45" s="449" customFormat="1" ht="12.75" customHeight="1">
      <c r="B562" s="702"/>
      <c r="C562" s="702"/>
      <c r="D562" s="702"/>
      <c r="E562" s="702"/>
      <c r="F562" s="2364"/>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2365"/>
      <c r="AH562" s="2365"/>
      <c r="AI562" s="2365"/>
      <c r="AJ562" s="2365"/>
      <c r="AK562" s="2365"/>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1">
        <f>Application!AJ1001</f>
        <v>83125594</v>
      </c>
      <c r="AQ563" s="2361"/>
      <c r="AR563" s="2361"/>
      <c r="AS563" s="449" t="s">
        <v>2448</v>
      </c>
    </row>
    <row r="564" spans="1:45" s="449" customFormat="1" ht="12.75" customHeight="1">
      <c r="A564" s="399"/>
      <c r="B564" s="349" t="s">
        <v>2449</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6">
        <f>'Sources and Uses Budget'!S107+'Sources and Uses Budget'!T107</f>
        <v>79450618</v>
      </c>
      <c r="AG564" s="2366"/>
      <c r="AH564" s="2366"/>
      <c r="AI564" s="2366"/>
      <c r="AJ564" s="2366"/>
      <c r="AK564" s="493"/>
      <c r="AL564" s="493"/>
      <c r="AM564" s="493"/>
      <c r="AN564" s="495"/>
    </row>
    <row r="565" spans="1:45" s="449" customFormat="1" ht="12.75" customHeight="1">
      <c r="A565" s="523"/>
      <c r="B565" s="523" t="s">
        <v>2450</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7">
        <f>IFERROR(AP572,0)</f>
        <v>174563747.19999999</v>
      </c>
      <c r="AG565" s="2367"/>
      <c r="AH565" s="2367"/>
      <c r="AI565" s="2367"/>
      <c r="AJ565" s="2367"/>
      <c r="AK565" s="493"/>
      <c r="AL565" s="493"/>
      <c r="AM565" s="493"/>
      <c r="AN565" s="495"/>
      <c r="AP565" s="2361">
        <f>Application!AJ1054</f>
        <v>35744005.420000002</v>
      </c>
      <c r="AQ565" s="2361"/>
      <c r="AR565" s="2361"/>
      <c r="AS565" s="449" t="s">
        <v>1716</v>
      </c>
    </row>
    <row r="566" spans="1:45" s="449" customFormat="1" ht="12.75" customHeight="1">
      <c r="A566" s="522"/>
      <c r="B566" s="522" t="s">
        <v>1643</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8">
        <f>IFERROR(ROUNDDOWN(IF(C557="YES",((1-(AF564/AF565))*2),(1-(AF564/AF565))),2),0)</f>
        <v>0.54</v>
      </c>
      <c r="AG566" s="2368"/>
      <c r="AH566" s="2368"/>
      <c r="AI566" s="2368"/>
      <c r="AJ566" s="2368"/>
      <c r="AK566" s="493"/>
      <c r="AL566" s="493"/>
      <c r="AM566" s="493"/>
      <c r="AN566" s="495"/>
      <c r="AP566" s="2359">
        <f>Application!AJ1058</f>
        <v>83125594</v>
      </c>
      <c r="AQ566" s="2359"/>
      <c r="AR566" s="2359"/>
      <c r="AS566" s="449" t="s">
        <v>1726</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9">
        <f>IF(((AP565+AP566)/AP563)&gt;0.8,0.8,((AP565+AP566)/AP563))</f>
        <v>0.8</v>
      </c>
      <c r="AQ567" s="2389"/>
      <c r="AR567" s="2389"/>
      <c r="AS567" s="449" t="s">
        <v>2451</v>
      </c>
    </row>
    <row r="568" spans="1:45" s="449" customFormat="1" ht="12.75" customHeight="1">
      <c r="A568" s="522"/>
      <c r="B568" s="2439" t="s">
        <v>2452</v>
      </c>
      <c r="C568" s="2440"/>
      <c r="D568" s="2440"/>
      <c r="E568" s="2440"/>
      <c r="F568" s="2440"/>
      <c r="G568" s="2440"/>
      <c r="H568" s="2440"/>
      <c r="I568" s="2440"/>
      <c r="J568" s="2440"/>
      <c r="K568" s="2440"/>
      <c r="L568" s="2440"/>
      <c r="M568" s="2440"/>
      <c r="N568" s="2440"/>
      <c r="O568" s="2440"/>
      <c r="P568" s="2440"/>
      <c r="Q568" s="2440"/>
      <c r="R568" s="2440"/>
      <c r="S568" s="2440"/>
      <c r="T568" s="2440"/>
      <c r="U568" s="2440"/>
      <c r="V568" s="2440"/>
      <c r="W568" s="2440"/>
      <c r="X568" s="2440"/>
      <c r="Y568" s="2440"/>
      <c r="Z568" s="2440"/>
      <c r="AA568" s="2440"/>
      <c r="AB568" s="2440"/>
      <c r="AC568" s="2440"/>
      <c r="AD568" s="2440"/>
      <c r="AE568" s="2440"/>
      <c r="AF568" s="2440"/>
      <c r="AG568" s="2440"/>
      <c r="AH568" s="2440"/>
      <c r="AI568" s="2440"/>
      <c r="AJ568" s="2441"/>
      <c r="AK568" s="493"/>
      <c r="AL568" s="493"/>
      <c r="AM568" s="493"/>
      <c r="AN568" s="495"/>
    </row>
    <row r="569" spans="1:45" s="449" customFormat="1" ht="12.75" customHeight="1">
      <c r="A569" s="522"/>
      <c r="B569" s="2442"/>
      <c r="C569" s="2443"/>
      <c r="D569" s="2443"/>
      <c r="E569" s="2443"/>
      <c r="F569" s="2443"/>
      <c r="G569" s="2443"/>
      <c r="H569" s="2443"/>
      <c r="I569" s="2443"/>
      <c r="J569" s="2443"/>
      <c r="K569" s="2443"/>
      <c r="L569" s="2443"/>
      <c r="M569" s="2443"/>
      <c r="N569" s="2443"/>
      <c r="O569" s="2443"/>
      <c r="P569" s="2443"/>
      <c r="Q569" s="2443"/>
      <c r="R569" s="2443"/>
      <c r="S569" s="2443"/>
      <c r="T569" s="2443"/>
      <c r="U569" s="2443"/>
      <c r="V569" s="2443"/>
      <c r="W569" s="2443"/>
      <c r="X569" s="2443"/>
      <c r="Y569" s="2443"/>
      <c r="Z569" s="2443"/>
      <c r="AA569" s="2443"/>
      <c r="AB569" s="2443"/>
      <c r="AC569" s="2443"/>
      <c r="AD569" s="2443"/>
      <c r="AE569" s="2443"/>
      <c r="AF569" s="2443"/>
      <c r="AG569" s="2443"/>
      <c r="AH569" s="2443"/>
      <c r="AI569" s="2443"/>
      <c r="AJ569" s="2444"/>
      <c r="AK569" s="493"/>
      <c r="AL569" s="493"/>
      <c r="AM569" s="493"/>
      <c r="AN569" s="495"/>
      <c r="AP569" s="2361">
        <f>AP570-AP565-AP566</f>
        <v>108063272</v>
      </c>
      <c r="AQ569" s="2390"/>
      <c r="AR569" s="2390"/>
      <c r="AS569" s="449" t="s">
        <v>2453</v>
      </c>
    </row>
    <row r="570" spans="1:45" s="449" customFormat="1" ht="12.75" customHeight="1">
      <c r="A570" s="522"/>
      <c r="B570" s="2445"/>
      <c r="C570" s="2446"/>
      <c r="D570" s="2446"/>
      <c r="E570" s="2446"/>
      <c r="F570" s="2446"/>
      <c r="G570" s="2446"/>
      <c r="H570" s="2446"/>
      <c r="I570" s="2446"/>
      <c r="J570" s="2446"/>
      <c r="K570" s="2446"/>
      <c r="L570" s="2446"/>
      <c r="M570" s="2446"/>
      <c r="N570" s="2446"/>
      <c r="O570" s="2446"/>
      <c r="P570" s="2446"/>
      <c r="Q570" s="2446"/>
      <c r="R570" s="2446"/>
      <c r="S570" s="2446"/>
      <c r="T570" s="2446"/>
      <c r="U570" s="2446"/>
      <c r="V570" s="2446"/>
      <c r="W570" s="2446"/>
      <c r="X570" s="2446"/>
      <c r="Y570" s="2446"/>
      <c r="Z570" s="2446"/>
      <c r="AA570" s="2446"/>
      <c r="AB570" s="2446"/>
      <c r="AC570" s="2446"/>
      <c r="AD570" s="2446"/>
      <c r="AE570" s="2446"/>
      <c r="AF570" s="2446"/>
      <c r="AG570" s="2446"/>
      <c r="AH570" s="2446"/>
      <c r="AI570" s="2446"/>
      <c r="AJ570" s="2447"/>
      <c r="AK570" s="493"/>
      <c r="AL570" s="493"/>
      <c r="AM570" s="493"/>
      <c r="AN570" s="495"/>
      <c r="AP570" s="2361">
        <f>Application!AJ1062</f>
        <v>226932871.42000002</v>
      </c>
      <c r="AQ570" s="2361"/>
      <c r="AR570" s="2361"/>
      <c r="AS570" s="449" t="s">
        <v>2454</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2455</v>
      </c>
      <c r="AK572" s="2448">
        <f>IFERROR(IF(AND(C554="N/A",C557="N/A"),0,IF(AF566=0,0,IF((AF566*100)&gt;12,12,(AF566*100)))),0)</f>
        <v>12</v>
      </c>
      <c r="AL572" s="2448"/>
      <c r="AM572" s="2449"/>
      <c r="AN572" s="495"/>
      <c r="AP572" s="2350">
        <f>AP569+(AP563*AP567)</f>
        <v>174563747.19999999</v>
      </c>
      <c r="AQ572" s="2351"/>
      <c r="AR572" s="2352"/>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2456</v>
      </c>
      <c r="B575" s="439" t="s">
        <v>2457</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80" t="s">
        <v>2155</v>
      </c>
      <c r="AF575" s="2380"/>
      <c r="AG575" s="2380"/>
      <c r="AH575" s="2380"/>
      <c r="AI575" s="2380"/>
      <c r="AJ575" s="2380"/>
      <c r="AK575" s="2380"/>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20" t="s">
        <v>2458</v>
      </c>
      <c r="C577" s="2320"/>
      <c r="D577" s="2320"/>
      <c r="E577" s="2320"/>
      <c r="F577" s="2320"/>
      <c r="G577" s="2320"/>
      <c r="H577" s="2320"/>
      <c r="I577" s="2320"/>
      <c r="J577" s="2320"/>
      <c r="K577" s="2320"/>
      <c r="L577" s="2320"/>
      <c r="M577" s="2320"/>
      <c r="N577" s="2320"/>
      <c r="O577" s="2320"/>
      <c r="P577" s="2320"/>
      <c r="Q577" s="2320"/>
      <c r="R577" s="2320"/>
      <c r="S577" s="2320"/>
      <c r="T577" s="2320"/>
      <c r="U577" s="2320"/>
      <c r="V577" s="2320"/>
      <c r="W577" s="2320"/>
      <c r="X577" s="2320"/>
      <c r="Y577" s="2320"/>
      <c r="Z577" s="2320"/>
      <c r="AA577" s="2320"/>
      <c r="AB577" s="2320"/>
      <c r="AC577" s="2320"/>
      <c r="AD577" s="2320"/>
      <c r="AE577" s="2320"/>
      <c r="AF577" s="2320"/>
      <c r="AG577" s="2320"/>
      <c r="AH577" s="2320"/>
      <c r="AI577" s="2320"/>
      <c r="AJ577" s="2320"/>
      <c r="AK577" s="540"/>
      <c r="AL577" s="471"/>
      <c r="AM577" s="501"/>
      <c r="AN577" s="495"/>
    </row>
    <row r="578" spans="1:42" s="449" customFormat="1" ht="12.75" customHeight="1">
      <c r="A578" s="501"/>
      <c r="B578" s="2320"/>
      <c r="C578" s="2320"/>
      <c r="D578" s="2320"/>
      <c r="E578" s="2320"/>
      <c r="F578" s="2320"/>
      <c r="G578" s="2320"/>
      <c r="H578" s="2320"/>
      <c r="I578" s="2320"/>
      <c r="J578" s="2320"/>
      <c r="K578" s="2320"/>
      <c r="L578" s="2320"/>
      <c r="M578" s="2320"/>
      <c r="N578" s="2320"/>
      <c r="O578" s="2320"/>
      <c r="P578" s="2320"/>
      <c r="Q578" s="2320"/>
      <c r="R578" s="2320"/>
      <c r="S578" s="2320"/>
      <c r="T578" s="2320"/>
      <c r="U578" s="2320"/>
      <c r="V578" s="2320"/>
      <c r="W578" s="2320"/>
      <c r="X578" s="2320"/>
      <c r="Y578" s="2320"/>
      <c r="Z578" s="2320"/>
      <c r="AA578" s="2320"/>
      <c r="AB578" s="2320"/>
      <c r="AC578" s="2320"/>
      <c r="AD578" s="2320"/>
      <c r="AE578" s="2320"/>
      <c r="AF578" s="2320"/>
      <c r="AG578" s="2320"/>
      <c r="AH578" s="2320"/>
      <c r="AI578" s="2320"/>
      <c r="AJ578" s="2320"/>
      <c r="AK578" s="540"/>
      <c r="AL578" s="471"/>
      <c r="AM578" s="501"/>
      <c r="AN578" s="495"/>
    </row>
    <row r="579" spans="1:42" s="449" customFormat="1" ht="12.75" customHeight="1">
      <c r="A579" s="501"/>
      <c r="B579" s="2320"/>
      <c r="C579" s="2320"/>
      <c r="D579" s="2320"/>
      <c r="E579" s="2320"/>
      <c r="F579" s="2320"/>
      <c r="G579" s="2320"/>
      <c r="H579" s="2320"/>
      <c r="I579" s="2320"/>
      <c r="J579" s="2320"/>
      <c r="K579" s="2320"/>
      <c r="L579" s="2320"/>
      <c r="M579" s="2320"/>
      <c r="N579" s="2320"/>
      <c r="O579" s="2320"/>
      <c r="P579" s="2320"/>
      <c r="Q579" s="2320"/>
      <c r="R579" s="2320"/>
      <c r="S579" s="2320"/>
      <c r="T579" s="2320"/>
      <c r="U579" s="2320"/>
      <c r="V579" s="2320"/>
      <c r="W579" s="2320"/>
      <c r="X579" s="2320"/>
      <c r="Y579" s="2320"/>
      <c r="Z579" s="2320"/>
      <c r="AA579" s="2320"/>
      <c r="AB579" s="2320"/>
      <c r="AC579" s="2320"/>
      <c r="AD579" s="2320"/>
      <c r="AE579" s="2320"/>
      <c r="AF579" s="2320"/>
      <c r="AG579" s="2320"/>
      <c r="AH579" s="2320"/>
      <c r="AI579" s="2320"/>
      <c r="AJ579" s="2320"/>
      <c r="AK579" s="540"/>
      <c r="AL579" s="471"/>
      <c r="AM579" s="501"/>
      <c r="AN579" s="495"/>
    </row>
    <row r="580" spans="1:42" s="449" customFormat="1" ht="12.75" customHeight="1">
      <c r="A580" s="501"/>
      <c r="B580" s="2320"/>
      <c r="C580" s="2320"/>
      <c r="D580" s="2320"/>
      <c r="E580" s="2320"/>
      <c r="F580" s="2320"/>
      <c r="G580" s="2320"/>
      <c r="H580" s="2320"/>
      <c r="I580" s="2320"/>
      <c r="J580" s="2320"/>
      <c r="K580" s="2320"/>
      <c r="L580" s="2320"/>
      <c r="M580" s="2320"/>
      <c r="N580" s="2320"/>
      <c r="O580" s="2320"/>
      <c r="P580" s="2320"/>
      <c r="Q580" s="2320"/>
      <c r="R580" s="2320"/>
      <c r="S580" s="2320"/>
      <c r="T580" s="2320"/>
      <c r="U580" s="2320"/>
      <c r="V580" s="2320"/>
      <c r="W580" s="2320"/>
      <c r="X580" s="2320"/>
      <c r="Y580" s="2320"/>
      <c r="Z580" s="2320"/>
      <c r="AA580" s="2320"/>
      <c r="AB580" s="2320"/>
      <c r="AC580" s="2320"/>
      <c r="AD580" s="2320"/>
      <c r="AE580" s="2320"/>
      <c r="AF580" s="2320"/>
      <c r="AG580" s="2320"/>
      <c r="AH580" s="2320"/>
      <c r="AI580" s="2320"/>
      <c r="AJ580" s="2320"/>
      <c r="AK580" s="540"/>
      <c r="AL580" s="471"/>
      <c r="AM580" s="501"/>
      <c r="AN580" s="495"/>
    </row>
    <row r="581" spans="1:42" s="449" customFormat="1" ht="12.75" customHeight="1">
      <c r="A581" s="501"/>
      <c r="B581" s="2320"/>
      <c r="C581" s="2320"/>
      <c r="D581" s="2320"/>
      <c r="E581" s="2320"/>
      <c r="F581" s="2320"/>
      <c r="G581" s="2320"/>
      <c r="H581" s="2320"/>
      <c r="I581" s="2320"/>
      <c r="J581" s="2320"/>
      <c r="K581" s="2320"/>
      <c r="L581" s="2320"/>
      <c r="M581" s="2320"/>
      <c r="N581" s="2320"/>
      <c r="O581" s="2320"/>
      <c r="P581" s="2320"/>
      <c r="Q581" s="2320"/>
      <c r="R581" s="2320"/>
      <c r="S581" s="2320"/>
      <c r="T581" s="2320"/>
      <c r="U581" s="2320"/>
      <c r="V581" s="2320"/>
      <c r="W581" s="2320"/>
      <c r="X581" s="2320"/>
      <c r="Y581" s="2320"/>
      <c r="Z581" s="2320"/>
      <c r="AA581" s="2320"/>
      <c r="AB581" s="2320"/>
      <c r="AC581" s="2320"/>
      <c r="AD581" s="2320"/>
      <c r="AE581" s="2320"/>
      <c r="AF581" s="2320"/>
      <c r="AG581" s="2320"/>
      <c r="AH581" s="2320"/>
      <c r="AI581" s="2320"/>
      <c r="AJ581" s="2320"/>
      <c r="AK581" s="540"/>
      <c r="AL581" s="471"/>
      <c r="AM581" s="501"/>
      <c r="AN581" s="495"/>
    </row>
    <row r="582" spans="1:42" s="449" customFormat="1" ht="12.75" customHeight="1">
      <c r="A582" s="501"/>
      <c r="B582" s="2320"/>
      <c r="C582" s="2320"/>
      <c r="D582" s="2320"/>
      <c r="E582" s="2320"/>
      <c r="F582" s="2320"/>
      <c r="G582" s="2320"/>
      <c r="H582" s="2320"/>
      <c r="I582" s="2320"/>
      <c r="J582" s="2320"/>
      <c r="K582" s="2320"/>
      <c r="L582" s="2320"/>
      <c r="M582" s="2320"/>
      <c r="N582" s="2320"/>
      <c r="O582" s="2320"/>
      <c r="P582" s="2320"/>
      <c r="Q582" s="2320"/>
      <c r="R582" s="2320"/>
      <c r="S582" s="2320"/>
      <c r="T582" s="2320"/>
      <c r="U582" s="2320"/>
      <c r="V582" s="2320"/>
      <c r="W582" s="2320"/>
      <c r="X582" s="2320"/>
      <c r="Y582" s="2320"/>
      <c r="Z582" s="2320"/>
      <c r="AA582" s="2320"/>
      <c r="AB582" s="2320"/>
      <c r="AC582" s="2320"/>
      <c r="AD582" s="2320"/>
      <c r="AE582" s="2320"/>
      <c r="AF582" s="2320"/>
      <c r="AG582" s="2320"/>
      <c r="AH582" s="2320"/>
      <c r="AI582" s="2320"/>
      <c r="AJ582" s="2320"/>
      <c r="AK582" s="540"/>
      <c r="AL582" s="471"/>
      <c r="AM582" s="501"/>
      <c r="AN582" s="495"/>
    </row>
    <row r="583" spans="1:42" s="449" customFormat="1" ht="12.75" customHeight="1">
      <c r="A583" s="501"/>
      <c r="B583" s="2320"/>
      <c r="C583" s="2320"/>
      <c r="D583" s="2320"/>
      <c r="E583" s="2320"/>
      <c r="F583" s="2320"/>
      <c r="G583" s="2320"/>
      <c r="H583" s="2320"/>
      <c r="I583" s="2320"/>
      <c r="J583" s="2320"/>
      <c r="K583" s="2320"/>
      <c r="L583" s="2320"/>
      <c r="M583" s="2320"/>
      <c r="N583" s="2320"/>
      <c r="O583" s="2320"/>
      <c r="P583" s="2320"/>
      <c r="Q583" s="2320"/>
      <c r="R583" s="2320"/>
      <c r="S583" s="2320"/>
      <c r="T583" s="2320"/>
      <c r="U583" s="2320"/>
      <c r="V583" s="2320"/>
      <c r="W583" s="2320"/>
      <c r="X583" s="2320"/>
      <c r="Y583" s="2320"/>
      <c r="Z583" s="2320"/>
      <c r="AA583" s="2320"/>
      <c r="AB583" s="2320"/>
      <c r="AC583" s="2320"/>
      <c r="AD583" s="2320"/>
      <c r="AE583" s="2320"/>
      <c r="AF583" s="2320"/>
      <c r="AG583" s="2320"/>
      <c r="AH583" s="2320"/>
      <c r="AI583" s="2320"/>
      <c r="AJ583" s="2320"/>
      <c r="AK583" s="540"/>
      <c r="AL583" s="471"/>
      <c r="AM583" s="501"/>
      <c r="AN583" s="495"/>
    </row>
    <row r="584" spans="1:42" ht="12.75" customHeight="1">
      <c r="A584" s="501"/>
      <c r="B584" s="2320"/>
      <c r="C584" s="2320"/>
      <c r="D584" s="2320"/>
      <c r="E584" s="2320"/>
      <c r="F584" s="2320"/>
      <c r="G584" s="2320"/>
      <c r="H584" s="2320"/>
      <c r="I584" s="2320"/>
      <c r="J584" s="2320"/>
      <c r="K584" s="2320"/>
      <c r="L584" s="2320"/>
      <c r="M584" s="2320"/>
      <c r="N584" s="2320"/>
      <c r="O584" s="2320"/>
      <c r="P584" s="2320"/>
      <c r="Q584" s="2320"/>
      <c r="R584" s="2320"/>
      <c r="S584" s="2320"/>
      <c r="T584" s="2320"/>
      <c r="U584" s="2320"/>
      <c r="V584" s="2320"/>
      <c r="W584" s="2320"/>
      <c r="X584" s="2320"/>
      <c r="Y584" s="2320"/>
      <c r="Z584" s="2320"/>
      <c r="AA584" s="2320"/>
      <c r="AB584" s="2320"/>
      <c r="AC584" s="2320"/>
      <c r="AD584" s="2320"/>
      <c r="AE584" s="2320"/>
      <c r="AF584" s="2320"/>
      <c r="AG584" s="2320"/>
      <c r="AH584" s="2320"/>
      <c r="AI584" s="2320"/>
      <c r="AJ584" s="2320"/>
      <c r="AK584" s="540"/>
      <c r="AL584" s="471"/>
      <c r="AM584" s="501"/>
    </row>
    <row r="585" spans="1:42" s="449" customFormat="1" ht="12.75" customHeight="1">
      <c r="B585" s="2320"/>
      <c r="C585" s="2320"/>
      <c r="D585" s="2320"/>
      <c r="E585" s="2320"/>
      <c r="F585" s="2320"/>
      <c r="G585" s="2320"/>
      <c r="H585" s="2320"/>
      <c r="I585" s="2320"/>
      <c r="J585" s="2320"/>
      <c r="K585" s="2320"/>
      <c r="L585" s="2320"/>
      <c r="M585" s="2320"/>
      <c r="N585" s="2320"/>
      <c r="O585" s="2320"/>
      <c r="P585" s="2320"/>
      <c r="Q585" s="2320"/>
      <c r="R585" s="2320"/>
      <c r="S585" s="2320"/>
      <c r="T585" s="2320"/>
      <c r="U585" s="2320"/>
      <c r="V585" s="2320"/>
      <c r="W585" s="2320"/>
      <c r="X585" s="2320"/>
      <c r="Y585" s="2320"/>
      <c r="Z585" s="2320"/>
      <c r="AA585" s="2320"/>
      <c r="AB585" s="2320"/>
      <c r="AC585" s="2320"/>
      <c r="AD585" s="2320"/>
      <c r="AE585" s="2320"/>
      <c r="AF585" s="2320"/>
      <c r="AG585" s="2320"/>
      <c r="AH585" s="2320"/>
      <c r="AI585" s="2320"/>
      <c r="AJ585" s="2320"/>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2459</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820</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856</v>
      </c>
    </row>
    <row r="589" spans="1:42" s="449" customFormat="1" ht="12.75" customHeight="1">
      <c r="C589" s="439" t="s">
        <v>2460</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2461</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1" t="s">
        <v>2200</v>
      </c>
      <c r="AG591" s="2321"/>
      <c r="AH591" s="2321"/>
      <c r="AI591" s="2321"/>
      <c r="AJ591" s="2321"/>
      <c r="AK591" s="2321"/>
      <c r="AL591" s="2321"/>
      <c r="AN591" s="495"/>
    </row>
    <row r="592" spans="1:42" s="449" customFormat="1" ht="12.75" customHeight="1">
      <c r="B592" s="436"/>
      <c r="C592" s="514"/>
      <c r="D592" s="559"/>
      <c r="E592" s="734" t="s">
        <v>2462</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2463</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2464</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2465</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2466</v>
      </c>
      <c r="AP595" s="449" t="b">
        <f>IF(Application!AF427&gt;=25,TRUE,FALSE)</f>
        <v>1</v>
      </c>
    </row>
    <row r="596" spans="1:42" s="449" customFormat="1" ht="12.75" customHeight="1">
      <c r="B596" s="436"/>
      <c r="C596" s="514"/>
      <c r="D596" s="559"/>
      <c r="E596" s="734" t="s">
        <v>2467</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2468</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1" t="s">
        <v>2469</v>
      </c>
      <c r="AG598" s="2321"/>
      <c r="AH598" s="2321"/>
      <c r="AI598" s="2321"/>
      <c r="AJ598" s="2321"/>
      <c r="AK598" s="2321"/>
      <c r="AL598" s="2321"/>
      <c r="AN598" s="495"/>
    </row>
    <row r="599" spans="1:42" s="449" customFormat="1" ht="12.75" customHeight="1">
      <c r="B599" s="436"/>
      <c r="C599" s="823"/>
      <c r="D599" s="559"/>
      <c r="E599" s="734" t="s">
        <v>2470</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820</v>
      </c>
      <c r="AP599" s="569">
        <v>0</v>
      </c>
    </row>
    <row r="600" spans="1:42" s="449" customFormat="1" ht="12.75" customHeight="1">
      <c r="B600" s="508"/>
      <c r="C600" s="821"/>
      <c r="D600" s="559"/>
      <c r="E600" s="734" t="s">
        <v>2471</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2472</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2473</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2474</v>
      </c>
      <c r="AP603" s="449">
        <v>4</v>
      </c>
    </row>
    <row r="604" spans="1:42" s="449" customFormat="1" ht="12.75" customHeight="1">
      <c r="B604" s="436"/>
      <c r="C604" s="821"/>
      <c r="D604" s="559" t="s">
        <v>49</v>
      </c>
      <c r="E604" s="734" t="s">
        <v>2475</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1" t="s">
        <v>2476</v>
      </c>
      <c r="AG604" s="2321"/>
      <c r="AH604" s="2321"/>
      <c r="AI604" s="2321"/>
      <c r="AJ604" s="2321"/>
      <c r="AK604" s="2321"/>
      <c r="AL604" s="2321"/>
      <c r="AN604" s="495"/>
      <c r="AO604" s="509" t="s">
        <v>2477</v>
      </c>
      <c r="AP604" s="449">
        <v>3</v>
      </c>
    </row>
    <row r="605" spans="1:42" s="449" customFormat="1" ht="12.75" customHeight="1">
      <c r="B605" s="436"/>
      <c r="C605" s="823"/>
      <c r="D605" s="559"/>
      <c r="E605" s="734" t="s">
        <v>2470</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2471</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2478</v>
      </c>
    </row>
    <row r="607" spans="1:42" s="449" customFormat="1" ht="12.75" customHeight="1">
      <c r="B607" s="436"/>
      <c r="C607" s="823"/>
      <c r="D607" s="559"/>
      <c r="E607" s="734" t="s">
        <v>2472</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2479</v>
      </c>
    </row>
    <row r="608" spans="1:42" s="449" customFormat="1" ht="12.75" customHeight="1">
      <c r="B608" s="436"/>
      <c r="C608" s="823"/>
      <c r="D608" s="559"/>
      <c r="E608" s="734" t="s">
        <v>2473</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2480</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2474</v>
      </c>
      <c r="E610" s="734" t="s">
        <v>2481</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1" t="s">
        <v>2482</v>
      </c>
      <c r="AG610" s="2321"/>
      <c r="AH610" s="2321"/>
      <c r="AI610" s="2321"/>
      <c r="AJ610" s="2321"/>
      <c r="AK610" s="2321"/>
      <c r="AL610" s="2321"/>
      <c r="AN610" s="495"/>
      <c r="AO610" s="449" t="str">
        <f>X647</f>
        <v>N/A</v>
      </c>
    </row>
    <row r="611" spans="1:53" s="449" customFormat="1" ht="12.75" customHeight="1">
      <c r="B611" s="436"/>
      <c r="C611" s="823"/>
      <c r="D611" s="559"/>
      <c r="E611" s="734" t="s">
        <v>2483</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2484</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2485</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2486</v>
      </c>
    </row>
    <row r="614" spans="1:53" s="449" customFormat="1" ht="12.75" customHeight="1">
      <c r="B614" s="508"/>
      <c r="C614" s="821"/>
      <c r="D614" s="559"/>
      <c r="E614" s="436" t="s">
        <v>2487</v>
      </c>
      <c r="O614" s="2466" t="s">
        <v>1009</v>
      </c>
      <c r="P614" s="2466"/>
      <c r="Q614" s="2466"/>
      <c r="R614" s="2466"/>
      <c r="S614" s="2466"/>
      <c r="T614" s="2466"/>
      <c r="U614" s="2466"/>
      <c r="V614" s="2466"/>
      <c r="W614" s="2466"/>
      <c r="X614" s="2466"/>
      <c r="Y614" s="2466"/>
      <c r="Z614" s="2466"/>
      <c r="AA614" s="2466"/>
      <c r="AB614" s="2466"/>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2477</v>
      </c>
      <c r="E616" s="734" t="s">
        <v>2488</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1" t="s">
        <v>2216</v>
      </c>
      <c r="AG616" s="2321"/>
      <c r="AH616" s="2321"/>
      <c r="AI616" s="2321"/>
      <c r="AJ616" s="2321"/>
      <c r="AK616" s="2321"/>
      <c r="AL616" s="2321"/>
      <c r="AN616" s="495"/>
    </row>
    <row r="617" spans="1:53" s="449" customFormat="1" ht="12.75" customHeight="1">
      <c r="B617" s="436"/>
      <c r="C617" s="821"/>
      <c r="D617" s="559"/>
      <c r="E617" s="734" t="s">
        <v>2489</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820</v>
      </c>
      <c r="AP618" s="569">
        <v>0</v>
      </c>
      <c r="AT618" s="449" t="s">
        <v>820</v>
      </c>
      <c r="AU618" s="569">
        <v>0</v>
      </c>
    </row>
    <row r="619" spans="1:53" s="449" customFormat="1" ht="12.75" customHeight="1">
      <c r="B619" s="436"/>
      <c r="C619" s="823"/>
      <c r="D619" s="436" t="s">
        <v>2490</v>
      </c>
      <c r="E619" s="826"/>
      <c r="F619" s="826"/>
      <c r="G619" s="826"/>
      <c r="H619" s="2322" t="s">
        <v>22</v>
      </c>
      <c r="I619" s="2322"/>
      <c r="J619" s="826"/>
      <c r="K619" s="826"/>
      <c r="L619" s="826"/>
      <c r="N619" s="19"/>
      <c r="O619" s="19"/>
      <c r="P619" s="19"/>
      <c r="Q619" s="1033" t="s">
        <v>2491</v>
      </c>
      <c r="R619" s="2467"/>
      <c r="S619" s="2467"/>
      <c r="T619" s="2467"/>
      <c r="U619" s="2467"/>
      <c r="V619" s="2467"/>
      <c r="W619" s="2467"/>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8" t="str">
        <f>IF(AND(H619="(i)",NOT(AP595)),AO612,IF(AND(H619="(iv)",OR(R619=AO608,R619=AO607),NOT(AP596)),AO613,""))</f>
        <v/>
      </c>
      <c r="Z620" s="2468"/>
      <c r="AA620" s="2468"/>
      <c r="AB620" s="2468"/>
      <c r="AC620" s="2468"/>
      <c r="AD620" s="2468"/>
      <c r="AE620" s="2468"/>
      <c r="AF620" s="2468"/>
      <c r="AG620" s="2468"/>
      <c r="AH620" s="2468"/>
      <c r="AI620" s="2468"/>
      <c r="AJ620" s="2468"/>
      <c r="AK620" s="2468"/>
      <c r="AL620" s="2468"/>
      <c r="AM620" s="2469"/>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8"/>
      <c r="Z621" s="2468"/>
      <c r="AA621" s="2468"/>
      <c r="AB621" s="2468"/>
      <c r="AC621" s="2468"/>
      <c r="AD621" s="2468"/>
      <c r="AE621" s="2468"/>
      <c r="AF621" s="2468"/>
      <c r="AG621" s="2468"/>
      <c r="AH621" s="2468"/>
      <c r="AI621" s="2468"/>
      <c r="AJ621" s="2468"/>
      <c r="AK621" s="2468"/>
      <c r="AL621" s="2468"/>
      <c r="AM621" s="2469"/>
      <c r="AN621" s="495"/>
      <c r="AO621" s="509"/>
      <c r="AT621" s="509"/>
    </row>
    <row r="622" spans="1:53" s="449" customFormat="1" ht="12.75" customHeight="1">
      <c r="B622" s="436"/>
      <c r="C622" s="823"/>
      <c r="D622" s="436" t="s">
        <v>2492</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2493</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2494</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2495</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820</v>
      </c>
      <c r="AP626" s="569">
        <v>0</v>
      </c>
    </row>
    <row r="627" spans="1:42" s="449" customFormat="1" ht="12.75" customHeight="1">
      <c r="B627" s="436"/>
      <c r="C627" s="823"/>
      <c r="D627" s="436"/>
      <c r="E627" s="436" t="s">
        <v>2490</v>
      </c>
      <c r="F627" s="826"/>
      <c r="G627" s="826"/>
      <c r="I627" s="2465" t="s">
        <v>820</v>
      </c>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5"/>
      <c r="AE627" s="2465"/>
      <c r="AF627" s="436"/>
      <c r="AG627" s="436"/>
      <c r="AH627" s="436"/>
      <c r="AI627" s="436"/>
      <c r="AJ627" s="436"/>
      <c r="AK627" s="436"/>
      <c r="AL627" s="436"/>
      <c r="AN627" s="495"/>
      <c r="AO627" s="449" t="s">
        <v>2496</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2497</v>
      </c>
      <c r="AP628" s="449">
        <v>2</v>
      </c>
    </row>
    <row r="629" spans="1:42" s="449" customFormat="1" ht="12.75" customHeight="1">
      <c r="B629" s="2328" t="s">
        <v>820</v>
      </c>
      <c r="C629" s="2328"/>
      <c r="D629" s="540"/>
      <c r="E629" s="2320" t="s">
        <v>2498</v>
      </c>
      <c r="F629" s="2320"/>
      <c r="G629" s="2320"/>
      <c r="H629" s="2320"/>
      <c r="I629" s="2320"/>
      <c r="J629" s="2320"/>
      <c r="K629" s="2320"/>
      <c r="L629" s="2320"/>
      <c r="M629" s="2320"/>
      <c r="N629" s="2320"/>
      <c r="O629" s="2320"/>
      <c r="P629" s="2320"/>
      <c r="Q629" s="2320"/>
      <c r="R629" s="2320"/>
      <c r="S629" s="2320"/>
      <c r="T629" s="2320"/>
      <c r="U629" s="2320"/>
      <c r="V629" s="2320"/>
      <c r="W629" s="2320"/>
      <c r="X629" s="2320"/>
      <c r="Y629" s="2320"/>
      <c r="Z629" s="2320"/>
      <c r="AA629" s="2320"/>
      <c r="AB629" s="2320"/>
      <c r="AC629" s="2320"/>
      <c r="AD629" s="2320"/>
      <c r="AE629" s="2320"/>
      <c r="AF629" s="2320"/>
      <c r="AG629" s="2320"/>
      <c r="AH629" s="540"/>
      <c r="AI629" s="540"/>
      <c r="AJ629" s="540"/>
      <c r="AK629" s="540"/>
      <c r="AL629" s="540"/>
      <c r="AN629" s="495"/>
    </row>
    <row r="630" spans="1:42" s="449" customFormat="1" ht="12.75" customHeight="1">
      <c r="B630" s="436"/>
      <c r="C630" s="823"/>
      <c r="D630" s="540"/>
      <c r="E630" s="2320"/>
      <c r="F630" s="2320"/>
      <c r="G630" s="2320"/>
      <c r="H630" s="2320"/>
      <c r="I630" s="2320"/>
      <c r="J630" s="2320"/>
      <c r="K630" s="2320"/>
      <c r="L630" s="2320"/>
      <c r="M630" s="2320"/>
      <c r="N630" s="2320"/>
      <c r="O630" s="2320"/>
      <c r="P630" s="2320"/>
      <c r="Q630" s="2320"/>
      <c r="R630" s="2320"/>
      <c r="S630" s="2320"/>
      <c r="T630" s="2320"/>
      <c r="U630" s="2320"/>
      <c r="V630" s="2320"/>
      <c r="W630" s="2320"/>
      <c r="X630" s="2320"/>
      <c r="Y630" s="2320"/>
      <c r="Z630" s="2320"/>
      <c r="AA630" s="2320"/>
      <c r="AB630" s="2320"/>
      <c r="AC630" s="2320"/>
      <c r="AD630" s="2320"/>
      <c r="AE630" s="2320"/>
      <c r="AF630" s="2320"/>
      <c r="AG630" s="2320"/>
      <c r="AH630" s="540"/>
      <c r="AI630" s="540"/>
      <c r="AJ630" s="540"/>
      <c r="AK630" s="540"/>
      <c r="AL630" s="540"/>
      <c r="AN630" s="495"/>
    </row>
    <row r="631" spans="1:42" s="449" customFormat="1" ht="12.75" customHeight="1">
      <c r="B631" s="436"/>
      <c r="C631" s="823"/>
      <c r="D631" s="540"/>
      <c r="E631" s="2320"/>
      <c r="F631" s="2320"/>
      <c r="G631" s="2320"/>
      <c r="H631" s="2320"/>
      <c r="I631" s="2320"/>
      <c r="J631" s="2320"/>
      <c r="K631" s="2320"/>
      <c r="L631" s="2320"/>
      <c r="M631" s="2320"/>
      <c r="N631" s="2320"/>
      <c r="O631" s="2320"/>
      <c r="P631" s="2320"/>
      <c r="Q631" s="2320"/>
      <c r="R631" s="2320"/>
      <c r="S631" s="2320"/>
      <c r="T631" s="2320"/>
      <c r="U631" s="2320"/>
      <c r="V631" s="2320"/>
      <c r="W631" s="2320"/>
      <c r="X631" s="2320"/>
      <c r="Y631" s="2320"/>
      <c r="Z631" s="2320"/>
      <c r="AA631" s="2320"/>
      <c r="AB631" s="2320"/>
      <c r="AC631" s="2320"/>
      <c r="AD631" s="2320"/>
      <c r="AE631" s="2320"/>
      <c r="AF631" s="2320"/>
      <c r="AG631" s="2320"/>
      <c r="AH631" s="540"/>
      <c r="AI631" s="540"/>
      <c r="AJ631" s="540"/>
      <c r="AK631" s="540"/>
      <c r="AL631" s="540"/>
      <c r="AN631" s="495"/>
    </row>
    <row r="632" spans="1:42" s="449" customFormat="1" ht="12.75" customHeight="1">
      <c r="B632" s="436"/>
      <c r="C632" s="823"/>
      <c r="D632" s="540"/>
      <c r="E632" s="2320"/>
      <c r="F632" s="2320"/>
      <c r="G632" s="2320"/>
      <c r="H632" s="2320"/>
      <c r="I632" s="2320"/>
      <c r="J632" s="2320"/>
      <c r="K632" s="2320"/>
      <c r="L632" s="2320"/>
      <c r="M632" s="2320"/>
      <c r="N632" s="2320"/>
      <c r="O632" s="2320"/>
      <c r="P632" s="2320"/>
      <c r="Q632" s="2320"/>
      <c r="R632" s="2320"/>
      <c r="S632" s="2320"/>
      <c r="T632" s="2320"/>
      <c r="U632" s="2320"/>
      <c r="V632" s="2320"/>
      <c r="W632" s="2320"/>
      <c r="X632" s="2320"/>
      <c r="Y632" s="2320"/>
      <c r="Z632" s="2320"/>
      <c r="AA632" s="2320"/>
      <c r="AB632" s="2320"/>
      <c r="AC632" s="2320"/>
      <c r="AD632" s="2320"/>
      <c r="AE632" s="2320"/>
      <c r="AF632" s="2320"/>
      <c r="AG632" s="2320"/>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2499</v>
      </c>
      <c r="AJ634" s="2323">
        <f>VLOOKUP($H$619,$AO$599:$AP$604,2,FALSE)+IF(R619=AO607,0,VLOOKUP($I$627,$AO$626:$AP$628,2,FALSE))</f>
        <v>7</v>
      </c>
      <c r="AK634" s="2324"/>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2500</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4" t="s">
        <v>2501</v>
      </c>
      <c r="F638" s="2464"/>
      <c r="G638" s="2464"/>
      <c r="H638" s="2464"/>
      <c r="I638" s="2464"/>
      <c r="J638" s="2464"/>
      <c r="K638" s="2464"/>
      <c r="L638" s="2464"/>
      <c r="M638" s="2464"/>
      <c r="N638" s="2464"/>
      <c r="O638" s="2464"/>
      <c r="P638" s="2464"/>
      <c r="Q638" s="2464"/>
      <c r="R638" s="2464"/>
      <c r="S638" s="2464"/>
      <c r="T638" s="2464"/>
      <c r="U638" s="2464"/>
      <c r="V638" s="2464"/>
      <c r="W638" s="2464"/>
      <c r="X638" s="2464"/>
      <c r="Y638" s="2464"/>
      <c r="Z638" s="2464"/>
      <c r="AA638" s="2464"/>
      <c r="AB638" s="2464"/>
      <c r="AC638" s="2464"/>
      <c r="AD638" s="2464"/>
      <c r="AE638" s="439"/>
      <c r="AF638" s="2321" t="s">
        <v>2216</v>
      </c>
      <c r="AG638" s="2321"/>
      <c r="AH638" s="2321"/>
      <c r="AI638" s="2321"/>
      <c r="AJ638" s="2321"/>
      <c r="AK638" s="2321"/>
      <c r="AL638" s="2321"/>
      <c r="AM638" s="449"/>
      <c r="AN638" s="574"/>
    </row>
    <row r="639" spans="1:42" s="449" customFormat="1" ht="12.75" customHeight="1">
      <c r="A639" s="575"/>
      <c r="B639" s="436"/>
      <c r="C639" s="823"/>
      <c r="D639" s="559"/>
      <c r="E639" s="2464"/>
      <c r="F639" s="2464"/>
      <c r="G639" s="2464"/>
      <c r="H639" s="2464"/>
      <c r="I639" s="2464"/>
      <c r="J639" s="2464"/>
      <c r="K639" s="2464"/>
      <c r="L639" s="2464"/>
      <c r="M639" s="2464"/>
      <c r="N639" s="2464"/>
      <c r="O639" s="2464"/>
      <c r="P639" s="2464"/>
      <c r="Q639" s="2464"/>
      <c r="R639" s="2464"/>
      <c r="S639" s="2464"/>
      <c r="T639" s="2464"/>
      <c r="U639" s="2464"/>
      <c r="V639" s="2464"/>
      <c r="W639" s="2464"/>
      <c r="X639" s="2464"/>
      <c r="Y639" s="2464"/>
      <c r="Z639" s="2464"/>
      <c r="AA639" s="2464"/>
      <c r="AB639" s="2464"/>
      <c r="AC639" s="2464"/>
      <c r="AD639" s="2464"/>
      <c r="AE639" s="436"/>
      <c r="AF639" s="436"/>
      <c r="AG639" s="436"/>
      <c r="AH639" s="436"/>
      <c r="AI639" s="436"/>
      <c r="AJ639" s="436"/>
      <c r="AK639" s="436"/>
      <c r="AL639" s="436"/>
      <c r="AN639" s="495"/>
    </row>
    <row r="640" spans="1:42" s="449" customFormat="1" ht="12.75" customHeight="1">
      <c r="B640" s="436"/>
      <c r="C640" s="821"/>
      <c r="D640" s="559"/>
      <c r="E640" s="2464"/>
      <c r="F640" s="2464"/>
      <c r="G640" s="2464"/>
      <c r="H640" s="2464"/>
      <c r="I640" s="2464"/>
      <c r="J640" s="2464"/>
      <c r="K640" s="2464"/>
      <c r="L640" s="2464"/>
      <c r="M640" s="2464"/>
      <c r="N640" s="2464"/>
      <c r="O640" s="2464"/>
      <c r="P640" s="2464"/>
      <c r="Q640" s="2464"/>
      <c r="R640" s="2464"/>
      <c r="S640" s="2464"/>
      <c r="T640" s="2464"/>
      <c r="U640" s="2464"/>
      <c r="V640" s="2464"/>
      <c r="W640" s="2464"/>
      <c r="X640" s="2464"/>
      <c r="Y640" s="2464"/>
      <c r="Z640" s="2464"/>
      <c r="AA640" s="2464"/>
      <c r="AB640" s="2464"/>
      <c r="AC640" s="2464"/>
      <c r="AD640" s="2464"/>
      <c r="AE640" s="436"/>
      <c r="AF640" s="436"/>
      <c r="AG640" s="436"/>
      <c r="AH640" s="436"/>
      <c r="AI640" s="436"/>
      <c r="AJ640" s="436"/>
      <c r="AK640" s="436"/>
      <c r="AL640" s="436"/>
      <c r="AN640" s="495"/>
    </row>
    <row r="641" spans="1:42" s="449" customFormat="1" ht="12.75" customHeight="1">
      <c r="B641" s="436"/>
      <c r="C641" s="821"/>
      <c r="D641" s="559"/>
      <c r="E641" s="2464"/>
      <c r="F641" s="2464"/>
      <c r="G641" s="2464"/>
      <c r="H641" s="2464"/>
      <c r="I641" s="2464"/>
      <c r="J641" s="2464"/>
      <c r="K641" s="2464"/>
      <c r="L641" s="2464"/>
      <c r="M641" s="2464"/>
      <c r="N641" s="2464"/>
      <c r="O641" s="2464"/>
      <c r="P641" s="2464"/>
      <c r="Q641" s="2464"/>
      <c r="R641" s="2464"/>
      <c r="S641" s="2464"/>
      <c r="T641" s="2464"/>
      <c r="U641" s="2464"/>
      <c r="V641" s="2464"/>
      <c r="W641" s="2464"/>
      <c r="X641" s="2464"/>
      <c r="Y641" s="2464"/>
      <c r="Z641" s="2464"/>
      <c r="AA641" s="2464"/>
      <c r="AB641" s="2464"/>
      <c r="AC641" s="2464"/>
      <c r="AD641" s="2464"/>
      <c r="AE641" s="436"/>
      <c r="AF641" s="436"/>
      <c r="AG641" s="436"/>
      <c r="AH641" s="436"/>
      <c r="AI641" s="436"/>
      <c r="AJ641" s="436"/>
      <c r="AK641" s="436"/>
      <c r="AL641" s="436"/>
      <c r="AN641" s="495"/>
    </row>
    <row r="642" spans="1:42" s="449" customFormat="1" ht="12.75" customHeight="1">
      <c r="B642" s="436"/>
      <c r="C642" s="821"/>
      <c r="D642" s="559"/>
      <c r="E642" s="2464"/>
      <c r="F642" s="2464"/>
      <c r="G642" s="2464"/>
      <c r="H642" s="2464"/>
      <c r="I642" s="2464"/>
      <c r="J642" s="2464"/>
      <c r="K642" s="2464"/>
      <c r="L642" s="2464"/>
      <c r="M642" s="2464"/>
      <c r="N642" s="2464"/>
      <c r="O642" s="2464"/>
      <c r="P642" s="2464"/>
      <c r="Q642" s="2464"/>
      <c r="R642" s="2464"/>
      <c r="S642" s="2464"/>
      <c r="T642" s="2464"/>
      <c r="U642" s="2464"/>
      <c r="V642" s="2464"/>
      <c r="W642" s="2464"/>
      <c r="X642" s="2464"/>
      <c r="Y642" s="2464"/>
      <c r="Z642" s="2464"/>
      <c r="AA642" s="2464"/>
      <c r="AB642" s="2464"/>
      <c r="AC642" s="2464"/>
      <c r="AD642" s="2464"/>
      <c r="AE642" s="436"/>
      <c r="AF642" s="436"/>
      <c r="AG642" s="436"/>
      <c r="AH642" s="436"/>
      <c r="AI642" s="436"/>
      <c r="AJ642" s="436"/>
      <c r="AK642" s="436"/>
      <c r="AL642" s="436"/>
      <c r="AN642" s="495"/>
    </row>
    <row r="643" spans="1:42" s="449" customFormat="1" ht="12.75" customHeight="1">
      <c r="B643" s="436"/>
      <c r="C643" s="821"/>
      <c r="D643" s="559"/>
      <c r="E643" s="2464"/>
      <c r="F643" s="2464"/>
      <c r="G643" s="2464"/>
      <c r="H643" s="2464"/>
      <c r="I643" s="2464"/>
      <c r="J643" s="2464"/>
      <c r="K643" s="2464"/>
      <c r="L643" s="2464"/>
      <c r="M643" s="2464"/>
      <c r="N643" s="2464"/>
      <c r="O643" s="2464"/>
      <c r="P643" s="2464"/>
      <c r="Q643" s="2464"/>
      <c r="R643" s="2464"/>
      <c r="S643" s="2464"/>
      <c r="T643" s="2464"/>
      <c r="U643" s="2464"/>
      <c r="V643" s="2464"/>
      <c r="W643" s="2464"/>
      <c r="X643" s="2464"/>
      <c r="Y643" s="2464"/>
      <c r="Z643" s="2464"/>
      <c r="AA643" s="2464"/>
      <c r="AB643" s="2464"/>
      <c r="AC643" s="2464"/>
      <c r="AD643" s="2464"/>
      <c r="AE643" s="436"/>
      <c r="AF643" s="436"/>
      <c r="AG643" s="436"/>
      <c r="AH643" s="436"/>
      <c r="AI643" s="436"/>
      <c r="AJ643" s="436"/>
      <c r="AK643" s="436"/>
      <c r="AL643" s="436"/>
      <c r="AN643" s="495"/>
    </row>
    <row r="644" spans="1:42" s="449" customFormat="1" ht="12.75" customHeight="1">
      <c r="A644" s="535"/>
      <c r="B644" s="514"/>
      <c r="C644" s="830"/>
      <c r="D644" s="559"/>
      <c r="E644" s="2464"/>
      <c r="F644" s="2464"/>
      <c r="G644" s="2464"/>
      <c r="H644" s="2464"/>
      <c r="I644" s="2464"/>
      <c r="J644" s="2464"/>
      <c r="K644" s="2464"/>
      <c r="L644" s="2464"/>
      <c r="M644" s="2464"/>
      <c r="N644" s="2464"/>
      <c r="O644" s="2464"/>
      <c r="P644" s="2464"/>
      <c r="Q644" s="2464"/>
      <c r="R644" s="2464"/>
      <c r="S644" s="2464"/>
      <c r="T644" s="2464"/>
      <c r="U644" s="2464"/>
      <c r="V644" s="2464"/>
      <c r="W644" s="2464"/>
      <c r="X644" s="2464"/>
      <c r="Y644" s="2464"/>
      <c r="Z644" s="2464"/>
      <c r="AA644" s="2464"/>
      <c r="AB644" s="2464"/>
      <c r="AC644" s="2464"/>
      <c r="AD644" s="2464"/>
      <c r="AE644" s="514"/>
      <c r="AF644" s="514"/>
      <c r="AG644" s="514"/>
      <c r="AH644" s="514"/>
      <c r="AI644" s="514"/>
      <c r="AJ644" s="514"/>
      <c r="AK644" s="436"/>
      <c r="AL644" s="436"/>
      <c r="AN644" s="495"/>
    </row>
    <row r="645" spans="1:42" s="449" customFormat="1" ht="12.75" customHeight="1">
      <c r="B645" s="514"/>
      <c r="C645" s="830"/>
      <c r="D645" s="559"/>
      <c r="E645" s="2464"/>
      <c r="F645" s="2464"/>
      <c r="G645" s="2464"/>
      <c r="H645" s="2464"/>
      <c r="I645" s="2464"/>
      <c r="J645" s="2464"/>
      <c r="K645" s="2464"/>
      <c r="L645" s="2464"/>
      <c r="M645" s="2464"/>
      <c r="N645" s="2464"/>
      <c r="O645" s="2464"/>
      <c r="P645" s="2464"/>
      <c r="Q645" s="2464"/>
      <c r="R645" s="2464"/>
      <c r="S645" s="2464"/>
      <c r="T645" s="2464"/>
      <c r="U645" s="2464"/>
      <c r="V645" s="2464"/>
      <c r="W645" s="2464"/>
      <c r="X645" s="2464"/>
      <c r="Y645" s="2464"/>
      <c r="Z645" s="2464"/>
      <c r="AA645" s="2464"/>
      <c r="AB645" s="2464"/>
      <c r="AC645" s="2464"/>
      <c r="AD645" s="2464"/>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820</v>
      </c>
      <c r="AP646" s="569">
        <v>0</v>
      </c>
    </row>
    <row r="647" spans="1:42" s="449" customFormat="1" ht="12.75" customHeight="1">
      <c r="B647" s="514"/>
      <c r="C647" s="821"/>
      <c r="D647" s="559"/>
      <c r="E647" s="514" t="s">
        <v>2502</v>
      </c>
      <c r="F647" s="831"/>
      <c r="G647" s="831"/>
      <c r="H647" s="831"/>
      <c r="I647" s="831"/>
      <c r="J647" s="831"/>
      <c r="K647" s="831"/>
      <c r="L647" s="831"/>
      <c r="M647" s="831"/>
      <c r="N647" s="831"/>
      <c r="O647" s="831"/>
      <c r="P647" s="831"/>
      <c r="Q647" s="831"/>
      <c r="R647" s="831"/>
      <c r="U647" s="831"/>
      <c r="V647" s="831"/>
      <c r="W647" s="831"/>
      <c r="X647" s="2328" t="s">
        <v>820</v>
      </c>
      <c r="Y647" s="2328"/>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2503</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1" t="s">
        <v>2504</v>
      </c>
      <c r="AG649" s="2321"/>
      <c r="AH649" s="2321"/>
      <c r="AI649" s="2321"/>
      <c r="AJ649" s="2321"/>
      <c r="AK649" s="2321"/>
      <c r="AL649" s="2321"/>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2474</v>
      </c>
      <c r="AP650" s="576">
        <v>4</v>
      </c>
    </row>
    <row r="651" spans="1:42" s="449" customFormat="1" ht="12.75" customHeight="1">
      <c r="B651" s="436"/>
      <c r="C651" s="821"/>
      <c r="D651" s="436" t="s">
        <v>2490</v>
      </c>
      <c r="E651" s="826"/>
      <c r="F651" s="826"/>
      <c r="G651" s="826"/>
      <c r="H651" s="2322" t="s">
        <v>22</v>
      </c>
      <c r="I651" s="2322"/>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2477</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2505</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2506</v>
      </c>
      <c r="AJ653" s="2323">
        <f>VLOOKUP($H$651,$AO$618:$AP$620,2,FALSE)</f>
        <v>3</v>
      </c>
      <c r="AK653" s="2324"/>
      <c r="AL653" s="493"/>
      <c r="AN653" s="495"/>
      <c r="AO653" s="509" t="s">
        <v>2507</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2508</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20" t="s">
        <v>2509</v>
      </c>
      <c r="F657" s="2320"/>
      <c r="G657" s="2320"/>
      <c r="H657" s="2320"/>
      <c r="I657" s="2320"/>
      <c r="J657" s="2320"/>
      <c r="K657" s="2320"/>
      <c r="L657" s="2320"/>
      <c r="M657" s="2320"/>
      <c r="N657" s="2320"/>
      <c r="O657" s="2320"/>
      <c r="P657" s="2320"/>
      <c r="Q657" s="2320"/>
      <c r="R657" s="2320"/>
      <c r="S657" s="2320"/>
      <c r="T657" s="2320"/>
      <c r="U657" s="2320"/>
      <c r="V657" s="2320"/>
      <c r="W657" s="2320"/>
      <c r="X657" s="2320"/>
      <c r="Y657" s="2320"/>
      <c r="Z657" s="2320"/>
      <c r="AA657" s="2320"/>
      <c r="AB657" s="2320"/>
      <c r="AC657" s="2320"/>
      <c r="AD657" s="2320"/>
      <c r="AE657" s="436"/>
      <c r="AF657" s="2321" t="s">
        <v>2216</v>
      </c>
      <c r="AG657" s="2321"/>
      <c r="AH657" s="2321"/>
      <c r="AI657" s="2321"/>
      <c r="AJ657" s="2321"/>
      <c r="AK657" s="2321"/>
      <c r="AL657" s="2321"/>
      <c r="AN657" s="495"/>
    </row>
    <row r="658" spans="1:42" s="449" customFormat="1" ht="12.75" customHeight="1">
      <c r="B658" s="436"/>
      <c r="C658" s="436"/>
      <c r="D658" s="559"/>
      <c r="E658" s="2320"/>
      <c r="F658" s="2320"/>
      <c r="G658" s="2320"/>
      <c r="H658" s="2320"/>
      <c r="I658" s="2320"/>
      <c r="J658" s="2320"/>
      <c r="K658" s="2320"/>
      <c r="L658" s="2320"/>
      <c r="M658" s="2320"/>
      <c r="N658" s="2320"/>
      <c r="O658" s="2320"/>
      <c r="P658" s="2320"/>
      <c r="Q658" s="2320"/>
      <c r="R658" s="2320"/>
      <c r="S658" s="2320"/>
      <c r="T658" s="2320"/>
      <c r="U658" s="2320"/>
      <c r="V658" s="2320"/>
      <c r="W658" s="2320"/>
      <c r="X658" s="2320"/>
      <c r="Y658" s="2320"/>
      <c r="Z658" s="2320"/>
      <c r="AA658" s="2320"/>
      <c r="AB658" s="2320"/>
      <c r="AC658" s="2320"/>
      <c r="AD658" s="2320"/>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2510</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1" t="s">
        <v>2504</v>
      </c>
      <c r="AG660" s="2321"/>
      <c r="AH660" s="2321"/>
      <c r="AI660" s="2321"/>
      <c r="AJ660" s="2321"/>
      <c r="AK660" s="2321"/>
      <c r="AL660" s="2321"/>
      <c r="AN660" s="495"/>
    </row>
    <row r="661" spans="1:42" s="449" customFormat="1" ht="12.75" customHeight="1">
      <c r="B661" s="436"/>
      <c r="C661" s="821"/>
      <c r="D661" s="559"/>
      <c r="E661" s="514" t="s">
        <v>2511</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2490</v>
      </c>
      <c r="E663" s="826"/>
      <c r="F663" s="826"/>
      <c r="G663" s="826"/>
      <c r="H663" s="2322" t="s">
        <v>27</v>
      </c>
      <c r="I663" s="2322"/>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2512</v>
      </c>
      <c r="AJ665" s="2323">
        <f>VLOOKUP(H663,AT618:AU620,2,FALSE)</f>
        <v>2</v>
      </c>
      <c r="AK665" s="2324"/>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2513</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2514</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20" t="s">
        <v>2515</v>
      </c>
      <c r="F670" s="2320"/>
      <c r="G670" s="2320"/>
      <c r="H670" s="2320"/>
      <c r="I670" s="2320"/>
      <c r="J670" s="2320"/>
      <c r="K670" s="2320"/>
      <c r="L670" s="2320"/>
      <c r="M670" s="2320"/>
      <c r="N670" s="2320"/>
      <c r="O670" s="2320"/>
      <c r="P670" s="2320"/>
      <c r="Q670" s="2320"/>
      <c r="R670" s="2320"/>
      <c r="S670" s="2320"/>
      <c r="T670" s="2320"/>
      <c r="U670" s="2320"/>
      <c r="V670" s="2320"/>
      <c r="W670" s="2320"/>
      <c r="X670" s="2320"/>
      <c r="Y670" s="2320"/>
      <c r="Z670" s="2320"/>
      <c r="AA670" s="2320"/>
      <c r="AB670" s="2320"/>
      <c r="AC670" s="2320"/>
      <c r="AD670" s="436"/>
      <c r="AE670" s="436"/>
      <c r="AF670" s="2321" t="s">
        <v>2476</v>
      </c>
      <c r="AG670" s="2321"/>
      <c r="AH670" s="2321"/>
      <c r="AI670" s="2321"/>
      <c r="AJ670" s="2321"/>
      <c r="AK670" s="2321"/>
      <c r="AL670" s="2321"/>
      <c r="AN670" s="495"/>
    </row>
    <row r="671" spans="1:42" s="449" customFormat="1" ht="12.75" customHeight="1">
      <c r="B671" s="436"/>
      <c r="C671" s="439"/>
      <c r="D671" s="436"/>
      <c r="E671" s="2320"/>
      <c r="F671" s="2320"/>
      <c r="G671" s="2320"/>
      <c r="H671" s="2320"/>
      <c r="I671" s="2320"/>
      <c r="J671" s="2320"/>
      <c r="K671" s="2320"/>
      <c r="L671" s="2320"/>
      <c r="M671" s="2320"/>
      <c r="N671" s="2320"/>
      <c r="O671" s="2320"/>
      <c r="P671" s="2320"/>
      <c r="Q671" s="2320"/>
      <c r="R671" s="2320"/>
      <c r="S671" s="2320"/>
      <c r="T671" s="2320"/>
      <c r="U671" s="2320"/>
      <c r="V671" s="2320"/>
      <c r="W671" s="2320"/>
      <c r="X671" s="2320"/>
      <c r="Y671" s="2320"/>
      <c r="Z671" s="2320"/>
      <c r="AA671" s="2320"/>
      <c r="AB671" s="2320"/>
      <c r="AC671" s="2320"/>
      <c r="AD671" s="436"/>
      <c r="AE671" s="436"/>
      <c r="AF671" s="436"/>
      <c r="AG671" s="436"/>
      <c r="AH671" s="436"/>
      <c r="AI671" s="436"/>
      <c r="AJ671" s="436"/>
      <c r="AK671" s="436"/>
      <c r="AL671" s="436"/>
      <c r="AN671" s="495"/>
    </row>
    <row r="672" spans="1:42" s="449" customFormat="1" ht="12.75" customHeight="1">
      <c r="B672" s="436"/>
      <c r="C672" s="439"/>
      <c r="D672" s="559"/>
      <c r="E672" s="2320"/>
      <c r="F672" s="2320"/>
      <c r="G672" s="2320"/>
      <c r="H672" s="2320"/>
      <c r="I672" s="2320"/>
      <c r="J672" s="2320"/>
      <c r="K672" s="2320"/>
      <c r="L672" s="2320"/>
      <c r="M672" s="2320"/>
      <c r="N672" s="2320"/>
      <c r="O672" s="2320"/>
      <c r="P672" s="2320"/>
      <c r="Q672" s="2320"/>
      <c r="R672" s="2320"/>
      <c r="S672" s="2320"/>
      <c r="T672" s="2320"/>
      <c r="U672" s="2320"/>
      <c r="V672" s="2320"/>
      <c r="W672" s="2320"/>
      <c r="X672" s="2320"/>
      <c r="Y672" s="2320"/>
      <c r="Z672" s="2320"/>
      <c r="AA672" s="2320"/>
      <c r="AB672" s="2320"/>
      <c r="AC672" s="2320"/>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20" t="s">
        <v>2516</v>
      </c>
      <c r="F674" s="2320"/>
      <c r="G674" s="2320"/>
      <c r="H674" s="2320"/>
      <c r="I674" s="2320"/>
      <c r="J674" s="2320"/>
      <c r="K674" s="2320"/>
      <c r="L674" s="2320"/>
      <c r="M674" s="2320"/>
      <c r="N674" s="2320"/>
      <c r="O674" s="2320"/>
      <c r="P674" s="2320"/>
      <c r="Q674" s="2320"/>
      <c r="R674" s="2320"/>
      <c r="S674" s="2320"/>
      <c r="T674" s="2320"/>
      <c r="U674" s="2320"/>
      <c r="V674" s="2320"/>
      <c r="W674" s="2320"/>
      <c r="X674" s="2320"/>
      <c r="Y674" s="2320"/>
      <c r="Z674" s="2320"/>
      <c r="AA674" s="2320"/>
      <c r="AB674" s="2320"/>
      <c r="AC674" s="2320"/>
      <c r="AD674" s="436"/>
      <c r="AE674" s="436"/>
      <c r="AF674" s="2321" t="s">
        <v>2482</v>
      </c>
      <c r="AG674" s="2321"/>
      <c r="AH674" s="2321"/>
      <c r="AI674" s="2321"/>
      <c r="AJ674" s="2321"/>
      <c r="AK674" s="2321"/>
      <c r="AL674" s="2321"/>
      <c r="AN674" s="495"/>
    </row>
    <row r="675" spans="1:42" s="449" customFormat="1" ht="12.75" customHeight="1">
      <c r="B675" s="436"/>
      <c r="C675" s="439"/>
      <c r="D675" s="436"/>
      <c r="E675" s="2320"/>
      <c r="F675" s="2320"/>
      <c r="G675" s="2320"/>
      <c r="H675" s="2320"/>
      <c r="I675" s="2320"/>
      <c r="J675" s="2320"/>
      <c r="K675" s="2320"/>
      <c r="L675" s="2320"/>
      <c r="M675" s="2320"/>
      <c r="N675" s="2320"/>
      <c r="O675" s="2320"/>
      <c r="P675" s="2320"/>
      <c r="Q675" s="2320"/>
      <c r="R675" s="2320"/>
      <c r="S675" s="2320"/>
      <c r="T675" s="2320"/>
      <c r="U675" s="2320"/>
      <c r="V675" s="2320"/>
      <c r="W675" s="2320"/>
      <c r="X675" s="2320"/>
      <c r="Y675" s="2320"/>
      <c r="Z675" s="2320"/>
      <c r="AA675" s="2320"/>
      <c r="AB675" s="2320"/>
      <c r="AC675" s="2320"/>
      <c r="AD675" s="436"/>
      <c r="AE675" s="436"/>
      <c r="AF675" s="436"/>
      <c r="AG675" s="436"/>
      <c r="AH675" s="436"/>
      <c r="AI675" s="436"/>
      <c r="AJ675" s="436"/>
      <c r="AK675" s="436"/>
      <c r="AL675" s="436"/>
      <c r="AN675" s="495"/>
    </row>
    <row r="676" spans="1:42" s="449" customFormat="1" ht="15" customHeight="1">
      <c r="B676" s="436"/>
      <c r="C676" s="439"/>
      <c r="D676" s="559"/>
      <c r="E676" s="2320"/>
      <c r="F676" s="2320"/>
      <c r="G676" s="2320"/>
      <c r="H676" s="2320"/>
      <c r="I676" s="2320"/>
      <c r="J676" s="2320"/>
      <c r="K676" s="2320"/>
      <c r="L676" s="2320"/>
      <c r="M676" s="2320"/>
      <c r="N676" s="2320"/>
      <c r="O676" s="2320"/>
      <c r="P676" s="2320"/>
      <c r="Q676" s="2320"/>
      <c r="R676" s="2320"/>
      <c r="S676" s="2320"/>
      <c r="T676" s="2320"/>
      <c r="U676" s="2320"/>
      <c r="V676" s="2320"/>
      <c r="W676" s="2320"/>
      <c r="X676" s="2320"/>
      <c r="Y676" s="2320"/>
      <c r="Z676" s="2320"/>
      <c r="AA676" s="2320"/>
      <c r="AB676" s="2320"/>
      <c r="AC676" s="2320"/>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20" t="s">
        <v>2517</v>
      </c>
      <c r="F678" s="2320"/>
      <c r="G678" s="2320"/>
      <c r="H678" s="2320"/>
      <c r="I678" s="2320"/>
      <c r="J678" s="2320"/>
      <c r="K678" s="2320"/>
      <c r="L678" s="2320"/>
      <c r="M678" s="2320"/>
      <c r="N678" s="2320"/>
      <c r="O678" s="2320"/>
      <c r="P678" s="2320"/>
      <c r="Q678" s="2320"/>
      <c r="R678" s="2320"/>
      <c r="S678" s="2320"/>
      <c r="T678" s="2320"/>
      <c r="U678" s="2320"/>
      <c r="V678" s="2320"/>
      <c r="W678" s="2320"/>
      <c r="X678" s="2320"/>
      <c r="Y678" s="2320"/>
      <c r="Z678" s="2320"/>
      <c r="AA678" s="2320"/>
      <c r="AB678" s="2320"/>
      <c r="AC678" s="2320"/>
      <c r="AD678" s="436"/>
      <c r="AE678" s="436"/>
      <c r="AF678" s="2321" t="s">
        <v>2216</v>
      </c>
      <c r="AG678" s="2321"/>
      <c r="AH678" s="2321"/>
      <c r="AI678" s="2321"/>
      <c r="AJ678" s="2321"/>
      <c r="AK678" s="2321"/>
      <c r="AL678" s="2321"/>
      <c r="AN678" s="495"/>
    </row>
    <row r="679" spans="1:42" s="449" customFormat="1" ht="12.75" customHeight="1">
      <c r="B679" s="436"/>
      <c r="C679" s="821"/>
      <c r="D679" s="436"/>
      <c r="E679" s="2320"/>
      <c r="F679" s="2320"/>
      <c r="G679" s="2320"/>
      <c r="H679" s="2320"/>
      <c r="I679" s="2320"/>
      <c r="J679" s="2320"/>
      <c r="K679" s="2320"/>
      <c r="L679" s="2320"/>
      <c r="M679" s="2320"/>
      <c r="N679" s="2320"/>
      <c r="O679" s="2320"/>
      <c r="P679" s="2320"/>
      <c r="Q679" s="2320"/>
      <c r="R679" s="2320"/>
      <c r="S679" s="2320"/>
      <c r="T679" s="2320"/>
      <c r="U679" s="2320"/>
      <c r="V679" s="2320"/>
      <c r="W679" s="2320"/>
      <c r="X679" s="2320"/>
      <c r="Y679" s="2320"/>
      <c r="Z679" s="2320"/>
      <c r="AA679" s="2320"/>
      <c r="AB679" s="2320"/>
      <c r="AC679" s="2320"/>
      <c r="AD679" s="436"/>
      <c r="AE679" s="2321"/>
      <c r="AF679" s="2321"/>
      <c r="AG679" s="2321"/>
      <c r="AH679" s="2321"/>
      <c r="AI679" s="2321"/>
      <c r="AJ679" s="2321"/>
      <c r="AK679" s="2321"/>
      <c r="AL679" s="492"/>
      <c r="AN679" s="495"/>
      <c r="AO679" s="449" t="s">
        <v>820</v>
      </c>
      <c r="AP679" s="569">
        <v>0</v>
      </c>
    </row>
    <row r="680" spans="1:42" s="449" customFormat="1" ht="12.75" customHeight="1">
      <c r="A680" s="575"/>
      <c r="B680" s="436"/>
      <c r="C680" s="436"/>
      <c r="D680" s="559"/>
      <c r="E680" s="2320"/>
      <c r="F680" s="2320"/>
      <c r="G680" s="2320"/>
      <c r="H680" s="2320"/>
      <c r="I680" s="2320"/>
      <c r="J680" s="2320"/>
      <c r="K680" s="2320"/>
      <c r="L680" s="2320"/>
      <c r="M680" s="2320"/>
      <c r="N680" s="2320"/>
      <c r="O680" s="2320"/>
      <c r="P680" s="2320"/>
      <c r="Q680" s="2320"/>
      <c r="R680" s="2320"/>
      <c r="S680" s="2320"/>
      <c r="T680" s="2320"/>
      <c r="U680" s="2320"/>
      <c r="V680" s="2320"/>
      <c r="W680" s="2320"/>
      <c r="X680" s="2320"/>
      <c r="Y680" s="2320"/>
      <c r="Z680" s="2320"/>
      <c r="AA680" s="2320"/>
      <c r="AB680" s="2320"/>
      <c r="AC680" s="2320"/>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2474</v>
      </c>
      <c r="E682" s="2320" t="s">
        <v>2518</v>
      </c>
      <c r="F682" s="2320"/>
      <c r="G682" s="2320"/>
      <c r="H682" s="2320"/>
      <c r="I682" s="2320"/>
      <c r="J682" s="2320"/>
      <c r="K682" s="2320"/>
      <c r="L682" s="2320"/>
      <c r="M682" s="2320"/>
      <c r="N682" s="2320"/>
      <c r="O682" s="2320"/>
      <c r="P682" s="2320"/>
      <c r="Q682" s="2320"/>
      <c r="R682" s="2320"/>
      <c r="S682" s="2320"/>
      <c r="T682" s="2320"/>
      <c r="U682" s="2320"/>
      <c r="V682" s="2320"/>
      <c r="W682" s="2320"/>
      <c r="X682" s="2320"/>
      <c r="Y682" s="2320"/>
      <c r="Z682" s="2320"/>
      <c r="AA682" s="2320"/>
      <c r="AB682" s="2320"/>
      <c r="AC682" s="2320"/>
      <c r="AD682" s="436"/>
      <c r="AE682" s="436"/>
      <c r="AF682" s="2321" t="s">
        <v>2482</v>
      </c>
      <c r="AG682" s="2321"/>
      <c r="AH682" s="2321"/>
      <c r="AI682" s="2321"/>
      <c r="AJ682" s="2321"/>
      <c r="AK682" s="2321"/>
      <c r="AL682" s="2321"/>
      <c r="AN682" s="495"/>
    </row>
    <row r="683" spans="1:42" s="449" customFormat="1" ht="12.75" customHeight="1">
      <c r="A683" s="566"/>
      <c r="B683" s="436"/>
      <c r="C683" s="837"/>
      <c r="D683" s="559"/>
      <c r="E683" s="2320"/>
      <c r="F683" s="2320"/>
      <c r="G683" s="2320"/>
      <c r="H683" s="2320"/>
      <c r="I683" s="2320"/>
      <c r="J683" s="2320"/>
      <c r="K683" s="2320"/>
      <c r="L683" s="2320"/>
      <c r="M683" s="2320"/>
      <c r="N683" s="2320"/>
      <c r="O683" s="2320"/>
      <c r="P683" s="2320"/>
      <c r="Q683" s="2320"/>
      <c r="R683" s="2320"/>
      <c r="S683" s="2320"/>
      <c r="T683" s="2320"/>
      <c r="U683" s="2320"/>
      <c r="V683" s="2320"/>
      <c r="W683" s="2320"/>
      <c r="X683" s="2320"/>
      <c r="Y683" s="2320"/>
      <c r="Z683" s="2320"/>
      <c r="AA683" s="2320"/>
      <c r="AB683" s="2320"/>
      <c r="AC683" s="2320"/>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20"/>
      <c r="F684" s="2320"/>
      <c r="G684" s="2320"/>
      <c r="H684" s="2320"/>
      <c r="I684" s="2320"/>
      <c r="J684" s="2320"/>
      <c r="K684" s="2320"/>
      <c r="L684" s="2320"/>
      <c r="M684" s="2320"/>
      <c r="N684" s="2320"/>
      <c r="O684" s="2320"/>
      <c r="P684" s="2320"/>
      <c r="Q684" s="2320"/>
      <c r="R684" s="2320"/>
      <c r="S684" s="2320"/>
      <c r="T684" s="2320"/>
      <c r="U684" s="2320"/>
      <c r="V684" s="2320"/>
      <c r="W684" s="2320"/>
      <c r="X684" s="2320"/>
      <c r="Y684" s="2320"/>
      <c r="Z684" s="2320"/>
      <c r="AA684" s="2320"/>
      <c r="AB684" s="2320"/>
      <c r="AC684" s="2320"/>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2477</v>
      </c>
      <c r="E686" s="2320" t="s">
        <v>2519</v>
      </c>
      <c r="F686" s="2320"/>
      <c r="G686" s="2320"/>
      <c r="H686" s="2320"/>
      <c r="I686" s="2320"/>
      <c r="J686" s="2320"/>
      <c r="K686" s="2320"/>
      <c r="L686" s="2320"/>
      <c r="M686" s="2320"/>
      <c r="N686" s="2320"/>
      <c r="O686" s="2320"/>
      <c r="P686" s="2320"/>
      <c r="Q686" s="2320"/>
      <c r="R686" s="2320"/>
      <c r="S686" s="2320"/>
      <c r="T686" s="2320"/>
      <c r="U686" s="2320"/>
      <c r="V686" s="2320"/>
      <c r="W686" s="2320"/>
      <c r="X686" s="2320"/>
      <c r="Y686" s="2320"/>
      <c r="Z686" s="2320"/>
      <c r="AA686" s="2320"/>
      <c r="AB686" s="2320"/>
      <c r="AC686" s="2320"/>
      <c r="AD686" s="436"/>
      <c r="AE686" s="436"/>
      <c r="AF686" s="2321" t="s">
        <v>2216</v>
      </c>
      <c r="AG686" s="2321"/>
      <c r="AH686" s="2321"/>
      <c r="AI686" s="2321"/>
      <c r="AJ686" s="2321"/>
      <c r="AK686" s="2321"/>
      <c r="AL686" s="2321"/>
      <c r="AM686" s="494"/>
      <c r="AN686" s="495"/>
    </row>
    <row r="687" spans="1:42" s="449" customFormat="1" ht="12.75" customHeight="1">
      <c r="B687" s="436"/>
      <c r="C687" s="821"/>
      <c r="D687" s="559"/>
      <c r="E687" s="2320"/>
      <c r="F687" s="2320"/>
      <c r="G687" s="2320"/>
      <c r="H687" s="2320"/>
      <c r="I687" s="2320"/>
      <c r="J687" s="2320"/>
      <c r="K687" s="2320"/>
      <c r="L687" s="2320"/>
      <c r="M687" s="2320"/>
      <c r="N687" s="2320"/>
      <c r="O687" s="2320"/>
      <c r="P687" s="2320"/>
      <c r="Q687" s="2320"/>
      <c r="R687" s="2320"/>
      <c r="S687" s="2320"/>
      <c r="T687" s="2320"/>
      <c r="U687" s="2320"/>
      <c r="V687" s="2320"/>
      <c r="W687" s="2320"/>
      <c r="X687" s="2320"/>
      <c r="Y687" s="2320"/>
      <c r="Z687" s="2320"/>
      <c r="AA687" s="2320"/>
      <c r="AB687" s="2320"/>
      <c r="AC687" s="2320"/>
      <c r="AD687" s="436"/>
      <c r="AE687" s="436"/>
      <c r="AF687" s="436"/>
      <c r="AG687" s="436"/>
      <c r="AH687" s="436"/>
      <c r="AI687" s="436"/>
      <c r="AJ687" s="436"/>
      <c r="AK687" s="436"/>
      <c r="AL687" s="436"/>
      <c r="AM687" s="494"/>
      <c r="AN687" s="495"/>
    </row>
    <row r="688" spans="1:42" s="449" customFormat="1" ht="12.75" customHeight="1">
      <c r="B688" s="436"/>
      <c r="C688" s="821"/>
      <c r="D688" s="559"/>
      <c r="E688" s="2320"/>
      <c r="F688" s="2320"/>
      <c r="G688" s="2320"/>
      <c r="H688" s="2320"/>
      <c r="I688" s="2320"/>
      <c r="J688" s="2320"/>
      <c r="K688" s="2320"/>
      <c r="L688" s="2320"/>
      <c r="M688" s="2320"/>
      <c r="N688" s="2320"/>
      <c r="O688" s="2320"/>
      <c r="P688" s="2320"/>
      <c r="Q688" s="2320"/>
      <c r="R688" s="2320"/>
      <c r="S688" s="2320"/>
      <c r="T688" s="2320"/>
      <c r="U688" s="2320"/>
      <c r="V688" s="2320"/>
      <c r="W688" s="2320"/>
      <c r="X688" s="2320"/>
      <c r="Y688" s="2320"/>
      <c r="Z688" s="2320"/>
      <c r="AA688" s="2320"/>
      <c r="AB688" s="2320"/>
      <c r="AC688" s="2320"/>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2505</v>
      </c>
      <c r="E690" s="2320" t="s">
        <v>2520</v>
      </c>
      <c r="F690" s="2320"/>
      <c r="G690" s="2320"/>
      <c r="H690" s="2320"/>
      <c r="I690" s="2320"/>
      <c r="J690" s="2320"/>
      <c r="K690" s="2320"/>
      <c r="L690" s="2320"/>
      <c r="M690" s="2320"/>
      <c r="N690" s="2320"/>
      <c r="O690" s="2320"/>
      <c r="P690" s="2320"/>
      <c r="Q690" s="2320"/>
      <c r="R690" s="2320"/>
      <c r="S690" s="2320"/>
      <c r="T690" s="2320"/>
      <c r="U690" s="2320"/>
      <c r="V690" s="2320"/>
      <c r="W690" s="2320"/>
      <c r="X690" s="2320"/>
      <c r="Y690" s="2320"/>
      <c r="Z690" s="2320"/>
      <c r="AA690" s="2320"/>
      <c r="AB690" s="2320"/>
      <c r="AC690" s="2320"/>
      <c r="AD690" s="436"/>
      <c r="AE690" s="436"/>
      <c r="AF690" s="2321" t="s">
        <v>2504</v>
      </c>
      <c r="AG690" s="2321"/>
      <c r="AH690" s="2321"/>
      <c r="AI690" s="2321"/>
      <c r="AJ690" s="2321"/>
      <c r="AK690" s="2321"/>
      <c r="AL690" s="2321"/>
      <c r="AM690" s="494"/>
      <c r="AN690" s="495"/>
    </row>
    <row r="691" spans="1:50" s="449" customFormat="1" ht="12.75" customHeight="1">
      <c r="A691" s="575"/>
      <c r="B691" s="436"/>
      <c r="C691" s="821"/>
      <c r="D691" s="559"/>
      <c r="E691" s="2320"/>
      <c r="F691" s="2320"/>
      <c r="G691" s="2320"/>
      <c r="H691" s="2320"/>
      <c r="I691" s="2320"/>
      <c r="J691" s="2320"/>
      <c r="K691" s="2320"/>
      <c r="L691" s="2320"/>
      <c r="M691" s="2320"/>
      <c r="N691" s="2320"/>
      <c r="O691" s="2320"/>
      <c r="P691" s="2320"/>
      <c r="Q691" s="2320"/>
      <c r="R691" s="2320"/>
      <c r="S691" s="2320"/>
      <c r="T691" s="2320"/>
      <c r="U691" s="2320"/>
      <c r="V691" s="2320"/>
      <c r="W691" s="2320"/>
      <c r="X691" s="2320"/>
      <c r="Y691" s="2320"/>
      <c r="Z691" s="2320"/>
      <c r="AA691" s="2320"/>
      <c r="AB691" s="2320"/>
      <c r="AC691" s="2320"/>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20"/>
      <c r="F692" s="2320"/>
      <c r="G692" s="2320"/>
      <c r="H692" s="2320"/>
      <c r="I692" s="2320"/>
      <c r="J692" s="2320"/>
      <c r="K692" s="2320"/>
      <c r="L692" s="2320"/>
      <c r="M692" s="2320"/>
      <c r="N692" s="2320"/>
      <c r="O692" s="2320"/>
      <c r="P692" s="2320"/>
      <c r="Q692" s="2320"/>
      <c r="R692" s="2320"/>
      <c r="S692" s="2320"/>
      <c r="T692" s="2320"/>
      <c r="U692" s="2320"/>
      <c r="V692" s="2320"/>
      <c r="W692" s="2320"/>
      <c r="X692" s="2320"/>
      <c r="Y692" s="2320"/>
      <c r="Z692" s="2320"/>
      <c r="AA692" s="2320"/>
      <c r="AB692" s="2320"/>
      <c r="AC692" s="2320"/>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820</v>
      </c>
      <c r="AP693" s="535">
        <v>0</v>
      </c>
    </row>
    <row r="694" spans="1:50" s="449" customFormat="1" ht="12.75" customHeight="1">
      <c r="A694" s="575"/>
      <c r="B694" s="436"/>
      <c r="C694" s="821"/>
      <c r="D694" s="559" t="s">
        <v>2507</v>
      </c>
      <c r="E694" s="2320" t="s">
        <v>2521</v>
      </c>
      <c r="F694" s="2320"/>
      <c r="G694" s="2320"/>
      <c r="H694" s="2320"/>
      <c r="I694" s="2320"/>
      <c r="J694" s="2320"/>
      <c r="K694" s="2320"/>
      <c r="L694" s="2320"/>
      <c r="M694" s="2320"/>
      <c r="N694" s="2320"/>
      <c r="O694" s="2320"/>
      <c r="P694" s="2320"/>
      <c r="Q694" s="2320"/>
      <c r="R694" s="2320"/>
      <c r="S694" s="2320"/>
      <c r="T694" s="2320"/>
      <c r="U694" s="2320"/>
      <c r="V694" s="2320"/>
      <c r="W694" s="2320"/>
      <c r="X694" s="2320"/>
      <c r="Y694" s="2320"/>
      <c r="Z694" s="2320"/>
      <c r="AA694" s="2320"/>
      <c r="AB694" s="2320"/>
      <c r="AC694" s="2320"/>
      <c r="AD694" s="436"/>
      <c r="AE694" s="436"/>
      <c r="AF694" s="2321" t="s">
        <v>2522</v>
      </c>
      <c r="AG694" s="2321"/>
      <c r="AH694" s="2321"/>
      <c r="AI694" s="2321"/>
      <c r="AJ694" s="2321"/>
      <c r="AK694" s="2321"/>
      <c r="AL694" s="2321"/>
      <c r="AM694" s="494"/>
      <c r="AN694" s="495"/>
      <c r="AO694" s="509" t="s">
        <v>22</v>
      </c>
      <c r="AP694" s="449">
        <v>3</v>
      </c>
    </row>
    <row r="695" spans="1:50" s="449" customFormat="1" ht="12.75" customHeight="1">
      <c r="A695" s="575"/>
      <c r="B695" s="436"/>
      <c r="C695" s="821"/>
      <c r="D695" s="559"/>
      <c r="E695" s="2320"/>
      <c r="F695" s="2320"/>
      <c r="G695" s="2320"/>
      <c r="H695" s="2320"/>
      <c r="I695" s="2320"/>
      <c r="J695" s="2320"/>
      <c r="K695" s="2320"/>
      <c r="L695" s="2320"/>
      <c r="M695" s="2320"/>
      <c r="N695" s="2320"/>
      <c r="O695" s="2320"/>
      <c r="P695" s="2320"/>
      <c r="Q695" s="2320"/>
      <c r="R695" s="2320"/>
      <c r="S695" s="2320"/>
      <c r="T695" s="2320"/>
      <c r="U695" s="2320"/>
      <c r="V695" s="2320"/>
      <c r="W695" s="2320"/>
      <c r="X695" s="2320"/>
      <c r="Y695" s="2320"/>
      <c r="Z695" s="2320"/>
      <c r="AA695" s="2320"/>
      <c r="AB695" s="2320"/>
      <c r="AC695" s="2320"/>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20"/>
      <c r="F696" s="2320"/>
      <c r="G696" s="2320"/>
      <c r="H696" s="2320"/>
      <c r="I696" s="2320"/>
      <c r="J696" s="2320"/>
      <c r="K696" s="2320"/>
      <c r="L696" s="2320"/>
      <c r="M696" s="2320"/>
      <c r="N696" s="2320"/>
      <c r="O696" s="2320"/>
      <c r="P696" s="2320"/>
      <c r="Q696" s="2320"/>
      <c r="R696" s="2320"/>
      <c r="S696" s="2320"/>
      <c r="T696" s="2320"/>
      <c r="U696" s="2320"/>
      <c r="V696" s="2320"/>
      <c r="W696" s="2320"/>
      <c r="X696" s="2320"/>
      <c r="Y696" s="2320"/>
      <c r="Z696" s="2320"/>
      <c r="AA696" s="2320"/>
      <c r="AB696" s="2320"/>
      <c r="AC696" s="2320"/>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2490</v>
      </c>
      <c r="E698" s="826"/>
      <c r="F698" s="826"/>
      <c r="G698" s="826"/>
      <c r="H698" s="2322" t="s">
        <v>22</v>
      </c>
      <c r="I698" s="2322"/>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2523</v>
      </c>
      <c r="AJ700" s="2323">
        <f>VLOOKUP($H$698,$AO$646:$AP$653,2,FALSE)</f>
        <v>5</v>
      </c>
      <c r="AK700" s="2324"/>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2524</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2525</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2526</v>
      </c>
      <c r="AX703" s="1034">
        <f>Application!G761</f>
        <v>90</v>
      </c>
    </row>
    <row r="704" spans="1:50" s="449" customFormat="1" ht="12.75" customHeight="1">
      <c r="A704" s="575"/>
      <c r="B704" s="436"/>
      <c r="C704" s="838"/>
      <c r="D704" s="559" t="s">
        <v>22</v>
      </c>
      <c r="E704" s="2326" t="s">
        <v>2527</v>
      </c>
      <c r="F704" s="2326"/>
      <c r="G704" s="2326"/>
      <c r="H704" s="2326"/>
      <c r="I704" s="2326"/>
      <c r="J704" s="2326"/>
      <c r="K704" s="2326"/>
      <c r="L704" s="2326"/>
      <c r="M704" s="2326"/>
      <c r="N704" s="2326"/>
      <c r="O704" s="2326"/>
      <c r="P704" s="2326"/>
      <c r="Q704" s="2326"/>
      <c r="R704" s="2326"/>
      <c r="S704" s="2326"/>
      <c r="T704" s="2326"/>
      <c r="U704" s="2326"/>
      <c r="V704" s="2326"/>
      <c r="W704" s="2326"/>
      <c r="X704" s="2326"/>
      <c r="Y704" s="2326"/>
      <c r="Z704" s="2326"/>
      <c r="AA704" s="2326"/>
      <c r="AB704" s="2326"/>
      <c r="AC704" s="436"/>
      <c r="AD704" s="436"/>
      <c r="AE704" s="436"/>
      <c r="AF704" s="2321" t="s">
        <v>2216</v>
      </c>
      <c r="AG704" s="2321"/>
      <c r="AH704" s="2321"/>
      <c r="AI704" s="2321"/>
      <c r="AJ704" s="2321"/>
      <c r="AK704" s="2321"/>
      <c r="AL704" s="2321"/>
      <c r="AN704" s="495"/>
      <c r="AW704" s="19" t="s">
        <v>2528</v>
      </c>
      <c r="AX704" s="449">
        <f>Application!DE761</f>
        <v>2</v>
      </c>
    </row>
    <row r="705" spans="1:51" s="449" customFormat="1" ht="12.75" customHeight="1">
      <c r="A705" s="575"/>
      <c r="B705" s="436"/>
      <c r="C705" s="838"/>
      <c r="D705" s="559"/>
      <c r="E705" s="2326"/>
      <c r="F705" s="2326"/>
      <c r="G705" s="2326"/>
      <c r="H705" s="2326"/>
      <c r="I705" s="2326"/>
      <c r="J705" s="2326"/>
      <c r="K705" s="2326"/>
      <c r="L705" s="2326"/>
      <c r="M705" s="2326"/>
      <c r="N705" s="2326"/>
      <c r="O705" s="2326"/>
      <c r="P705" s="2326"/>
      <c r="Q705" s="2326"/>
      <c r="R705" s="2326"/>
      <c r="S705" s="2326"/>
      <c r="T705" s="2326"/>
      <c r="U705" s="2326"/>
      <c r="V705" s="2326"/>
      <c r="W705" s="2326"/>
      <c r="X705" s="2326"/>
      <c r="Y705" s="2326"/>
      <c r="Z705" s="2326"/>
      <c r="AA705" s="2326"/>
      <c r="AB705" s="2326"/>
      <c r="AC705" s="436"/>
      <c r="AD705" s="436"/>
      <c r="AE705" s="436"/>
      <c r="AF705" s="436"/>
      <c r="AG705" s="436"/>
      <c r="AH705" s="436"/>
      <c r="AI705" s="436"/>
      <c r="AJ705" s="436"/>
      <c r="AK705" s="436"/>
      <c r="AL705" s="436"/>
      <c r="AN705" s="495"/>
      <c r="AW705" s="19" t="s">
        <v>2529</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2530</v>
      </c>
      <c r="AX706" s="449">
        <f>Application!DO761</f>
        <v>0</v>
      </c>
    </row>
    <row r="707" spans="1:51" s="449" customFormat="1" ht="12.75" customHeight="1">
      <c r="B707" s="436"/>
      <c r="C707" s="821"/>
      <c r="D707" s="559" t="s">
        <v>27</v>
      </c>
      <c r="E707" s="2320" t="s">
        <v>2531</v>
      </c>
      <c r="F707" s="2320"/>
      <c r="G707" s="2320"/>
      <c r="H707" s="2320"/>
      <c r="I707" s="2320"/>
      <c r="J707" s="2320"/>
      <c r="K707" s="2320"/>
      <c r="L707" s="2320"/>
      <c r="M707" s="2320"/>
      <c r="N707" s="2320"/>
      <c r="O707" s="2320"/>
      <c r="P707" s="2320"/>
      <c r="Q707" s="2320"/>
      <c r="R707" s="2320"/>
      <c r="S707" s="2320"/>
      <c r="T707" s="2320"/>
      <c r="U707" s="2320"/>
      <c r="V707" s="2320"/>
      <c r="W707" s="2320"/>
      <c r="X707" s="2320"/>
      <c r="Y707" s="2320"/>
      <c r="Z707" s="2320"/>
      <c r="AA707" s="2320"/>
      <c r="AB707" s="2320"/>
      <c r="AC707" s="436"/>
      <c r="AD707" s="436"/>
      <c r="AE707" s="436"/>
      <c r="AF707" s="2321" t="s">
        <v>2216</v>
      </c>
      <c r="AG707" s="2321"/>
      <c r="AH707" s="2321"/>
      <c r="AI707" s="2321"/>
      <c r="AJ707" s="2321"/>
      <c r="AK707" s="2321"/>
      <c r="AL707" s="2321"/>
      <c r="AN707" s="495"/>
      <c r="AW707" s="19" t="s">
        <v>2532</v>
      </c>
      <c r="AX707" s="449">
        <f>AX704+AX705+AX706</f>
        <v>2</v>
      </c>
    </row>
    <row r="708" spans="1:51" s="449" customFormat="1" ht="12.75" customHeight="1">
      <c r="B708" s="436"/>
      <c r="C708" s="830"/>
      <c r="D708" s="559"/>
      <c r="E708" s="2320"/>
      <c r="F708" s="2320"/>
      <c r="G708" s="2320"/>
      <c r="H708" s="2320"/>
      <c r="I708" s="2320"/>
      <c r="J708" s="2320"/>
      <c r="K708" s="2320"/>
      <c r="L708" s="2320"/>
      <c r="M708" s="2320"/>
      <c r="N708" s="2320"/>
      <c r="O708" s="2320"/>
      <c r="P708" s="2320"/>
      <c r="Q708" s="2320"/>
      <c r="R708" s="2320"/>
      <c r="S708" s="2320"/>
      <c r="T708" s="2320"/>
      <c r="U708" s="2320"/>
      <c r="V708" s="2320"/>
      <c r="W708" s="2320"/>
      <c r="X708" s="2320"/>
      <c r="Y708" s="2320"/>
      <c r="Z708" s="2320"/>
      <c r="AA708" s="2320"/>
      <c r="AB708" s="2320"/>
      <c r="AC708" s="436"/>
      <c r="AD708" s="436"/>
      <c r="AE708" s="514"/>
      <c r="AF708" s="436"/>
      <c r="AG708" s="436"/>
      <c r="AH708" s="436"/>
      <c r="AI708" s="436"/>
      <c r="AJ708" s="436"/>
      <c r="AK708" s="436"/>
      <c r="AL708" s="436"/>
      <c r="AN708" s="495"/>
      <c r="AO708" s="2390" t="b">
        <f>IF(Application!D211="Special Needs",IF(AY708&gt;=0.25,TRUE,FALSE),IF(AX708&gt;=0.25,TRUE,FALSE))</f>
        <v>0</v>
      </c>
      <c r="AP708" s="2390"/>
      <c r="AW708" s="19" t="s">
        <v>2533</v>
      </c>
      <c r="AX708" s="449">
        <f>IFERROR(AX707/AX703,0)</f>
        <v>2.2222222222222223E-2</v>
      </c>
      <c r="AY708" s="449">
        <f>IFERROR(AX707/(AX703-AX702),0)</f>
        <v>2.2222222222222223E-2</v>
      </c>
    </row>
    <row r="709" spans="1:51" s="449" customFormat="1" ht="12.75" customHeight="1">
      <c r="B709" s="436"/>
      <c r="C709" s="830"/>
      <c r="E709" s="2320"/>
      <c r="F709" s="2320"/>
      <c r="G709" s="2320"/>
      <c r="H709" s="2320"/>
      <c r="I709" s="2320"/>
      <c r="J709" s="2320"/>
      <c r="K709" s="2320"/>
      <c r="L709" s="2320"/>
      <c r="M709" s="2320"/>
      <c r="N709" s="2320"/>
      <c r="O709" s="2320"/>
      <c r="P709" s="2320"/>
      <c r="Q709" s="2320"/>
      <c r="R709" s="2320"/>
      <c r="S709" s="2320"/>
      <c r="T709" s="2320"/>
      <c r="U709" s="2320"/>
      <c r="V709" s="2320"/>
      <c r="W709" s="2320"/>
      <c r="X709" s="2320"/>
      <c r="Y709" s="2320"/>
      <c r="Z709" s="2320"/>
      <c r="AA709" s="2320"/>
      <c r="AB709" s="2320"/>
      <c r="AC709" s="436"/>
      <c r="AD709" s="436"/>
      <c r="AE709" s="514"/>
      <c r="AF709" s="514"/>
      <c r="AG709" s="514"/>
      <c r="AH709" s="514"/>
      <c r="AI709" s="514"/>
      <c r="AJ709" s="514"/>
      <c r="AK709" s="514"/>
      <c r="AL709" s="514"/>
      <c r="AN709" s="495"/>
      <c r="AW709" s="13"/>
    </row>
    <row r="710" spans="1:51" s="449" customFormat="1" ht="28.5" customHeight="1">
      <c r="B710" s="436"/>
      <c r="C710" s="830"/>
      <c r="D710" s="436"/>
      <c r="E710" s="2320"/>
      <c r="F710" s="2320"/>
      <c r="G710" s="2320"/>
      <c r="H710" s="2320"/>
      <c r="I710" s="2320"/>
      <c r="J710" s="2320"/>
      <c r="K710" s="2320"/>
      <c r="L710" s="2320"/>
      <c r="M710" s="2320"/>
      <c r="N710" s="2320"/>
      <c r="O710" s="2320"/>
      <c r="P710" s="2320"/>
      <c r="Q710" s="2320"/>
      <c r="R710" s="2320"/>
      <c r="S710" s="2320"/>
      <c r="T710" s="2320"/>
      <c r="U710" s="2320"/>
      <c r="V710" s="2320"/>
      <c r="W710" s="2320"/>
      <c r="X710" s="2320"/>
      <c r="Y710" s="2320"/>
      <c r="Z710" s="2320"/>
      <c r="AA710" s="2320"/>
      <c r="AB710" s="2320"/>
      <c r="AC710" s="436"/>
      <c r="AD710" s="436"/>
      <c r="AE710" s="514"/>
      <c r="AF710" s="514"/>
      <c r="AG710" s="514"/>
      <c r="AH710" s="514"/>
      <c r="AI710" s="514"/>
      <c r="AJ710" s="514"/>
      <c r="AK710" s="514"/>
      <c r="AL710" s="514"/>
      <c r="AN710" s="495"/>
      <c r="AO710" s="449" t="s">
        <v>820</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20" t="s">
        <v>2534</v>
      </c>
      <c r="F712" s="2320"/>
      <c r="G712" s="2320"/>
      <c r="H712" s="2320"/>
      <c r="I712" s="2320"/>
      <c r="J712" s="2320"/>
      <c r="K712" s="2320"/>
      <c r="L712" s="2320"/>
      <c r="M712" s="2320"/>
      <c r="N712" s="2320"/>
      <c r="O712" s="2320"/>
      <c r="P712" s="2320"/>
      <c r="Q712" s="2320"/>
      <c r="R712" s="2320"/>
      <c r="S712" s="2320"/>
      <c r="T712" s="2320"/>
      <c r="U712" s="2320"/>
      <c r="V712" s="2320"/>
      <c r="W712" s="2320"/>
      <c r="X712" s="2320"/>
      <c r="Y712" s="2320"/>
      <c r="Z712" s="2320"/>
      <c r="AA712" s="2320"/>
      <c r="AB712" s="2320"/>
      <c r="AC712" s="436"/>
      <c r="AD712" s="436"/>
      <c r="AE712" s="436"/>
      <c r="AF712" s="2321" t="s">
        <v>2504</v>
      </c>
      <c r="AG712" s="2321"/>
      <c r="AH712" s="2321"/>
      <c r="AI712" s="2321"/>
      <c r="AJ712" s="2321"/>
      <c r="AK712" s="2321"/>
      <c r="AL712" s="2321"/>
      <c r="AN712" s="495"/>
      <c r="AO712" s="509" t="s">
        <v>27</v>
      </c>
      <c r="AP712" s="449">
        <v>1</v>
      </c>
    </row>
    <row r="713" spans="1:51" s="449" customFormat="1" ht="12" customHeight="1">
      <c r="B713" s="436"/>
      <c r="C713" s="821"/>
      <c r="E713" s="2320"/>
      <c r="F713" s="2320"/>
      <c r="G713" s="2320"/>
      <c r="H713" s="2320"/>
      <c r="I713" s="2320"/>
      <c r="J713" s="2320"/>
      <c r="K713" s="2320"/>
      <c r="L713" s="2320"/>
      <c r="M713" s="2320"/>
      <c r="N713" s="2320"/>
      <c r="O713" s="2320"/>
      <c r="P713" s="2320"/>
      <c r="Q713" s="2320"/>
      <c r="R713" s="2320"/>
      <c r="S713" s="2320"/>
      <c r="T713" s="2320"/>
      <c r="U713" s="2320"/>
      <c r="V713" s="2320"/>
      <c r="W713" s="2320"/>
      <c r="X713" s="2320"/>
      <c r="Y713" s="2320"/>
      <c r="Z713" s="2320"/>
      <c r="AA713" s="2320"/>
      <c r="AB713" s="2320"/>
      <c r="AC713" s="436"/>
      <c r="AD713" s="436"/>
      <c r="AE713" s="514"/>
      <c r="AF713" s="436"/>
      <c r="AG713" s="436"/>
      <c r="AH713" s="436"/>
      <c r="AI713" s="436"/>
      <c r="AJ713" s="436"/>
      <c r="AK713" s="436"/>
      <c r="AL713" s="436"/>
      <c r="AN713" s="495"/>
    </row>
    <row r="714" spans="1:51" s="449" customFormat="1" ht="12" customHeight="1">
      <c r="B714" s="436"/>
      <c r="C714" s="821"/>
      <c r="D714" s="436"/>
      <c r="E714" s="2320"/>
      <c r="F714" s="2320"/>
      <c r="G714" s="2320"/>
      <c r="H714" s="2320"/>
      <c r="I714" s="2320"/>
      <c r="J714" s="2320"/>
      <c r="K714" s="2320"/>
      <c r="L714" s="2320"/>
      <c r="M714" s="2320"/>
      <c r="N714" s="2320"/>
      <c r="O714" s="2320"/>
      <c r="P714" s="2320"/>
      <c r="Q714" s="2320"/>
      <c r="R714" s="2320"/>
      <c r="S714" s="2320"/>
      <c r="T714" s="2320"/>
      <c r="U714" s="2320"/>
      <c r="V714" s="2320"/>
      <c r="W714" s="2320"/>
      <c r="X714" s="2320"/>
      <c r="Y714" s="2320"/>
      <c r="Z714" s="2320"/>
      <c r="AA714" s="2320"/>
      <c r="AB714" s="2320"/>
      <c r="AC714" s="436"/>
      <c r="AD714" s="436"/>
      <c r="AE714" s="514"/>
      <c r="AF714" s="436"/>
      <c r="AG714" s="436"/>
      <c r="AH714" s="436"/>
      <c r="AI714" s="436"/>
      <c r="AJ714" s="436"/>
      <c r="AK714" s="436"/>
      <c r="AL714" s="436"/>
      <c r="AN714" s="495"/>
    </row>
    <row r="715" spans="1:51" s="449" customFormat="1" ht="12" customHeight="1">
      <c r="B715" s="436"/>
      <c r="C715" s="821"/>
      <c r="D715" s="436"/>
      <c r="E715" s="2320"/>
      <c r="F715" s="2320"/>
      <c r="G715" s="2320"/>
      <c r="H715" s="2320"/>
      <c r="I715" s="2320"/>
      <c r="J715" s="2320"/>
      <c r="K715" s="2320"/>
      <c r="L715" s="2320"/>
      <c r="M715" s="2320"/>
      <c r="N715" s="2320"/>
      <c r="O715" s="2320"/>
      <c r="P715" s="2320"/>
      <c r="Q715" s="2320"/>
      <c r="R715" s="2320"/>
      <c r="S715" s="2320"/>
      <c r="T715" s="2320"/>
      <c r="U715" s="2320"/>
      <c r="V715" s="2320"/>
      <c r="W715" s="2320"/>
      <c r="X715" s="2320"/>
      <c r="Y715" s="2320"/>
      <c r="Z715" s="2320"/>
      <c r="AA715" s="2320"/>
      <c r="AB715" s="2320"/>
      <c r="AC715" s="436"/>
      <c r="AD715" s="436"/>
      <c r="AE715" s="514"/>
      <c r="AF715" s="436"/>
      <c r="AG715" s="436"/>
      <c r="AH715" s="436"/>
      <c r="AI715" s="436"/>
      <c r="AJ715" s="436"/>
      <c r="AK715" s="436"/>
      <c r="AL715" s="436"/>
      <c r="AN715" s="495"/>
    </row>
    <row r="716" spans="1:51" s="468" customFormat="1" ht="12.9" customHeight="1">
      <c r="A716" s="449"/>
      <c r="B716" s="436"/>
      <c r="C716" s="821"/>
      <c r="D716" s="436"/>
      <c r="E716" s="2320"/>
      <c r="F716" s="2320"/>
      <c r="G716" s="2320"/>
      <c r="H716" s="2320"/>
      <c r="I716" s="2320"/>
      <c r="J716" s="2320"/>
      <c r="K716" s="2320"/>
      <c r="L716" s="2320"/>
      <c r="M716" s="2320"/>
      <c r="N716" s="2320"/>
      <c r="O716" s="2320"/>
      <c r="P716" s="2320"/>
      <c r="Q716" s="2320"/>
      <c r="R716" s="2320"/>
      <c r="S716" s="2320"/>
      <c r="T716" s="2320"/>
      <c r="U716" s="2320"/>
      <c r="V716" s="2320"/>
      <c r="W716" s="2320"/>
      <c r="X716" s="2320"/>
      <c r="Y716" s="2320"/>
      <c r="Z716" s="2320"/>
      <c r="AA716" s="2320"/>
      <c r="AB716" s="2320"/>
      <c r="AC716" s="436"/>
      <c r="AD716" s="436"/>
      <c r="AE716" s="514"/>
      <c r="AF716" s="514"/>
      <c r="AG716" s="514"/>
      <c r="AH716" s="514"/>
      <c r="AI716" s="514"/>
      <c r="AJ716" s="436"/>
      <c r="AK716" s="436"/>
      <c r="AL716" s="436"/>
      <c r="AM716" s="449"/>
      <c r="AN716" s="580"/>
      <c r="AO716" s="449" t="s">
        <v>820</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20" t="s">
        <v>2535</v>
      </c>
      <c r="F718" s="2320"/>
      <c r="G718" s="2320"/>
      <c r="H718" s="2320"/>
      <c r="I718" s="2320"/>
      <c r="J718" s="2320"/>
      <c r="K718" s="2320"/>
      <c r="L718" s="2320"/>
      <c r="M718" s="2320"/>
      <c r="N718" s="2320"/>
      <c r="O718" s="2320"/>
      <c r="P718" s="2320"/>
      <c r="Q718" s="2320"/>
      <c r="R718" s="2320"/>
      <c r="S718" s="2320"/>
      <c r="T718" s="2320"/>
      <c r="U718" s="2320"/>
      <c r="V718" s="2320"/>
      <c r="W718" s="2320"/>
      <c r="X718" s="2320"/>
      <c r="Y718" s="2320"/>
      <c r="Z718" s="2320"/>
      <c r="AA718" s="2320"/>
      <c r="AB718" s="2320"/>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20"/>
      <c r="F719" s="2320"/>
      <c r="G719" s="2320"/>
      <c r="H719" s="2320"/>
      <c r="I719" s="2320"/>
      <c r="J719" s="2320"/>
      <c r="K719" s="2320"/>
      <c r="L719" s="2320"/>
      <c r="M719" s="2320"/>
      <c r="N719" s="2320"/>
      <c r="O719" s="2320"/>
      <c r="P719" s="2320"/>
      <c r="Q719" s="2320"/>
      <c r="R719" s="2320"/>
      <c r="S719" s="2320"/>
      <c r="T719" s="2320"/>
      <c r="U719" s="2320"/>
      <c r="V719" s="2320"/>
      <c r="W719" s="2320"/>
      <c r="X719" s="2320"/>
      <c r="Y719" s="2320"/>
      <c r="Z719" s="2320"/>
      <c r="AA719" s="2320"/>
      <c r="AB719" s="2320"/>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20"/>
      <c r="F720" s="2320"/>
      <c r="G720" s="2320"/>
      <c r="H720" s="2320"/>
      <c r="I720" s="2320"/>
      <c r="J720" s="2320"/>
      <c r="K720" s="2320"/>
      <c r="L720" s="2320"/>
      <c r="M720" s="2320"/>
      <c r="N720" s="2320"/>
      <c r="O720" s="2320"/>
      <c r="P720" s="2320"/>
      <c r="Q720" s="2320"/>
      <c r="R720" s="2320"/>
      <c r="S720" s="2320"/>
      <c r="T720" s="2320"/>
      <c r="U720" s="2320"/>
      <c r="V720" s="2320"/>
      <c r="W720" s="2320"/>
      <c r="X720" s="2320"/>
      <c r="Y720" s="2320"/>
      <c r="Z720" s="2320"/>
      <c r="AA720" s="2320"/>
      <c r="AB720" s="2320"/>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2490</v>
      </c>
      <c r="E722" s="826"/>
      <c r="F722" s="826"/>
      <c r="G722" s="826"/>
      <c r="H722" s="2322" t="s">
        <v>820</v>
      </c>
      <c r="I722" s="2322"/>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2536</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2500</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2537</v>
      </c>
      <c r="AJ724" s="2323">
        <f>VLOOKUP($H$722,$AO$716:$AP$719,2,FALSE)</f>
        <v>0</v>
      </c>
      <c r="AK724" s="2324"/>
      <c r="AL724" s="493"/>
      <c r="AM724" s="449"/>
      <c r="AN724" s="580"/>
      <c r="AP724" s="468" t="s">
        <v>2508</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2538</v>
      </c>
    </row>
    <row r="726" spans="1:43" s="468" customFormat="1" ht="12.75" customHeight="1">
      <c r="A726" s="449"/>
      <c r="B726" s="436"/>
      <c r="C726" s="439" t="s">
        <v>2539</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2540</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2541</v>
      </c>
    </row>
    <row r="728" spans="1:43" s="468" customFormat="1" ht="12.75" customHeight="1">
      <c r="A728" s="535"/>
      <c r="B728" s="436"/>
      <c r="C728" s="821"/>
      <c r="D728" s="559" t="s">
        <v>22</v>
      </c>
      <c r="E728" s="2462" t="s">
        <v>2542</v>
      </c>
      <c r="F728" s="2462"/>
      <c r="G728" s="2462"/>
      <c r="H728" s="2462"/>
      <c r="I728" s="2462"/>
      <c r="J728" s="2462"/>
      <c r="K728" s="2462"/>
      <c r="L728" s="2462"/>
      <c r="M728" s="2462"/>
      <c r="N728" s="2462"/>
      <c r="O728" s="2462"/>
      <c r="P728" s="2462"/>
      <c r="Q728" s="2462"/>
      <c r="R728" s="2462"/>
      <c r="S728" s="2462"/>
      <c r="T728" s="2462"/>
      <c r="U728" s="2462"/>
      <c r="V728" s="2462"/>
      <c r="W728" s="2462"/>
      <c r="X728" s="2462"/>
      <c r="Y728" s="2462"/>
      <c r="Z728" s="2462"/>
      <c r="AA728" s="2462"/>
      <c r="AB728" s="2462"/>
      <c r="AC728" s="436"/>
      <c r="AD728" s="436"/>
      <c r="AE728" s="436"/>
      <c r="AF728" s="2321" t="s">
        <v>2216</v>
      </c>
      <c r="AG728" s="2321"/>
      <c r="AH728" s="2321"/>
      <c r="AI728" s="2321"/>
      <c r="AJ728" s="2321"/>
      <c r="AK728" s="2321"/>
      <c r="AL728" s="2321"/>
      <c r="AM728" s="449"/>
      <c r="AN728" s="580"/>
      <c r="AP728" s="468" t="s">
        <v>2543</v>
      </c>
    </row>
    <row r="729" spans="1:43" s="468" customFormat="1" ht="11.85" customHeight="1">
      <c r="A729" s="449"/>
      <c r="B729" s="436"/>
      <c r="C729" s="823"/>
      <c r="D729" s="559"/>
      <c r="E729" s="2462"/>
      <c r="F729" s="2462"/>
      <c r="G729" s="2462"/>
      <c r="H729" s="2462"/>
      <c r="I729" s="2462"/>
      <c r="J729" s="2462"/>
      <c r="K729" s="2462"/>
      <c r="L729" s="2462"/>
      <c r="M729" s="2462"/>
      <c r="N729" s="2462"/>
      <c r="O729" s="2462"/>
      <c r="P729" s="2462"/>
      <c r="Q729" s="2462"/>
      <c r="R729" s="2462"/>
      <c r="S729" s="2462"/>
      <c r="T729" s="2462"/>
      <c r="U729" s="2462"/>
      <c r="V729" s="2462"/>
      <c r="W729" s="2462"/>
      <c r="X729" s="2462"/>
      <c r="Y729" s="2462"/>
      <c r="Z729" s="2462"/>
      <c r="AA729" s="2462"/>
      <c r="AB729" s="2462"/>
      <c r="AC729" s="436"/>
      <c r="AD729" s="436"/>
      <c r="AE729" s="436"/>
      <c r="AF729" s="436"/>
      <c r="AG729" s="436"/>
      <c r="AH729" s="436"/>
      <c r="AI729" s="436"/>
      <c r="AJ729" s="436"/>
      <c r="AK729" s="436"/>
      <c r="AL729" s="436"/>
      <c r="AM729" s="449"/>
      <c r="AN729" s="580"/>
      <c r="AP729" s="468" t="s">
        <v>2544</v>
      </c>
    </row>
    <row r="730" spans="1:43" s="468" customFormat="1" ht="13.95" customHeight="1">
      <c r="A730" s="449"/>
      <c r="B730" s="508"/>
      <c r="C730" s="821"/>
      <c r="D730" s="559"/>
      <c r="E730" s="2462"/>
      <c r="F730" s="2462"/>
      <c r="G730" s="2462"/>
      <c r="H730" s="2462"/>
      <c r="I730" s="2462"/>
      <c r="J730" s="2462"/>
      <c r="K730" s="2462"/>
      <c r="L730" s="2462"/>
      <c r="M730" s="2462"/>
      <c r="N730" s="2462"/>
      <c r="O730" s="2462"/>
      <c r="P730" s="2462"/>
      <c r="Q730" s="2462"/>
      <c r="R730" s="2462"/>
      <c r="S730" s="2462"/>
      <c r="T730" s="2462"/>
      <c r="U730" s="2462"/>
      <c r="V730" s="2462"/>
      <c r="W730" s="2462"/>
      <c r="X730" s="2462"/>
      <c r="Y730" s="2462"/>
      <c r="Z730" s="2462"/>
      <c r="AA730" s="2462"/>
      <c r="AB730" s="2462"/>
      <c r="AC730" s="436"/>
      <c r="AD730" s="436"/>
      <c r="AE730" s="514"/>
      <c r="AF730" s="436"/>
      <c r="AG730" s="436"/>
      <c r="AH730" s="436"/>
      <c r="AI730" s="436"/>
      <c r="AJ730" s="436"/>
      <c r="AK730" s="436"/>
      <c r="AL730" s="436"/>
      <c r="AM730" s="449"/>
      <c r="AN730" s="580"/>
      <c r="AP730" s="468" t="s">
        <v>2545</v>
      </c>
    </row>
    <row r="731" spans="1:43" s="468" customFormat="1" ht="13.95"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2546</v>
      </c>
    </row>
    <row r="732" spans="1:43" s="468" customFormat="1" ht="13.95" customHeight="1">
      <c r="A732" s="449"/>
      <c r="B732" s="436"/>
      <c r="C732" s="821"/>
      <c r="D732" s="559" t="s">
        <v>27</v>
      </c>
      <c r="E732" s="2463" t="s">
        <v>2547</v>
      </c>
      <c r="F732" s="2463"/>
      <c r="G732" s="2463"/>
      <c r="H732" s="2463"/>
      <c r="I732" s="2463"/>
      <c r="J732" s="2463"/>
      <c r="K732" s="2463"/>
      <c r="L732" s="2463"/>
      <c r="M732" s="2463"/>
      <c r="N732" s="2463"/>
      <c r="O732" s="2463"/>
      <c r="P732" s="2463"/>
      <c r="Q732" s="2463"/>
      <c r="R732" s="2463"/>
      <c r="S732" s="2463"/>
      <c r="T732" s="2463"/>
      <c r="U732" s="2463"/>
      <c r="V732" s="2463"/>
      <c r="W732" s="2463"/>
      <c r="X732" s="2463"/>
      <c r="Y732" s="2463"/>
      <c r="Z732" s="2463"/>
      <c r="AA732" s="2463"/>
      <c r="AB732" s="2463"/>
      <c r="AC732" s="436"/>
      <c r="AD732" s="436"/>
      <c r="AE732" s="436"/>
      <c r="AF732" s="2321" t="s">
        <v>2504</v>
      </c>
      <c r="AG732" s="2321"/>
      <c r="AH732" s="2321"/>
      <c r="AI732" s="2321"/>
      <c r="AJ732" s="2321"/>
      <c r="AK732" s="2321"/>
      <c r="AL732" s="2321"/>
      <c r="AM732" s="449"/>
      <c r="AN732" s="581"/>
    </row>
    <row r="733" spans="1:43" s="468" customFormat="1" ht="12.75" customHeight="1">
      <c r="A733" s="449"/>
      <c r="B733" s="436"/>
      <c r="C733" s="823"/>
      <c r="D733" s="436"/>
      <c r="E733" s="2463"/>
      <c r="F733" s="2463"/>
      <c r="G733" s="2463"/>
      <c r="H733" s="2463"/>
      <c r="I733" s="2463"/>
      <c r="J733" s="2463"/>
      <c r="K733" s="2463"/>
      <c r="L733" s="2463"/>
      <c r="M733" s="2463"/>
      <c r="N733" s="2463"/>
      <c r="O733" s="2463"/>
      <c r="P733" s="2463"/>
      <c r="Q733" s="2463"/>
      <c r="R733" s="2463"/>
      <c r="S733" s="2463"/>
      <c r="T733" s="2463"/>
      <c r="U733" s="2463"/>
      <c r="V733" s="2463"/>
      <c r="W733" s="2463"/>
      <c r="X733" s="2463"/>
      <c r="Y733" s="2463"/>
      <c r="Z733" s="2463"/>
      <c r="AA733" s="2463"/>
      <c r="AB733" s="2463"/>
      <c r="AC733" s="436"/>
      <c r="AD733" s="436"/>
      <c r="AE733" s="436"/>
      <c r="AF733" s="436"/>
      <c r="AG733" s="436"/>
      <c r="AH733" s="436"/>
      <c r="AI733" s="436"/>
      <c r="AJ733" s="436"/>
      <c r="AK733" s="436"/>
      <c r="AL733" s="436"/>
      <c r="AM733" s="449"/>
      <c r="AN733" s="580"/>
      <c r="AP733" s="449" t="s">
        <v>820</v>
      </c>
      <c r="AQ733" s="569">
        <v>0</v>
      </c>
    </row>
    <row r="734" spans="1:43" s="468" customFormat="1" ht="13.95" customHeight="1">
      <c r="A734" s="449"/>
      <c r="B734" s="436"/>
      <c r="C734" s="823"/>
      <c r="D734" s="436"/>
      <c r="E734" s="2463"/>
      <c r="F734" s="2463"/>
      <c r="G734" s="2463"/>
      <c r="H734" s="2463"/>
      <c r="I734" s="2463"/>
      <c r="J734" s="2463"/>
      <c r="K734" s="2463"/>
      <c r="L734" s="2463"/>
      <c r="M734" s="2463"/>
      <c r="N734" s="2463"/>
      <c r="O734" s="2463"/>
      <c r="P734" s="2463"/>
      <c r="Q734" s="2463"/>
      <c r="R734" s="2463"/>
      <c r="S734" s="2463"/>
      <c r="T734" s="2463"/>
      <c r="U734" s="2463"/>
      <c r="V734" s="2463"/>
      <c r="W734" s="2463"/>
      <c r="X734" s="2463"/>
      <c r="Y734" s="2463"/>
      <c r="Z734" s="2463"/>
      <c r="AA734" s="2463"/>
      <c r="AB734" s="2463"/>
      <c r="AC734" s="436"/>
      <c r="AD734" s="436"/>
      <c r="AE734" s="436"/>
      <c r="AF734" s="436"/>
      <c r="AG734" s="436"/>
      <c r="AH734" s="436"/>
      <c r="AI734" s="436"/>
      <c r="AJ734" s="436"/>
      <c r="AK734" s="436"/>
      <c r="AL734" s="436"/>
      <c r="AM734" s="449"/>
      <c r="AN734" s="580"/>
      <c r="AP734" s="509" t="s">
        <v>22</v>
      </c>
      <c r="AQ734" s="449">
        <v>3</v>
      </c>
    </row>
    <row r="735" spans="1:43" s="468" customFormat="1" ht="13.95"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5" customHeight="1">
      <c r="A736" s="449"/>
      <c r="B736" s="436"/>
      <c r="C736" s="823"/>
      <c r="D736" s="436" t="s">
        <v>2490</v>
      </c>
      <c r="E736" s="826"/>
      <c r="F736" s="826"/>
      <c r="G736" s="826"/>
      <c r="H736" s="2322" t="s">
        <v>820</v>
      </c>
      <c r="I736" s="2322"/>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2548</v>
      </c>
      <c r="AJ738" s="2323">
        <f>VLOOKUP($H$736,$AP$733:$AQ$735,2,FALSE)</f>
        <v>0</v>
      </c>
      <c r="AK738" s="2324"/>
      <c r="AL738" s="493"/>
      <c r="AM738" s="449"/>
      <c r="AN738" s="580"/>
      <c r="AP738" s="2323"/>
      <c r="AQ738" s="2324"/>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2549</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20" t="s">
        <v>2550</v>
      </c>
      <c r="F742" s="2320"/>
      <c r="G742" s="2320"/>
      <c r="H742" s="2320"/>
      <c r="I742" s="2320"/>
      <c r="J742" s="2320"/>
      <c r="K742" s="2320"/>
      <c r="L742" s="2320"/>
      <c r="M742" s="2320"/>
      <c r="N742" s="2320"/>
      <c r="O742" s="2320"/>
      <c r="P742" s="2320"/>
      <c r="Q742" s="2320"/>
      <c r="R742" s="2320"/>
      <c r="S742" s="2320"/>
      <c r="T742" s="2320"/>
      <c r="U742" s="2320"/>
      <c r="V742" s="2320"/>
      <c r="W742" s="2320"/>
      <c r="X742" s="2320"/>
      <c r="Y742" s="2320"/>
      <c r="Z742" s="2320"/>
      <c r="AA742" s="2320"/>
      <c r="AB742" s="2320"/>
      <c r="AC742" s="436"/>
      <c r="AD742" s="436"/>
      <c r="AE742" s="436"/>
      <c r="AF742" s="2321" t="s">
        <v>2216</v>
      </c>
      <c r="AG742" s="2321"/>
      <c r="AH742" s="2321"/>
      <c r="AI742" s="2321"/>
      <c r="AJ742" s="2321"/>
      <c r="AK742" s="2321"/>
      <c r="AL742" s="2321"/>
      <c r="AM742" s="449"/>
      <c r="AN742" s="580"/>
      <c r="AT742" s="13"/>
      <c r="AU742" s="13"/>
      <c r="AV742" s="13"/>
      <c r="AW742" s="13"/>
      <c r="AX742" s="13"/>
      <c r="AY742" s="13"/>
      <c r="AZ742" s="13"/>
    </row>
    <row r="743" spans="1:81" s="468" customFormat="1">
      <c r="A743" s="449"/>
      <c r="B743" s="436"/>
      <c r="C743" s="823"/>
      <c r="D743" s="559"/>
      <c r="E743" s="2320"/>
      <c r="F743" s="2320"/>
      <c r="G743" s="2320"/>
      <c r="H743" s="2320"/>
      <c r="I743" s="2320"/>
      <c r="J743" s="2320"/>
      <c r="K743" s="2320"/>
      <c r="L743" s="2320"/>
      <c r="M743" s="2320"/>
      <c r="N743" s="2320"/>
      <c r="O743" s="2320"/>
      <c r="P743" s="2320"/>
      <c r="Q743" s="2320"/>
      <c r="R743" s="2320"/>
      <c r="S743" s="2320"/>
      <c r="T743" s="2320"/>
      <c r="U743" s="2320"/>
      <c r="V743" s="2320"/>
      <c r="W743" s="2320"/>
      <c r="X743" s="2320"/>
      <c r="Y743" s="2320"/>
      <c r="Z743" s="2320"/>
      <c r="AA743" s="2320"/>
      <c r="AB743" s="2320"/>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20" t="s">
        <v>2551</v>
      </c>
      <c r="F745" s="2320"/>
      <c r="G745" s="2320"/>
      <c r="H745" s="2320"/>
      <c r="I745" s="2320"/>
      <c r="J745" s="2320"/>
      <c r="K745" s="2320"/>
      <c r="L745" s="2320"/>
      <c r="M745" s="2320"/>
      <c r="N745" s="2320"/>
      <c r="O745" s="2320"/>
      <c r="P745" s="2320"/>
      <c r="Q745" s="2320"/>
      <c r="R745" s="2320"/>
      <c r="S745" s="2320"/>
      <c r="T745" s="2320"/>
      <c r="U745" s="2320"/>
      <c r="V745" s="2320"/>
      <c r="W745" s="2320"/>
      <c r="X745" s="2320"/>
      <c r="Y745" s="2320"/>
      <c r="Z745" s="2320"/>
      <c r="AA745" s="2320"/>
      <c r="AB745" s="2320"/>
      <c r="AC745" s="436"/>
      <c r="AD745" s="436"/>
      <c r="AE745" s="436"/>
      <c r="AF745" s="2321" t="s">
        <v>2504</v>
      </c>
      <c r="AG745" s="2321"/>
      <c r="AH745" s="2321"/>
      <c r="AI745" s="2321"/>
      <c r="AJ745" s="2321"/>
      <c r="AK745" s="2321"/>
      <c r="AL745" s="2321"/>
      <c r="AM745" s="449"/>
      <c r="AN745" s="580"/>
      <c r="AT745" s="13"/>
      <c r="AU745" s="13"/>
      <c r="AV745" s="13"/>
      <c r="AW745" s="13"/>
      <c r="AX745" s="13"/>
      <c r="AY745" s="13"/>
      <c r="AZ745" s="13"/>
    </row>
    <row r="746" spans="1:81" s="468" customFormat="1">
      <c r="A746" s="449"/>
      <c r="B746" s="436"/>
      <c r="C746" s="823"/>
      <c r="D746" s="436"/>
      <c r="E746" s="2320"/>
      <c r="F746" s="2320"/>
      <c r="G746" s="2320"/>
      <c r="H746" s="2320"/>
      <c r="I746" s="2320"/>
      <c r="J746" s="2320"/>
      <c r="K746" s="2320"/>
      <c r="L746" s="2320"/>
      <c r="M746" s="2320"/>
      <c r="N746" s="2320"/>
      <c r="O746" s="2320"/>
      <c r="P746" s="2320"/>
      <c r="Q746" s="2320"/>
      <c r="R746" s="2320"/>
      <c r="S746" s="2320"/>
      <c r="T746" s="2320"/>
      <c r="U746" s="2320"/>
      <c r="V746" s="2320"/>
      <c r="W746" s="2320"/>
      <c r="X746" s="2320"/>
      <c r="Y746" s="2320"/>
      <c r="Z746" s="2320"/>
      <c r="AA746" s="2320"/>
      <c r="AB746" s="2320"/>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2490</v>
      </c>
      <c r="E748" s="826"/>
      <c r="F748" s="826"/>
      <c r="G748" s="826"/>
      <c r="H748" s="2322" t="s">
        <v>820</v>
      </c>
      <c r="I748" s="2322"/>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2552</v>
      </c>
      <c r="AJ750" s="2323">
        <f>VLOOKUP($H$748,$AO$679:$AP$681,2,FALSE)</f>
        <v>0</v>
      </c>
      <c r="AK750" s="2324"/>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2553</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20" t="s">
        <v>2554</v>
      </c>
      <c r="F754" s="2320"/>
      <c r="G754" s="2320"/>
      <c r="H754" s="2320"/>
      <c r="I754" s="2320"/>
      <c r="J754" s="2320"/>
      <c r="K754" s="2320"/>
      <c r="L754" s="2320"/>
      <c r="M754" s="2320"/>
      <c r="N754" s="2320"/>
      <c r="O754" s="2320"/>
      <c r="P754" s="2320"/>
      <c r="Q754" s="2320"/>
      <c r="R754" s="2320"/>
      <c r="S754" s="2320"/>
      <c r="T754" s="2320"/>
      <c r="U754" s="2320"/>
      <c r="V754" s="2320"/>
      <c r="W754" s="2320"/>
      <c r="X754" s="2320"/>
      <c r="Y754" s="2320"/>
      <c r="Z754" s="2320"/>
      <c r="AA754" s="2320"/>
      <c r="AB754" s="2320"/>
      <c r="AC754" s="436"/>
      <c r="AD754" s="436"/>
      <c r="AE754" s="436"/>
      <c r="AF754" s="2321" t="s">
        <v>2216</v>
      </c>
      <c r="AG754" s="2321"/>
      <c r="AH754" s="2321"/>
      <c r="AI754" s="2321"/>
      <c r="AJ754" s="2321"/>
      <c r="AK754" s="2321"/>
      <c r="AL754" s="2321"/>
      <c r="AM754" s="449"/>
      <c r="AN754" s="580"/>
      <c r="AT754" s="13"/>
      <c r="AU754" s="13"/>
      <c r="AV754" s="13"/>
      <c r="AW754" s="13"/>
      <c r="AX754" s="13"/>
      <c r="AY754" s="13"/>
      <c r="AZ754" s="13"/>
    </row>
    <row r="755" spans="1:81" s="468" customFormat="1">
      <c r="A755" s="449"/>
      <c r="B755" s="436"/>
      <c r="C755" s="821"/>
      <c r="D755" s="559"/>
      <c r="E755" s="2320"/>
      <c r="F755" s="2320"/>
      <c r="G755" s="2320"/>
      <c r="H755" s="2320"/>
      <c r="I755" s="2320"/>
      <c r="J755" s="2320"/>
      <c r="K755" s="2320"/>
      <c r="L755" s="2320"/>
      <c r="M755" s="2320"/>
      <c r="N755" s="2320"/>
      <c r="O755" s="2320"/>
      <c r="P755" s="2320"/>
      <c r="Q755" s="2320"/>
      <c r="R755" s="2320"/>
      <c r="S755" s="2320"/>
      <c r="T755" s="2320"/>
      <c r="U755" s="2320"/>
      <c r="V755" s="2320"/>
      <c r="W755" s="2320"/>
      <c r="X755" s="2320"/>
      <c r="Y755" s="2320"/>
      <c r="Z755" s="2320"/>
      <c r="AA755" s="2320"/>
      <c r="AB755" s="2320"/>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20"/>
      <c r="F756" s="2320"/>
      <c r="G756" s="2320"/>
      <c r="H756" s="2320"/>
      <c r="I756" s="2320"/>
      <c r="J756" s="2320"/>
      <c r="K756" s="2320"/>
      <c r="L756" s="2320"/>
      <c r="M756" s="2320"/>
      <c r="N756" s="2320"/>
      <c r="O756" s="2320"/>
      <c r="P756" s="2320"/>
      <c r="Q756" s="2320"/>
      <c r="R756" s="2320"/>
      <c r="S756" s="2320"/>
      <c r="T756" s="2320"/>
      <c r="U756" s="2320"/>
      <c r="V756" s="2320"/>
      <c r="W756" s="2320"/>
      <c r="X756" s="2320"/>
      <c r="Y756" s="2320"/>
      <c r="Z756" s="2320"/>
      <c r="AA756" s="2320"/>
      <c r="AB756" s="2320"/>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20"/>
      <c r="F757" s="2320"/>
      <c r="G757" s="2320"/>
      <c r="H757" s="2320"/>
      <c r="I757" s="2320"/>
      <c r="J757" s="2320"/>
      <c r="K757" s="2320"/>
      <c r="L757" s="2320"/>
      <c r="M757" s="2320"/>
      <c r="N757" s="2320"/>
      <c r="O757" s="2320"/>
      <c r="P757" s="2320"/>
      <c r="Q757" s="2320"/>
      <c r="R757" s="2320"/>
      <c r="S757" s="2320"/>
      <c r="T757" s="2320"/>
      <c r="U757" s="2320"/>
      <c r="V757" s="2320"/>
      <c r="W757" s="2320"/>
      <c r="X757" s="2320"/>
      <c r="Y757" s="2320"/>
      <c r="Z757" s="2320"/>
      <c r="AA757" s="2320"/>
      <c r="AB757" s="2320"/>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20" t="s">
        <v>2555</v>
      </c>
      <c r="F759" s="2320"/>
      <c r="G759" s="2320"/>
      <c r="H759" s="2320"/>
      <c r="I759" s="2320"/>
      <c r="J759" s="2320"/>
      <c r="K759" s="2320"/>
      <c r="L759" s="2320"/>
      <c r="M759" s="2320"/>
      <c r="N759" s="2320"/>
      <c r="O759" s="2320"/>
      <c r="P759" s="2320"/>
      <c r="Q759" s="2320"/>
      <c r="R759" s="2320"/>
      <c r="S759" s="2320"/>
      <c r="T759" s="2320"/>
      <c r="U759" s="2320"/>
      <c r="V759" s="2320"/>
      <c r="W759" s="2320"/>
      <c r="X759" s="2320"/>
      <c r="Y759" s="2320"/>
      <c r="Z759" s="2320"/>
      <c r="AA759" s="2320"/>
      <c r="AB759" s="473"/>
      <c r="AC759" s="436"/>
      <c r="AD759" s="436"/>
      <c r="AE759" s="436"/>
      <c r="AF759" s="2321" t="s">
        <v>2504</v>
      </c>
      <c r="AG759" s="2321"/>
      <c r="AH759" s="2321"/>
      <c r="AI759" s="2321"/>
      <c r="AJ759" s="2321"/>
      <c r="AK759" s="2321"/>
      <c r="AL759" s="2321"/>
      <c r="AM759" s="449"/>
      <c r="AN759" s="580"/>
      <c r="AO759" s="25"/>
      <c r="AP759" s="13"/>
    </row>
    <row r="760" spans="1:81" s="468" customFormat="1">
      <c r="A760" s="449"/>
      <c r="B760" s="436"/>
      <c r="C760" s="821"/>
      <c r="D760" s="559"/>
      <c r="E760" s="2320"/>
      <c r="F760" s="2320"/>
      <c r="G760" s="2320"/>
      <c r="H760" s="2320"/>
      <c r="I760" s="2320"/>
      <c r="J760" s="2320"/>
      <c r="K760" s="2320"/>
      <c r="L760" s="2320"/>
      <c r="M760" s="2320"/>
      <c r="N760" s="2320"/>
      <c r="O760" s="2320"/>
      <c r="P760" s="2320"/>
      <c r="Q760" s="2320"/>
      <c r="R760" s="2320"/>
      <c r="S760" s="2320"/>
      <c r="T760" s="2320"/>
      <c r="U760" s="2320"/>
      <c r="V760" s="2320"/>
      <c r="W760" s="2320"/>
      <c r="X760" s="2320"/>
      <c r="Y760" s="2320"/>
      <c r="Z760" s="2320"/>
      <c r="AA760" s="2320"/>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20"/>
      <c r="F761" s="2320"/>
      <c r="G761" s="2320"/>
      <c r="H761" s="2320"/>
      <c r="I761" s="2320"/>
      <c r="J761" s="2320"/>
      <c r="K761" s="2320"/>
      <c r="L761" s="2320"/>
      <c r="M761" s="2320"/>
      <c r="N761" s="2320"/>
      <c r="O761" s="2320"/>
      <c r="P761" s="2320"/>
      <c r="Q761" s="2320"/>
      <c r="R761" s="2320"/>
      <c r="S761" s="2320"/>
      <c r="T761" s="2320"/>
      <c r="U761" s="2320"/>
      <c r="V761" s="2320"/>
      <c r="W761" s="2320"/>
      <c r="X761" s="2320"/>
      <c r="Y761" s="2320"/>
      <c r="Z761" s="2320"/>
      <c r="AA761" s="2320"/>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20"/>
      <c r="F762" s="2320"/>
      <c r="G762" s="2320"/>
      <c r="H762" s="2320"/>
      <c r="I762" s="2320"/>
      <c r="J762" s="2320"/>
      <c r="K762" s="2320"/>
      <c r="L762" s="2320"/>
      <c r="M762" s="2320"/>
      <c r="N762" s="2320"/>
      <c r="O762" s="2320"/>
      <c r="P762" s="2320"/>
      <c r="Q762" s="2320"/>
      <c r="R762" s="2320"/>
      <c r="S762" s="2320"/>
      <c r="T762" s="2320"/>
      <c r="U762" s="2320"/>
      <c r="V762" s="2320"/>
      <c r="W762" s="2320"/>
      <c r="X762" s="2320"/>
      <c r="Y762" s="2320"/>
      <c r="Z762" s="2320"/>
      <c r="AA762" s="2320"/>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2490</v>
      </c>
      <c r="E764" s="826"/>
      <c r="F764" s="826"/>
      <c r="G764" s="826"/>
      <c r="H764" s="2322" t="s">
        <v>820</v>
      </c>
      <c r="I764" s="2322"/>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2556</v>
      </c>
      <c r="AJ766" s="2323">
        <f>VLOOKUP($H$764,$AO$693:$AP$695,2,FALSE)</f>
        <v>0</v>
      </c>
      <c r="AK766" s="2324"/>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2545</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20" t="s">
        <v>2557</v>
      </c>
      <c r="F770" s="2320"/>
      <c r="G770" s="2320"/>
      <c r="H770" s="2320"/>
      <c r="I770" s="2320"/>
      <c r="J770" s="2320"/>
      <c r="K770" s="2320"/>
      <c r="L770" s="2320"/>
      <c r="M770" s="2320"/>
      <c r="N770" s="2320"/>
      <c r="O770" s="2320"/>
      <c r="P770" s="2320"/>
      <c r="Q770" s="2320"/>
      <c r="R770" s="2320"/>
      <c r="S770" s="2320"/>
      <c r="T770" s="2320"/>
      <c r="U770" s="2320"/>
      <c r="V770" s="2320"/>
      <c r="W770" s="2320"/>
      <c r="X770" s="2320"/>
      <c r="Y770" s="2320"/>
      <c r="Z770" s="2320"/>
      <c r="AA770" s="2320"/>
      <c r="AB770" s="2320"/>
      <c r="AC770" s="436"/>
      <c r="AD770" s="436"/>
      <c r="AE770" s="436"/>
      <c r="AF770" s="2321" t="s">
        <v>2504</v>
      </c>
      <c r="AG770" s="2321"/>
      <c r="AH770" s="2321"/>
      <c r="AI770" s="2321"/>
      <c r="AJ770" s="2321"/>
      <c r="AK770" s="2321"/>
      <c r="AL770" s="2321"/>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20"/>
      <c r="F771" s="2320"/>
      <c r="G771" s="2320"/>
      <c r="H771" s="2320"/>
      <c r="I771" s="2320"/>
      <c r="J771" s="2320"/>
      <c r="K771" s="2320"/>
      <c r="L771" s="2320"/>
      <c r="M771" s="2320"/>
      <c r="N771" s="2320"/>
      <c r="O771" s="2320"/>
      <c r="P771" s="2320"/>
      <c r="Q771" s="2320"/>
      <c r="R771" s="2320"/>
      <c r="S771" s="2320"/>
      <c r="T771" s="2320"/>
      <c r="U771" s="2320"/>
      <c r="V771" s="2320"/>
      <c r="W771" s="2320"/>
      <c r="X771" s="2320"/>
      <c r="Y771" s="2320"/>
      <c r="Z771" s="2320"/>
      <c r="AA771" s="2320"/>
      <c r="AB771" s="2320"/>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20" t="s">
        <v>2558</v>
      </c>
      <c r="F773" s="2320"/>
      <c r="G773" s="2320"/>
      <c r="H773" s="2320"/>
      <c r="I773" s="2320"/>
      <c r="J773" s="2320"/>
      <c r="K773" s="2320"/>
      <c r="L773" s="2320"/>
      <c r="M773" s="2320"/>
      <c r="N773" s="2320"/>
      <c r="O773" s="2320"/>
      <c r="P773" s="2320"/>
      <c r="Q773" s="2320"/>
      <c r="R773" s="2320"/>
      <c r="S773" s="2320"/>
      <c r="T773" s="2320"/>
      <c r="U773" s="2320"/>
      <c r="V773" s="2320"/>
      <c r="W773" s="2320"/>
      <c r="X773" s="2320"/>
      <c r="Y773" s="2320"/>
      <c r="Z773" s="2320"/>
      <c r="AA773" s="2320"/>
      <c r="AB773" s="2320"/>
      <c r="AC773" s="436"/>
      <c r="AD773" s="436"/>
      <c r="AE773" s="436"/>
      <c r="AF773" s="2321" t="s">
        <v>2522</v>
      </c>
      <c r="AG773" s="2321"/>
      <c r="AH773" s="2321"/>
      <c r="AI773" s="2321"/>
      <c r="AJ773" s="2321"/>
      <c r="AK773" s="2321"/>
      <c r="AL773" s="2321"/>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20"/>
      <c r="F774" s="2320"/>
      <c r="G774" s="2320"/>
      <c r="H774" s="2320"/>
      <c r="I774" s="2320"/>
      <c r="J774" s="2320"/>
      <c r="K774" s="2320"/>
      <c r="L774" s="2320"/>
      <c r="M774" s="2320"/>
      <c r="N774" s="2320"/>
      <c r="O774" s="2320"/>
      <c r="P774" s="2320"/>
      <c r="Q774" s="2320"/>
      <c r="R774" s="2320"/>
      <c r="S774" s="2320"/>
      <c r="T774" s="2320"/>
      <c r="U774" s="2320"/>
      <c r="V774" s="2320"/>
      <c r="W774" s="2320"/>
      <c r="X774" s="2320"/>
      <c r="Y774" s="2320"/>
      <c r="Z774" s="2320"/>
      <c r="AA774" s="2320"/>
      <c r="AB774" s="2320"/>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2490</v>
      </c>
      <c r="E776" s="826"/>
      <c r="F776" s="826"/>
      <c r="G776" s="826"/>
      <c r="H776" s="2322" t="s">
        <v>22</v>
      </c>
      <c r="I776" s="2322"/>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5"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2559</v>
      </c>
      <c r="AJ778" s="2323">
        <f>VLOOKUP($H$776,$AO$710:$AP$712,2,FALSE)</f>
        <v>2</v>
      </c>
      <c r="AK778" s="2324"/>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2546</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65" customHeight="1">
      <c r="A782" s="449"/>
      <c r="B782" s="514"/>
      <c r="C782" s="830"/>
      <c r="D782" s="559" t="s">
        <v>22</v>
      </c>
      <c r="E782" s="2320" t="s">
        <v>2560</v>
      </c>
      <c r="F782" s="2320"/>
      <c r="G782" s="2320"/>
      <c r="H782" s="2320"/>
      <c r="I782" s="2320"/>
      <c r="J782" s="2320"/>
      <c r="K782" s="2320"/>
      <c r="L782" s="2320"/>
      <c r="M782" s="2320"/>
      <c r="N782" s="2320"/>
      <c r="O782" s="2320"/>
      <c r="P782" s="2320"/>
      <c r="Q782" s="2320"/>
      <c r="R782" s="2320"/>
      <c r="S782" s="2320"/>
      <c r="T782" s="2320"/>
      <c r="U782" s="2320"/>
      <c r="V782" s="2320"/>
      <c r="W782" s="2320"/>
      <c r="X782" s="2320"/>
      <c r="Y782" s="2320"/>
      <c r="Z782" s="2320"/>
      <c r="AA782" s="2320"/>
      <c r="AB782" s="2320"/>
      <c r="AC782" s="2320"/>
      <c r="AD782" s="2320"/>
      <c r="AE782" s="436"/>
      <c r="AF782" s="2321" t="s">
        <v>2504</v>
      </c>
      <c r="AG782" s="2321"/>
      <c r="AH782" s="2321"/>
      <c r="AI782" s="2321"/>
      <c r="AJ782" s="2321"/>
      <c r="AK782" s="2321"/>
      <c r="AL782" s="2321"/>
      <c r="AM782" s="511"/>
      <c r="AN782" s="580"/>
      <c r="AO782" s="449" t="s">
        <v>820</v>
      </c>
      <c r="AP782" s="569">
        <v>0</v>
      </c>
    </row>
    <row r="783" spans="1:74" s="468" customFormat="1" ht="13.65" customHeight="1">
      <c r="A783" s="449"/>
      <c r="B783" s="514"/>
      <c r="C783" s="830"/>
      <c r="D783" s="559"/>
      <c r="E783" s="2320"/>
      <c r="F783" s="2320"/>
      <c r="G783" s="2320"/>
      <c r="H783" s="2320"/>
      <c r="I783" s="2320"/>
      <c r="J783" s="2320"/>
      <c r="K783" s="2320"/>
      <c r="L783" s="2320"/>
      <c r="M783" s="2320"/>
      <c r="N783" s="2320"/>
      <c r="O783" s="2320"/>
      <c r="P783" s="2320"/>
      <c r="Q783" s="2320"/>
      <c r="R783" s="2320"/>
      <c r="S783" s="2320"/>
      <c r="T783" s="2320"/>
      <c r="U783" s="2320"/>
      <c r="V783" s="2320"/>
      <c r="W783" s="2320"/>
      <c r="X783" s="2320"/>
      <c r="Y783" s="2320"/>
      <c r="Z783" s="2320"/>
      <c r="AA783" s="2320"/>
      <c r="AB783" s="2320"/>
      <c r="AC783" s="2320"/>
      <c r="AD783" s="2320"/>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20"/>
      <c r="F784" s="2320"/>
      <c r="G784" s="2320"/>
      <c r="H784" s="2320"/>
      <c r="I784" s="2320"/>
      <c r="J784" s="2320"/>
      <c r="K784" s="2320"/>
      <c r="L784" s="2320"/>
      <c r="M784" s="2320"/>
      <c r="N784" s="2320"/>
      <c r="O784" s="2320"/>
      <c r="P784" s="2320"/>
      <c r="Q784" s="2320"/>
      <c r="R784" s="2320"/>
      <c r="S784" s="2320"/>
      <c r="T784" s="2320"/>
      <c r="U784" s="2320"/>
      <c r="V784" s="2320"/>
      <c r="W784" s="2320"/>
      <c r="X784" s="2320"/>
      <c r="Y784" s="2320"/>
      <c r="Z784" s="2320"/>
      <c r="AA784" s="2320"/>
      <c r="AB784" s="2320"/>
      <c r="AC784" s="2320"/>
      <c r="AD784" s="2320"/>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20"/>
      <c r="F785" s="2320"/>
      <c r="G785" s="2320"/>
      <c r="H785" s="2320"/>
      <c r="I785" s="2320"/>
      <c r="J785" s="2320"/>
      <c r="K785" s="2320"/>
      <c r="L785" s="2320"/>
      <c r="M785" s="2320"/>
      <c r="N785" s="2320"/>
      <c r="O785" s="2320"/>
      <c r="P785" s="2320"/>
      <c r="Q785" s="2320"/>
      <c r="R785" s="2320"/>
      <c r="S785" s="2320"/>
      <c r="T785" s="2320"/>
      <c r="U785" s="2320"/>
      <c r="V785" s="2320"/>
      <c r="W785" s="2320"/>
      <c r="X785" s="2320"/>
      <c r="Y785" s="2320"/>
      <c r="Z785" s="2320"/>
      <c r="AA785" s="2320"/>
      <c r="AB785" s="2320"/>
      <c r="AC785" s="2320"/>
      <c r="AD785" s="2320"/>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1" t="s">
        <v>2561</v>
      </c>
      <c r="F787" s="2461"/>
      <c r="G787" s="2461"/>
      <c r="H787" s="2461"/>
      <c r="I787" s="2461"/>
      <c r="J787" s="2461"/>
      <c r="K787" s="2461"/>
      <c r="L787" s="2461"/>
      <c r="M787" s="2461"/>
      <c r="N787" s="2461"/>
      <c r="O787" s="2461"/>
      <c r="P787" s="2461"/>
      <c r="Q787" s="2461"/>
      <c r="R787" s="2461"/>
      <c r="S787" s="2461"/>
      <c r="T787" s="2461"/>
      <c r="U787" s="2461"/>
      <c r="V787" s="2461"/>
      <c r="W787" s="2461"/>
      <c r="X787" s="2461"/>
      <c r="Y787" s="2461"/>
      <c r="Z787" s="2461"/>
      <c r="AA787" s="2461"/>
      <c r="AB787" s="2461"/>
      <c r="AC787" s="2461"/>
      <c r="AD787" s="2461"/>
      <c r="AE787" s="436"/>
      <c r="AF787" s="2321" t="s">
        <v>2216</v>
      </c>
      <c r="AG787" s="2321"/>
      <c r="AH787" s="2321"/>
      <c r="AI787" s="2321"/>
      <c r="AJ787" s="2321"/>
      <c r="AK787" s="2321"/>
      <c r="AL787" s="2321"/>
      <c r="AM787" s="511"/>
      <c r="AN787" s="495"/>
    </row>
    <row r="788" spans="1:81" s="449" customFormat="1" ht="12.75" customHeight="1">
      <c r="B788" s="514"/>
      <c r="C788" s="830"/>
      <c r="D788" s="559"/>
      <c r="E788" s="2461"/>
      <c r="F788" s="2461"/>
      <c r="G788" s="2461"/>
      <c r="H788" s="2461"/>
      <c r="I788" s="2461"/>
      <c r="J788" s="2461"/>
      <c r="K788" s="2461"/>
      <c r="L788" s="2461"/>
      <c r="M788" s="2461"/>
      <c r="N788" s="2461"/>
      <c r="O788" s="2461"/>
      <c r="P788" s="2461"/>
      <c r="Q788" s="2461"/>
      <c r="R788" s="2461"/>
      <c r="S788" s="2461"/>
      <c r="T788" s="2461"/>
      <c r="U788" s="2461"/>
      <c r="V788" s="2461"/>
      <c r="W788" s="2461"/>
      <c r="X788" s="2461"/>
      <c r="Y788" s="2461"/>
      <c r="Z788" s="2461"/>
      <c r="AA788" s="2461"/>
      <c r="AB788" s="2461"/>
      <c r="AC788" s="2461"/>
      <c r="AD788" s="2461"/>
      <c r="AE788" s="492"/>
      <c r="AF788" s="492"/>
      <c r="AG788" s="492"/>
      <c r="AH788" s="492"/>
      <c r="AI788" s="492"/>
      <c r="AJ788" s="492"/>
      <c r="AK788" s="492"/>
      <c r="AL788" s="492"/>
      <c r="AM788" s="511"/>
      <c r="AN788" s="495"/>
    </row>
    <row r="789" spans="1:81" s="449" customFormat="1" ht="12.75" customHeight="1">
      <c r="B789" s="514"/>
      <c r="C789" s="830"/>
      <c r="D789" s="559"/>
      <c r="E789" s="2461"/>
      <c r="F789" s="2461"/>
      <c r="G789" s="2461"/>
      <c r="H789" s="2461"/>
      <c r="I789" s="2461"/>
      <c r="J789" s="2461"/>
      <c r="K789" s="2461"/>
      <c r="L789" s="2461"/>
      <c r="M789" s="2461"/>
      <c r="N789" s="2461"/>
      <c r="O789" s="2461"/>
      <c r="P789" s="2461"/>
      <c r="Q789" s="2461"/>
      <c r="R789" s="2461"/>
      <c r="S789" s="2461"/>
      <c r="T789" s="2461"/>
      <c r="U789" s="2461"/>
      <c r="V789" s="2461"/>
      <c r="W789" s="2461"/>
      <c r="X789" s="2461"/>
      <c r="Y789" s="2461"/>
      <c r="Z789" s="2461"/>
      <c r="AA789" s="2461"/>
      <c r="AB789" s="2461"/>
      <c r="AC789" s="2461"/>
      <c r="AD789" s="2461"/>
      <c r="AE789" s="492"/>
      <c r="AF789" s="492"/>
      <c r="AG789" s="492"/>
      <c r="AH789" s="492"/>
      <c r="AI789" s="492"/>
      <c r="AJ789" s="492"/>
      <c r="AK789" s="492"/>
      <c r="AL789" s="492"/>
      <c r="AM789" s="511"/>
      <c r="AN789" s="495"/>
    </row>
    <row r="790" spans="1:81" s="449" customFormat="1" ht="12.75" customHeight="1">
      <c r="B790" s="514"/>
      <c r="C790" s="830"/>
      <c r="D790" s="559"/>
      <c r="E790" s="2461"/>
      <c r="F790" s="2461"/>
      <c r="G790" s="2461"/>
      <c r="H790" s="2461"/>
      <c r="I790" s="2461"/>
      <c r="J790" s="2461"/>
      <c r="K790" s="2461"/>
      <c r="L790" s="2461"/>
      <c r="M790" s="2461"/>
      <c r="N790" s="2461"/>
      <c r="O790" s="2461"/>
      <c r="P790" s="2461"/>
      <c r="Q790" s="2461"/>
      <c r="R790" s="2461"/>
      <c r="S790" s="2461"/>
      <c r="T790" s="2461"/>
      <c r="U790" s="2461"/>
      <c r="V790" s="2461"/>
      <c r="W790" s="2461"/>
      <c r="X790" s="2461"/>
      <c r="Y790" s="2461"/>
      <c r="Z790" s="2461"/>
      <c r="AA790" s="2461"/>
      <c r="AB790" s="2461"/>
      <c r="AC790" s="2461"/>
      <c r="AD790" s="2461"/>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2490</v>
      </c>
      <c r="E792" s="826"/>
      <c r="F792" s="826"/>
      <c r="G792" s="826"/>
      <c r="H792" s="2322" t="s">
        <v>820</v>
      </c>
      <c r="I792" s="2322"/>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2562</v>
      </c>
      <c r="AJ794" s="2323">
        <f>VLOOKUP($H$792,$AO$782:$AP$784,2,FALSE)</f>
        <v>0</v>
      </c>
      <c r="AK794" s="2324"/>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2563</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820</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65" customHeight="1">
      <c r="A798" s="449"/>
      <c r="B798" s="514"/>
      <c r="C798" s="830"/>
      <c r="D798" s="559" t="s">
        <v>22</v>
      </c>
      <c r="E798" s="2320" t="s">
        <v>2564</v>
      </c>
      <c r="F798" s="2320"/>
      <c r="G798" s="2320"/>
      <c r="H798" s="2320"/>
      <c r="I798" s="2320"/>
      <c r="J798" s="2320"/>
      <c r="K798" s="2320"/>
      <c r="L798" s="2320"/>
      <c r="M798" s="2320"/>
      <c r="N798" s="2320"/>
      <c r="O798" s="2320"/>
      <c r="P798" s="2320"/>
      <c r="Q798" s="2320"/>
      <c r="R798" s="2320"/>
      <c r="S798" s="2320"/>
      <c r="T798" s="2320"/>
      <c r="U798" s="2320"/>
      <c r="V798" s="2320"/>
      <c r="W798" s="2320"/>
      <c r="X798" s="2320"/>
      <c r="Y798" s="2320"/>
      <c r="Z798" s="2320"/>
      <c r="AA798" s="2320"/>
      <c r="AB798" s="2320"/>
      <c r="AC798" s="2320"/>
      <c r="AD798" s="2320"/>
      <c r="AE798" s="436"/>
      <c r="AF798" s="2321" t="s">
        <v>2216</v>
      </c>
      <c r="AG798" s="2321"/>
      <c r="AH798" s="2321"/>
      <c r="AI798" s="2321"/>
      <c r="AJ798" s="2321"/>
      <c r="AK798" s="2321"/>
      <c r="AL798" s="2321"/>
      <c r="AM798" s="511"/>
      <c r="AN798" s="580"/>
      <c r="AO798" s="509" t="s">
        <v>856</v>
      </c>
      <c r="AP798" s="449">
        <v>3</v>
      </c>
      <c r="AT798" s="570"/>
      <c r="AU798" s="570"/>
      <c r="AV798" s="570"/>
      <c r="AW798" s="570"/>
      <c r="AX798" s="570"/>
      <c r="AY798" s="570"/>
      <c r="AZ798" s="570"/>
    </row>
    <row r="799" spans="1:81" s="468" customFormat="1" ht="13.65" customHeight="1">
      <c r="A799" s="449"/>
      <c r="B799" s="514"/>
      <c r="C799" s="830"/>
      <c r="D799" s="559"/>
      <c r="E799" s="2320"/>
      <c r="F799" s="2320"/>
      <c r="G799" s="2320"/>
      <c r="H799" s="2320"/>
      <c r="I799" s="2320"/>
      <c r="J799" s="2320"/>
      <c r="K799" s="2320"/>
      <c r="L799" s="2320"/>
      <c r="M799" s="2320"/>
      <c r="N799" s="2320"/>
      <c r="O799" s="2320"/>
      <c r="P799" s="2320"/>
      <c r="Q799" s="2320"/>
      <c r="R799" s="2320"/>
      <c r="S799" s="2320"/>
      <c r="T799" s="2320"/>
      <c r="U799" s="2320"/>
      <c r="V799" s="2320"/>
      <c r="W799" s="2320"/>
      <c r="X799" s="2320"/>
      <c r="Y799" s="2320"/>
      <c r="Z799" s="2320"/>
      <c r="AA799" s="2320"/>
      <c r="AB799" s="2320"/>
      <c r="AC799" s="2320"/>
      <c r="AD799" s="2320"/>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20"/>
      <c r="F800" s="2320"/>
      <c r="G800" s="2320"/>
      <c r="H800" s="2320"/>
      <c r="I800" s="2320"/>
      <c r="J800" s="2320"/>
      <c r="K800" s="2320"/>
      <c r="L800" s="2320"/>
      <c r="M800" s="2320"/>
      <c r="N800" s="2320"/>
      <c r="O800" s="2320"/>
      <c r="P800" s="2320"/>
      <c r="Q800" s="2320"/>
      <c r="R800" s="2320"/>
      <c r="S800" s="2320"/>
      <c r="T800" s="2320"/>
      <c r="U800" s="2320"/>
      <c r="V800" s="2320"/>
      <c r="W800" s="2320"/>
      <c r="X800" s="2320"/>
      <c r="Y800" s="2320"/>
      <c r="Z800" s="2320"/>
      <c r="AA800" s="2320"/>
      <c r="AB800" s="2320"/>
      <c r="AC800" s="2320"/>
      <c r="AD800" s="2320"/>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20"/>
      <c r="F801" s="2320"/>
      <c r="G801" s="2320"/>
      <c r="H801" s="2320"/>
      <c r="I801" s="2320"/>
      <c r="J801" s="2320"/>
      <c r="K801" s="2320"/>
      <c r="L801" s="2320"/>
      <c r="M801" s="2320"/>
      <c r="N801" s="2320"/>
      <c r="O801" s="2320"/>
      <c r="P801" s="2320"/>
      <c r="Q801" s="2320"/>
      <c r="R801" s="2320"/>
      <c r="S801" s="2320"/>
      <c r="T801" s="2320"/>
      <c r="U801" s="2320"/>
      <c r="V801" s="2320"/>
      <c r="W801" s="2320"/>
      <c r="X801" s="2320"/>
      <c r="Y801" s="2320"/>
      <c r="Z801" s="2320"/>
      <c r="AA801" s="2320"/>
      <c r="AB801" s="2320"/>
      <c r="AC801" s="2320"/>
      <c r="AD801" s="2320"/>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2490</v>
      </c>
      <c r="E803" s="826"/>
      <c r="F803" s="826"/>
      <c r="G803" s="826"/>
      <c r="H803" s="2322" t="s">
        <v>820</v>
      </c>
      <c r="I803" s="2322"/>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2565</v>
      </c>
      <c r="AJ805" s="2323">
        <f>VLOOKUP($H$803,$AO$797:$AP$798,2,FALSE)</f>
        <v>0</v>
      </c>
      <c r="AK805" s="2324"/>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2566</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20" t="s">
        <v>2567</v>
      </c>
      <c r="F809" s="2320"/>
      <c r="G809" s="2320"/>
      <c r="H809" s="2320"/>
      <c r="I809" s="2320"/>
      <c r="J809" s="2320"/>
      <c r="K809" s="2320"/>
      <c r="L809" s="2320"/>
      <c r="M809" s="2320"/>
      <c r="N809" s="2320"/>
      <c r="O809" s="2320"/>
      <c r="P809" s="2320"/>
      <c r="Q809" s="2320"/>
      <c r="R809" s="2320"/>
      <c r="S809" s="2320"/>
      <c r="T809" s="2320"/>
      <c r="U809" s="2320"/>
      <c r="V809" s="2320"/>
      <c r="W809" s="2320"/>
      <c r="X809" s="2320"/>
      <c r="Y809" s="2320"/>
      <c r="Z809" s="2320"/>
      <c r="AA809" s="2320"/>
      <c r="AB809" s="2320"/>
      <c r="AC809" s="2320"/>
      <c r="AD809" s="2320"/>
      <c r="AE809" s="450"/>
      <c r="AF809" s="2321" t="s">
        <v>2476</v>
      </c>
      <c r="AG809" s="2321"/>
      <c r="AH809" s="2321"/>
      <c r="AI809" s="2321"/>
      <c r="AJ809" s="2321"/>
      <c r="AK809" s="2321"/>
      <c r="AL809" s="2321"/>
      <c r="AN809" s="495"/>
    </row>
    <row r="810" spans="1:81" s="449" customFormat="1" ht="12.75" customHeight="1">
      <c r="B810" s="514"/>
      <c r="C810" s="584"/>
      <c r="D810" s="559"/>
      <c r="E810" s="2320"/>
      <c r="F810" s="2320"/>
      <c r="G810" s="2320"/>
      <c r="H810" s="2320"/>
      <c r="I810" s="2320"/>
      <c r="J810" s="2320"/>
      <c r="K810" s="2320"/>
      <c r="L810" s="2320"/>
      <c r="M810" s="2320"/>
      <c r="N810" s="2320"/>
      <c r="O810" s="2320"/>
      <c r="P810" s="2320"/>
      <c r="Q810" s="2320"/>
      <c r="R810" s="2320"/>
      <c r="S810" s="2320"/>
      <c r="T810" s="2320"/>
      <c r="U810" s="2320"/>
      <c r="V810" s="2320"/>
      <c r="W810" s="2320"/>
      <c r="X810" s="2320"/>
      <c r="Y810" s="2320"/>
      <c r="Z810" s="2320"/>
      <c r="AA810" s="2320"/>
      <c r="AB810" s="2320"/>
      <c r="AC810" s="2320"/>
      <c r="AD810" s="2320"/>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2490</v>
      </c>
      <c r="E812" s="826"/>
      <c r="F812" s="826"/>
      <c r="G812" s="826"/>
      <c r="H812" s="2322" t="s">
        <v>820</v>
      </c>
      <c r="I812" s="2322"/>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2568</v>
      </c>
      <c r="AJ814" s="2323">
        <f>IF(H812="Yes",5,0)</f>
        <v>0</v>
      </c>
      <c r="AK814" s="2324"/>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2569</v>
      </c>
      <c r="AK816" s="2323">
        <f>IF(($AJ$634+$AJ$653+$AJ$665+$AJ$700+$AJ$724+$AJ$738+$AJ$750+$AJ$766+$AJ$778+$AJ$794+AJ805+AJ814)&gt;10,10,($AJ$634+$AJ$653+$AJ$665+$AJ$700+$AJ$724+$AJ$738+$AJ$750+$AJ$766+$AJ$778+$AJ$794+AJ805+AJ814))</f>
        <v>10</v>
      </c>
      <c r="AL816" s="2369"/>
      <c r="AM816" s="2324"/>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50" t="s">
        <v>2570</v>
      </c>
      <c r="B819" s="2451"/>
      <c r="C819" s="2451"/>
      <c r="D819" s="2451"/>
      <c r="E819" s="2451"/>
      <c r="F819" s="2451"/>
      <c r="G819" s="2451"/>
      <c r="H819" s="2451"/>
      <c r="I819" s="2451"/>
      <c r="J819" s="2451"/>
      <c r="K819" s="2451"/>
      <c r="L819" s="2451"/>
      <c r="M819" s="2451"/>
      <c r="N819" s="2451"/>
      <c r="O819" s="2451"/>
      <c r="P819" s="2451"/>
      <c r="Q819" s="2451"/>
      <c r="R819" s="2451"/>
      <c r="S819" s="2451"/>
      <c r="T819" s="2451"/>
      <c r="U819" s="2451"/>
      <c r="V819" s="2451"/>
      <c r="W819" s="2451"/>
      <c r="X819" s="2451"/>
      <c r="Y819" s="2451"/>
      <c r="Z819" s="2451"/>
      <c r="AA819" s="2451"/>
      <c r="AB819" s="2451"/>
      <c r="AC819" s="2451"/>
      <c r="AD819" s="2451"/>
      <c r="AE819" s="2451"/>
      <c r="AF819" s="2451"/>
      <c r="AG819" s="2451"/>
      <c r="AH819" s="2451"/>
      <c r="AI819" s="2451"/>
      <c r="AJ819" s="2451"/>
      <c r="AK819" s="2451"/>
      <c r="AL819" s="2451"/>
      <c r="AM819" s="2451"/>
    </row>
    <row r="820" spans="1:43">
      <c r="A820" s="2452"/>
      <c r="B820" s="2452"/>
      <c r="C820" s="2452"/>
      <c r="D820" s="2452"/>
      <c r="E820" s="2452"/>
      <c r="F820" s="2452"/>
      <c r="G820" s="2452"/>
      <c r="H820" s="2452"/>
      <c r="I820" s="2452"/>
      <c r="J820" s="2452"/>
      <c r="K820" s="2452"/>
      <c r="L820" s="2452"/>
      <c r="M820" s="2452"/>
      <c r="N820" s="2452"/>
      <c r="O820" s="2452"/>
      <c r="P820" s="2452"/>
      <c r="Q820" s="2452"/>
      <c r="R820" s="2452"/>
      <c r="S820" s="2452"/>
      <c r="T820" s="2452"/>
      <c r="U820" s="2452"/>
      <c r="V820" s="2452"/>
      <c r="W820" s="2452"/>
      <c r="X820" s="2452"/>
      <c r="Y820" s="2452"/>
      <c r="Z820" s="2452"/>
      <c r="AA820" s="2452"/>
      <c r="AB820" s="2452"/>
      <c r="AC820" s="2452"/>
      <c r="AD820" s="2452"/>
      <c r="AE820" s="2452"/>
      <c r="AF820" s="2452"/>
      <c r="AG820" s="2452"/>
      <c r="AH820" s="2452"/>
      <c r="AI820" s="2452"/>
      <c r="AJ820" s="2452"/>
      <c r="AK820" s="2452"/>
      <c r="AL820" s="2452"/>
      <c r="AM820" s="2452"/>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6"/>
      <c r="B822" s="2396"/>
      <c r="C822" s="2396"/>
      <c r="D822" s="2396"/>
      <c r="E822" s="2396"/>
      <c r="F822" s="2396"/>
      <c r="G822" s="2396"/>
      <c r="H822" s="2396"/>
      <c r="I822" s="2396"/>
      <c r="J822" s="2396"/>
      <c r="K822" s="2396"/>
      <c r="L822" s="2396"/>
      <c r="M822" s="2396"/>
      <c r="N822" s="2396"/>
      <c r="O822" s="2396"/>
      <c r="P822" s="2396"/>
      <c r="Q822" s="2396"/>
      <c r="R822" s="2396"/>
      <c r="S822" s="2396"/>
      <c r="T822" s="2396"/>
      <c r="U822" s="2396"/>
      <c r="V822" s="2396"/>
      <c r="W822" s="2396"/>
      <c r="X822" s="2396"/>
      <c r="Y822" s="2396"/>
      <c r="Z822" s="2396"/>
      <c r="AA822" s="2396"/>
      <c r="AB822" s="2396"/>
      <c r="AC822" s="2396"/>
      <c r="AD822" s="2396"/>
      <c r="AE822" s="2396"/>
      <c r="AF822" s="2396"/>
      <c r="AG822" s="2396"/>
      <c r="AH822" s="2396"/>
      <c r="AI822" s="2396"/>
      <c r="AJ822" s="2396"/>
      <c r="AK822" s="2396"/>
      <c r="AL822" s="2396"/>
      <c r="AM822" s="2396"/>
      <c r="AP822" s="712"/>
      <c r="AQ822" s="712"/>
    </row>
    <row r="823" spans="1:43">
      <c r="A823" s="2396"/>
      <c r="B823" s="2396"/>
      <c r="C823" s="2396"/>
      <c r="D823" s="2396"/>
      <c r="E823" s="2396"/>
      <c r="F823" s="2396"/>
      <c r="G823" s="2396"/>
      <c r="H823" s="2396"/>
      <c r="I823" s="2396"/>
      <c r="J823" s="2396"/>
      <c r="K823" s="2396"/>
      <c r="L823" s="2396"/>
      <c r="M823" s="2396"/>
      <c r="N823" s="2396"/>
      <c r="O823" s="2396"/>
      <c r="P823" s="2396"/>
      <c r="Q823" s="2396"/>
      <c r="R823" s="2396"/>
      <c r="S823" s="2396"/>
      <c r="T823" s="2396"/>
      <c r="U823" s="2396"/>
      <c r="V823" s="2396"/>
      <c r="W823" s="2396"/>
      <c r="X823" s="2396"/>
      <c r="Y823" s="2396"/>
      <c r="Z823" s="2396"/>
      <c r="AA823" s="2396"/>
      <c r="AB823" s="2396"/>
      <c r="AC823" s="2396"/>
      <c r="AD823" s="2396"/>
      <c r="AE823" s="2396"/>
      <c r="AF823" s="2396"/>
      <c r="AG823" s="2396"/>
      <c r="AH823" s="2396"/>
      <c r="AI823" s="2396"/>
      <c r="AJ823" s="2396"/>
      <c r="AK823" s="2396"/>
      <c r="AL823" s="2396"/>
      <c r="AM823" s="2396"/>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3" t="s">
        <v>2571</v>
      </c>
      <c r="U824" s="2454"/>
      <c r="V824" s="2454"/>
      <c r="W824" s="2454"/>
      <c r="X824" s="2454"/>
      <c r="Y824" s="2455"/>
      <c r="Z824" s="2453" t="s">
        <v>2572</v>
      </c>
      <c r="AA824" s="2454"/>
      <c r="AB824" s="2454"/>
      <c r="AC824" s="2454"/>
      <c r="AD824" s="2454"/>
      <c r="AE824" s="2455"/>
      <c r="AF824" s="2453" t="s">
        <v>2573</v>
      </c>
      <c r="AG824" s="2454"/>
      <c r="AH824" s="2454"/>
      <c r="AI824" s="2454"/>
      <c r="AJ824" s="2454"/>
      <c r="AK824" s="2455"/>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6"/>
      <c r="U825" s="2457"/>
      <c r="V825" s="2457"/>
      <c r="W825" s="2457"/>
      <c r="X825" s="2457"/>
      <c r="Y825" s="2458"/>
      <c r="Z825" s="2456"/>
      <c r="AA825" s="2457"/>
      <c r="AB825" s="2457"/>
      <c r="AC825" s="2457"/>
      <c r="AD825" s="2457"/>
      <c r="AE825" s="2458"/>
      <c r="AF825" s="2456"/>
      <c r="AG825" s="2457"/>
      <c r="AH825" s="2457"/>
      <c r="AI825" s="2457"/>
      <c r="AJ825" s="2457"/>
      <c r="AK825" s="2458"/>
      <c r="AL825" s="714"/>
      <c r="AM825" s="494"/>
      <c r="AO825" s="712"/>
      <c r="AP825" s="712"/>
      <c r="AQ825" s="712"/>
    </row>
    <row r="826" spans="1:43">
      <c r="A826" s="715" t="s">
        <v>53</v>
      </c>
      <c r="B826" s="2411" t="str">
        <f>B7</f>
        <v xml:space="preserve">Acquisition/Rehabilitation Project Priorities </v>
      </c>
      <c r="C826" s="2411"/>
      <c r="D826" s="2411"/>
      <c r="E826" s="2411"/>
      <c r="F826" s="2411"/>
      <c r="G826" s="2411"/>
      <c r="H826" s="2411"/>
      <c r="I826" s="2411"/>
      <c r="J826" s="2411"/>
      <c r="K826" s="2411"/>
      <c r="L826" s="2411"/>
      <c r="M826" s="2411"/>
      <c r="N826" s="2411"/>
      <c r="O826" s="2411"/>
      <c r="P826" s="2411"/>
      <c r="Q826" s="2411"/>
      <c r="R826" s="2411"/>
      <c r="S826" s="2412"/>
      <c r="T826" s="2438">
        <f>AK61</f>
        <v>18</v>
      </c>
      <c r="U826" s="2415"/>
      <c r="V826" s="2415"/>
      <c r="W826" s="2415"/>
      <c r="X826" s="2415"/>
      <c r="Y826" s="2416"/>
      <c r="Z826" s="2414">
        <v>20</v>
      </c>
      <c r="AA826" s="2415"/>
      <c r="AB826" s="2415"/>
      <c r="AC826" s="2415"/>
      <c r="AD826" s="2415"/>
      <c r="AE826" s="2416"/>
      <c r="AF826" s="2394">
        <f>IF(T826&gt;Z826,Z826,T826)</f>
        <v>18</v>
      </c>
      <c r="AG826" s="2394"/>
      <c r="AH826" s="2394"/>
      <c r="AI826" s="2394"/>
      <c r="AJ826" s="2394"/>
      <c r="AK826" s="2394"/>
      <c r="AL826" s="714"/>
      <c r="AM826" s="494"/>
      <c r="AO826" s="712"/>
      <c r="AP826" s="712"/>
      <c r="AQ826" s="712"/>
    </row>
    <row r="827" spans="1:43">
      <c r="A827" s="715" t="s">
        <v>2421</v>
      </c>
      <c r="B827" s="2411" t="s">
        <v>621</v>
      </c>
      <c r="C827" s="2411"/>
      <c r="D827" s="2411"/>
      <c r="E827" s="2411"/>
      <c r="F827" s="2411"/>
      <c r="G827" s="2411"/>
      <c r="H827" s="2411"/>
      <c r="I827" s="2411"/>
      <c r="J827" s="2411"/>
      <c r="K827" s="2411"/>
      <c r="L827" s="2411"/>
      <c r="M827" s="2411"/>
      <c r="N827" s="2411"/>
      <c r="O827" s="2411"/>
      <c r="P827" s="2411"/>
      <c r="Q827" s="2411"/>
      <c r="R827" s="2411"/>
      <c r="S827" s="2412"/>
      <c r="T827" s="2438">
        <f>AK83</f>
        <v>0</v>
      </c>
      <c r="U827" s="2415"/>
      <c r="V827" s="2415"/>
      <c r="W827" s="2415"/>
      <c r="X827" s="2415"/>
      <c r="Y827" s="2416"/>
      <c r="Z827" s="2414">
        <v>10</v>
      </c>
      <c r="AA827" s="2415"/>
      <c r="AB827" s="2415"/>
      <c r="AC827" s="2415"/>
      <c r="AD827" s="2415"/>
      <c r="AE827" s="2416"/>
      <c r="AF827" s="2394">
        <f>IF(T827&gt;Z827,Z827,T827)</f>
        <v>0</v>
      </c>
      <c r="AG827" s="2394"/>
      <c r="AH827" s="2394"/>
      <c r="AI827" s="2394"/>
      <c r="AJ827" s="2394"/>
      <c r="AK827" s="2394"/>
      <c r="AL827" s="714"/>
      <c r="AM827" s="494"/>
      <c r="AO827" s="712"/>
      <c r="AP827" s="712"/>
      <c r="AQ827" s="712"/>
    </row>
    <row r="828" spans="1:43">
      <c r="A828" s="715" t="s">
        <v>2430</v>
      </c>
      <c r="B828" s="2411" t="s">
        <v>2171</v>
      </c>
      <c r="C828" s="2411"/>
      <c r="D828" s="2411"/>
      <c r="E828" s="2411"/>
      <c r="F828" s="2411"/>
      <c r="G828" s="2411"/>
      <c r="H828" s="2411"/>
      <c r="I828" s="2411"/>
      <c r="J828" s="2411"/>
      <c r="K828" s="2411"/>
      <c r="L828" s="2411"/>
      <c r="M828" s="2411"/>
      <c r="N828" s="2411"/>
      <c r="O828" s="2411"/>
      <c r="P828" s="2411"/>
      <c r="Q828" s="2411"/>
      <c r="R828" s="2411"/>
      <c r="S828" s="2412"/>
      <c r="T828" s="2438">
        <f>AK108</f>
        <v>20</v>
      </c>
      <c r="U828" s="2415"/>
      <c r="V828" s="2415"/>
      <c r="W828" s="2415"/>
      <c r="X828" s="2415"/>
      <c r="Y828" s="2416"/>
      <c r="Z828" s="2414">
        <v>20</v>
      </c>
      <c r="AA828" s="2415"/>
      <c r="AB828" s="2415"/>
      <c r="AC828" s="2415"/>
      <c r="AD828" s="2415"/>
      <c r="AE828" s="2416"/>
      <c r="AF828" s="2394">
        <f>IF(T828&gt;Z828,Z828,T828)</f>
        <v>20</v>
      </c>
      <c r="AG828" s="2394"/>
      <c r="AH828" s="2394"/>
      <c r="AI828" s="2394"/>
      <c r="AJ828" s="2394"/>
      <c r="AK828" s="2394"/>
      <c r="AL828" s="714"/>
      <c r="AM828" s="494"/>
      <c r="AO828" s="712"/>
      <c r="AP828" s="712"/>
      <c r="AQ828" s="712"/>
    </row>
    <row r="829" spans="1:43">
      <c r="A829" s="715" t="s">
        <v>2574</v>
      </c>
      <c r="B829" s="2411" t="s">
        <v>2182</v>
      </c>
      <c r="C829" s="2411"/>
      <c r="D829" s="2411"/>
      <c r="E829" s="2411"/>
      <c r="F829" s="2411"/>
      <c r="G829" s="2411"/>
      <c r="H829" s="2411"/>
      <c r="I829" s="2411"/>
      <c r="J829" s="2411"/>
      <c r="K829" s="2411"/>
      <c r="L829" s="2411"/>
      <c r="M829" s="2411"/>
      <c r="N829" s="2411"/>
      <c r="O829" s="2411"/>
      <c r="P829" s="2411"/>
      <c r="Q829" s="2411"/>
      <c r="R829" s="2411"/>
      <c r="S829" s="2412"/>
      <c r="T829" s="2438">
        <f>AK142</f>
        <v>10</v>
      </c>
      <c r="U829" s="2415"/>
      <c r="V829" s="2415"/>
      <c r="W829" s="2415"/>
      <c r="X829" s="2415"/>
      <c r="Y829" s="2416"/>
      <c r="Z829" s="2414">
        <v>10</v>
      </c>
      <c r="AA829" s="2415"/>
      <c r="AB829" s="2415"/>
      <c r="AC829" s="2415"/>
      <c r="AD829" s="2415"/>
      <c r="AE829" s="2416"/>
      <c r="AF829" s="2394">
        <f>IF(T829&gt;Z829,Z829,T829)</f>
        <v>10</v>
      </c>
      <c r="AG829" s="2394"/>
      <c r="AH829" s="2394"/>
      <c r="AI829" s="2394"/>
      <c r="AJ829" s="2394"/>
      <c r="AK829" s="2394"/>
      <c r="AL829" s="714"/>
      <c r="AM829" s="494"/>
      <c r="AO829" s="712"/>
      <c r="AP829" s="712"/>
      <c r="AQ829" s="712"/>
    </row>
    <row r="830" spans="1:43">
      <c r="A830" s="716" t="s">
        <v>2575</v>
      </c>
      <c r="B830" s="2411" t="s">
        <v>2576</v>
      </c>
      <c r="C830" s="2411"/>
      <c r="D830" s="2411"/>
      <c r="E830" s="2411"/>
      <c r="F830" s="2411"/>
      <c r="G830" s="2411"/>
      <c r="H830" s="2411"/>
      <c r="I830" s="2411"/>
      <c r="J830" s="2411"/>
      <c r="K830" s="2411"/>
      <c r="L830" s="2411"/>
      <c r="M830" s="2411"/>
      <c r="N830" s="2411"/>
      <c r="O830" s="2411"/>
      <c r="P830" s="2411"/>
      <c r="Q830" s="2411"/>
      <c r="R830" s="2411"/>
      <c r="S830" s="2412"/>
      <c r="T830" s="2413">
        <f>SUM(T831:Y832)</f>
        <v>10</v>
      </c>
      <c r="U830" s="2413"/>
      <c r="V830" s="2413"/>
      <c r="W830" s="2413"/>
      <c r="X830" s="2413"/>
      <c r="Y830" s="2413"/>
      <c r="Z830" s="2394">
        <v>10</v>
      </c>
      <c r="AA830" s="2394"/>
      <c r="AB830" s="2394"/>
      <c r="AC830" s="2394"/>
      <c r="AD830" s="2394"/>
      <c r="AE830" s="2394"/>
      <c r="AF830" s="2394">
        <f>IF(T830&gt;Z830,Z830,T830)</f>
        <v>10</v>
      </c>
      <c r="AG830" s="2394"/>
      <c r="AH830" s="2394"/>
      <c r="AI830" s="2394"/>
      <c r="AJ830" s="2394"/>
      <c r="AK830" s="2394"/>
      <c r="AL830" s="714"/>
      <c r="AM830" s="494"/>
    </row>
    <row r="831" spans="1:43">
      <c r="A831" s="435"/>
      <c r="B831" s="499"/>
      <c r="C831" s="2417" t="s">
        <v>2577</v>
      </c>
      <c r="D831" s="2417"/>
      <c r="E831" s="2417"/>
      <c r="F831" s="2417"/>
      <c r="G831" s="2417"/>
      <c r="H831" s="2417"/>
      <c r="I831" s="2417"/>
      <c r="J831" s="2417"/>
      <c r="K831" s="2417"/>
      <c r="L831" s="2417"/>
      <c r="M831" s="2417"/>
      <c r="N831" s="2417"/>
      <c r="O831" s="2417"/>
      <c r="P831" s="2417"/>
      <c r="Q831" s="2417"/>
      <c r="R831" s="2417"/>
      <c r="S831" s="2418"/>
      <c r="T831" s="2419">
        <f>AJ165</f>
        <v>7</v>
      </c>
      <c r="U831" s="2419"/>
      <c r="V831" s="2419"/>
      <c r="W831" s="2419"/>
      <c r="X831" s="2419"/>
      <c r="Y831" s="2419"/>
      <c r="Z831" s="2420">
        <v>7</v>
      </c>
      <c r="AA831" s="2420"/>
      <c r="AB831" s="2420"/>
      <c r="AC831" s="2420"/>
      <c r="AD831" s="2420"/>
      <c r="AE831" s="2420"/>
      <c r="AF831" s="2421"/>
      <c r="AG831" s="2421"/>
      <c r="AH831" s="2421"/>
      <c r="AI831" s="2421"/>
      <c r="AJ831" s="2421"/>
      <c r="AK831" s="2421"/>
      <c r="AL831" s="714"/>
      <c r="AM831" s="494"/>
    </row>
    <row r="832" spans="1:43">
      <c r="A832" s="498"/>
      <c r="B832" s="499"/>
      <c r="C832" s="2417" t="s">
        <v>1999</v>
      </c>
      <c r="D832" s="2417"/>
      <c r="E832" s="2417"/>
      <c r="F832" s="2417"/>
      <c r="G832" s="2417"/>
      <c r="H832" s="2417"/>
      <c r="I832" s="2417"/>
      <c r="J832" s="2417"/>
      <c r="K832" s="2417"/>
      <c r="L832" s="2417"/>
      <c r="M832" s="2417"/>
      <c r="N832" s="2417"/>
      <c r="O832" s="2417"/>
      <c r="P832" s="2417"/>
      <c r="Q832" s="2417"/>
      <c r="R832" s="2417"/>
      <c r="S832" s="2418"/>
      <c r="T832" s="2419">
        <f>AJ179</f>
        <v>3</v>
      </c>
      <c r="U832" s="2419"/>
      <c r="V832" s="2419"/>
      <c r="W832" s="2419"/>
      <c r="X832" s="2419"/>
      <c r="Y832" s="2419"/>
      <c r="Z832" s="2420">
        <v>3</v>
      </c>
      <c r="AA832" s="2420"/>
      <c r="AB832" s="2420"/>
      <c r="AC832" s="2420"/>
      <c r="AD832" s="2420"/>
      <c r="AE832" s="2420"/>
      <c r="AF832" s="2421"/>
      <c r="AG832" s="2421"/>
      <c r="AH832" s="2421"/>
      <c r="AI832" s="2421"/>
      <c r="AJ832" s="2421"/>
      <c r="AK832" s="2421"/>
      <c r="AL832" s="714"/>
      <c r="AM832" s="494"/>
      <c r="AO832" s="449"/>
    </row>
    <row r="833" spans="1:81">
      <c r="A833" s="716" t="s">
        <v>2228</v>
      </c>
      <c r="B833" s="2411" t="s">
        <v>2578</v>
      </c>
      <c r="C833" s="2411"/>
      <c r="D833" s="2411"/>
      <c r="E833" s="2411"/>
      <c r="F833" s="2411"/>
      <c r="G833" s="2411"/>
      <c r="H833" s="2411"/>
      <c r="I833" s="2411"/>
      <c r="J833" s="2411"/>
      <c r="K833" s="2411"/>
      <c r="L833" s="2411"/>
      <c r="M833" s="2411"/>
      <c r="N833" s="2411"/>
      <c r="O833" s="2411"/>
      <c r="P833" s="2411"/>
      <c r="Q833" s="2411"/>
      <c r="R833" s="2411"/>
      <c r="S833" s="2412"/>
      <c r="T833" s="2413">
        <f>AK190</f>
        <v>0</v>
      </c>
      <c r="U833" s="2413"/>
      <c r="V833" s="2413"/>
      <c r="W833" s="2413"/>
      <c r="X833" s="2413"/>
      <c r="Y833" s="2413"/>
      <c r="Z833" s="2394">
        <v>10</v>
      </c>
      <c r="AA833" s="2394"/>
      <c r="AB833" s="2394"/>
      <c r="AC833" s="2394"/>
      <c r="AD833" s="2394"/>
      <c r="AE833" s="2394"/>
      <c r="AF833" s="2394">
        <f>IF(T833&gt;Z833,Z833,T833)</f>
        <v>0</v>
      </c>
      <c r="AG833" s="2394"/>
      <c r="AH833" s="2394"/>
      <c r="AI833" s="2394"/>
      <c r="AJ833" s="2394"/>
      <c r="AK833" s="2394"/>
      <c r="AL833" s="714"/>
      <c r="AM833" s="494"/>
    </row>
    <row r="834" spans="1:81" hidden="1">
      <c r="A834" s="715" t="s">
        <v>2238</v>
      </c>
      <c r="B834" s="2411" t="s">
        <v>2239</v>
      </c>
      <c r="C834" s="2411"/>
      <c r="D834" s="2411"/>
      <c r="E834" s="2411"/>
      <c r="F834" s="2411"/>
      <c r="G834" s="2411"/>
      <c r="H834" s="2411"/>
      <c r="I834" s="2411"/>
      <c r="J834" s="2411"/>
      <c r="K834" s="2411"/>
      <c r="L834" s="2411"/>
      <c r="M834" s="2411"/>
      <c r="N834" s="2411"/>
      <c r="O834" s="2411"/>
      <c r="P834" s="2411"/>
      <c r="Q834" s="2411"/>
      <c r="R834" s="2411"/>
      <c r="S834" s="2412"/>
      <c r="T834" s="2413">
        <f>AK272</f>
        <v>0</v>
      </c>
      <c r="U834" s="2413"/>
      <c r="V834" s="2413"/>
      <c r="W834" s="2413"/>
      <c r="X834" s="2413"/>
      <c r="Y834" s="2413"/>
      <c r="Z834" s="2414">
        <v>8</v>
      </c>
      <c r="AA834" s="2415"/>
      <c r="AB834" s="2415"/>
      <c r="AC834" s="2415"/>
      <c r="AD834" s="2415"/>
      <c r="AE834" s="2416"/>
      <c r="AF834" s="2394"/>
      <c r="AG834" s="2394"/>
      <c r="AH834" s="2394"/>
      <c r="AI834" s="2394"/>
      <c r="AJ834" s="2394"/>
      <c r="AK834" s="2394"/>
      <c r="AL834" s="714"/>
      <c r="AM834" s="494"/>
    </row>
    <row r="835" spans="1:81" s="434" customFormat="1" hidden="1">
      <c r="A835" s="716" t="s">
        <v>1016</v>
      </c>
      <c r="B835" s="2411" t="s">
        <v>2579</v>
      </c>
      <c r="C835" s="2411"/>
      <c r="D835" s="2411"/>
      <c r="E835" s="2411"/>
      <c r="F835" s="2411"/>
      <c r="G835" s="2411"/>
      <c r="H835" s="2411"/>
      <c r="I835" s="2411"/>
      <c r="J835" s="2411"/>
      <c r="K835" s="2411"/>
      <c r="L835" s="2411"/>
      <c r="M835" s="2411"/>
      <c r="N835" s="2411"/>
      <c r="O835" s="2411"/>
      <c r="P835" s="2411"/>
      <c r="Q835" s="2411"/>
      <c r="R835" s="2411"/>
      <c r="S835" s="2412"/>
      <c r="T835" s="2413">
        <f>IF(AK548&gt;5,5,AK548)</f>
        <v>0</v>
      </c>
      <c r="U835" s="2413"/>
      <c r="V835" s="2413"/>
      <c r="W835" s="2413"/>
      <c r="X835" s="2413"/>
      <c r="Y835" s="2413"/>
      <c r="Z835" s="2394">
        <v>5</v>
      </c>
      <c r="AA835" s="2394"/>
      <c r="AB835" s="2394"/>
      <c r="AC835" s="2394"/>
      <c r="AD835" s="2394"/>
      <c r="AE835" s="2394"/>
      <c r="AF835" s="2394"/>
      <c r="AG835" s="2394"/>
      <c r="AH835" s="2394"/>
      <c r="AI835" s="2394"/>
      <c r="AJ835" s="2394"/>
      <c r="AK835" s="2394"/>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1" t="str">
        <f>B275</f>
        <v>Readiness to Proceed</v>
      </c>
      <c r="C836" s="2411"/>
      <c r="D836" s="2411"/>
      <c r="E836" s="2411"/>
      <c r="F836" s="2411"/>
      <c r="G836" s="2411"/>
      <c r="H836" s="2411"/>
      <c r="I836" s="2411"/>
      <c r="J836" s="2411"/>
      <c r="K836" s="2411"/>
      <c r="L836" s="2411"/>
      <c r="M836" s="2411"/>
      <c r="N836" s="2411"/>
      <c r="O836" s="2411"/>
      <c r="P836" s="2411"/>
      <c r="Q836" s="2411"/>
      <c r="R836" s="2411"/>
      <c r="S836" s="2412"/>
      <c r="T836" s="2413">
        <f>AK298</f>
        <v>10</v>
      </c>
      <c r="U836" s="2413"/>
      <c r="V836" s="2413"/>
      <c r="W836" s="2413"/>
      <c r="X836" s="2413"/>
      <c r="Y836" s="2413"/>
      <c r="Z836" s="2394">
        <v>10</v>
      </c>
      <c r="AA836" s="2394"/>
      <c r="AB836" s="2394"/>
      <c r="AC836" s="2394"/>
      <c r="AD836" s="2394"/>
      <c r="AE836" s="2394"/>
      <c r="AF836" s="2422">
        <f>IF(T836&gt;Z836,Z836,T836)</f>
        <v>10</v>
      </c>
      <c r="AG836" s="2423"/>
      <c r="AH836" s="2423"/>
      <c r="AI836" s="2423"/>
      <c r="AJ836" s="2423"/>
      <c r="AK836" s="2424"/>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1" t="str">
        <f>B301</f>
        <v>Access to Opportunity</v>
      </c>
      <c r="C837" s="2411"/>
      <c r="D837" s="2411"/>
      <c r="E837" s="2411"/>
      <c r="F837" s="2411"/>
      <c r="G837" s="2411"/>
      <c r="H837" s="2411"/>
      <c r="I837" s="2411"/>
      <c r="J837" s="2411"/>
      <c r="K837" s="2411"/>
      <c r="L837" s="2411"/>
      <c r="M837" s="2411"/>
      <c r="N837" s="2411"/>
      <c r="O837" s="2411"/>
      <c r="P837" s="2411"/>
      <c r="Q837" s="2411"/>
      <c r="R837" s="2411"/>
      <c r="S837" s="2412"/>
      <c r="T837" s="2413">
        <f>AK351</f>
        <v>0</v>
      </c>
      <c r="U837" s="2413"/>
      <c r="V837" s="2413"/>
      <c r="W837" s="2413"/>
      <c r="X837" s="2413"/>
      <c r="Y837" s="2413"/>
      <c r="Z837" s="2422">
        <v>10</v>
      </c>
      <c r="AA837" s="2423"/>
      <c r="AB837" s="2423"/>
      <c r="AC837" s="2423"/>
      <c r="AD837" s="2423"/>
      <c r="AE837" s="2424"/>
      <c r="AF837" s="2422">
        <f>IF(T837&gt;Z837,Z837,T837)</f>
        <v>0</v>
      </c>
      <c r="AG837" s="2423"/>
      <c r="AH837" s="2423"/>
      <c r="AI837" s="2423"/>
      <c r="AJ837" s="2423"/>
      <c r="AK837" s="2424"/>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2580</v>
      </c>
      <c r="D838" s="719"/>
      <c r="E838" s="719"/>
      <c r="F838" s="719"/>
      <c r="G838" s="719"/>
      <c r="H838" s="719"/>
      <c r="I838" s="719"/>
      <c r="J838" s="719"/>
      <c r="K838" s="719"/>
      <c r="L838" s="719"/>
      <c r="M838" s="719"/>
      <c r="N838" s="719"/>
      <c r="O838" s="719"/>
      <c r="P838" s="719"/>
      <c r="Q838" s="719"/>
      <c r="R838" s="717"/>
      <c r="S838" s="720"/>
      <c r="T838" s="2419">
        <f>AK351</f>
        <v>0</v>
      </c>
      <c r="U838" s="2419"/>
      <c r="V838" s="2419"/>
      <c r="W838" s="2419"/>
      <c r="X838" s="2419"/>
      <c r="Y838" s="2419"/>
      <c r="Z838" s="2323">
        <v>20</v>
      </c>
      <c r="AA838" s="2369"/>
      <c r="AB838" s="2369"/>
      <c r="AC838" s="2369"/>
      <c r="AD838" s="2369"/>
      <c r="AE838" s="2324"/>
      <c r="AF838" s="2421"/>
      <c r="AG838" s="2421"/>
      <c r="AH838" s="2421"/>
      <c r="AI838" s="2421"/>
      <c r="AJ838" s="2421"/>
      <c r="AK838" s="2421"/>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1" t="s">
        <v>2325</v>
      </c>
      <c r="C839" s="2411"/>
      <c r="D839" s="2411"/>
      <c r="E839" s="2411"/>
      <c r="F839" s="2411"/>
      <c r="G839" s="2411"/>
      <c r="H839" s="2411"/>
      <c r="I839" s="2411"/>
      <c r="J839" s="2411"/>
      <c r="K839" s="2411"/>
      <c r="L839" s="2411"/>
      <c r="M839" s="2411"/>
      <c r="N839" s="2411"/>
      <c r="O839" s="2411"/>
      <c r="P839" s="2411"/>
      <c r="Q839" s="2411"/>
      <c r="R839" s="2411"/>
      <c r="S839" s="2412"/>
      <c r="T839" s="2413">
        <f>AK482</f>
        <v>10</v>
      </c>
      <c r="U839" s="2413"/>
      <c r="V839" s="2413"/>
      <c r="W839" s="2413"/>
      <c r="X839" s="2413"/>
      <c r="Y839" s="2413"/>
      <c r="Z839" s="2422">
        <v>10</v>
      </c>
      <c r="AA839" s="2423"/>
      <c r="AB839" s="2423"/>
      <c r="AC839" s="2423"/>
      <c r="AD839" s="2423"/>
      <c r="AE839" s="2424"/>
      <c r="AF839" s="2394">
        <f>IF(T839&gt;Z839,Z839,T839)</f>
        <v>10</v>
      </c>
      <c r="AG839" s="2394"/>
      <c r="AH839" s="2394"/>
      <c r="AI839" s="2394"/>
      <c r="AJ839" s="2394"/>
      <c r="AK839" s="2394"/>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1" t="s">
        <v>2441</v>
      </c>
      <c r="C840" s="2411"/>
      <c r="D840" s="2411"/>
      <c r="E840" s="2411"/>
      <c r="F840" s="2411"/>
      <c r="G840" s="2411"/>
      <c r="H840" s="2411"/>
      <c r="I840" s="2411"/>
      <c r="J840" s="2411"/>
      <c r="K840" s="2411"/>
      <c r="L840" s="2411"/>
      <c r="M840" s="2411"/>
      <c r="N840" s="2411"/>
      <c r="O840" s="2411"/>
      <c r="P840" s="2411"/>
      <c r="Q840" s="2411"/>
      <c r="R840" s="2411"/>
      <c r="S840" s="2412"/>
      <c r="T840" s="2413">
        <f>AK572</f>
        <v>12</v>
      </c>
      <c r="U840" s="2413"/>
      <c r="V840" s="2413"/>
      <c r="W840" s="2413"/>
      <c r="X840" s="2413"/>
      <c r="Y840" s="2413"/>
      <c r="Z840" s="2422">
        <v>12</v>
      </c>
      <c r="AA840" s="2423"/>
      <c r="AB840" s="2423"/>
      <c r="AC840" s="2423"/>
      <c r="AD840" s="2423"/>
      <c r="AE840" s="2424"/>
      <c r="AF840" s="2394">
        <f>IF(T840&gt;Z840,Z840,T840)</f>
        <v>12</v>
      </c>
      <c r="AG840" s="2394"/>
      <c r="AH840" s="2394"/>
      <c r="AI840" s="2394"/>
      <c r="AJ840" s="2394"/>
      <c r="AK840" s="2394"/>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1" t="s">
        <v>2581</v>
      </c>
      <c r="C841" s="2411"/>
      <c r="D841" s="2411"/>
      <c r="E841" s="2411"/>
      <c r="F841" s="2411"/>
      <c r="G841" s="2411"/>
      <c r="H841" s="2411"/>
      <c r="I841" s="2411"/>
      <c r="J841" s="2411"/>
      <c r="K841" s="2411"/>
      <c r="L841" s="2411"/>
      <c r="M841" s="2411"/>
      <c r="N841" s="2411"/>
      <c r="O841" s="2411"/>
      <c r="P841" s="2411"/>
      <c r="Q841" s="2411"/>
      <c r="R841" s="2411"/>
      <c r="S841" s="2412"/>
      <c r="T841" s="2413">
        <f>AK816</f>
        <v>10</v>
      </c>
      <c r="U841" s="2413"/>
      <c r="V841" s="2413"/>
      <c r="W841" s="2413"/>
      <c r="X841" s="2413"/>
      <c r="Y841" s="2413"/>
      <c r="Z841" s="2422">
        <v>10</v>
      </c>
      <c r="AA841" s="2423"/>
      <c r="AB841" s="2423"/>
      <c r="AC841" s="2423"/>
      <c r="AD841" s="2423"/>
      <c r="AE841" s="2424"/>
      <c r="AF841" s="2394">
        <f>IF(T841&gt;Z841,Z841,T841)</f>
        <v>10</v>
      </c>
      <c r="AG841" s="2394"/>
      <c r="AH841" s="2394"/>
      <c r="AI841" s="2394"/>
      <c r="AJ841" s="2394"/>
      <c r="AK841" s="2394"/>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2582</v>
      </c>
      <c r="B842" s="596" t="s">
        <v>2583</v>
      </c>
      <c r="C842" s="596"/>
      <c r="D842" s="596"/>
      <c r="E842" s="596"/>
      <c r="F842" s="596"/>
      <c r="G842" s="596"/>
      <c r="H842" s="596"/>
      <c r="I842" s="596"/>
      <c r="J842" s="596"/>
      <c r="K842" s="596"/>
      <c r="L842" s="596"/>
      <c r="M842" s="596"/>
      <c r="N842" s="596"/>
      <c r="O842" s="596"/>
      <c r="P842" s="596"/>
      <c r="Q842" s="596"/>
      <c r="R842" s="596"/>
      <c r="S842" s="1088"/>
      <c r="T842" s="2425"/>
      <c r="U842" s="2425"/>
      <c r="V842" s="2425"/>
      <c r="W842" s="2425"/>
      <c r="X842" s="2425"/>
      <c r="Y842" s="2425"/>
      <c r="Z842" s="2420" t="s">
        <v>2584</v>
      </c>
      <c r="AA842" s="2420"/>
      <c r="AB842" s="2420"/>
      <c r="AC842" s="2420"/>
      <c r="AD842" s="2420"/>
      <c r="AE842" s="2420"/>
      <c r="AF842" s="2422">
        <f>ABS(T842)</f>
        <v>0</v>
      </c>
      <c r="AG842" s="2423"/>
      <c r="AH842" s="2423"/>
      <c r="AI842" s="2423"/>
      <c r="AJ842" s="2423"/>
      <c r="AK842" s="2424"/>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6">
      <c r="A843" s="2426" t="s">
        <v>2585</v>
      </c>
      <c r="B843" s="2427"/>
      <c r="C843" s="2427"/>
      <c r="D843" s="2427"/>
      <c r="E843" s="2427"/>
      <c r="F843" s="2427"/>
      <c r="G843" s="2427"/>
      <c r="H843" s="2427"/>
      <c r="I843" s="2427"/>
      <c r="J843" s="2427"/>
      <c r="K843" s="2427"/>
      <c r="L843" s="2427"/>
      <c r="M843" s="2427"/>
      <c r="N843" s="2427"/>
      <c r="O843" s="2427"/>
      <c r="P843" s="2427"/>
      <c r="Q843" s="2427"/>
      <c r="R843" s="2427"/>
      <c r="S843" s="2427"/>
      <c r="T843" s="2427"/>
      <c r="U843" s="2427"/>
      <c r="V843" s="2427"/>
      <c r="W843" s="2427"/>
      <c r="X843" s="2427"/>
      <c r="Y843" s="2427"/>
      <c r="Z843" s="2427"/>
      <c r="AA843" s="2427"/>
      <c r="AB843" s="2427"/>
      <c r="AC843" s="2427"/>
      <c r="AD843" s="2427"/>
      <c r="AE843" s="2428"/>
      <c r="AF843" s="2432">
        <f>SUM(AF826:AK841)-AF842</f>
        <v>100</v>
      </c>
      <c r="AG843" s="2433"/>
      <c r="AH843" s="2433"/>
      <c r="AI843" s="2433"/>
      <c r="AJ843" s="2433"/>
      <c r="AK843" s="2434"/>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6">
      <c r="A844" s="2429"/>
      <c r="B844" s="2430"/>
      <c r="C844" s="2430"/>
      <c r="D844" s="2430"/>
      <c r="E844" s="2430"/>
      <c r="F844" s="2430"/>
      <c r="G844" s="2430"/>
      <c r="H844" s="2430"/>
      <c r="I844" s="2430"/>
      <c r="J844" s="2430"/>
      <c r="K844" s="2430"/>
      <c r="L844" s="2430"/>
      <c r="M844" s="2430"/>
      <c r="N844" s="2430"/>
      <c r="O844" s="2430"/>
      <c r="P844" s="2430"/>
      <c r="Q844" s="2430"/>
      <c r="R844" s="2430"/>
      <c r="S844" s="2430"/>
      <c r="T844" s="2430"/>
      <c r="U844" s="2430"/>
      <c r="V844" s="2430"/>
      <c r="W844" s="2430"/>
      <c r="X844" s="2430"/>
      <c r="Y844" s="2430"/>
      <c r="Z844" s="2430"/>
      <c r="AA844" s="2430"/>
      <c r="AB844" s="2430"/>
      <c r="AC844" s="2430"/>
      <c r="AD844" s="2430"/>
      <c r="AE844" s="2431"/>
      <c r="AF844" s="2435"/>
      <c r="AG844" s="2436"/>
      <c r="AH844" s="2436"/>
      <c r="AI844" s="2436"/>
      <c r="AJ844" s="2436"/>
      <c r="AK844" s="2437"/>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i1wH3f3kzAbvJqYa66l10lS+pemNZX3Ak7DkdxKbP173hYBjy0jG+AkSbhmNqD/ZPnSDllnC+Pno9iNsGX5g==" saltValue="LgzBmfBJ+J2DZzP5E6Dz5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75340622F8DB448E1B1D97B789E9ED" ma:contentTypeVersion="11" ma:contentTypeDescription="Create a new document." ma:contentTypeScope="" ma:versionID="21f1a470f82736f4d38c2eb64262c90a">
  <xsd:schema xmlns:xsd="http://www.w3.org/2001/XMLSchema" xmlns:xs="http://www.w3.org/2001/XMLSchema" xmlns:p="http://schemas.microsoft.com/office/2006/metadata/properties" xmlns:ns2="632b0595-51c4-4ca7-a6d5-97eab18b4e91" xmlns:ns3="7ac5026a-5c1a-454b-91b9-b5bb0b2df7fa" targetNamespace="http://schemas.microsoft.com/office/2006/metadata/properties" ma:root="true" ma:fieldsID="af2b43ffdb2bac50d572d4e1e49147c8" ns2:_="" ns3:_="">
    <xsd:import namespace="632b0595-51c4-4ca7-a6d5-97eab18b4e91"/>
    <xsd:import namespace="7ac5026a-5c1a-454b-91b9-b5bb0b2df7f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2b0595-51c4-4ca7-a6d5-97eab18b4e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461732e-117e-4b4b-8842-25b7e828db32"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c5026a-5c1a-454b-91b9-b5bb0b2df7f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9896ae2-c310-4ce0-865d-e0ba4b796425}" ma:internalName="TaxCatchAll" ma:showField="CatchAllData" ma:web="7ac5026a-5c1a-454b-91b9-b5bb0b2df7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ac5026a-5c1a-454b-91b9-b5bb0b2df7fa" xsi:nil="true"/>
    <lcf76f155ced4ddcb4097134ff3c332f xmlns="632b0595-51c4-4ca7-a6d5-97eab18b4e9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2BFE01-9F78-4AD2-B5AD-B44EC380F0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2b0595-51c4-4ca7-a6d5-97eab18b4e91"/>
    <ds:schemaRef ds:uri="7ac5026a-5c1a-454b-91b9-b5bb0b2df7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90FEE5C-D34E-4139-812F-77BDC8866B3E}">
  <ds:schemaRefs>
    <ds:schemaRef ds:uri="http://schemas.microsoft.com/office/2006/metadata/properties"/>
    <ds:schemaRef ds:uri="http://schemas.microsoft.com/office/infopath/2007/PartnerControls"/>
    <ds:schemaRef ds:uri="7ac5026a-5c1a-454b-91b9-b5bb0b2df7fa"/>
    <ds:schemaRef ds:uri="632b0595-51c4-4ca7-a6d5-97eab18b4e91"/>
  </ds:schemaRefs>
</ds:datastoreItem>
</file>

<file path=customXml/itemProps3.xml><?xml version="1.0" encoding="utf-8"?>
<ds:datastoreItem xmlns:ds="http://schemas.openxmlformats.org/officeDocument/2006/customXml" ds:itemID="{E4450C97-D27F-46F8-87FB-2A47F1BD5725}">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Hao Pi</cp:lastModifiedBy>
  <cp:revision/>
  <cp:lastPrinted>2026-02-03T01:17:57Z</cp:lastPrinted>
  <dcterms:created xsi:type="dcterms:W3CDTF">2007-12-27T18:26:28Z</dcterms:created>
  <dcterms:modified xsi:type="dcterms:W3CDTF">2026-02-03T07:20:34Z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0x010100B475340622F8DB448E1B1D97B789E9ED</vt:lpwstr>
  </property>
  <property fmtid="{D5CDD505-2E9C-101B-9397-08002B2CF9AE}" pid="3" name="MediaServiceImageTags">
    <vt:lpwstr/>
  </property>
</Properties>
</file>