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9146917B-2A2D-48D3-A193-C400CC79DEE9}" xr6:coauthVersionLast="47" xr6:coauthVersionMax="47" xr10:uidLastSave="{00000000-0000-0000-0000-000000000000}"/>
  <bookViews>
    <workbookView xWindow="19090" yWindow="-110" windowWidth="19420" windowHeight="10420" tabRatio="821"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Forma'!$A$1:$AG$77</definedName>
    <definedName name="_xlnm.Print_Area" localSheetId="3">Application!$A$1:$AL$135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5" i="3" l="1"/>
  <c r="Q622" i="3" l="1"/>
  <c r="AM551" i="3"/>
  <c r="AM550" i="3"/>
  <c r="AM549" i="3"/>
  <c r="AM548" i="3"/>
  <c r="Q549" i="3"/>
  <c r="AO625" i="3"/>
  <c r="AO624" i="3"/>
  <c r="AO623" i="3"/>
  <c r="AO622" i="3"/>
  <c r="AO621" i="3"/>
  <c r="Z770" i="3" l="1"/>
  <c r="L907" i="3"/>
  <c r="L909" i="3"/>
  <c r="AA898" i="3"/>
  <c r="AA897" i="3"/>
  <c r="AA895" i="3"/>
  <c r="AG10" i="9"/>
  <c r="AE10" i="9"/>
  <c r="AC10" i="9"/>
  <c r="AA10" i="9"/>
  <c r="Y10" i="9"/>
  <c r="W10" i="9"/>
  <c r="U10" i="9"/>
  <c r="S10" i="9"/>
  <c r="Q10" i="9"/>
  <c r="O10" i="9"/>
  <c r="M10" i="9"/>
  <c r="K10" i="9"/>
  <c r="C9" i="9"/>
  <c r="C7" i="9"/>
  <c r="C5" i="9"/>
  <c r="E43" i="25" l="1"/>
  <c r="E44" i="25"/>
  <c r="E45" i="25"/>
  <c r="G40" i="25"/>
  <c r="AH696" i="3"/>
  <c r="AH695" i="3"/>
  <c r="AH694" i="3"/>
  <c r="AH693" i="3"/>
  <c r="AH692" i="3"/>
  <c r="G696" i="3"/>
  <c r="G695" i="3"/>
  <c r="G693" i="3"/>
  <c r="G692" i="3"/>
  <c r="E85" i="4"/>
  <c r="E86" i="4"/>
  <c r="E90" i="4"/>
  <c r="E72" i="4"/>
  <c r="E73" i="4"/>
  <c r="E71" i="4"/>
  <c r="E65" i="4"/>
  <c r="E66" i="4"/>
  <c r="E67" i="4"/>
  <c r="E56" i="4"/>
  <c r="E58" i="4"/>
  <c r="E59" i="4"/>
  <c r="E55" i="4"/>
  <c r="E47" i="4"/>
  <c r="E48" i="4"/>
  <c r="E34" i="4"/>
  <c r="M30" i="4"/>
  <c r="I30" i="4"/>
  <c r="H29" i="4"/>
  <c r="L84" i="4"/>
  <c r="C36" i="4"/>
  <c r="E36" i="4" s="1"/>
  <c r="C94" i="4"/>
  <c r="E94" i="4" s="1"/>
  <c r="C93" i="4"/>
  <c r="E93" i="4" s="1"/>
  <c r="C92" i="4"/>
  <c r="E92" i="4" s="1"/>
  <c r="C99" i="4"/>
  <c r="E99" i="4" s="1"/>
  <c r="C91" i="4"/>
  <c r="E91" i="4" s="1"/>
  <c r="C89" i="4"/>
  <c r="C88" i="4"/>
  <c r="E88" i="4" s="1"/>
  <c r="C87" i="4"/>
  <c r="E87" i="4" s="1"/>
  <c r="C85" i="4"/>
  <c r="C83" i="4"/>
  <c r="E83" i="4" s="1"/>
  <c r="C79" i="4"/>
  <c r="E79" i="4" s="1"/>
  <c r="C75" i="4"/>
  <c r="E75" i="4" s="1"/>
  <c r="C68" i="4"/>
  <c r="E68" i="4" s="1"/>
  <c r="C64" i="4"/>
  <c r="E64" i="4" s="1"/>
  <c r="C60" i="4"/>
  <c r="E60" i="4" s="1"/>
  <c r="C57" i="4"/>
  <c r="E57" i="4" s="1"/>
  <c r="C52" i="4"/>
  <c r="E52" i="4" s="1"/>
  <c r="C49" i="4"/>
  <c r="E49" i="4" s="1"/>
  <c r="C51" i="4"/>
  <c r="E51" i="4" s="1"/>
  <c r="C50" i="4"/>
  <c r="E50" i="4" s="1"/>
  <c r="C41" i="4"/>
  <c r="E41" i="4" s="1"/>
  <c r="C40" i="4"/>
  <c r="E40" i="4" s="1"/>
  <c r="C35" i="4"/>
  <c r="E35" i="4" s="1"/>
  <c r="C32" i="4"/>
  <c r="C33" i="4" s="1"/>
  <c r="E33" i="4" s="1"/>
  <c r="C31" i="4"/>
  <c r="E31" i="4" s="1"/>
  <c r="C29" i="4"/>
  <c r="C6" i="4"/>
  <c r="E6" i="4" s="1"/>
  <c r="C4" i="4"/>
  <c r="E4" i="4" s="1"/>
  <c r="AO620" i="3"/>
  <c r="Q618" i="3"/>
  <c r="Q619" i="3" s="1"/>
  <c r="Q620" i="3" s="1"/>
  <c r="Q621" i="3" s="1"/>
  <c r="Q548" i="3"/>
  <c r="Q547" i="3"/>
  <c r="W546" i="3"/>
  <c r="Q546" i="3"/>
  <c r="AO618" i="3"/>
  <c r="AM547" i="3"/>
  <c r="AO619" i="3"/>
  <c r="C37" i="4"/>
  <c r="E37" i="4" s="1"/>
  <c r="C13" i="4"/>
  <c r="E13" i="4" s="1"/>
  <c r="G694" i="3"/>
  <c r="E32" i="4" l="1"/>
  <c r="E29" i="4"/>
  <c r="G89" i="4"/>
  <c r="E89" i="4" s="1"/>
  <c r="J30" i="4"/>
  <c r="E42" i="25"/>
  <c r="C43" i="4"/>
  <c r="E43" i="4" s="1"/>
  <c r="Q89" i="25"/>
  <c r="C84" i="4"/>
  <c r="E84" i="4" s="1"/>
  <c r="O695" i="3"/>
  <c r="F30" i="4"/>
  <c r="O696" i="3"/>
  <c r="E46" i="25"/>
  <c r="E583" i="6"/>
  <c r="O693" i="3" l="1"/>
  <c r="O692" i="3"/>
  <c r="AF618" i="3"/>
  <c r="AO650" i="6"/>
  <c r="AO644" i="6"/>
  <c r="AO649" i="6"/>
  <c r="E47" i="25" l="1"/>
  <c r="K30" i="4"/>
  <c r="O694" i="3"/>
  <c r="S84" i="4"/>
  <c r="AF970" i="3"/>
  <c r="E589" i="6"/>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AC28" i="9" s="1"/>
  <c r="E29" i="9"/>
  <c r="O29" i="9" s="1"/>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E10" i="18" s="1"/>
  <c r="R30" i="28"/>
  <c r="AC692" i="3"/>
  <c r="AC693" i="3"/>
  <c r="AC694" i="3"/>
  <c r="AC695" i="3"/>
  <c r="AC696" i="3"/>
  <c r="AC697" i="3"/>
  <c r="AC698" i="3"/>
  <c r="AC699" i="3"/>
  <c r="AC700" i="3"/>
  <c r="AC701" i="3"/>
  <c r="AC702" i="3"/>
  <c r="AC703" i="3"/>
  <c r="AC704" i="3"/>
  <c r="BA675" i="3"/>
  <c r="BG676"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K596" i="3" s="1"/>
  <c r="BI597" i="3"/>
  <c r="BK597" i="3" s="1"/>
  <c r="BI598" i="3"/>
  <c r="BK598" i="3" s="1"/>
  <c r="BI599" i="3"/>
  <c r="BK599" i="3" s="1"/>
  <c r="BI600" i="3"/>
  <c r="BI601" i="3"/>
  <c r="BK601" i="3" s="1"/>
  <c r="BI602" i="3"/>
  <c r="BK602" i="3" s="1"/>
  <c r="BI603" i="3"/>
  <c r="BI604" i="3"/>
  <c r="BI605" i="3"/>
  <c r="BK605" i="3" s="1"/>
  <c r="BI606" i="3"/>
  <c r="BK606" i="3" s="1"/>
  <c r="BI607" i="3"/>
  <c r="BK607" i="3" s="1"/>
  <c r="BI608" i="3"/>
  <c r="BI609" i="3"/>
  <c r="BK609" i="3" s="1"/>
  <c r="BI610" i="3"/>
  <c r="BK610" i="3" s="1"/>
  <c r="BI611" i="3"/>
  <c r="BK611" i="3" s="1"/>
  <c r="BI612" i="3"/>
  <c r="BI613" i="3"/>
  <c r="BI589" i="3"/>
  <c r="BK589" i="3" s="1"/>
  <c r="BE590" i="3"/>
  <c r="BG590" i="3" s="1"/>
  <c r="BE591" i="3"/>
  <c r="BE592" i="3"/>
  <c r="BG592" i="3" s="1"/>
  <c r="BE593" i="3"/>
  <c r="BG593" i="3" s="1"/>
  <c r="BE594" i="3"/>
  <c r="BG594" i="3" s="1"/>
  <c r="BE595" i="3"/>
  <c r="BG595" i="3" s="1"/>
  <c r="BE596" i="3"/>
  <c r="BG596" i="3" s="1"/>
  <c r="BE597" i="3"/>
  <c r="BG597" i="3" s="1"/>
  <c r="BE598" i="3"/>
  <c r="BG598" i="3" s="1"/>
  <c r="BE599" i="3"/>
  <c r="BE600" i="3"/>
  <c r="BG600" i="3" s="1"/>
  <c r="BE601" i="3"/>
  <c r="BG601" i="3" s="1"/>
  <c r="BE602" i="3"/>
  <c r="BG602" i="3" s="1"/>
  <c r="BE603" i="3"/>
  <c r="BG603" i="3" s="1"/>
  <c r="BE604" i="3"/>
  <c r="BG604" i="3" s="1"/>
  <c r="BE605" i="3"/>
  <c r="BE606" i="3"/>
  <c r="BG606" i="3" s="1"/>
  <c r="BE607" i="3"/>
  <c r="BE608" i="3"/>
  <c r="BG608" i="3" s="1"/>
  <c r="BE609" i="3"/>
  <c r="BG609" i="3" s="1"/>
  <c r="BE610" i="3"/>
  <c r="BG610" i="3" s="1"/>
  <c r="BE611" i="3"/>
  <c r="BG611" i="3" s="1"/>
  <c r="BE612" i="3"/>
  <c r="BE613" i="3"/>
  <c r="BG613" i="3" s="1"/>
  <c r="BE589" i="3"/>
  <c r="BG589" i="3" s="1"/>
  <c r="J107" i="4"/>
  <c r="K107" i="4"/>
  <c r="L107" i="4"/>
  <c r="M107" i="4"/>
  <c r="P107" i="4"/>
  <c r="Q107" i="4"/>
  <c r="I107" i="4"/>
  <c r="H107" i="4"/>
  <c r="G107" i="4"/>
  <c r="F107" i="4"/>
  <c r="B100" i="15"/>
  <c r="C100" i="15"/>
  <c r="D100" i="15"/>
  <c r="B101" i="15"/>
  <c r="C101" i="15"/>
  <c r="E101" i="15" s="1"/>
  <c r="D101" i="15"/>
  <c r="B102" i="15"/>
  <c r="C102" i="15"/>
  <c r="E102" i="15"/>
  <c r="D102" i="15"/>
  <c r="B103" i="15"/>
  <c r="C103" i="15"/>
  <c r="E103" i="15" s="1"/>
  <c r="D103" i="15"/>
  <c r="B84" i="15"/>
  <c r="E84" i="15" s="1"/>
  <c r="C84" i="15"/>
  <c r="D84" i="15"/>
  <c r="B85" i="15"/>
  <c r="C85" i="15"/>
  <c r="D85" i="15"/>
  <c r="B86" i="15"/>
  <c r="C86" i="15"/>
  <c r="E86" i="15" s="1"/>
  <c r="D86" i="15"/>
  <c r="B87" i="15"/>
  <c r="C87" i="15"/>
  <c r="E87" i="15" s="1"/>
  <c r="D87" i="15"/>
  <c r="B88" i="15"/>
  <c r="C88" i="15"/>
  <c r="D88" i="15"/>
  <c r="B89" i="15"/>
  <c r="C89" i="15"/>
  <c r="D89" i="15"/>
  <c r="B90" i="15"/>
  <c r="C90" i="15"/>
  <c r="D90" i="15"/>
  <c r="B91" i="15"/>
  <c r="C91" i="15"/>
  <c r="E91" i="15" s="1"/>
  <c r="D91" i="15"/>
  <c r="B92" i="15"/>
  <c r="E92" i="15" s="1"/>
  <c r="C92" i="15"/>
  <c r="D92" i="15"/>
  <c r="B93" i="15"/>
  <c r="C93" i="15"/>
  <c r="D93" i="15"/>
  <c r="B94" i="15"/>
  <c r="C94" i="15"/>
  <c r="D94" i="15"/>
  <c r="B95" i="15"/>
  <c r="C95" i="15"/>
  <c r="D95" i="15"/>
  <c r="B80" i="15"/>
  <c r="C80" i="15"/>
  <c r="D80" i="15"/>
  <c r="B73" i="15"/>
  <c r="C73" i="15"/>
  <c r="E73" i="15" s="1"/>
  <c r="D73" i="15"/>
  <c r="B74" i="15"/>
  <c r="E74" i="15"/>
  <c r="C74" i="15"/>
  <c r="D74" i="15"/>
  <c r="B76" i="15"/>
  <c r="C76" i="15"/>
  <c r="E76" i="15" s="1"/>
  <c r="D76" i="15"/>
  <c r="D72" i="15"/>
  <c r="C72" i="15"/>
  <c r="B72" i="15"/>
  <c r="B66" i="15"/>
  <c r="C66" i="15"/>
  <c r="E66" i="15"/>
  <c r="D66" i="15"/>
  <c r="B67" i="15"/>
  <c r="C67" i="15"/>
  <c r="E67" i="15" s="1"/>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E56" i="15" s="1"/>
  <c r="B56" i="15"/>
  <c r="B48" i="15"/>
  <c r="C48" i="15"/>
  <c r="D48" i="15"/>
  <c r="B49" i="15"/>
  <c r="C49" i="15"/>
  <c r="E49" i="15"/>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D38" i="15"/>
  <c r="B32" i="15"/>
  <c r="C32" i="15"/>
  <c r="D32" i="15"/>
  <c r="B33" i="15"/>
  <c r="C33" i="15"/>
  <c r="D33" i="15"/>
  <c r="B34" i="15"/>
  <c r="C34" i="15"/>
  <c r="D34" i="15"/>
  <c r="B35" i="15"/>
  <c r="C35" i="15"/>
  <c r="E35" i="15" s="1"/>
  <c r="D35" i="15"/>
  <c r="B36" i="15"/>
  <c r="C36" i="15"/>
  <c r="D36" i="15"/>
  <c r="B37" i="15"/>
  <c r="C37" i="15"/>
  <c r="D37" i="15"/>
  <c r="D30" i="15"/>
  <c r="C30" i="15"/>
  <c r="B30" i="15"/>
  <c r="B19" i="15"/>
  <c r="C19" i="15"/>
  <c r="E19" i="15" s="1"/>
  <c r="D19" i="15"/>
  <c r="B20" i="15"/>
  <c r="C20" i="15"/>
  <c r="E20" i="15"/>
  <c r="D20" i="15"/>
  <c r="B21" i="15"/>
  <c r="C21" i="15"/>
  <c r="E21" i="15" s="1"/>
  <c r="D21" i="15"/>
  <c r="B22" i="15"/>
  <c r="E22" i="15" s="1"/>
  <c r="C22" i="15"/>
  <c r="D22" i="15"/>
  <c r="B23" i="15"/>
  <c r="C23" i="15"/>
  <c r="D23" i="15"/>
  <c r="B24" i="15"/>
  <c r="C24" i="15"/>
  <c r="E24" i="15" s="1"/>
  <c r="D24" i="15"/>
  <c r="B25" i="15"/>
  <c r="C25" i="15"/>
  <c r="E25" i="15" s="1"/>
  <c r="D25" i="15"/>
  <c r="B26" i="15"/>
  <c r="C26" i="15"/>
  <c r="E26" i="15"/>
  <c r="D26" i="15"/>
  <c r="B28" i="15"/>
  <c r="E28" i="15" s="1"/>
  <c r="C28" i="15"/>
  <c r="D28" i="15"/>
  <c r="B5" i="15"/>
  <c r="C5" i="15"/>
  <c r="B6" i="15"/>
  <c r="C6" i="15"/>
  <c r="E6" i="15" s="1"/>
  <c r="B7" i="15"/>
  <c r="C7" i="15"/>
  <c r="E7" i="15" s="1"/>
  <c r="B8" i="15"/>
  <c r="C8" i="15"/>
  <c r="E8" i="15" s="1"/>
  <c r="B10" i="15"/>
  <c r="C10" i="15"/>
  <c r="E10" i="15" s="1"/>
  <c r="B11" i="15"/>
  <c r="C11" i="15"/>
  <c r="E11" i="15" s="1"/>
  <c r="B14" i="15"/>
  <c r="C14" i="15"/>
  <c r="B15" i="15"/>
  <c r="C15" i="15"/>
  <c r="E15" i="15" s="1"/>
  <c r="B16" i="15"/>
  <c r="E16" i="15" s="1"/>
  <c r="C16" i="15"/>
  <c r="B18" i="15"/>
  <c r="C18" i="15"/>
  <c r="E18" i="15" s="1"/>
  <c r="C28" i="10"/>
  <c r="C5" i="10"/>
  <c r="C6" i="10"/>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E48" i="15"/>
  <c r="E23"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6" i="18"/>
  <c r="B64" i="18"/>
  <c r="B65" i="18"/>
  <c r="B66" i="18"/>
  <c r="B101" i="4"/>
  <c r="R101" i="4"/>
  <c r="R67" i="4"/>
  <c r="S67" i="4" s="1"/>
  <c r="R66" i="4"/>
  <c r="S66" i="4" s="1"/>
  <c r="E65" i="18" s="1"/>
  <c r="R65" i="4"/>
  <c r="S65" i="4" s="1"/>
  <c r="E64" i="18" s="1"/>
  <c r="B67" i="4"/>
  <c r="B66" i="4"/>
  <c r="B65" i="4"/>
  <c r="B36" i="4"/>
  <c r="R36" i="4"/>
  <c r="S36" i="4" s="1"/>
  <c r="E35" i="18" s="1"/>
  <c r="F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AB47" i="27" s="1"/>
  <c r="Q48" i="25"/>
  <c r="D8" i="4"/>
  <c r="D11" i="4"/>
  <c r="B11" i="4" s="1"/>
  <c r="D26" i="4"/>
  <c r="B26" i="4" s="1"/>
  <c r="D38" i="4"/>
  <c r="D42" i="4"/>
  <c r="D53" i="4"/>
  <c r="D61" i="4"/>
  <c r="D69" i="4"/>
  <c r="D76" i="4"/>
  <c r="D80" i="4"/>
  <c r="D95" i="4"/>
  <c r="D103" i="4"/>
  <c r="C8" i="4"/>
  <c r="B8" i="18" s="1"/>
  <c r="C11" i="4"/>
  <c r="C26" i="4"/>
  <c r="C42" i="4"/>
  <c r="D43" i="15" s="1"/>
  <c r="C61" i="4"/>
  <c r="C62" i="15" s="1"/>
  <c r="C69" i="4"/>
  <c r="B70" i="15" s="1"/>
  <c r="C65" i="25"/>
  <c r="C66" i="25"/>
  <c r="Y20" i="5"/>
  <c r="Y22" i="5" s="1"/>
  <c r="AI20" i="5"/>
  <c r="AI22" i="5" s="1"/>
  <c r="S26" i="4"/>
  <c r="F25" i="18"/>
  <c r="T20" i="5"/>
  <c r="T22" i="5" s="1"/>
  <c r="T26" i="4"/>
  <c r="H25" i="18" s="1"/>
  <c r="T38" i="4"/>
  <c r="H37" i="18" s="1"/>
  <c r="T42" i="4"/>
  <c r="T53" i="4"/>
  <c r="T11" i="4"/>
  <c r="T69" i="4"/>
  <c r="H68" i="18"/>
  <c r="T80" i="4"/>
  <c r="H79" i="18"/>
  <c r="T95" i="4"/>
  <c r="H94" i="18" s="1"/>
  <c r="T103" i="4"/>
  <c r="I11" i="18"/>
  <c r="I25" i="18"/>
  <c r="I37" i="18"/>
  <c r="I41" i="18"/>
  <c r="I52" i="18"/>
  <c r="I68" i="18"/>
  <c r="I79" i="18"/>
  <c r="I94" i="18"/>
  <c r="I102" i="18"/>
  <c r="U61" i="25"/>
  <c r="U63" i="25"/>
  <c r="U65" i="25"/>
  <c r="U67" i="25"/>
  <c r="R83" i="4"/>
  <c r="S83" i="4" s="1"/>
  <c r="E82" i="18" s="1"/>
  <c r="F82" i="18" s="1"/>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62" i="4" s="1"/>
  <c r="L38" i="4"/>
  <c r="L42" i="4"/>
  <c r="L53" i="4"/>
  <c r="L61" i="4"/>
  <c r="L69" i="4"/>
  <c r="L76" i="4"/>
  <c r="L80" i="4"/>
  <c r="L95" i="4"/>
  <c r="M8" i="4"/>
  <c r="M11" i="4"/>
  <c r="M26" i="4"/>
  <c r="M38" i="4"/>
  <c r="M42" i="4"/>
  <c r="M53" i="4"/>
  <c r="M61" i="4"/>
  <c r="M69" i="4"/>
  <c r="M76" i="4"/>
  <c r="M80" i="4"/>
  <c r="M95" i="4"/>
  <c r="N8" i="4"/>
  <c r="N11" i="4"/>
  <c r="N26" i="4"/>
  <c r="N38" i="4"/>
  <c r="N62" i="4" s="1"/>
  <c r="N96" i="4" s="1"/>
  <c r="N42" i="4"/>
  <c r="N53" i="4"/>
  <c r="N61" i="4"/>
  <c r="N69" i="4"/>
  <c r="N76" i="4"/>
  <c r="N80" i="4"/>
  <c r="N95" i="4"/>
  <c r="O8" i="4"/>
  <c r="O11" i="4"/>
  <c r="O26" i="4"/>
  <c r="O42" i="4"/>
  <c r="O53" i="4"/>
  <c r="O61" i="4"/>
  <c r="O69" i="4"/>
  <c r="O76" i="4"/>
  <c r="O80" i="4"/>
  <c r="O95" i="4"/>
  <c r="P8" i="4"/>
  <c r="P11" i="4"/>
  <c r="P12" i="4" s="1"/>
  <c r="P26" i="4"/>
  <c r="P38" i="4"/>
  <c r="P42" i="4"/>
  <c r="P53" i="4"/>
  <c r="P61" i="4"/>
  <c r="P69" i="4"/>
  <c r="P76" i="4"/>
  <c r="P80" i="4"/>
  <c r="P95" i="4"/>
  <c r="Q8" i="4"/>
  <c r="Q11" i="4"/>
  <c r="Q26" i="4"/>
  <c r="Q38" i="4"/>
  <c r="Q42" i="4"/>
  <c r="Q62" i="4" s="1"/>
  <c r="Q96" i="4" s="1"/>
  <c r="Q104" i="4" s="1"/>
  <c r="Q53" i="4"/>
  <c r="Q61" i="4"/>
  <c r="Q69" i="4"/>
  <c r="Q76" i="4"/>
  <c r="Q80" i="4"/>
  <c r="Q95" i="4"/>
  <c r="G79" i="18"/>
  <c r="D79" i="18"/>
  <c r="R71" i="4"/>
  <c r="R72" i="4"/>
  <c r="R73" i="4"/>
  <c r="R75" i="4"/>
  <c r="F80" i="4"/>
  <c r="G80" i="4"/>
  <c r="H80" i="4"/>
  <c r="G76" i="4"/>
  <c r="F76" i="4"/>
  <c r="B78" i="18"/>
  <c r="C78" i="18" s="1"/>
  <c r="H78" i="18"/>
  <c r="B79" i="4"/>
  <c r="R79" i="4"/>
  <c r="S79" i="4" s="1"/>
  <c r="E78" i="18" s="1"/>
  <c r="F78"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C6" i="18" s="1"/>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3" i="18"/>
  <c r="F93" i="18" s="1"/>
  <c r="E89" i="18"/>
  <c r="F89" i="18" s="1"/>
  <c r="E88" i="18"/>
  <c r="F88" i="18" s="1"/>
  <c r="E85" i="18"/>
  <c r="F85" i="18" s="1"/>
  <c r="E83" i="18"/>
  <c r="F83" i="18" s="1"/>
  <c r="E26" i="18"/>
  <c r="E24" i="18"/>
  <c r="E23" i="18"/>
  <c r="E22" i="18"/>
  <c r="E21" i="18"/>
  <c r="E20" i="18"/>
  <c r="E19" i="18"/>
  <c r="E18" i="18"/>
  <c r="E17" i="18"/>
  <c r="E14" i="18"/>
  <c r="E15" i="18"/>
  <c r="E13" i="18"/>
  <c r="B101" i="18"/>
  <c r="B100" i="18"/>
  <c r="B99" i="18"/>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4" i="18"/>
  <c r="C74" i="18" s="1"/>
  <c r="B72" i="18"/>
  <c r="B71" i="18"/>
  <c r="B70" i="18"/>
  <c r="B67" i="18"/>
  <c r="C67" i="18" s="1"/>
  <c r="B63" i="18"/>
  <c r="C63" i="18" s="1"/>
  <c r="B59" i="18"/>
  <c r="C59" i="18" s="1"/>
  <c r="B58" i="18"/>
  <c r="B57" i="18"/>
  <c r="B56" i="18"/>
  <c r="C56" i="18" s="1"/>
  <c r="B55" i="18"/>
  <c r="B54" i="18"/>
  <c r="B51" i="18"/>
  <c r="C51" i="18" s="1"/>
  <c r="B50" i="18"/>
  <c r="C50" i="18" s="1"/>
  <c r="B49" i="18"/>
  <c r="C49" i="18" s="1"/>
  <c r="B48" i="18"/>
  <c r="C48" i="18" s="1"/>
  <c r="B47" i="18"/>
  <c r="C47" i="18" s="1"/>
  <c r="B46" i="18"/>
  <c r="C46" i="18" s="1"/>
  <c r="B42" i="18"/>
  <c r="C42" i="18" s="1"/>
  <c r="B40" i="18"/>
  <c r="C40" i="18" s="1"/>
  <c r="B39" i="18"/>
  <c r="C39" i="18" s="1"/>
  <c r="B36" i="18"/>
  <c r="C36" i="18" s="1"/>
  <c r="B34" i="18"/>
  <c r="C34" i="18" s="1"/>
  <c r="B33" i="18"/>
  <c r="C33" i="18" s="1"/>
  <c r="B32" i="18"/>
  <c r="C32" i="18" s="1"/>
  <c r="B31" i="18"/>
  <c r="C31" i="18" s="1"/>
  <c r="B30" i="18"/>
  <c r="C30" i="18" s="1"/>
  <c r="B28" i="18"/>
  <c r="C28" i="18" s="1"/>
  <c r="B26" i="18"/>
  <c r="B24" i="18"/>
  <c r="B23" i="18"/>
  <c r="B22" i="18"/>
  <c r="B21" i="18"/>
  <c r="B20" i="18"/>
  <c r="B19" i="18"/>
  <c r="B18" i="18"/>
  <c r="B17" i="18"/>
  <c r="B4" i="18"/>
  <c r="C4" i="18" s="1"/>
  <c r="D102" i="18"/>
  <c r="D94" i="18"/>
  <c r="D75" i="18"/>
  <c r="D68" i="18"/>
  <c r="D60" i="18"/>
  <c r="D52" i="18"/>
  <c r="D41" i="18"/>
  <c r="D37" i="18"/>
  <c r="D25" i="18"/>
  <c r="C25" i="18"/>
  <c r="D11" i="18"/>
  <c r="C11" i="18"/>
  <c r="D8" i="18"/>
  <c r="D12" i="18" s="1"/>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S85" i="4" s="1"/>
  <c r="R86" i="4"/>
  <c r="R87" i="4"/>
  <c r="R88" i="4"/>
  <c r="S88" i="4" s="1"/>
  <c r="E87" i="18" s="1"/>
  <c r="F87" i="18" s="1"/>
  <c r="R89" i="4"/>
  <c r="R90" i="4"/>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3" i="4"/>
  <c r="S43" i="4" s="1"/>
  <c r="E42" i="18" s="1"/>
  <c r="F42" i="18" s="1"/>
  <c r="R41" i="4"/>
  <c r="S41" i="4" s="1"/>
  <c r="E40" i="18" s="1"/>
  <c r="F40" i="18" s="1"/>
  <c r="R40" i="4"/>
  <c r="R37" i="4"/>
  <c r="S37" i="4" s="1"/>
  <c r="E36" i="18" s="1"/>
  <c r="F36" i="18" s="1"/>
  <c r="R35" i="4"/>
  <c r="S35" i="4" s="1"/>
  <c r="E34" i="18" s="1"/>
  <c r="F34" i="18" s="1"/>
  <c r="R34" i="4"/>
  <c r="S34" i="4" s="1"/>
  <c r="E33" i="18" s="1"/>
  <c r="F33" i="18" s="1"/>
  <c r="R33" i="4"/>
  <c r="S33" i="4" s="1"/>
  <c r="E32" i="18" s="1"/>
  <c r="F32" i="18" s="1"/>
  <c r="R32" i="4"/>
  <c r="S32" i="4" s="1"/>
  <c r="E31" i="18" s="1"/>
  <c r="F31"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2" i="15" s="1"/>
  <c r="D14" i="15"/>
  <c r="D15" i="15"/>
  <c r="D16" i="15"/>
  <c r="D18" i="15"/>
  <c r="H52"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2" i="4" s="1"/>
  <c r="H11" i="4"/>
  <c r="B9" i="4"/>
  <c r="B10" i="4"/>
  <c r="F11" i="4"/>
  <c r="G11" i="4"/>
  <c r="I12" i="4"/>
  <c r="O12" i="4"/>
  <c r="B13" i="4"/>
  <c r="B14" i="4"/>
  <c r="B17" i="4"/>
  <c r="B18" i="4"/>
  <c r="B19" i="4"/>
  <c r="B20" i="4"/>
  <c r="B21" i="4"/>
  <c r="B22" i="4"/>
  <c r="B23" i="4"/>
  <c r="B25" i="4"/>
  <c r="E26" i="4"/>
  <c r="F26" i="4"/>
  <c r="G26" i="4"/>
  <c r="H26" i="4"/>
  <c r="M103" i="4"/>
  <c r="Q103" i="4"/>
  <c r="B27" i="4"/>
  <c r="B29" i="4"/>
  <c r="B31" i="4"/>
  <c r="B32" i="4"/>
  <c r="B33" i="4"/>
  <c r="B34" i="4"/>
  <c r="B35" i="4"/>
  <c r="B37"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F63" i="18" s="1"/>
  <c r="B68" i="4"/>
  <c r="R68" i="4"/>
  <c r="S68" i="4" s="1"/>
  <c r="E67" i="18" s="1"/>
  <c r="F67" i="18" s="1"/>
  <c r="E69" i="4"/>
  <c r="G69" i="4"/>
  <c r="H69" i="4"/>
  <c r="B71" i="4"/>
  <c r="B72" i="4"/>
  <c r="B73" i="4"/>
  <c r="B75" i="4"/>
  <c r="H76" i="4"/>
  <c r="B83" i="4"/>
  <c r="B84" i="4"/>
  <c r="B85" i="4"/>
  <c r="B86" i="4"/>
  <c r="B87" i="4"/>
  <c r="B88" i="4"/>
  <c r="B89" i="4"/>
  <c r="B90" i="4"/>
  <c r="B91" i="4"/>
  <c r="B92" i="4"/>
  <c r="B93" i="4"/>
  <c r="B94" i="4"/>
  <c r="G95" i="4"/>
  <c r="H95" i="4"/>
  <c r="B99" i="4"/>
  <c r="R99" i="4"/>
  <c r="S99" i="4" s="1"/>
  <c r="E98" i="18" s="1"/>
  <c r="F98" i="18" s="1"/>
  <c r="B100" i="4"/>
  <c r="R100" i="4"/>
  <c r="R102" i="4"/>
  <c r="G103" i="4"/>
  <c r="H103" i="4"/>
  <c r="I103" i="4"/>
  <c r="J103" i="4"/>
  <c r="K103" i="4"/>
  <c r="L103" i="4"/>
  <c r="P103" i="4"/>
  <c r="B131" i="4"/>
  <c r="I184" i="3"/>
  <c r="W411" i="3"/>
  <c r="AF411" i="3" s="1"/>
  <c r="G560" i="3"/>
  <c r="Z560" i="3"/>
  <c r="G568" i="3"/>
  <c r="Z568" i="3"/>
  <c r="G576" i="3"/>
  <c r="Z576" i="3"/>
  <c r="G584" i="3"/>
  <c r="Z584" i="3"/>
  <c r="BK590" i="3"/>
  <c r="BG591" i="3"/>
  <c r="G592" i="3"/>
  <c r="Z592" i="3"/>
  <c r="BG599" i="3"/>
  <c r="BK600" i="3"/>
  <c r="G600" i="3"/>
  <c r="Z600" i="3"/>
  <c r="BK603" i="3"/>
  <c r="BK604" i="3"/>
  <c r="BG605" i="3"/>
  <c r="BG607" i="3"/>
  <c r="BK608"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E25" i="18"/>
  <c r="B43" i="15"/>
  <c r="B27" i="15"/>
  <c r="D27" i="15"/>
  <c r="C27" i="15"/>
  <c r="D62" i="15"/>
  <c r="B62" i="15"/>
  <c r="B11" i="18"/>
  <c r="G52" i="25"/>
  <c r="AM704" i="3"/>
  <c r="AM703" i="3"/>
  <c r="AM702" i="3"/>
  <c r="AM701" i="3"/>
  <c r="AM700" i="3"/>
  <c r="AM699" i="3"/>
  <c r="AM698" i="3"/>
  <c r="AM697" i="3"/>
  <c r="AB47" i="26"/>
  <c r="J12" i="4"/>
  <c r="R11" i="4"/>
  <c r="M12" i="4"/>
  <c r="D61" i="18"/>
  <c r="S28" i="9"/>
  <c r="G19" i="9"/>
  <c r="I19" i="9" s="1"/>
  <c r="K19" i="9" s="1"/>
  <c r="M19" i="9" s="1"/>
  <c r="O19" i="9" s="1"/>
  <c r="Q19" i="9" s="1"/>
  <c r="S19" i="9" s="1"/>
  <c r="U19" i="9" s="1"/>
  <c r="W19" i="9" s="1"/>
  <c r="Y19" i="9" s="1"/>
  <c r="AA19" i="9" s="1"/>
  <c r="AC19" i="9" s="1"/>
  <c r="AE19" i="9" s="1"/>
  <c r="AG19" i="9" s="1"/>
  <c r="AD67" i="5"/>
  <c r="T24" i="27"/>
  <c r="T24" i="26"/>
  <c r="Q580" i="6"/>
  <c r="W580" i="6" s="1"/>
  <c r="P62" i="4" l="1"/>
  <c r="P96" i="4" s="1"/>
  <c r="P104" i="4" s="1"/>
  <c r="F12" i="4"/>
  <c r="R26" i="4"/>
  <c r="C8" i="18"/>
  <c r="C12" i="18" s="1"/>
  <c r="D95" i="18"/>
  <c r="D103" i="18" s="1"/>
  <c r="G58" i="9"/>
  <c r="D9" i="15"/>
  <c r="D13" i="15" s="1"/>
  <c r="B12" i="15"/>
  <c r="N12" i="4"/>
  <c r="M62" i="4"/>
  <c r="M96" i="4" s="1"/>
  <c r="M104" i="4" s="1"/>
  <c r="K62" i="4"/>
  <c r="K96" i="4" s="1"/>
  <c r="K104" i="4" s="1"/>
  <c r="J62" i="4"/>
  <c r="J96" i="4" s="1"/>
  <c r="J104" i="4" s="1"/>
  <c r="AI20" i="26"/>
  <c r="E58" i="15"/>
  <c r="U69" i="25"/>
  <c r="I61" i="18"/>
  <c r="I95" i="18" s="1"/>
  <c r="I103" i="18" s="1"/>
  <c r="I105" i="18" s="1"/>
  <c r="T62" i="4"/>
  <c r="E60" i="15"/>
  <c r="I4" i="10"/>
  <c r="E57" i="15"/>
  <c r="G61" i="18"/>
  <c r="G95" i="18" s="1"/>
  <c r="G103" i="18" s="1"/>
  <c r="G105" i="18" s="1"/>
  <c r="C60" i="18"/>
  <c r="R8" i="4"/>
  <c r="R12" i="4" s="1"/>
  <c r="G62" i="4"/>
  <c r="G96" i="4" s="1"/>
  <c r="G104" i="4" s="1"/>
  <c r="C70" i="15"/>
  <c r="E34" i="15"/>
  <c r="E52" i="15"/>
  <c r="E68" i="15"/>
  <c r="K53" i="9"/>
  <c r="I58" i="9"/>
  <c r="H61" i="18"/>
  <c r="T96" i="4"/>
  <c r="L96" i="4"/>
  <c r="L104" i="4" s="1"/>
  <c r="B69" i="4"/>
  <c r="AM693" i="3"/>
  <c r="D62" i="4"/>
  <c r="D96" i="4" s="1"/>
  <c r="D104" i="4" s="1"/>
  <c r="R61" i="4"/>
  <c r="D70" i="15"/>
  <c r="F62" i="4"/>
  <c r="F96" i="4" s="1"/>
  <c r="F104" i="4" s="1"/>
  <c r="I62" i="4"/>
  <c r="I96" i="4" s="1"/>
  <c r="I104" i="4" s="1"/>
  <c r="C12" i="15"/>
  <c r="E14" i="15"/>
  <c r="E37" i="15"/>
  <c r="E42" i="15"/>
  <c r="E89" i="15"/>
  <c r="H11" i="18"/>
  <c r="K12" i="4"/>
  <c r="D12" i="4"/>
  <c r="AY916" i="3"/>
  <c r="E44" i="15"/>
  <c r="E80" i="15"/>
  <c r="E88" i="15"/>
  <c r="BN620" i="3"/>
  <c r="G98" i="25"/>
  <c r="D100" i="25" s="1"/>
  <c r="D102" i="25" s="1"/>
  <c r="D104" i="25" s="1"/>
  <c r="D110" i="25" s="1"/>
  <c r="G38" i="25" s="1"/>
  <c r="G53" i="25" s="1"/>
  <c r="H62" i="4"/>
  <c r="H96" i="4" s="1"/>
  <c r="H104" i="4" s="1"/>
  <c r="E72" i="15"/>
  <c r="AO651" i="6"/>
  <c r="R935" i="3"/>
  <c r="C12" i="4"/>
  <c r="B12" i="18" s="1"/>
  <c r="E41" i="15"/>
  <c r="E51" i="15"/>
  <c r="E65" i="15"/>
  <c r="E36" i="15"/>
  <c r="B8" i="4"/>
  <c r="B12" i="4" s="1"/>
  <c r="E95" i="15"/>
  <c r="C68" i="18"/>
  <c r="E32" i="15"/>
  <c r="E50" i="15"/>
  <c r="C41" i="18"/>
  <c r="B9" i="15"/>
  <c r="AM692" i="3"/>
  <c r="S95" i="4"/>
  <c r="E94" i="18" s="1"/>
  <c r="C43" i="15"/>
  <c r="E43" i="15" s="1"/>
  <c r="E5" i="15"/>
  <c r="E30" i="15"/>
  <c r="E33" i="15"/>
  <c r="E93" i="15"/>
  <c r="E100" i="15"/>
  <c r="F68" i="18"/>
  <c r="S69" i="4"/>
  <c r="E68" i="18" s="1"/>
  <c r="E70" i="15"/>
  <c r="E61" i="15"/>
  <c r="AM696" i="3"/>
  <c r="E84" i="18"/>
  <c r="F84" i="18" s="1"/>
  <c r="F94" i="18" s="1"/>
  <c r="R42" i="4"/>
  <c r="S40" i="4"/>
  <c r="E62" i="15"/>
  <c r="R69" i="4"/>
  <c r="E94" i="15"/>
  <c r="E69" i="15"/>
  <c r="E90" i="15"/>
  <c r="E85" i="15"/>
  <c r="AI22" i="26"/>
  <c r="E12" i="4"/>
  <c r="B68" i="18"/>
  <c r="B42" i="4"/>
  <c r="B41" i="18"/>
  <c r="E38" i="15"/>
  <c r="C9" i="15"/>
  <c r="C74" i="4"/>
  <c r="AP378" i="6"/>
  <c r="AQ378" i="6" s="1"/>
  <c r="T7" i="5"/>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B13" i="15" l="1"/>
  <c r="AS354" i="6"/>
  <c r="E12" i="15"/>
  <c r="BH690" i="3"/>
  <c r="BI690" i="3" s="1"/>
  <c r="AS352" i="6"/>
  <c r="BN638" i="3"/>
  <c r="AB933" i="3" s="1"/>
  <c r="AJ933" i="3" s="1"/>
  <c r="H95" i="18"/>
  <c r="T104" i="4"/>
  <c r="M53" i="9"/>
  <c r="K58" i="9"/>
  <c r="Y765" i="3"/>
  <c r="E4" i="9" s="1"/>
  <c r="G4" i="9" s="1"/>
  <c r="I4" i="9" s="1"/>
  <c r="I5" i="9" s="1"/>
  <c r="Y764" i="3"/>
  <c r="O605" i="6"/>
  <c r="AU569" i="6" s="1"/>
  <c r="CH638" i="3"/>
  <c r="E74" i="4"/>
  <c r="B73" i="18"/>
  <c r="C73" i="18" s="1"/>
  <c r="C75" i="18" s="1"/>
  <c r="B74" i="4"/>
  <c r="B75" i="15"/>
  <c r="C75" i="15"/>
  <c r="D75" i="15"/>
  <c r="C76" i="4"/>
  <c r="E39" i="18"/>
  <c r="F39" i="18" s="1"/>
  <c r="F41" i="18" s="1"/>
  <c r="S42" i="4"/>
  <c r="E41" i="18" s="1"/>
  <c r="CB614" i="3"/>
  <c r="BH676" i="3"/>
  <c r="BI676" i="3" s="1"/>
  <c r="BH692" i="3"/>
  <c r="BI692" i="3" s="1"/>
  <c r="BH685" i="3"/>
  <c r="BI685" i="3" s="1"/>
  <c r="O606" i="6"/>
  <c r="AU570" i="6" s="1"/>
  <c r="L30" i="28"/>
  <c r="V30" i="28" s="1"/>
  <c r="E9" i="15"/>
  <c r="C13" i="15"/>
  <c r="E13" i="15" s="1"/>
  <c r="CS620" i="3"/>
  <c r="BH696" i="3"/>
  <c r="BI696" i="3" s="1"/>
  <c r="BH709" i="3"/>
  <c r="BI709" i="3" s="1"/>
  <c r="BH712" i="3"/>
  <c r="BI712" i="3" s="1"/>
  <c r="L28" i="28"/>
  <c r="V28" i="28" s="1"/>
  <c r="BH707" i="3"/>
  <c r="BI707" i="3" s="1"/>
  <c r="BH681" i="3"/>
  <c r="BI681" i="3" s="1"/>
  <c r="BH680" i="3"/>
  <c r="BI680" i="3" s="1"/>
  <c r="BH726" i="3"/>
  <c r="BI726" i="3" s="1"/>
  <c r="BH699" i="3"/>
  <c r="BI699" i="3" s="1"/>
  <c r="BH730" i="3"/>
  <c r="BI730" i="3" s="1"/>
  <c r="BH678" i="3"/>
  <c r="BI678" i="3" s="1"/>
  <c r="BH695" i="3"/>
  <c r="BI695" i="3" s="1"/>
  <c r="CG614" i="3"/>
  <c r="BH683" i="3"/>
  <c r="BI683" i="3" s="1"/>
  <c r="BH684" i="3"/>
  <c r="BI684" i="3" s="1"/>
  <c r="BH710" i="3"/>
  <c r="BI710" i="3" s="1"/>
  <c r="BH691" i="3"/>
  <c r="BI691" i="3" s="1"/>
  <c r="BH688" i="3"/>
  <c r="BI688" i="3" s="1"/>
  <c r="BH682" i="3"/>
  <c r="BI682" i="3" s="1"/>
  <c r="BH715" i="3"/>
  <c r="BI715" i="3" s="1"/>
  <c r="BH697" i="3"/>
  <c r="BI697" i="3" s="1"/>
  <c r="BH693" i="3"/>
  <c r="BI693" i="3" s="1"/>
  <c r="CM638" i="3"/>
  <c r="BH687" i="3"/>
  <c r="BI687" i="3" s="1"/>
  <c r="BH700" i="3"/>
  <c r="BI700"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M58" i="9" l="1"/>
  <c r="O53" i="9"/>
  <c r="H103" i="18"/>
  <c r="T106" i="4"/>
  <c r="H105" i="18" s="1"/>
  <c r="BI701" i="3"/>
  <c r="AH717" i="3" s="1"/>
  <c r="E75" i="15"/>
  <c r="B76" i="4"/>
  <c r="B75" i="18"/>
  <c r="C77" i="15"/>
  <c r="D77" i="15"/>
  <c r="B77" i="15"/>
  <c r="E77" i="15" s="1"/>
  <c r="AB937" i="3"/>
  <c r="AJ937" i="3" s="1"/>
  <c r="AJ939" i="3" s="1"/>
  <c r="R74" i="4"/>
  <c r="R76" i="4" s="1"/>
  <c r="E76" i="4"/>
  <c r="BI732" i="3"/>
  <c r="AM717" i="3" s="1"/>
  <c r="BH701" i="3"/>
  <c r="BH732" i="3"/>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D11" i="26" l="1"/>
  <c r="AD23" i="26" s="1"/>
  <c r="AD26" i="26" s="1"/>
  <c r="AD28" i="26" s="1"/>
  <c r="AI11" i="5"/>
  <c r="AI23" i="5" s="1"/>
  <c r="AI26" i="5" s="1"/>
  <c r="AI28" i="5" s="1"/>
  <c r="AD11" i="5"/>
  <c r="AD23" i="5" s="1"/>
  <c r="AD26" i="5" s="1"/>
  <c r="AD28" i="5" s="1"/>
  <c r="AI11" i="27"/>
  <c r="AI23" i="27" s="1"/>
  <c r="AI26" i="27" s="1"/>
  <c r="AI28" i="27" s="1"/>
  <c r="AD63" i="27" s="1"/>
  <c r="AI11" i="26"/>
  <c r="AI23" i="26" s="1"/>
  <c r="AI26" i="26" s="1"/>
  <c r="AI28" i="26" s="1"/>
  <c r="AD63" i="26" s="1"/>
  <c r="AD11" i="27"/>
  <c r="AD23" i="27" s="1"/>
  <c r="AD26" i="27" s="1"/>
  <c r="AD28" i="27" s="1"/>
  <c r="Q53" i="9"/>
  <c r="O58" i="9"/>
  <c r="AB938" i="3"/>
  <c r="AJ941" i="3"/>
  <c r="AJ988" i="3" s="1"/>
  <c r="T24" i="5" s="1"/>
  <c r="AJ972" i="3"/>
  <c r="AO689" i="6"/>
  <c r="T698" i="6" s="1"/>
  <c r="AF698" i="6" s="1"/>
  <c r="P414" i="3"/>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Q58" i="9" l="1"/>
  <c r="S53" i="9"/>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S58" i="9" l="1"/>
  <c r="U53" i="9"/>
  <c r="CG534" i="6"/>
  <c r="CD572" i="6"/>
  <c r="BY574" i="6"/>
  <c r="BQ547" i="6"/>
  <c r="BU546" i="6"/>
  <c r="BU547" i="6" s="1"/>
  <c r="S16" i="9"/>
  <c r="Q22" i="9"/>
  <c r="Q35" i="9" s="1"/>
  <c r="AA15" i="9"/>
  <c r="G47" i="9"/>
  <c r="G60" i="9"/>
  <c r="G48" i="9"/>
  <c r="I49" i="9"/>
  <c r="I45" i="9"/>
  <c r="U4" i="9"/>
  <c r="S5" i="9"/>
  <c r="K7" i="9"/>
  <c r="K11" i="9" s="1"/>
  <c r="M6" i="9"/>
  <c r="U32" i="9"/>
  <c r="Q8" i="9"/>
  <c r="O9" i="9"/>
  <c r="U58" i="9" l="1"/>
  <c r="W53"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W58" i="9" l="1"/>
  <c r="Y53"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3" i="9" l="1"/>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N98" i="4"/>
  <c r="N103" i="4" s="1"/>
  <c r="N104" i="4"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O107" i="4" l="1"/>
  <c r="AM546" i="3"/>
  <c r="AM552" i="3"/>
  <c r="AM553" i="3"/>
  <c r="AM558" i="3"/>
  <c r="AO626" i="3"/>
  <c r="AO630" i="3"/>
  <c r="AO631" i="3"/>
  <c r="E107" i="4" s="1"/>
  <c r="B44" i="18"/>
  <c r="C44" i="18"/>
  <c r="E44" i="18"/>
  <c r="F44" i="18" s="1"/>
  <c r="C30" i="4"/>
  <c r="C31" i="15" s="1"/>
  <c r="O30" i="4"/>
  <c r="C45" i="4"/>
  <c r="C46" i="15" s="1"/>
  <c r="S45" i="4"/>
  <c r="C46" i="4"/>
  <c r="B45" i="18" s="1"/>
  <c r="C45" i="18" s="1"/>
  <c r="C52" i="18" s="1"/>
  <c r="E46" i="4"/>
  <c r="R46" i="4"/>
  <c r="S46" i="4" s="1"/>
  <c r="C78" i="4"/>
  <c r="C79" i="15" s="1"/>
  <c r="C82" i="4"/>
  <c r="C83" i="15" s="1"/>
  <c r="C98" i="4"/>
  <c r="C103" i="4" s="1"/>
  <c r="E98" i="4"/>
  <c r="E103" i="4" s="1"/>
  <c r="R98" i="4"/>
  <c r="R103" i="4" s="1"/>
  <c r="N107" i="4"/>
  <c r="AO632" i="3" l="1"/>
  <c r="B29" i="18"/>
  <c r="C29" i="18" s="1"/>
  <c r="C37" i="18" s="1"/>
  <c r="D99" i="15"/>
  <c r="B45" i="4"/>
  <c r="E78" i="4"/>
  <c r="E30" i="4"/>
  <c r="R30" i="4" s="1"/>
  <c r="D47" i="15"/>
  <c r="C104" i="15"/>
  <c r="B102" i="18"/>
  <c r="B103" i="4"/>
  <c r="D104" i="15"/>
  <c r="B104" i="15"/>
  <c r="E83" i="15"/>
  <c r="E45" i="18"/>
  <c r="F45" i="18" s="1"/>
  <c r="F52" i="18" s="1"/>
  <c r="S53" i="4"/>
  <c r="E52" i="18" s="1"/>
  <c r="C61" i="18"/>
  <c r="B97" i="18"/>
  <c r="C97" i="18" s="1"/>
  <c r="C102" i="18" s="1"/>
  <c r="O38" i="4"/>
  <c r="O62" i="4" s="1"/>
  <c r="O96" i="4" s="1"/>
  <c r="O104" i="4" s="1"/>
  <c r="B99" i="15"/>
  <c r="S98" i="4"/>
  <c r="E82" i="4"/>
  <c r="B83" i="15"/>
  <c r="B79" i="15"/>
  <c r="E79" i="15" s="1"/>
  <c r="B46" i="15"/>
  <c r="E46" i="15" s="1"/>
  <c r="B31" i="15"/>
  <c r="E31" i="15" s="1"/>
  <c r="B82" i="4"/>
  <c r="B77" i="18"/>
  <c r="C77" i="18" s="1"/>
  <c r="C79" i="18" s="1"/>
  <c r="C99" i="15"/>
  <c r="E99" i="15" s="1"/>
  <c r="C47" i="15"/>
  <c r="E47" i="15" s="1"/>
  <c r="C95" i="4"/>
  <c r="B30" i="4"/>
  <c r="AB47" i="5"/>
  <c r="C80" i="4"/>
  <c r="D83" i="15"/>
  <c r="D79" i="15"/>
  <c r="D46" i="15"/>
  <c r="D31" i="15"/>
  <c r="B81" i="18"/>
  <c r="C81" i="18" s="1"/>
  <c r="C94" i="18" s="1"/>
  <c r="B98" i="4"/>
  <c r="B78" i="4"/>
  <c r="B46" i="4"/>
  <c r="B47" i="15"/>
  <c r="C53" i="4"/>
  <c r="C38" i="4"/>
  <c r="E45" i="4"/>
  <c r="E80" i="4" l="1"/>
  <c r="R78" i="4"/>
  <c r="E38" i="4"/>
  <c r="E62" i="4" s="1"/>
  <c r="E96" i="4" s="1"/>
  <c r="E104" i="4" s="1"/>
  <c r="R45" i="4"/>
  <c r="R53" i="4" s="1"/>
  <c r="E53" i="4"/>
  <c r="E104" i="15"/>
  <c r="R38" i="4"/>
  <c r="S30" i="4"/>
  <c r="B37" i="18"/>
  <c r="B38" i="4"/>
  <c r="D39" i="15"/>
  <c r="C62" i="4"/>
  <c r="B39" i="15"/>
  <c r="C39" i="15"/>
  <c r="E39" i="15" s="1"/>
  <c r="R82" i="4"/>
  <c r="R95" i="4" s="1"/>
  <c r="E95" i="4"/>
  <c r="C54" i="15"/>
  <c r="B53" i="4"/>
  <c r="D54" i="15"/>
  <c r="B52" i="18"/>
  <c r="B54" i="15"/>
  <c r="E97" i="18"/>
  <c r="F97" i="18" s="1"/>
  <c r="F102" i="18" s="1"/>
  <c r="S103" i="4"/>
  <c r="E102" i="18" s="1"/>
  <c r="B95" i="4"/>
  <c r="B96" i="15"/>
  <c r="D96" i="15"/>
  <c r="B94" i="18"/>
  <c r="C96" i="15"/>
  <c r="E96" i="15" s="1"/>
  <c r="C95" i="18"/>
  <c r="C103" i="18" s="1"/>
  <c r="B79" i="18"/>
  <c r="B80" i="4"/>
  <c r="D81" i="15"/>
  <c r="C81" i="15"/>
  <c r="B81" i="15"/>
  <c r="E54" i="15" l="1"/>
  <c r="R80" i="4"/>
  <c r="S78" i="4"/>
  <c r="R62" i="4"/>
  <c r="R96" i="4" s="1"/>
  <c r="R104" i="4" s="1"/>
  <c r="E29" i="18"/>
  <c r="F29" i="18" s="1"/>
  <c r="F37" i="18" s="1"/>
  <c r="F61" i="18" s="1"/>
  <c r="S38" i="4"/>
  <c r="B61" i="18"/>
  <c r="C63" i="15"/>
  <c r="B63" i="15"/>
  <c r="D63" i="15"/>
  <c r="B62" i="4"/>
  <c r="C96" i="4"/>
  <c r="E81" i="15"/>
  <c r="S80" i="4" l="1"/>
  <c r="E79" i="18" s="1"/>
  <c r="E77" i="18"/>
  <c r="F77" i="18" s="1"/>
  <c r="F79" i="18" s="1"/>
  <c r="F95" i="18" s="1"/>
  <c r="F103" i="18" s="1"/>
  <c r="F105" i="18" s="1"/>
  <c r="C97" i="15"/>
  <c r="B95" i="18"/>
  <c r="D97" i="15"/>
  <c r="B96" i="4"/>
  <c r="C104" i="4"/>
  <c r="B97" i="15"/>
  <c r="E63" i="15"/>
  <c r="S62" i="4"/>
  <c r="E37" i="18"/>
  <c r="T11" i="27" l="1"/>
  <c r="T23" i="27" s="1"/>
  <c r="T11" i="5"/>
  <c r="T11" i="26"/>
  <c r="T23" i="26" s="1"/>
  <c r="BE16" i="28"/>
  <c r="T23" i="5"/>
  <c r="S96" i="4"/>
  <c r="E61" i="18"/>
  <c r="T26" i="26"/>
  <c r="T28" i="26" s="1"/>
  <c r="D105" i="15"/>
  <c r="B103" i="18"/>
  <c r="B105" i="15"/>
  <c r="B104" i="4"/>
  <c r="AC448" i="3"/>
  <c r="C105" i="15"/>
  <c r="E105" i="15" s="1"/>
  <c r="T26" i="27"/>
  <c r="T28" i="27" s="1"/>
  <c r="E97" i="15"/>
  <c r="AC447" i="3" l="1"/>
  <c r="J58" i="25"/>
  <c r="AB46" i="26"/>
  <c r="AB48" i="26" s="1"/>
  <c r="AB46" i="5"/>
  <c r="AB48" i="5" s="1"/>
  <c r="AB46" i="27"/>
  <c r="AB48" i="27" s="1"/>
  <c r="E95" i="18"/>
  <c r="S104" i="4"/>
  <c r="T26" i="5"/>
  <c r="T28" i="5" s="1"/>
  <c r="AB53" i="5" l="1"/>
  <c r="AB54" i="5" s="1"/>
  <c r="G71" i="25"/>
  <c r="G72" i="25" s="1"/>
  <c r="B75" i="25" s="1"/>
  <c r="B76" i="25"/>
  <c r="O76" i="25" s="1"/>
  <c r="AB53" i="27"/>
  <c r="AB54" i="27" s="1"/>
  <c r="AB53" i="26"/>
  <c r="AB54" i="26" s="1"/>
  <c r="S106" i="4"/>
  <c r="E103" i="18"/>
  <c r="AC449" i="3" l="1"/>
  <c r="E105" i="18"/>
  <c r="X992" i="3"/>
  <c r="X993" i="3" s="1"/>
  <c r="D994" i="3" s="1"/>
  <c r="Y11" i="26" l="1"/>
  <c r="Y23" i="26" s="1"/>
  <c r="Y11" i="27"/>
  <c r="Y23" i="27" s="1"/>
  <c r="Y11" i="5"/>
  <c r="Y23" i="5" s="1"/>
  <c r="Y26" i="5" l="1"/>
  <c r="Y28" i="5" s="1"/>
  <c r="Q71" i="25"/>
  <c r="O75" i="25" s="1"/>
  <c r="R75" i="25" s="1"/>
  <c r="Y38" i="5"/>
  <c r="Y40" i="5" s="1"/>
  <c r="AD38" i="5"/>
  <c r="AD40" i="5" s="1"/>
  <c r="Y26" i="27"/>
  <c r="Y28" i="27" s="1"/>
  <c r="Y38" i="27"/>
  <c r="Y40" i="27" s="1"/>
  <c r="AD38" i="27"/>
  <c r="AD40" i="27" s="1"/>
  <c r="Y26" i="26"/>
  <c r="Y28" i="26" s="1"/>
  <c r="Y38" i="26"/>
  <c r="Y40" i="26" s="1"/>
  <c r="AD38" i="26"/>
  <c r="AD40" i="26" s="1"/>
  <c r="Y63" i="26" l="1"/>
  <c r="Y67" i="26" s="1"/>
  <c r="T29" i="26"/>
  <c r="Y41" i="27"/>
  <c r="AB55" i="27" s="1"/>
  <c r="AB56" i="27" s="1"/>
  <c r="Y63" i="27"/>
  <c r="Y67" i="27" s="1"/>
  <c r="T29" i="27"/>
  <c r="AR42" i="5"/>
  <c r="Y41" i="5" s="1"/>
  <c r="AB55" i="5" s="1"/>
  <c r="AR43" i="5"/>
  <c r="Y41" i="26"/>
  <c r="AB55" i="26" s="1"/>
  <c r="AB56" i="26" s="1"/>
  <c r="Y63" i="5"/>
  <c r="Y67" i="5" s="1"/>
  <c r="T29" i="5"/>
  <c r="Q22" i="28" l="1"/>
  <c r="V33" i="28" s="1"/>
  <c r="V35" i="28" s="1"/>
  <c r="M25" i="3"/>
  <c r="AB56" i="5"/>
  <c r="BE15" i="28"/>
  <c r="AB58" i="27"/>
  <c r="AB58" i="26"/>
  <c r="F59" i="26" l="1"/>
  <c r="AB75" i="26"/>
  <c r="AB76" i="26" s="1"/>
  <c r="AB77" i="26" s="1"/>
  <c r="AB79" i="26" s="1"/>
  <c r="J80" i="26" s="1"/>
  <c r="AB75" i="27"/>
  <c r="AB76" i="27" s="1"/>
  <c r="AB77" i="27" s="1"/>
  <c r="AB79" i="27" s="1"/>
  <c r="J80" i="27" s="1"/>
  <c r="F59" i="27"/>
  <c r="P203" i="3"/>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<sst xmlns="http://schemas.openxmlformats.org/spreadsheetml/2006/main" count="4752" uniqueCount="2556">
  <si>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</si>
  <si>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</si>
  <si>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</si>
  <si>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</si>
  <si>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</si>
  <si>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</si>
  <si>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</si>
  <si>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</si>
  <si>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</si>
  <si>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</si>
  <si>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</si>
  <si>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</si>
  <si>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</si>
  <si>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</si>
  <si>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</si>
  <si>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</si>
  <si>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</si>
  <si>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</si>
  <si>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</si>
  <si>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</si>
  <si>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</si>
  <si>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</si>
  <si>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</si>
  <si>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</si>
  <si>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</si>
  <si>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</si>
  <si>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</si>
  <si>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</si>
  <si>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</si>
  <si>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</si>
  <si>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</si>
  <si>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</si>
  <si>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</si>
  <si>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</si>
  <si>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</si>
  <si>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</si>
  <si>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</si>
  <si>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</si>
  <si>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</si>
  <si>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</si>
  <si>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</si>
  <si>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</si>
  <si>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</si>
  <si>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</si>
  <si>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</si>
  <si>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</si>
  <si>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</si>
  <si>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</si>
  <si>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</si>
  <si>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</si>
  <si>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</si>
  <si>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</si>
  <si>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</si>
  <si>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</si>
  <si>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</si>
  <si>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</si>
  <si>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</si>
  <si>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</si>
  <si>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</si>
  <si>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</si>
  <si>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</si>
  <si>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</si>
  <si>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</si>
  <si>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</si>
  <si>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</si>
  <si>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</si>
  <si>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</si>
  <si>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</si>
  <si>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</si>
  <si>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</si>
  <si>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</si>
  <si>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</si>
  <si>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</si>
  <si>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</si>
  <si>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</si>
  <si>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</si>
  <si>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</si>
  <si>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</si>
  <si>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</si>
  <si>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</si>
  <si>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</si>
  <si>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</si>
  <si>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</si>
  <si>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</si>
  <si>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</si>
  <si>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</si>
  <si>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</si>
  <si>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</si>
  <si>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</si>
  <si>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</si>
  <si>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</si>
  <si>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</si>
  <si>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</si>
  <si>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</si>
  <si>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</si>
  <si>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</si>
  <si>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</si>
  <si>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</si>
  <si>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</si>
  <si>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</si>
  <si>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</si>
  <si>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</si>
  <si>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</si>
  <si>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</si>
  <si>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</si>
  <si>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</si>
  <si>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</si>
  <si>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</si>
  <si>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</si>
  <si>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</si>
  <si>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</si>
  <si>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</si>
  <si>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</si>
  <si>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</si>
  <si>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</si>
  <si>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</si>
  <si>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</si>
  <si>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</si>
  <si>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</si>
  <si>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</si>
  <si>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</si>
  <si>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</si>
  <si>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</si>
  <si>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</si>
  <si>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</si>
  <si>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</si>
  <si>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</si>
  <si>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</si>
  <si>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</si>
  <si>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</si>
  <si>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</si>
  <si>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</si>
  <si>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</si>
  <si>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</si>
  <si>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</si>
  <si>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</si>
  <si>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</si>
  <si>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</si>
  <si>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</si>
  <si>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</si>
  <si>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</si>
  <si>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</si>
  <si>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</si>
  <si>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</si>
  <si>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</si>
  <si>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</si>
  <si>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</si>
  <si>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</si>
  <si>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</si>
  <si>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</si>
  <si>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</si>
  <si>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</si>
  <si>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</si>
  <si>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</si>
  <si>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</si>
  <si>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</si>
  <si>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</si>
  <si>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</si>
  <si>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</si>
  <si>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</si>
  <si>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</si>
  <si>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</si>
  <si>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</si>
  <si>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</si>
  <si>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</si>
  <si>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</si>
  <si>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</si>
  <si>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</si>
  <si>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</si>
  <si>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</si>
  <si>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</si>
  <si>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</si>
  <si>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</si>
  <si>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</si>
  <si>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</si>
  <si>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</si>
  <si>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</si>
  <si>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</si>
  <si>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</si>
  <si>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</si>
  <si>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</si>
  <si>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</si>
  <si>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</si>
  <si>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</si>
  <si>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</si>
  <si>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</si>
  <si>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</si>
  <si>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</si>
  <si>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</si>
  <si>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</si>
  <si>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</si>
  <si>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</si>
  <si>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</si>
  <si>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</si>
  <si>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</si>
  <si>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</si>
  <si>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</si>
  <si>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</si>
  <si>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</si>
  <si>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</si>
  <si>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</si>
  <si>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</si>
  <si>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</si>
  <si>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</si>
  <si>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</si>
  <si>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</si>
  <si>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</si>
  <si>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</si>
  <si>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</si>
  <si>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</si>
  <si>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</si>
  <si>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</si>
  <si>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</si>
  <si>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</si>
  <si>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</si>
  <si>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</si>
  <si>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</si>
  <si>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</si>
  <si>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</si>
  <si>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</si>
  <si>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</si>
  <si>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</si>
  <si>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</si>
  <si>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</si>
  <si>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</si>
  <si>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</si>
  <si>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</si>
  <si>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</si>
  <si>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</si>
  <si>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</si>
  <si>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</si>
  <si>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</si>
  <si>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</si>
  <si>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</si>
  <si>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</si>
  <si>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</si>
  <si>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</si>
  <si>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</si>
  <si>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</si>
  <si>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</si>
  <si>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</si>
  <si>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</si>
  <si>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</si>
  <si>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</si>
  <si>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</si>
  <si>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</si>
  <si>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</si>
  <si>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</si>
  <si>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</si>
  <si>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</si>
  <si>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</si>
  <si>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</si>
  <si>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</si>
  <si>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</si>
  <si>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</si>
  <si>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</si>
  <si>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</si>
  <si>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</si>
  <si>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</si>
  <si>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</si>
  <si>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</si>
  <si>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</si>
  <si>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</si>
  <si>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</si>
  <si>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</si>
  <si>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</si>
  <si>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</si>
  <si>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</si>
  <si>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</si>
  <si>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</si>
  <si>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</si>
  <si>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</si>
  <si>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</si>
  <si>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</si>
  <si>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</si>
  <si>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</si>
  <si>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</si>
  <si>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</si>
  <si>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</si>
  <si>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</si>
  <si>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</si>
  <si>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</si>
  <si>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</si>
  <si>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</si>
  <si>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</si>
  <si>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</si>
  <si>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</si>
  <si>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</si>
  <si>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</si>
  <si>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</si>
  <si>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</si>
  <si>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</si>
  <si>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</si>
  <si>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</si>
  <si>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</si>
  <si>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</si>
  <si>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</si>
  <si>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</si>
  <si>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</si>
  <si>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</si>
  <si>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</si>
  <si>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</si>
  <si>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</si>
  <si>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</si>
  <si>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</si>
  <si>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</si>
  <si>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</si>
  <si>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</si>
  <si>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</si>
  <si>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</si>
  <si>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</si>
  <si>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</si>
  <si>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</si>
  <si>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</si>
  <si>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</si>
  <si>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</si>
  <si>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</si>
  <si>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</si>
  <si>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</si>
  <si>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</si>
  <si>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</si>
  <si>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</si>
  <si>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</si>
  <si>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</si>
  <si>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</si>
  <si>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</si>
  <si>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</si>
  <si>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</si>
  <si>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</si>
  <si>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</si>
  <si>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</si>
  <si>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</si>
  <si>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</si>
  <si>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</si>
  <si>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</si>
  <si>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</si>
  <si>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</si>
  <si>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</si>
  <si>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</si>
  <si>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</si>
  <si>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</si>
  <si>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</si>
  <si>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</si>
  <si>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</si>
  <si>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</si>
  <si>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</si>
  <si>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</si>
  <si>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</si>
  <si>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</si>
  <si>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</si>
  <si>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</si>
  <si>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</si>
  <si>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</si>
  <si>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</si>
  <si>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</si>
  <si>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</si>
  <si>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</si>
  <si>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</si>
  <si>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</si>
  <si>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</si>
  <si>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</si>
  <si>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</si>
  <si>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</si>
  <si>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</si>
  <si>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</si>
  <si>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</si>
  <si>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</si>
  <si>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</si>
  <si>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</si>
  <si>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</si>
  <si>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</si>
  <si>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</si>
  <si>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</si>
  <si>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</si>
  <si>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</si>
  <si>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</si>
  <si>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</si>
  <si>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</si>
  <si>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</si>
  <si>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</si>
  <si>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</si>
  <si>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</si>
  <si>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</si>
  <si>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</si>
  <si>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</si>
  <si>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</si>
  <si>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</si>
  <si>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</si>
  <si>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</si>
  <si>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</si>
  <si>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</si>
  <si>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</si>
  <si>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</si>
  <si>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</si>
  <si>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</si>
  <si>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</si>
  <si>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</si>
  <si>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</si>
  <si>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</si>
  <si>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</si>
  <si>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</si>
  <si>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</si>
  <si>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</si>
  <si>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</si>
  <si>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</si>
  <si>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</si>
  <si>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</si>
  <si>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</si>
  <si>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</si>
  <si>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</si>
  <si>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</si>
  <si>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</si>
  <si>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</si>
  <si>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</si>
  <si>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</si>
  <si>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</si>
  <si>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</si>
  <si>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</si>
  <si>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</si>
  <si>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</si>
  <si>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</si>
  <si>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</si>
  <si>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</si>
  <si>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</si>
  <si>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</si>
  <si>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</si>
  <si>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</si>
  <si>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</si>
  <si>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</si>
  <si>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</si>
  <si>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</si>
  <si>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</si>
  <si>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</si>
  <si>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</si>
  <si>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</si>
  <si>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</si>
  <si>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</si>
  <si>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</si>
  <si>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</si>
  <si>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</si>
  <si>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</si>
  <si>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</si>
  <si>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</si>
  <si>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</si>
  <si>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</si>
  <si>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</si>
  <si>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</si>
  <si>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</si>
  <si>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</si>
  <si>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</si>
  <si>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</si>
  <si>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</si>
  <si>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</si>
  <si>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</si>
  <si>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</si>
  <si>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</si>
  <si>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</si>
  <si>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</si>
  <si>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</si>
  <si>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</si>
  <si>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</si>
  <si>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</si>
  <si>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</si>
  <si>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</si>
  <si>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</si>
  <si>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</si>
  <si>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</si>
  <si>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</si>
  <si>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</si>
  <si>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</si>
  <si>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</si>
  <si>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</si>
  <si>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</si>
  <si>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</si>
  <si>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</si>
  <si>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</si>
  <si>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</si>
  <si>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</si>
  <si>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</si>
  <si>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</si>
  <si>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</si>
  <si>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</si>
  <si>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</si>
  <si>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</si>
  <si>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</si>
  <si>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</si>
  <si>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</si>
  <si>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</si>
  <si>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</si>
  <si>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</si>
  <si>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</si>
  <si>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</si>
  <si>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</si>
  <si>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</si>
  <si>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</si>
  <si>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</si>
  <si>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</si>
  <si>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</si>
  <si>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</si>
  <si>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</si>
  <si>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</si>
  <si>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</si>
  <si>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</si>
  <si>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</si>
  <si>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</si>
  <si>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</si>
  <si>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</si>
  <si>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</si>
  <si>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</si>
  <si>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</si>
  <si>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</si>
  <si>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</si>
  <si>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</si>
  <si>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</si>
  <si>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</si>
  <si>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</si>
  <si>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</si>
  <si>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</si>
  <si>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</si>
  <si>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</si>
  <si>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</si>
  <si>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</si>
  <si>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</si>
  <si>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</si>
  <si>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</si>
  <si>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</si>
  <si>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</si>
  <si>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</si>
  <si>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</si>
  <si>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</si>
  <si>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</si>
  <si>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</si>
  <si>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</si>
  <si>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</si>
  <si>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</si>
  <si>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</si>
  <si>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</si>
  <si>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</si>
  <si>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</si>
  <si>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</si>
  <si>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</si>
  <si>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</si>
  <si>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</si>
  <si>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</si>
  <si>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</si>
  <si>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</si>
  <si>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</si>
  <si>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</si>
  <si>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</si>
  <si>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</si>
  <si>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</si>
  <si>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</si>
  <si>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</si>
  <si>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</si>
  <si>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</si>
  <si>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</si>
  <si>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</si>
  <si>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</si>
  <si>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</si>
  <si>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</si>
  <si>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</si>
  <si>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</si>
  <si>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</si>
  <si>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</si>
  <si>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</si>
  <si>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</si>
  <si>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</si>
  <si>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</si>
  <si>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</si>
  <si>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</si>
  <si>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</si>
  <si>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</si>
  <si>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</si>
  <si>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</si>
  <si>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</si>
  <si>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</si>
  <si>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</si>
  <si>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</si>
  <si>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</si>
  <si>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</si>
  <si>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</si>
  <si>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</si>
  <si>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</si>
  <si>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</si>
  <si>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</si>
  <si>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</si>
  <si>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</si>
  <si>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</si>
  <si>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</si>
  <si>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</si>
  <si>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</si>
  <si>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</si>
  <si>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</si>
  <si>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</si>
  <si>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</si>
  <si>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</si>
  <si>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</si>
  <si>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</si>
  <si>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</si>
  <si>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</si>
  <si>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</si>
  <si>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</si>
  <si>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</si>
  <si>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</si>
  <si>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</si>
  <si>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</si>
  <si>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</si>
  <si>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</si>
  <si>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</si>
  <si>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</si>
  <si>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</si>
  <si>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</si>
  <si>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</si>
  <si>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</si>
  <si>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</si>
  <si>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</si>
  <si>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</si>
  <si>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</si>
  <si>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</si>
  <si>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</si>
  <si>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</si>
  <si>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</si>
  <si>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</si>
  <si>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</si>
  <si>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</si>
  <si>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</si>
  <si>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</si>
  <si>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</si>
  <si>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</si>
  <si>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</si>
  <si>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</si>
  <si>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</si>
  <si>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</si>
  <si>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</si>
  <si>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</si>
  <si>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</si>
  <si>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</si>
  <si>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</si>
  <si>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</si>
  <si>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</si>
  <si>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</si>
  <si>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</si>
  <si>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</si>
  <si>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</si>
  <si>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</si>
  <si>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</si>
  <si>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</si>
  <si>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</si>
  <si>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</si>
  <si>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</si>
  <si>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</si>
  <si>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</si>
  <si>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</si>
  <si>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</si>
  <si>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</si>
  <si>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</si>
  <si>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</si>
  <si>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</si>
  <si>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</si>
  <si>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</si>
  <si>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</si>
  <si>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</si>
  <si>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</si>
  <si>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</si>
  <si>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</si>
  <si>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</si>
  <si>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</si>
  <si>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</si>
  <si>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</si>
  <si>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</si>
  <si>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</si>
  <si>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</si>
  <si>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</si>
  <si>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</si>
  <si>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</si>
  <si>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</si>
  <si>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</si>
  <si>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</si>
  <si>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</si>
  <si>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</si>
  <si>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</si>
  <si>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</si>
  <si>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</si>
  <si>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</si>
  <si>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</si>
  <si>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</si>
  <si>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</si>
  <si>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</si>
  <si>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</si>
  <si>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</si>
  <si>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</si>
  <si>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</si>
  <si>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</si>
  <si>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</si>
  <si>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</si>
  <si>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</si>
  <si>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</si>
  <si>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</si>
  <si>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</si>
  <si>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</si>
  <si>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</si>
  <si>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</si>
  <si>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</si>
  <si>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</si>
  <si>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</si>
  <si>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</si>
  <si>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</si>
  <si>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</si>
  <si>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</si>
  <si>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</si>
  <si>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</si>
  <si>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</si>
  <si>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</si>
  <si>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</si>
  <si>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</si>
  <si>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</si>
  <si>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</si>
  <si>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</si>
  <si>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</si>
  <si>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</si>
  <si>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</si>
  <si>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</si>
  <si>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</si>
  <si>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</si>
  <si>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</si>
  <si>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</si>
  <si>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</si>
  <si>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</si>
  <si>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</si>
  <si>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</si>
  <si>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</si>
  <si>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</si>
  <si>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</si>
  <si>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</si>
  <si>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</si>
  <si>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</si>
  <si>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</si>
  <si>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</si>
  <si>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</si>
  <si>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</si>
  <si>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</si>
  <si>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</si>
  <si>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</si>
  <si>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</si>
  <si>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</si>
  <si>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</si>
  <si>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</si>
  <si>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</si>
  <si>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</si>
  <si>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</si>
  <si>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</si>
  <si>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</si>
  <si>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</si>
  <si>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</si>
  <si>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</si>
  <si>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</si>
  <si>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</si>
  <si>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</si>
  <si>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</si>
  <si>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</si>
  <si>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</si>
  <si>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</si>
  <si>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</si>
  <si>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</si>
  <si>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</si>
  <si>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</si>
  <si>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</si>
  <si>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</si>
  <si>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</si>
  <si>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</si>
  <si>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</si>
  <si>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</si>
  <si>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</si>
  <si>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</si>
  <si>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</si>
  <si>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</si>
  <si>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</si>
  <si>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</si>
  <si>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</si>
  <si>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</si>
  <si>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</si>
  <si>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</si>
  <si>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</si>
  <si>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</si>
  <si>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</si>
  <si>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</si>
  <si>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</si>
  <si>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</si>
  <si>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</si>
  <si>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</si>
  <si>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</si>
  <si>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</si>
  <si>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</si>
  <si>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</si>
  <si>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</si>
  <si>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</si>
  <si>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</si>
  <si>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</si>
  <si>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</si>
  <si>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</si>
  <si>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</si>
  <si>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</si>
  <si>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</si>
  <si>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</si>
  <si>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</si>
  <si>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</si>
  <si>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</si>
  <si>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</si>
  <si>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</si>
  <si>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</si>
  <si>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</si>
  <si>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</si>
  <si>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</si>
  <si>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</si>
  <si>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</si>
  <si>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</si>
  <si>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</si>
  <si>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</si>
  <si>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</si>
  <si>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</si>
  <si>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</si>
  <si>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</si>
  <si>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</si>
  <si>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</si>
  <si>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</si>
  <si>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</si>
  <si>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</si>
  <si>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</si>
  <si>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</si>
  <si>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</si>
  <si>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</si>
  <si>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</si>
  <si>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</si>
  <si>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</si>
  <si>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</si>
  <si>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</si>
  <si>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</si>
  <si>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</si>
  <si>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</si>
  <si>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</si>
  <si>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</si>
  <si>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</si>
  <si>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</si>
  <si>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</si>
  <si>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</si>
  <si>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</si>
  <si>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</si>
  <si>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</si>
  <si>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</si>
  <si>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</si>
  <si>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</si>
  <si>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</si>
  <si>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</si>
  <si>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</si>
  <si>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</si>
  <si>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</si>
  <si>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</si>
  <si>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</si>
  <si>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</si>
  <si>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</si>
  <si>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</si>
  <si>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</si>
  <si>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</si>
  <si>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</si>
  <si>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</si>
  <si>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</si>
  <si>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</si>
  <si>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</si>
  <si>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</si>
  <si>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</si>
  <si>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</si>
  <si>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</si>
  <si>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</si>
  <si>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</si>
  <si>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</si>
  <si>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</si>
  <si>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</si>
  <si>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</si>
  <si>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</si>
  <si>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</si>
  <si>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</si>
  <si>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</si>
  <si>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</si>
  <si>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</si>
  <si>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</si>
  <si>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</si>
  <si>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</si>
  <si>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</si>
  <si>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</si>
  <si>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</si>
  <si>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</si>
  <si>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</si>
  <si>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</si>
  <si>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</si>
  <si>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</si>
  <si>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</si>
  <si>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</si>
  <si>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</si>
  <si>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</si>
  <si>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</si>
  <si>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</si>
  <si>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</si>
  <si>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</si>
  <si>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</si>
  <si>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</si>
  <si>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</si>
  <si>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</si>
  <si>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</si>
  <si>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</si>
  <si>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</si>
  <si>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</si>
  <si>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</si>
  <si>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</si>
  <si>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</si>
  <si>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</si>
  <si>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</si>
  <si>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</si>
  <si>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</si>
  <si>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</si>
  <si>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</si>
  <si>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</si>
  <si>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</si>
  <si>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</si>
  <si>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</si>
  <si>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</si>
  <si>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</si>
  <si>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</si>
  <si>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</si>
  <si>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</si>
  <si>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</si>
  <si>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</si>
  <si>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</si>
  <si>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</si>
  <si>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</si>
  <si>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</si>
  <si>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</si>
  <si>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</si>
  <si>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</si>
  <si>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</si>
  <si>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</si>
  <si>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</si>
  <si>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</si>
  <si>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</si>
  <si>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</si>
  <si>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</si>
  <si>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</si>
  <si>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</si>
  <si>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</si>
  <si>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</si>
  <si>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</si>
  <si>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</si>
  <si>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</si>
  <si>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</si>
  <si>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</si>
  <si>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</si>
  <si>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</si>
  <si>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</si>
  <si>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</si>
  <si>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</si>
  <si>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</si>
  <si>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</si>
  <si>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</si>
  <si>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</si>
  <si>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</si>
  <si>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</si>
  <si>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</si>
  <si>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</si>
  <si>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</si>
  <si>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</si>
  <si>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</si>
  <si>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</si>
  <si>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</si>
  <si>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</si>
  <si>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</si>
  <si>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</si>
  <si>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</si>
  <si>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</si>
  <si>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</si>
  <si>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</si>
  <si>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</si>
  <si>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</si>
  <si>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</si>
  <si>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</si>
  <si>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</si>
  <si>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</si>
  <si>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</si>
  <si>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</si>
  <si>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</si>
  <si>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</si>
  <si>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</si>
  <si>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</si>
  <si>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</si>
  <si>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</si>
  <si>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</si>
  <si>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</si>
  <si>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</si>
  <si>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</si>
  <si>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</si>
  <si>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</si>
  <si>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</si>
  <si>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</si>
  <si>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</si>
  <si>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</si>
  <si>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</si>
  <si>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</si>
  <si>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</si>
  <si>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</si>
  <si>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</si>
  <si>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</si>
  <si>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</si>
  <si>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</si>
  <si>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</si>
  <si>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</si>
  <si>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</si>
  <si>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</si>
  <si>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</si>
  <si>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</si>
  <si>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</si>
  <si>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</si>
  <si>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</si>
  <si>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</si>
  <si>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</si>
  <si>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</si>
  <si>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</si>
  <si>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</si>
  <si>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</si>
  <si>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</si>
  <si>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</si>
  <si>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</si>
  <si>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</si>
  <si>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</si>
  <si>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</si>
  <si>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</si>
  <si>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</si>
  <si>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</si>
  <si>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</si>
  <si>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</si>
  <si>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</si>
  <si>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</si>
  <si>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</si>
  <si>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</si>
  <si>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</si>
  <si>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</si>
  <si>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</si>
  <si>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</si>
  <si>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</si>
  <si>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</si>
  <si>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</si>
  <si>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</si>
  <si>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</si>
  <si>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</si>
  <si>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</si>
  <si>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</si>
  <si>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</si>
  <si>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</si>
  <si>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</si>
  <si>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</si>
  <si>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</si>
  <si>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</si>
  <si>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</si>
  <si>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</si>
  <si>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</si>
  <si>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</si>
  <si>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</si>
  <si>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</si>
  <si>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</si>
  <si>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</si>
  <si>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</si>
  <si>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</si>
  <si>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</si>
  <si>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</si>
  <si>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</si>
  <si>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</si>
  <si>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</si>
  <si>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</si>
  <si>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</si>
  <si>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</si>
  <si>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</si>
  <si>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</si>
  <si>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</si>
  <si>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</si>
  <si>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</si>
  <si>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</si>
  <si>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</si>
  <si>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</si>
  <si>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</si>
  <si>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</si>
  <si>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</si>
  <si>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</si>
  <si>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</si>
  <si>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</si>
  <si>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</si>
  <si>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</si>
  <si>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</si>
  <si>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</si>
  <si>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</si>
  <si>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</si>
  <si>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</si>
  <si>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</si>
  <si>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</si>
  <si>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</si>
  <si>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</si>
  <si>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</si>
  <si>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</si>
  <si>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</si>
  <si>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</si>
  <si>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</si>
  <si>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</si>
  <si>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</si>
  <si>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</si>
  <si>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</si>
  <si>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</si>
  <si>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</si>
  <si>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</si>
  <si>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</si>
  <si>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</si>
  <si>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</si>
  <si>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</si>
  <si>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</si>
  <si>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</si>
  <si>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</si>
  <si>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</si>
  <si>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</si>
  <si>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</si>
  <si>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</si>
  <si>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</si>
  <si>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</si>
  <si>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</si>
  <si>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</si>
  <si>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</si>
  <si>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</si>
  <si>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</si>
  <si>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</si>
  <si>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</si>
  <si>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</si>
  <si>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</si>
  <si>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</si>
  <si>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</si>
  <si>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</si>
  <si>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</si>
  <si>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</si>
  <si>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</si>
  <si>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</si>
  <si>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</si>
  <si>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</si>
  <si>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</si>
  <si>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</si>
  <si>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</si>
  <si>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</si>
  <si>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</si>
  <si>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</si>
  <si>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</si>
  <si>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</si>
  <si>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</si>
  <si>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</si>
  <si>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</si>
  <si>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</si>
  <si>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</si>
  <si>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</si>
  <si>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</si>
  <si>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</si>
  <si>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</si>
  <si>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</si>
  <si>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</si>
  <si>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</si>
  <si>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</si>
  <si>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</si>
  <si>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</si>
  <si>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</si>
  <si>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</si>
  <si>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</si>
  <si>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</si>
  <si>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</si>
  <si>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</si>
  <si>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</si>
  <si>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</si>
  <si>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</si>
  <si>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</si>
  <si>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</si>
  <si>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</si>
  <si>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</si>
  <si>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</si>
  <si>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</si>
  <si>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</si>
  <si>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</si>
  <si>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</si>
  <si>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</si>
  <si>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</si>
  <si>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</si>
  <si>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</si>
  <si>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</si>
  <si>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</si>
  <si>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</si>
  <si>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</si>
  <si>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</si>
  <si>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</si>
  <si>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</si>
  <si>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</si>
  <si>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</si>
  <si>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</si>
  <si>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</si>
  <si>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</si>
  <si>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</si>
  <si>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</si>
  <si>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</si>
  <si>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</si>
  <si>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</si>
  <si>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</si>
  <si>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</si>
  <si>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</si>
  <si>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</si>
  <si>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</si>
  <si>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</si>
  <si>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</si>
  <si>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</si>
  <si>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</si>
  <si>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</si>
  <si>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</si>
  <si>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</si>
  <si>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</si>
  <si>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</si>
  <si>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</si>
  <si>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</si>
  <si>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</si>
  <si>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</si>
  <si>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</si>
  <si>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</si>
  <si>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</si>
  <si>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</si>
  <si>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</si>
  <si>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</si>
  <si>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</si>
  <si>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</si>
  <si>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</si>
  <si>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</si>
  <si>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</si>
  <si>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</si>
  <si>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</si>
  <si>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</si>
  <si>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</si>
  <si>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</si>
  <si>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</si>
  <si>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</si>
  <si>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</si>
  <si>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</si>
  <si>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</si>
  <si>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</si>
  <si>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</si>
  <si>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</si>
  <si>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</si>
  <si>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</si>
  <si>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</si>
  <si>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</si>
  <si>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</si>
  <si>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</si>
  <si>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</si>
  <si>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</si>
  <si>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</si>
  <si>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</si>
  <si>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</si>
  <si>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</si>
  <si>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</si>
  <si>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</si>
  <si>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</si>
  <si>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</si>
  <si>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</si>
  <si>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</si>
  <si>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</si>
  <si>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</si>
  <si>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</si>
  <si>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</si>
  <si>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</si>
  <si>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</si>
  <si>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</si>
  <si>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</si>
  <si>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</si>
  <si>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</si>
  <si>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</si>
  <si>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</si>
  <si>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</si>
  <si>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</si>
  <si>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</si>
  <si>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</si>
  <si>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</si>
  <si>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</si>
  <si>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</si>
  <si>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</si>
  <si>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</si>
  <si>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</si>
  <si>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</si>
  <si>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</si>
  <si>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</si>
  <si>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</si>
  <si>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</si>
  <si>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</si>
  <si>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</si>
  <si>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</si>
  <si>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</si>
  <si>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</si>
  <si>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</si>
  <si>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</si>
  <si>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</si>
  <si>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</si>
  <si>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</si>
  <si>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</si>
  <si>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</si>
  <si>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</si>
  <si>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</si>
  <si>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</si>
  <si>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</si>
  <si>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</si>
  <si>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</si>
  <si>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</si>
  <si>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</si>
  <si>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</si>
  <si>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</si>
  <si>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</si>
  <si>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</si>
  <si>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</si>
  <si>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</si>
  <si>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</si>
  <si>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</si>
  <si>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</si>
  <si>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</si>
  <si>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</si>
  <si>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</si>
  <si>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</si>
  <si>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</si>
  <si>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</si>
  <si>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</si>
  <si>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</si>
  <si>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</si>
  <si>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</si>
  <si>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</si>
  <si>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</si>
  <si>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</si>
  <si>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</si>
  <si>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</si>
  <si>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</si>
  <si>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</si>
  <si>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</si>
  <si>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</si>
  <si>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</si>
  <si>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</si>
  <si>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</si>
  <si>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</si>
  <si>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</si>
  <si>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</si>
  <si>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</si>
  <si>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</si>
  <si>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</si>
  <si>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</si>
  <si>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</si>
  <si>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</si>
  <si>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</si>
  <si>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</si>
  <si>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</si>
  <si>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</si>
  <si>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</si>
  <si>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</si>
  <si>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</si>
  <si>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</si>
  <si>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</si>
  <si>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</si>
  <si>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</si>
  <si>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</si>
  <si>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</si>
  <si>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</si>
  <si>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</si>
  <si>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</si>
  <si>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</si>
  <si>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</si>
  <si>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</si>
  <si>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</si>
  <si>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</si>
  <si>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</si>
  <si>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</si>
  <si>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</si>
  <si>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</si>
  <si>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</si>
  <si>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</si>
  <si>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</si>
  <si>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</si>
  <si>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</si>
  <si>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</si>
  <si>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</si>
  <si>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</si>
  <si>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</si>
  <si>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</si>
  <si>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</si>
  <si>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</si>
  <si>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</si>
  <si>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</si>
  <si>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</si>
  <si>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</si>
  <si>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</si>
  <si>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</si>
  <si>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</si>
  <si>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</si>
  <si>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</si>
  <si>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</si>
  <si>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</si>
  <si>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</si>
  <si>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</si>
  <si>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</si>
  <si>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</si>
  <si>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</si>
  <si>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</si>
  <si>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</si>
  <si>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</si>
  <si>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</si>
  <si>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</si>
  <si>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</si>
  <si>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</si>
  <si>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</si>
  <si>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</si>
  <si>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</si>
  <si>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</si>
  <si>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</si>
  <si>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</si>
  <si>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</si>
  <si>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</si>
  <si>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</si>
  <si>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</si>
  <si>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</si>
  <si>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</si>
  <si>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</si>
  <si>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</si>
  <si>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</si>
  <si>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</si>
  <si>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</si>
  <si>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</si>
  <si>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</si>
  <si>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</si>
  <si>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</si>
  <si>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</si>
  <si>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</si>
  <si>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</si>
  <si>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</si>
  <si>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</si>
  <si>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</si>
  <si>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</si>
  <si>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</si>
  <si>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</si>
  <si>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</si>
  <si>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</si>
  <si>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</si>
  <si>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</si>
  <si>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</si>
  <si>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</si>
  <si>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</si>
  <si>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</si>
  <si>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</si>
  <si>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</si>
  <si>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</si>
  <si>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</si>
  <si>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</si>
  <si>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</si>
  <si>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</si>
  <si>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</si>
  <si>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</si>
  <si>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</si>
  <si>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</si>
  <si>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</si>
  <si>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</si>
  <si>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</si>
  <si>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</si>
  <si>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</si>
  <si>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</si>
  <si>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</si>
  <si>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</si>
  <si>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</si>
  <si>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</si>
  <si>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</si>
  <si>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</si>
  <si>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</si>
  <si>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</si>
  <si>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</si>
  <si>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</si>
  <si>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</si>
  <si>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</si>
  <si>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</si>
  <si>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</si>
  <si>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</si>
  <si>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</si>
  <si>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</si>
  <si>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</si>
  <si>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</si>
  <si>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</si>
  <si>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</si>
  <si>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</si>
  <si>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</si>
  <si>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</si>
  <si>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</si>
  <si>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</si>
  <si>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</si>
  <si>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</si>
  <si>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</si>
  <si>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</si>
  <si>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</si>
  <si>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</si>
  <si>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</si>
  <si>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</si>
  <si>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</si>
  <si>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</si>
  <si>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</si>
  <si>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</si>
  <si>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</si>
  <si>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</si>
  <si>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</si>
  <si>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</si>
  <si>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</si>
  <si>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</si>
  <si>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</si>
  <si>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</si>
  <si>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</si>
  <si>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</si>
  <si>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</si>
  <si>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</si>
  <si>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</si>
  <si>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</si>
  <si>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</si>
  <si>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</si>
  <si>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</si>
  <si>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</si>
  <si>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</si>
  <si>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</si>
  <si>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</si>
  <si>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</si>
  <si>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</si>
  <si>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</si>
  <si>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</si>
  <si>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</si>
  <si>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</si>
  <si>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</si>
  <si>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</si>
  <si>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</si>
  <si>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</si>
  <si>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</si>
  <si>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</si>
  <si>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</si>
  <si>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</si>
  <si>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</si>
  <si>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</si>
  <si>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</si>
  <si>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</si>
  <si>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</si>
  <si>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</si>
  <si>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</si>
  <si>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</si>
  <si>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</si>
  <si>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</si>
  <si>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</si>
  <si>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</si>
  <si>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</si>
  <si>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</si>
  <si>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</si>
  <si>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</si>
  <si>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</si>
  <si>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</si>
  <si>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</si>
  <si>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</si>
  <si>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</si>
  <si>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</si>
  <si>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</si>
  <si>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</si>
  <si>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</si>
  <si>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</si>
  <si>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</si>
  <si>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</si>
  <si>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</si>
  <si>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</si>
  <si>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</si>
  <si>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</si>
  <si>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</si>
  <si>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</si>
  <si>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</si>
  <si>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</si>
  <si>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</si>
  <si>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</si>
  <si>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</si>
  <si>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</si>
  <si>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</si>
  <si>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</si>
  <si>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</si>
  <si>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</si>
  <si>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</si>
  <si>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</si>
  <si>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</si>
  <si>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</si>
  <si>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</si>
  <si>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</si>
  <si>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</si>
  <si>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</si>
  <si>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</si>
  <si>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</si>
  <si>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</si>
  <si>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</si>
  <si>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</si>
  <si>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</si>
  <si>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</si>
  <si>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</si>
  <si>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</si>
  <si>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</si>
  <si>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</si>
  <si>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</si>
  <si>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</si>
  <si>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</si>
  <si>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</si>
  <si>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</si>
  <si>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</si>
  <si>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</si>
  <si>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</si>
  <si>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</si>
  <si>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</si>
  <si>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</si>
  <si>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</si>
  <si>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</si>
  <si>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</si>
  <si>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</si>
  <si>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</si>
  <si>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</si>
  <si>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</si>
  <si>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</si>
  <si>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</si>
  <si>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</si>
  <si>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</si>
  <si>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</si>
  <si>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</si>
  <si>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</si>
  <si>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</si>
  <si>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</si>
  <si>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</si>
  <si>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</si>
  <si>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</si>
  <si>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</si>
  <si>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</si>
  <si>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</si>
  <si>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</si>
  <si>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</si>
  <si>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</si>
  <si>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</si>
  <si>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</si>
  <si>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</si>
  <si>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</si>
  <si>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</si>
  <si>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</si>
  <si>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</si>
  <si>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</si>
  <si>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</si>
  <si>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</si>
  <si>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</si>
  <si>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</si>
  <si>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</si>
  <si>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</si>
  <si>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</si>
  <si>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</si>
  <si>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</si>
  <si>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</si>
  <si>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</si>
  <si>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</si>
  <si>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</si>
  <si>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</si>
  <si>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</si>
  <si>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</si>
  <si>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</si>
  <si>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</si>
  <si>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</si>
  <si>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</si>
  <si>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</si>
  <si>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</si>
  <si>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</si>
  <si>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</si>
  <si>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</si>
  <si>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</si>
  <si>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</si>
  <si>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</si>
  <si>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</si>
  <si>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</si>
  <si>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</si>
  <si>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</si>
  <si>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</si>
  <si>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</si>
  <si>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</si>
  <si>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</si>
  <si>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</si>
  <si>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</si>
  <si>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</si>
  <si>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</si>
  <si>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</si>
  <si>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</si>
  <si>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</si>
  <si>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</si>
  <si>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</si>
  <si>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</si>
  <si>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</si>
  <si>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</si>
  <si>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</si>
  <si>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</si>
  <si>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</si>
  <si>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</si>
  <si>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</si>
  <si>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</si>
  <si>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</si>
  <si>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</si>
  <si>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</si>
  <si>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</si>
  <si>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</si>
  <si>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</si>
  <si>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</si>
  <si>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</si>
  <si>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</si>
  <si>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</si>
  <si>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</si>
  <si>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</si>
  <si>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</si>
  <si>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</si>
  <si>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</si>
  <si>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</si>
  <si>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</si>
  <si>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</si>
  <si>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</si>
  <si>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</si>
  <si>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</si>
  <si>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</si>
  <si>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</si>
  <si>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</si>
  <si>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</si>
  <si>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</si>
  <si>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</si>
  <si>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</si>
  <si>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</si>
  <si>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</si>
  <si>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</si>
  <si>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</si>
  <si>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</si>
  <si>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</si>
  <si>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</si>
  <si>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</si>
  <si>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</si>
  <si>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</si>
  <si>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</si>
  <si>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</si>
  <si>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</si>
  <si>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</si>
  <si>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</si>
  <si>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</si>
  <si>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</si>
  <si>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</si>
  <si>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</si>
  <si>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</si>
  <si>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</si>
  <si>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</si>
  <si>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</si>
  <si>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</si>
  <si>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</si>
  <si>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</si>
  <si>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</si>
  <si>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</si>
  <si>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</si>
  <si>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</si>
  <si>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</si>
  <si>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</si>
  <si>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</si>
  <si>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</si>
  <si>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</si>
  <si>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</si>
  <si>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</si>
  <si>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</si>
  <si>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</si>
  <si>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</si>
  <si>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</si>
  <si>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</si>
  <si>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</si>
  <si>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</si>
  <si>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</si>
  <si>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</si>
  <si>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</si>
  <si>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</si>
  <si>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</si>
  <si>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</si>
  <si>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</si>
  <si>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</si>
  <si>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</si>
  <si>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</si>
  <si>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</si>
  <si>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</si>
  <si>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</si>
  <si>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</si>
  <si>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</si>
  <si>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</si>
  <si>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</si>
  <si>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</si>
  <si>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</si>
  <si>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</si>
  <si>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</si>
  <si>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</si>
  <si>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</si>
  <si>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</si>
  <si>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</si>
  <si>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</si>
  <si>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</si>
  <si>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</si>
  <si>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</si>
  <si>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</si>
  <si>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</si>
  <si>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</si>
  <si>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</si>
  <si>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</si>
  <si>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</si>
  <si>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</si>
  <si>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</si>
  <si>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</si>
  <si>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</si>
  <si>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</si>
  <si>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</si>
  <si>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</si>
  <si>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</si>
  <si>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</si>
  <si>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</si>
  <si>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</si>
  <si>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</si>
  <si>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</si>
  <si>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</si>
  <si>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</si>
  <si>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</si>
  <si>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</si>
  <si>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</si>
  <si>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</si>
  <si>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</si>
  <si>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</si>
  <si>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</si>
  <si>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</si>
  <si>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</si>
  <si>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</si>
  <si>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</si>
  <si>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</si>
  <si>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</si>
  <si>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</si>
  <si>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</si>
  <si>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</si>
  <si>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</si>
  <si>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</si>
  <si>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</si>
  <si>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</si>
  <si>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</si>
  <si>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</si>
  <si>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</si>
  <si>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</si>
  <si>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</si>
  <si>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</si>
  <si>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</si>
  <si>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</si>
  <si>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</si>
  <si>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</si>
  <si>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</si>
  <si>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</si>
  <si>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</si>
  <si>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</si>
  <si>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</si>
  <si>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</si>
  <si>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</si>
  <si>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</si>
  <si>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</si>
  <si>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</si>
  <si>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</si>
  <si>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</si>
  <si>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</si>
  <si>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</si>
  <si>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</si>
  <si>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</si>
  <si>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</si>
  <si>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</si>
  <si>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</si>
  <si>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</si>
  <si>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</si>
  <si>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</si>
  <si>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</si>
  <si>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</si>
  <si>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</si>
  <si>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</si>
  <si>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</si>
  <si>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</si>
  <si>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</si>
  <si>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</si>
  <si>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</si>
  <si>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</si>
  <si>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</si>
  <si>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</si>
  <si>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</si>
  <si>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</si>
  <si>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</si>
  <si>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</si>
  <si>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</si>
  <si>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</si>
  <si>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</si>
  <si>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</si>
  <si>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</si>
  <si>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</si>
  <si>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</si>
  <si>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</si>
  <si>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</si>
  <si>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</si>
  <si>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</si>
  <si>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</si>
  <si>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</si>
  <si>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</si>
  <si>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</si>
  <si>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</si>
  <si>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</si>
  <si>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</si>
  <si>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</si>
  <si>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</si>
  <si>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</si>
  <si>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</si>
  <si>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</si>
  <si>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</si>
  <si>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</si>
  <si>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</si>
  <si>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</si>
  <si>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</si>
  <si>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</si>
  <si>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</si>
  <si>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</si>
  <si>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</si>
  <si>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</si>
  <si>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</si>
  <si>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</si>
  <si>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</si>
  <si>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</si>
  <si>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</si>
  <si>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</si>
  <si>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</si>
  <si>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</si>
  <si>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</si>
  <si>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</si>
  <si>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</si>
  <si>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</si>
  <si>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</si>
  <si>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</si>
  <si>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</si>
  <si>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</si>
  <si>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</si>
  <si>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</si>
  <si>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</si>
  <si>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</si>
  <si>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</si>
  <si>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</si>
  <si>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</si>
  <si>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</si>
  <si>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</si>
  <si>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</si>
  <si>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</si>
  <si>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</si>
  <si>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</si>
  <si>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</si>
  <si>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</si>
  <si>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</si>
  <si>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</si>
  <si>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</si>
  <si>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</si>
  <si>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</si>
  <si>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</si>
  <si>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</si>
  <si>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</si>
  <si>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</si>
  <si>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</si>
  <si>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</si>
  <si>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</si>
  <si>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</si>
  <si>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</si>
  <si>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</si>
  <si>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</si>
  <si>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</si>
  <si>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</si>
  <si>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</si>
  <si>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</si>
  <si>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</si>
  <si>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</si>
  <si>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</si>
  <si>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</si>
  <si>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</si>
  <si>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</si>
  <si>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</si>
  <si>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</si>
  <si>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</si>
  <si>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</si>
  <si>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</si>
  <si>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</si>
  <si>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</si>
  <si>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</si>
  <si>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</si>
  <si>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</si>
  <si>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</si>
  <si>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</si>
  <si>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</si>
  <si>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</si>
  <si>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</si>
  <si>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</si>
  <si>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</si>
  <si>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</si>
  <si>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</si>
  <si>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</si>
  <si>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</si>
  <si>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</si>
  <si>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</si>
  <si>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</si>
  <si>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</si>
  <si>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</si>
  <si>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</si>
  <si>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</si>
  <si>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</si>
  <si>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</si>
  <si>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</si>
  <si>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</si>
  <si>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</si>
  <si>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</si>
  <si>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</si>
  <si>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</si>
  <si>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</si>
  <si>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</si>
  <si>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</si>
  <si>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</si>
  <si>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</si>
  <si>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</si>
  <si>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</si>
  <si>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</si>
  <si>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</si>
  <si>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</si>
  <si>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</si>
  <si>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</si>
  <si>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</si>
  <si>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</si>
  <si>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</si>
  <si>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</si>
  <si>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</si>
  <si>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</si>
  <si>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</si>
  <si>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</si>
  <si>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</si>
  <si>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</si>
  <si>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</si>
  <si>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</si>
  <si>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</si>
  <si>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</si>
  <si>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</si>
  <si>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</si>
  <si>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</si>
  <si>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</si>
  <si>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</si>
  <si>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</si>
  <si>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</si>
  <si>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</si>
  <si>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</si>
  <si>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</si>
  <si>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</si>
  <si>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</si>
  <si>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</si>
  <si>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</si>
  <si>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</si>
  <si>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</si>
  <si>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</si>
  <si>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</si>
  <si>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</si>
  <si>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</si>
  <si>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</si>
  <si>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</si>
  <si>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</si>
  <si>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</si>
  <si>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</si>
  <si>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</si>
  <si>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</si>
  <si>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</si>
  <si>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</si>
  <si>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</si>
  <si>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</si>
  <si>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</si>
  <si>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</si>
  <si>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</si>
  <si>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</si>
  <si>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</si>
  <si>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</si>
  <si>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</si>
  <si>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</si>
  <si>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</si>
  <si>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</si>
  <si>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</si>
  <si>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</si>
  <si>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</si>
  <si>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</si>
  <si>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</si>
  <si>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</si>
  <si>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</si>
  <si>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</si>
  <si>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</si>
  <si>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</si>
  <si>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</si>
  <si>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</si>
  <si>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</si>
  <si>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</si>
  <si>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</si>
  <si>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</si>
  <si>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</si>
  <si>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</si>
  <si>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</si>
  <si>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</si>
  <si>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</si>
  <si>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</si>
  <si>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</si>
  <si>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</si>
  <si>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</si>
  <si>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</si>
  <si>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</si>
  <si>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</si>
  <si>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</si>
  <si>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</si>
  <si>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</si>
  <si>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</si>
  <si>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</si>
  <si>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</si>
  <si>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</si>
  <si>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</si>
  <si>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</si>
  <si>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</si>
  <si>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</si>
  <si>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</si>
  <si>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</si>
  <si>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</si>
  <si>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</si>
  <si>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</si>
  <si>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</si>
  <si>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</si>
  <si>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</si>
  <si>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</si>
  <si>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</si>
  <si>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</si>
  <si>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</si>
  <si>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</si>
  <si>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</si>
  <si>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</si>
  <si>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</si>
  <si>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</si>
  <si>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</si>
  <si>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</si>
  <si>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</si>
  <si>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</si>
  <si>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</si>
  <si>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</si>
  <si>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</si>
  <si>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</si>
  <si>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</si>
  <si>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</si>
  <si>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</si>
  <si>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</si>
  <si>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</si>
  <si>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</si>
  <si>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</si>
  <si>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</si>
  <si>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</si>
  <si>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</si>
  <si>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</si>
  <si>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</si>
  <si>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</si>
  <si>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</si>
  <si>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</si>
  <si>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</si>
  <si>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</si>
  <si>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</si>
  <si>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</si>
  <si>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</si>
  <si>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</si>
  <si>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</si>
  <si>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</si>
  <si>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</si>
  <si>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</si>
  <si>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</si>
  <si>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</si>
  <si>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</si>
  <si>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</si>
  <si>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</si>
  <si>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</si>
  <si>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</si>
  <si>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</si>
  <si>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</si>
  <si>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</si>
  <si>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</si>
  <si>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</si>
  <si>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</si>
  <si>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</si>
  <si>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</si>
  <si>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</si>
  <si>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</si>
  <si>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</si>
  <si>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</si>
  <si>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</si>
  <si>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</si>
  <si>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</si>
  <si>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</si>
  <si>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</si>
  <si>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</si>
  <si>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</si>
  <si>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</si>
  <si>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</si>
  <si>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</si>
  <si>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</si>
  <si>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</si>
  <si>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</si>
  <si>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</si>
  <si>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</si>
  <si>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</si>
  <si>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</si>
  <si>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</si>
  <si>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</si>
  <si>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</si>
  <si>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</si>
  <si>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</si>
  <si>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</si>
  <si>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</si>
  <si>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</si>
  <si>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</si>
  <si>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</si>
  <si>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</si>
  <si>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</si>
  <si>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</si>
  <si>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</si>
  <si>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</si>
  <si>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</si>
  <si>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</si>
  <si>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</si>
  <si>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</si>
  <si>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</si>
  <si>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</si>
  <si>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</si>
  <si>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</si>
  <si>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</si>
  <si>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</si>
  <si>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</si>
  <si>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</si>
  <si>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</si>
  <si>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</si>
  <si>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</si>
  <si>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</si>
  <si>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</si>
  <si>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</si>
  <si>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</si>
  <si>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</si>
  <si>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</si>
  <si>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</si>
  <si>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</si>
  <si>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</si>
  <si>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</si>
  <si>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</si>
  <si>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</si>
  <si>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</si>
  <si>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</si>
  <si>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</si>
  <si>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</si>
  <si>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</si>
  <si>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</si>
  <si>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</si>
  <si>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</si>
  <si>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</si>
  <si>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</si>
  <si>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</si>
  <si>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</si>
  <si>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</si>
  <si>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</si>
  <si>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</si>
  <si>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</si>
  <si>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</si>
  <si>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</si>
  <si>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</si>
  <si>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</si>
  <si>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</si>
  <si>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</si>
  <si>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</si>
  <si>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</si>
  <si>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</si>
  <si>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</si>
  <si>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</si>
  <si>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</si>
  <si>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</si>
  <si>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</si>
  <si>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</si>
  <si>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</si>
  <si>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</si>
  <si>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</si>
  <si>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</si>
  <si>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</si>
  <si>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</si>
  <si>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</si>
  <si>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</si>
  <si>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</si>
  <si>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</si>
  <si>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</si>
  <si>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</si>
  <si>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</si>
  <si>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</si>
  <si>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</si>
  <si>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</si>
  <si>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</si>
  <si>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</si>
  <si>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</si>
  <si>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</si>
  <si>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</si>
  <si>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</si>
  <si>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</si>
  <si>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</si>
  <si>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</si>
  <si>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</si>
  <si>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</si>
  <si>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</si>
  <si>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</si>
  <si>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</si>
  <si>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</si>
  <si>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</si>
  <si>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</si>
  <si>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</si>
  <si>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</si>
  <si>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</si>
  <si>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</si>
  <si>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</si>
  <si>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</si>
  <si>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</si>
  <si>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</si>
  <si>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</si>
  <si>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</si>
  <si>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</si>
  <si>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</si>
  <si>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</si>
  <si>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</si>
  <si>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</si>
  <si>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</si>
  <si>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</si>
  <si>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</si>
  <si>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</si>
  <si>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</si>
  <si>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</si>
  <si>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</si>
  <si>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</si>
  <si>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</si>
  <si>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</si>
  <si>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</si>
  <si>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</si>
  <si>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</si>
  <si>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</si>
  <si>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</si>
  <si>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</si>
  <si>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</si>
  <si>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</si>
  <si>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</si>
  <si>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</si>
  <si>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</si>
  <si>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</si>
  <si>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</si>
  <si>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</si>
  <si>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</si>
  <si>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</si>
  <si>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Service First of Northern California</t>
  </si>
  <si>
    <t>The Hunter House</t>
  </si>
  <si>
    <t>24th</t>
  </si>
  <si>
    <t>April</t>
  </si>
  <si>
    <t>Stockton</t>
  </si>
  <si>
    <t xml:space="preserve">Vernell Hill </t>
  </si>
  <si>
    <t>Executive Director</t>
  </si>
  <si>
    <t>City of Stockton</t>
  </si>
  <si>
    <t>Harry Black</t>
  </si>
  <si>
    <t>425 N. El Dorado Street, 2nd Floor</t>
  </si>
  <si>
    <t>209-937-8212</t>
  </si>
  <si>
    <t>209-937-7149</t>
  </si>
  <si>
    <t>harry.black@stocktonca.gov</t>
  </si>
  <si>
    <t>610 N. Hunter Street &amp; 619 N. San Joaquin Street</t>
  </si>
  <si>
    <t>139-060-150; 139-060-330</t>
  </si>
  <si>
    <t>40%/60%</t>
  </si>
  <si>
    <t>102 W. Bianchi Road</t>
  </si>
  <si>
    <t>CA</t>
  </si>
  <si>
    <t>Vernell Hill</t>
  </si>
  <si>
    <t>209-406-3051</t>
  </si>
  <si>
    <t>vhill@serviefirstnc.org</t>
  </si>
  <si>
    <t>None</t>
  </si>
  <si>
    <t>Managing GP</t>
  </si>
  <si>
    <t>Central Valley Coalition for Affordable Housing</t>
  </si>
  <si>
    <t>Administrative GP</t>
  </si>
  <si>
    <t>3351 M Street #100</t>
  </si>
  <si>
    <t>Christina Alley</t>
  </si>
  <si>
    <t>209-388-0782</t>
  </si>
  <si>
    <t>chris@centralvalleycoalition.com</t>
  </si>
  <si>
    <t>Executive Director of Managing General Partner</t>
  </si>
  <si>
    <t>Stockton, CA 95207</t>
  </si>
  <si>
    <t>209-644-6333</t>
  </si>
  <si>
    <t>Goldfard &amp; Lipman</t>
  </si>
  <si>
    <t>1300 Clay Street</t>
  </si>
  <si>
    <t>Oakland, CA 94612</t>
  </si>
  <si>
    <t>Margaret Jung</t>
  </si>
  <si>
    <t>510-836-6336</t>
  </si>
  <si>
    <t>mjung@goldfarblipman.com</t>
  </si>
  <si>
    <t>Bernard Rea, CPA</t>
  </si>
  <si>
    <t>P.O. Box 4632</t>
  </si>
  <si>
    <t>Stockton, CA 95204</t>
  </si>
  <si>
    <t>Bernard Rea</t>
  </si>
  <si>
    <t>209-933-9113</t>
  </si>
  <si>
    <t>209-933-9115</t>
  </si>
  <si>
    <t>breacpa@aol.com</t>
  </si>
  <si>
    <t>Community Economics Inc.</t>
  </si>
  <si>
    <t>538 9th Street</t>
  </si>
  <si>
    <t>Oakland, CA 94607</t>
  </si>
  <si>
    <t>Lisa Motoyama</t>
  </si>
  <si>
    <t>510-832-8300</t>
  </si>
  <si>
    <t>lisa@communityeconomics.org</t>
  </si>
  <si>
    <t>Mogavero Architects</t>
  </si>
  <si>
    <t>2012 K Street</t>
  </si>
  <si>
    <t>Sacramento, CA 95811</t>
  </si>
  <si>
    <t>David Mogavero</t>
  </si>
  <si>
    <t>916-443-1033</t>
  </si>
  <si>
    <t>dmogavero@mogaveroarchitects.com</t>
  </si>
  <si>
    <t>Sunseri Construction Inc.</t>
  </si>
  <si>
    <t>48 Comache Ct</t>
  </si>
  <si>
    <t>Chico, CA 95928</t>
  </si>
  <si>
    <t>Donny Lieberman</t>
  </si>
  <si>
    <t>530-891-6444</t>
  </si>
  <si>
    <t>dl@sunsericonstruction.com</t>
  </si>
  <si>
    <t>DuctTesters Inc.</t>
  </si>
  <si>
    <t>P.O. Box 266</t>
  </si>
  <si>
    <t>Ripon, CA 95366</t>
  </si>
  <si>
    <t>Derrick Yeung</t>
  </si>
  <si>
    <t>209-624-8941</t>
  </si>
  <si>
    <t>derrickyeung@ducttesters.com</t>
  </si>
  <si>
    <t>Laurin Associates</t>
  </si>
  <si>
    <t>1501 Sports Drive, Suite A</t>
  </si>
  <si>
    <t>Sacramento, CA 95834</t>
  </si>
  <si>
    <t>Stefanie Williams</t>
  </si>
  <si>
    <t>916-372-6100</t>
  </si>
  <si>
    <t>916-419-6108</t>
  </si>
  <si>
    <t>swilliams@laurinassociates.com</t>
  </si>
  <si>
    <t>FPI Management Inc.</t>
  </si>
  <si>
    <t>800 Iron Point Road</t>
  </si>
  <si>
    <t>Folsom, CA 95630</t>
  </si>
  <si>
    <t>Dennis Treadaway</t>
  </si>
  <si>
    <t>916-357-5300</t>
  </si>
  <si>
    <t>dennis.treadaway@fpimgt.com</t>
  </si>
  <si>
    <t>Private Third Party</t>
  </si>
  <si>
    <t>Secured by Fee Interest</t>
  </si>
  <si>
    <t>Inner City Infill Site</t>
  </si>
  <si>
    <t>Commerical General Plan Designation</t>
  </si>
  <si>
    <t>CD (Commercial Downtown)</t>
  </si>
  <si>
    <t>101 units per acre (Approved)</t>
  </si>
  <si>
    <t>60 feet</t>
  </si>
  <si>
    <t>1:.3 spaces</t>
  </si>
  <si>
    <t>All entitlement approvals</t>
  </si>
  <si>
    <t>IIG</t>
  </si>
  <si>
    <t>AHSC Program</t>
  </si>
  <si>
    <t>AHP</t>
  </si>
  <si>
    <t>City of Stockton RDA</t>
  </si>
  <si>
    <t>City of Stockton NOFA</t>
  </si>
  <si>
    <t>Impact Fee Waiver</t>
  </si>
  <si>
    <t>Housing Authority of San Joaquin</t>
  </si>
  <si>
    <t>Misc. Admin Expenses</t>
  </si>
  <si>
    <t>Security Empl. &amp; Payroll Taxes/Benefits</t>
  </si>
  <si>
    <t>Contracts for Main. &amp; Repairs</t>
  </si>
  <si>
    <t>State IIG</t>
  </si>
  <si>
    <t>San Joaquin Regional Transit District</t>
  </si>
  <si>
    <t>421 E. Weber Avenue</t>
  </si>
  <si>
    <t>Stockton, CA 95202</t>
  </si>
  <si>
    <t>Manager</t>
  </si>
  <si>
    <t>209-943-1111</t>
  </si>
  <si>
    <t>https://sanjoaquintd.com</t>
  </si>
  <si>
    <t>.2 miles</t>
  </si>
  <si>
    <t>Valley Mountain Regional Center</t>
  </si>
  <si>
    <t>702 N. Aurora Street</t>
  </si>
  <si>
    <t>Tony Anderson, ED</t>
  </si>
  <si>
    <t>209-955-3241</t>
  </si>
  <si>
    <t>www.vmrc.net</t>
  </si>
  <si>
    <t>1 mile</t>
  </si>
  <si>
    <t>Fremont Square</t>
  </si>
  <si>
    <t>302 E. Fremont Street</t>
  </si>
  <si>
    <t>Director</t>
  </si>
  <si>
    <t>209-937-8221</t>
  </si>
  <si>
    <t>www.stocktonca.gov/discover/pcc.html</t>
  </si>
  <si>
    <t>Casar Chavez Public Library</t>
  </si>
  <si>
    <t>605 N El Dorado St.</t>
  </si>
  <si>
    <t>www.ssjcpl.org/locations/stockton/chavez</t>
  </si>
  <si>
    <t>.1 miles</t>
  </si>
  <si>
    <t>Dameron Linacia Pharmacy</t>
  </si>
  <si>
    <t>420 W. Acacia St #4</t>
  </si>
  <si>
    <t>Stockton, CA 94203</t>
  </si>
  <si>
    <t>209-466-2954</t>
  </si>
  <si>
    <t>www.dameronhospital.org/services/linacia</t>
  </si>
  <si>
    <t>.9 miles</t>
  </si>
  <si>
    <t>Food 4 Less</t>
  </si>
  <si>
    <t>678 N. Wilson Way</t>
  </si>
  <si>
    <t>Stockton, CA 95205</t>
  </si>
  <si>
    <t>Brandon Nessler</t>
  </si>
  <si>
    <t>209-466-2751</t>
  </si>
  <si>
    <t>myfood4less.com</t>
  </si>
  <si>
    <t>1.2 miles</t>
  </si>
  <si>
    <t>Dameron Hospital</t>
  </si>
  <si>
    <t>525 W. Acacia Street</t>
  </si>
  <si>
    <t>Stockton, CA 95203</t>
  </si>
  <si>
    <t>209-944-5550</t>
  </si>
  <si>
    <t>www.dameronhospital.org</t>
  </si>
  <si>
    <t xml:space="preserve">Construction Lender </t>
  </si>
  <si>
    <t>Variable</t>
  </si>
  <si>
    <t xml:space="preserve">City of Stockton </t>
  </si>
  <si>
    <t>Fixed</t>
  </si>
  <si>
    <t xml:space="preserve">FHLB AHP </t>
  </si>
  <si>
    <t>HCD IIG</t>
  </si>
  <si>
    <t>City of Stockton Fee Waiver</t>
  </si>
  <si>
    <t xml:space="preserve">GP Equity </t>
  </si>
  <si>
    <t xml:space="preserve">LP Equity </t>
  </si>
  <si>
    <t xml:space="preserve">HCD IIG </t>
  </si>
  <si>
    <t xml:space="preserve">HCD AHSC </t>
  </si>
  <si>
    <t xml:space="preserve">HCD AHSC Program </t>
  </si>
  <si>
    <t xml:space="preserve">City of Stockton Fee Waiver </t>
  </si>
  <si>
    <t xml:space="preserve">Deferred Developer Fee </t>
  </si>
  <si>
    <t>Other: Solar Net Cost</t>
  </si>
  <si>
    <t>Other: Construction Loan Expenses</t>
  </si>
  <si>
    <t>Other: Permanent Loan Legal</t>
  </si>
  <si>
    <t>Other: Owner Legal</t>
  </si>
  <si>
    <t>Other: Operating Deficit Reserve</t>
  </si>
  <si>
    <t>Other: Prevailing Wage Monitoring</t>
  </si>
  <si>
    <t>Other: Security/Testing/Inspections/Monitoring/Utility</t>
  </si>
  <si>
    <t xml:space="preserve">Other: PGM - Bus Passes </t>
  </si>
  <si>
    <t xml:space="preserve">Equity from PV Credit </t>
  </si>
  <si>
    <t>Operating Subsidy (draw on Operating Reserve)</t>
  </si>
  <si>
    <t xml:space="preserve">HCD AHSC and IIG </t>
  </si>
  <si>
    <t>City of Stockton and City of Stockton RDA</t>
  </si>
  <si>
    <t xml:space="preserve">Varies </t>
  </si>
  <si>
    <t>1/0/2019</t>
  </si>
  <si>
    <t xml:space="preserve">Please note that on Row 910 on the application tab, we are unable to enter the 20 year term. </t>
  </si>
  <si>
    <t xml:space="preserve">Solar Equity </t>
  </si>
  <si>
    <t>2526 Camino Ramon, 3D-D</t>
  </si>
  <si>
    <t>San Ramon</t>
  </si>
  <si>
    <t>John Denton</t>
  </si>
  <si>
    <t>925-843-4621</t>
  </si>
  <si>
    <t>Construction Loan</t>
  </si>
  <si>
    <t>400 E. Main Street 4th Floor</t>
  </si>
  <si>
    <t>Juan Gonzalez</t>
  </si>
  <si>
    <t>209-937-8418</t>
  </si>
  <si>
    <t>Residual Receipts Loan</t>
  </si>
  <si>
    <t>425 North El Dorado St, Ste. 317</t>
  </si>
  <si>
    <t>Janice Miller</t>
  </si>
  <si>
    <t>209-937-8075</t>
  </si>
  <si>
    <t>Fee Waiver</t>
  </si>
  <si>
    <t>2020 W. El Camino Ave, Ste. 670</t>
  </si>
  <si>
    <t>Sacrmento</t>
  </si>
  <si>
    <t>Lynn Jones</t>
  </si>
  <si>
    <t>916-695-6071</t>
  </si>
  <si>
    <t>Sponsor Loan</t>
  </si>
  <si>
    <t>333 Bush Street, Ste. 2700</t>
  </si>
  <si>
    <t>Kirby Ung</t>
  </si>
  <si>
    <t>415-616-2542</t>
  </si>
  <si>
    <t>Craig Shields</t>
  </si>
  <si>
    <t>916-823-6054</t>
  </si>
  <si>
    <t xml:space="preserve">2020 W. El Camino Ave, Ste. 670											
Sacramento											
Lynn Jones											</t>
  </si>
  <si>
    <t xml:space="preserve">415-616-2542					</t>
  </si>
  <si>
    <t>425 North El Dorado St., Ste. 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</si>
</sst>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0" fontId="3" fillId="7" borderId="9" xfId="0" applyFont="1" applyFill="1" applyBorder="1" applyAlignment="1" applyProtection="1">
      <alignment horizontal="center"/>
      <protection locked="0"/>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7" borderId="5" xfId="0" applyFill="1" applyBorder="1" applyAlignment="1" applyProtection="1">
      <alignment horizontal="left" wrapText="1"/>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E%20BOX\Box\Lisa%20Motoyama\Lisa's%20Projects\Service%20First\Hunter%20House\Hunter%20House%20Stockton%209%25%20042023%20Min%20Op%20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 val="Internal Notes"/>
    </sheetNames>
    <sheetDataSet>
      <sheetData sheetId="0"/>
      <sheetData sheetId="1">
        <row r="7">
          <cell r="E7">
            <v>2538787</v>
          </cell>
          <cell r="I7">
            <v>2538787</v>
          </cell>
        </row>
        <row r="8">
          <cell r="E8">
            <v>17240556</v>
          </cell>
        </row>
        <row r="11">
          <cell r="E11">
            <v>15000</v>
          </cell>
        </row>
        <row r="12">
          <cell r="E12">
            <v>1250000</v>
          </cell>
          <cell r="V12">
            <v>0.3</v>
          </cell>
          <cell r="W12">
            <v>45</v>
          </cell>
          <cell r="Z12">
            <v>466</v>
          </cell>
        </row>
        <row r="14">
          <cell r="E14">
            <v>540000</v>
          </cell>
          <cell r="V14">
            <v>0.5</v>
          </cell>
          <cell r="W14">
            <v>35</v>
          </cell>
          <cell r="Z14">
            <v>776</v>
          </cell>
        </row>
        <row r="15">
          <cell r="E15">
            <v>1748736</v>
          </cell>
          <cell r="V15">
            <v>0.6</v>
          </cell>
          <cell r="W15">
            <v>12</v>
          </cell>
          <cell r="Z15">
            <v>931.19999999999993</v>
          </cell>
        </row>
        <row r="17">
          <cell r="E17">
            <v>1200000</v>
          </cell>
          <cell r="I17">
            <v>1200000</v>
          </cell>
        </row>
        <row r="18">
          <cell r="E18">
            <v>283174</v>
          </cell>
          <cell r="V18">
            <v>0.3</v>
          </cell>
          <cell r="W18">
            <v>15</v>
          </cell>
          <cell r="Z18">
            <v>559</v>
          </cell>
        </row>
        <row r="19">
          <cell r="E19">
            <v>1000</v>
          </cell>
          <cell r="I19">
            <v>1000</v>
          </cell>
        </row>
        <row r="20">
          <cell r="H20">
            <v>35953739.523049928</v>
          </cell>
          <cell r="I20">
            <v>3657683.5369433458</v>
          </cell>
          <cell r="V20">
            <v>0.5</v>
          </cell>
          <cell r="W20">
            <v>12</v>
          </cell>
          <cell r="Z20">
            <v>932</v>
          </cell>
        </row>
        <row r="25">
          <cell r="E25">
            <v>47349356.832490109</v>
          </cell>
          <cell r="F25">
            <v>6.5000000000000002E-2</v>
          </cell>
        </row>
        <row r="26">
          <cell r="E26">
            <v>18</v>
          </cell>
          <cell r="G26">
            <v>6</v>
          </cell>
          <cell r="X26">
            <v>60</v>
          </cell>
        </row>
        <row r="32">
          <cell r="E32">
            <v>574352</v>
          </cell>
        </row>
        <row r="34">
          <cell r="E34">
            <v>20000</v>
          </cell>
        </row>
        <row r="35">
          <cell r="E35">
            <v>20000</v>
          </cell>
        </row>
        <row r="38">
          <cell r="AB38">
            <v>72410.335200000001</v>
          </cell>
        </row>
        <row r="45">
          <cell r="BF45">
            <v>-2631.9852187501092</v>
          </cell>
          <cell r="BG45">
            <v>-7643.4832536188478</v>
          </cell>
          <cell r="BH45">
            <v>-13069.227226813236</v>
          </cell>
          <cell r="BI45">
            <v>-18929.686833852582</v>
          </cell>
          <cell r="BJ45">
            <v>-25246.197486790508</v>
          </cell>
          <cell r="BK45">
            <v>-32040.994346225314</v>
          </cell>
          <cell r="BL45">
            <v>-39337.247637725348</v>
          </cell>
          <cell r="BM45">
            <v>-47159.099299962079</v>
          </cell>
          <cell r="BN45">
            <v>-55531.701013550541</v>
          </cell>
          <cell r="BO45">
            <v>-64481.253661366325</v>
          </cell>
          <cell r="BP45">
            <v>-74035.04827296469</v>
          </cell>
          <cell r="BQ45">
            <v>-84221.508507604856</v>
          </cell>
        </row>
        <row r="49">
          <cell r="E49">
            <v>3349712</v>
          </cell>
        </row>
        <row r="52">
          <cell r="E52">
            <v>33718389</v>
          </cell>
        </row>
        <row r="54">
          <cell r="E54">
            <v>1000000</v>
          </cell>
        </row>
        <row r="55">
          <cell r="E55">
            <v>2040000</v>
          </cell>
        </row>
        <row r="56">
          <cell r="E56">
            <v>1141552</v>
          </cell>
        </row>
        <row r="57">
          <cell r="E57">
            <v>2264983</v>
          </cell>
        </row>
        <row r="60">
          <cell r="E60">
            <v>1218549</v>
          </cell>
        </row>
        <row r="61">
          <cell r="E61">
            <v>308580</v>
          </cell>
        </row>
        <row r="63">
          <cell r="E63">
            <v>170000</v>
          </cell>
        </row>
        <row r="65">
          <cell r="E65">
            <v>4077963</v>
          </cell>
          <cell r="H65">
            <v>2539109.2601422821</v>
          </cell>
        </row>
        <row r="67">
          <cell r="E67">
            <v>355120</v>
          </cell>
        </row>
        <row r="68">
          <cell r="E68">
            <v>30000</v>
          </cell>
        </row>
        <row r="69">
          <cell r="E69">
            <v>200000</v>
          </cell>
        </row>
        <row r="70">
          <cell r="E70">
            <v>50000</v>
          </cell>
        </row>
        <row r="71">
          <cell r="E71">
            <v>20000</v>
          </cell>
        </row>
        <row r="76">
          <cell r="E76">
            <v>10000</v>
          </cell>
        </row>
        <row r="77">
          <cell r="E77">
            <v>10000</v>
          </cell>
        </row>
        <row r="80">
          <cell r="E80">
            <v>55000</v>
          </cell>
        </row>
        <row r="82">
          <cell r="E82">
            <v>200000</v>
          </cell>
        </row>
        <row r="85">
          <cell r="E85">
            <v>438525</v>
          </cell>
        </row>
        <row r="86">
          <cell r="E86">
            <v>1000000</v>
          </cell>
        </row>
        <row r="90">
          <cell r="E90">
            <v>10000</v>
          </cell>
        </row>
        <row r="91">
          <cell r="E91">
            <v>2175731.8000000003</v>
          </cell>
        </row>
        <row r="93">
          <cell r="E93">
            <v>150790</v>
          </cell>
        </row>
        <row r="94">
          <cell r="E94">
            <v>75000</v>
          </cell>
        </row>
        <row r="95">
          <cell r="E95">
            <v>3276847</v>
          </cell>
          <cell r="H95">
            <v>1528111</v>
          </cell>
        </row>
        <row r="96">
          <cell r="E96">
            <v>300000</v>
          </cell>
        </row>
        <row r="97">
          <cell r="E97">
            <v>15000</v>
          </cell>
        </row>
        <row r="98">
          <cell r="E98">
            <v>120000</v>
          </cell>
        </row>
        <row r="99">
          <cell r="E99">
            <v>45000</v>
          </cell>
        </row>
        <row r="100">
          <cell r="E100">
            <v>60000</v>
          </cell>
        </row>
        <row r="101">
          <cell r="E101">
            <v>40000</v>
          </cell>
        </row>
        <row r="102">
          <cell r="E102">
            <v>80000</v>
          </cell>
        </row>
        <row r="103">
          <cell r="E103">
            <v>80000</v>
          </cell>
        </row>
        <row r="104">
          <cell r="E104">
            <v>15000</v>
          </cell>
        </row>
        <row r="106">
          <cell r="E106">
            <v>200000</v>
          </cell>
        </row>
        <row r="110">
          <cell r="E110">
            <v>2000000</v>
          </cell>
        </row>
        <row r="111">
          <cell r="E111">
            <v>200000</v>
          </cell>
        </row>
        <row r="143">
          <cell r="E143">
            <v>345101.27695007226</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2282</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2357</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2349</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2348</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2284</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2285</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2286</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2288</v>
      </c>
    </row>
    <row r="155" spans="4:37">
      <c r="E155" t="s">
        <v>944</v>
      </c>
      <c r="F155" t="s">
        <v>535</v>
      </c>
    </row>
    <row r="156" spans="4:37">
      <c r="E156" t="s">
        <v>945</v>
      </c>
      <c r="F156" t="s">
        <v>391</v>
      </c>
    </row>
    <row r="157" spans="4:37">
      <c r="F157" t="s">
        <v>862</v>
      </c>
      <c r="G157" s="41" t="s">
        <v>2289</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2290</v>
      </c>
    </row>
    <row r="162" spans="3:9">
      <c r="E162" s="770" t="s">
        <v>2291</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2292</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2293</v>
      </c>
      <c r="G409" s="3"/>
      <c r="I409" s="5"/>
      <c r="S409" s="5"/>
    </row>
    <row r="410" spans="1:38">
      <c r="B410" s="3"/>
      <c r="C410" s="41" t="s">
        <v>2016</v>
      </c>
      <c r="S410" s="5"/>
    </row>
    <row r="411" spans="1:38">
      <c r="B411" s="3"/>
      <c r="C411" s="5" t="s">
        <v>2294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2" workbookViewId="0">
      <selection activeCell="O103" sqref="O103"/>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85546875" style="365" hidden="1"/>
  </cols>
  <sheetData>
    <row r="1" spans="1:19" ht="15" customHeight="1">
      <c r="A1" s="1941" t="s">
        <v>1954</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4" t="s">
        <v>2246</v>
      </c>
      <c r="C4" s="1924"/>
      <c r="D4" s="1924"/>
      <c r="E4" s="1924"/>
      <c r="F4" s="1924"/>
      <c r="G4" s="1924"/>
      <c r="H4" s="1924"/>
      <c r="I4" s="1924"/>
      <c r="J4" s="1924"/>
      <c r="K4" s="1924"/>
      <c r="L4" s="1924"/>
      <c r="M4" s="1924"/>
      <c r="N4" s="1924"/>
      <c r="O4" s="1924"/>
      <c r="P4" s="1924"/>
      <c r="Q4" s="1924"/>
      <c r="R4" s="1924"/>
    </row>
    <row r="5" spans="1:19" ht="15" customHeight="1">
      <c r="A5" s="522"/>
      <c r="B5" s="1924"/>
      <c r="C5" s="1924"/>
      <c r="D5" s="1924"/>
      <c r="E5" s="1924"/>
      <c r="F5" s="1924"/>
      <c r="G5" s="1924"/>
      <c r="H5" s="1924"/>
      <c r="I5" s="1924"/>
      <c r="J5" s="1924"/>
      <c r="K5" s="1924"/>
      <c r="L5" s="1924"/>
      <c r="M5" s="1924"/>
      <c r="N5" s="1924"/>
      <c r="O5" s="1924"/>
      <c r="P5" s="1924"/>
      <c r="Q5" s="1924"/>
      <c r="R5" s="1924"/>
    </row>
    <row r="6" spans="1:19" ht="15" customHeight="1">
      <c r="A6" s="522"/>
      <c r="B6" s="1924"/>
      <c r="C6" s="1924"/>
      <c r="D6" s="1924"/>
      <c r="E6" s="1924"/>
      <c r="F6" s="1924"/>
      <c r="G6" s="1924"/>
      <c r="H6" s="1924"/>
      <c r="I6" s="1924"/>
      <c r="J6" s="1924"/>
      <c r="K6" s="1924"/>
      <c r="L6" s="1924"/>
      <c r="M6" s="1924"/>
      <c r="N6" s="1924"/>
      <c r="O6" s="1924"/>
      <c r="P6" s="1924"/>
      <c r="Q6" s="1924"/>
      <c r="R6" s="1924"/>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4" t="s">
        <v>1771</v>
      </c>
      <c r="C8" s="1924"/>
      <c r="D8" s="1924"/>
      <c r="E8" s="1924"/>
      <c r="F8" s="1924"/>
      <c r="G8" s="1924"/>
      <c r="H8" s="1924"/>
      <c r="I8" s="1924"/>
      <c r="J8" s="1924"/>
      <c r="K8" s="1924"/>
      <c r="L8" s="1924"/>
      <c r="M8" s="1924"/>
      <c r="N8" s="1924"/>
      <c r="O8" s="1924"/>
      <c r="P8" s="1924"/>
      <c r="Q8" s="1924"/>
      <c r="R8" s="1924"/>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4" t="s">
        <v>2335</v>
      </c>
      <c r="C10" s="1924"/>
      <c r="D10" s="1924"/>
      <c r="E10" s="1924"/>
      <c r="F10" s="1924"/>
      <c r="G10" s="1924"/>
      <c r="H10" s="1924"/>
      <c r="I10" s="1924"/>
      <c r="J10" s="1924"/>
      <c r="K10" s="1924"/>
      <c r="L10" s="1924"/>
      <c r="M10" s="1924"/>
      <c r="N10" s="1924"/>
      <c r="O10" s="1924"/>
      <c r="P10" s="1924"/>
      <c r="Q10" s="1924"/>
      <c r="R10" s="1924"/>
    </row>
    <row r="11" spans="1:19" ht="29.25" customHeight="1">
      <c r="A11" s="522"/>
      <c r="B11" s="1924"/>
      <c r="C11" s="1924"/>
      <c r="D11" s="1924"/>
      <c r="E11" s="1924"/>
      <c r="F11" s="1924"/>
      <c r="G11" s="1924"/>
      <c r="H11" s="1924"/>
      <c r="I11" s="1924"/>
      <c r="J11" s="1924"/>
      <c r="K11" s="1924"/>
      <c r="L11" s="1924"/>
      <c r="M11" s="1924"/>
      <c r="N11" s="1924"/>
      <c r="O11" s="1924"/>
      <c r="P11" s="1924"/>
      <c r="Q11" s="1924"/>
      <c r="R11" s="1924"/>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4" t="s">
        <v>2247</v>
      </c>
      <c r="C13" s="1924"/>
      <c r="D13" s="1924"/>
      <c r="E13" s="1924"/>
      <c r="F13" s="1924"/>
      <c r="G13" s="1924"/>
      <c r="H13" s="1924"/>
      <c r="I13" s="1924"/>
      <c r="J13" s="1924"/>
      <c r="K13" s="1924"/>
      <c r="L13" s="1924"/>
      <c r="M13" s="1924"/>
      <c r="N13" s="1924"/>
      <c r="O13" s="1924"/>
      <c r="P13" s="1924"/>
      <c r="Q13" s="1924"/>
      <c r="R13" s="1924"/>
    </row>
    <row r="14" spans="1:19" ht="15" customHeight="1">
      <c r="A14" s="522"/>
      <c r="B14" s="1924"/>
      <c r="C14" s="1924"/>
      <c r="D14" s="1924"/>
      <c r="E14" s="1924"/>
      <c r="F14" s="1924"/>
      <c r="G14" s="1924"/>
      <c r="H14" s="1924"/>
      <c r="I14" s="1924"/>
      <c r="J14" s="1924"/>
      <c r="K14" s="1924"/>
      <c r="L14" s="1924"/>
      <c r="M14" s="1924"/>
      <c r="N14" s="1924"/>
      <c r="O14" s="1924"/>
      <c r="P14" s="1924"/>
      <c r="Q14" s="1924"/>
      <c r="R14" s="1924"/>
    </row>
    <row r="15" spans="1:19" ht="15" customHeight="1">
      <c r="A15" s="522"/>
      <c r="B15" s="1924"/>
      <c r="C15" s="1924"/>
      <c r="D15" s="1924"/>
      <c r="E15" s="1924"/>
      <c r="F15" s="1924"/>
      <c r="G15" s="1924"/>
      <c r="H15" s="1924"/>
      <c r="I15" s="1924"/>
      <c r="J15" s="1924"/>
      <c r="K15" s="1924"/>
      <c r="L15" s="1924"/>
      <c r="M15" s="1924"/>
      <c r="N15" s="1924"/>
      <c r="O15" s="1924"/>
      <c r="P15" s="1924"/>
      <c r="Q15" s="1924"/>
      <c r="R15" s="1924"/>
    </row>
    <row r="16" spans="1:19" ht="15" customHeight="1">
      <c r="A16" s="522"/>
      <c r="B16" s="1924"/>
      <c r="C16" s="1924"/>
      <c r="D16" s="1924"/>
      <c r="E16" s="1924"/>
      <c r="F16" s="1924"/>
      <c r="G16" s="1924"/>
      <c r="H16" s="1924"/>
      <c r="I16" s="1924"/>
      <c r="J16" s="1924"/>
      <c r="K16" s="1924"/>
      <c r="L16" s="1924"/>
      <c r="M16" s="1924"/>
      <c r="N16" s="1924"/>
      <c r="O16" s="1924"/>
      <c r="P16" s="1924"/>
      <c r="Q16" s="1924"/>
      <c r="R16" s="1924"/>
    </row>
    <row r="17" spans="1:18" ht="15" customHeight="1">
      <c r="A17" s="522"/>
      <c r="B17" s="1924"/>
      <c r="C17" s="1924"/>
      <c r="D17" s="1924"/>
      <c r="E17" s="1924"/>
      <c r="F17" s="1924"/>
      <c r="G17" s="1924"/>
      <c r="H17" s="1924"/>
      <c r="I17" s="1924"/>
      <c r="J17" s="1924"/>
      <c r="K17" s="1924"/>
      <c r="L17" s="1924"/>
      <c r="M17" s="1924"/>
      <c r="N17" s="1924"/>
      <c r="O17" s="1924"/>
      <c r="P17" s="1924"/>
      <c r="Q17" s="1924"/>
      <c r="R17" s="1924"/>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4" t="s">
        <v>1881</v>
      </c>
      <c r="C19" s="1924"/>
      <c r="D19" s="1924"/>
      <c r="E19" s="1924"/>
      <c r="F19" s="1924"/>
      <c r="G19" s="1924"/>
      <c r="H19" s="1924"/>
      <c r="I19" s="1924"/>
      <c r="J19" s="1924"/>
      <c r="K19" s="1924"/>
      <c r="L19" s="1924"/>
      <c r="M19" s="1924"/>
      <c r="N19" s="1924"/>
      <c r="O19" s="1924"/>
      <c r="P19" s="1924"/>
      <c r="Q19" s="1924"/>
      <c r="R19" s="1924"/>
    </row>
    <row r="20" spans="1:18" ht="15" customHeight="1">
      <c r="A20" s="522"/>
      <c r="B20" s="1924"/>
      <c r="C20" s="1924"/>
      <c r="D20" s="1924"/>
      <c r="E20" s="1924"/>
      <c r="F20" s="1924"/>
      <c r="G20" s="1924"/>
      <c r="H20" s="1924"/>
      <c r="I20" s="1924"/>
      <c r="J20" s="1924"/>
      <c r="K20" s="1924"/>
      <c r="L20" s="1924"/>
      <c r="M20" s="1924"/>
      <c r="N20" s="1924"/>
      <c r="O20" s="1924"/>
      <c r="P20" s="1924"/>
      <c r="Q20" s="1924"/>
      <c r="R20" s="1924"/>
    </row>
    <row r="21" spans="1:18" ht="15" customHeight="1">
      <c r="A21" s="522"/>
      <c r="B21" s="1924"/>
      <c r="C21" s="1924"/>
      <c r="D21" s="1924"/>
      <c r="E21" s="1924"/>
      <c r="F21" s="1924"/>
      <c r="G21" s="1924"/>
      <c r="H21" s="1924"/>
      <c r="I21" s="1924"/>
      <c r="J21" s="1924"/>
      <c r="K21" s="1924"/>
      <c r="L21" s="1924"/>
      <c r="M21" s="1924"/>
      <c r="N21" s="1924"/>
      <c r="O21" s="1924"/>
      <c r="P21" s="1924"/>
      <c r="Q21" s="1924"/>
      <c r="R21" s="1924"/>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4" t="s">
        <v>1882</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4" t="s">
        <v>1770</v>
      </c>
      <c r="C26" s="1924"/>
      <c r="D26" s="1924"/>
      <c r="E26" s="1924"/>
      <c r="F26" s="1924"/>
      <c r="G26" s="1924"/>
      <c r="H26" s="1924"/>
      <c r="I26" s="1924"/>
      <c r="J26" s="1924"/>
      <c r="K26" s="1924"/>
      <c r="L26" s="1924"/>
      <c r="M26" s="1924"/>
      <c r="N26" s="1924"/>
      <c r="O26" s="1924"/>
      <c r="P26" s="1924"/>
      <c r="Q26" s="1924"/>
      <c r="R26" s="1924"/>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6" t="s">
        <v>1682</v>
      </c>
      <c r="C29" s="1946"/>
      <c r="D29" s="1946"/>
      <c r="E29" s="1946"/>
      <c r="F29" s="1946"/>
      <c r="G29" s="1946"/>
      <c r="H29" s="380"/>
      <c r="I29" s="380"/>
      <c r="J29" s="380"/>
      <c r="K29" s="380"/>
      <c r="L29" s="380"/>
      <c r="M29" s="380"/>
      <c r="N29" s="380"/>
      <c r="O29" s="1944" t="s">
        <v>1691</v>
      </c>
    </row>
    <row r="30" spans="1:18" ht="15" customHeight="1">
      <c r="B30" s="1946"/>
      <c r="C30" s="1946"/>
      <c r="D30" s="1946"/>
      <c r="E30" s="1946"/>
      <c r="F30" s="1946"/>
      <c r="G30" s="1946"/>
      <c r="H30" s="380"/>
      <c r="I30" s="380"/>
      <c r="J30" s="380"/>
      <c r="K30" s="380"/>
      <c r="L30" s="380"/>
      <c r="M30" s="380"/>
      <c r="N30" s="380"/>
      <c r="O30" s="1944"/>
    </row>
    <row r="31" spans="1:18" ht="15" customHeight="1">
      <c r="B31" s="1946"/>
      <c r="C31" s="1946"/>
      <c r="D31" s="1946"/>
      <c r="E31" s="1946"/>
      <c r="F31" s="1946"/>
      <c r="G31" s="1946"/>
      <c r="H31" s="380"/>
      <c r="I31" s="380"/>
      <c r="J31" s="380"/>
      <c r="K31" s="380"/>
      <c r="L31" s="380"/>
      <c r="M31" s="380"/>
      <c r="N31" s="380"/>
      <c r="O31" s="1944"/>
    </row>
    <row r="32" spans="1:18" ht="15" customHeight="1">
      <c r="B32" s="1947"/>
      <c r="C32" s="1947"/>
      <c r="D32" s="1947"/>
      <c r="E32" s="1947"/>
      <c r="F32" s="1947"/>
      <c r="G32" s="1947"/>
      <c r="I32" s="1912" t="s">
        <v>149</v>
      </c>
      <c r="J32" s="1913" t="s">
        <v>1036</v>
      </c>
      <c r="K32" s="1948">
        <v>1</v>
      </c>
      <c r="M32" s="524"/>
      <c r="O32" s="1945"/>
      <c r="P32" s="1913" t="s">
        <v>2039</v>
      </c>
    </row>
    <row r="33" spans="1:18" ht="15" customHeight="1">
      <c r="B33" s="1911" t="s">
        <v>1686</v>
      </c>
      <c r="C33" s="1911"/>
      <c r="D33" s="1911"/>
      <c r="E33" s="1911"/>
      <c r="F33" s="1911"/>
      <c r="G33" s="1911"/>
      <c r="I33" s="1912"/>
      <c r="J33" s="1913"/>
      <c r="K33" s="1948"/>
      <c r="M33" s="525"/>
      <c r="O33" s="1911" t="s">
        <v>1686</v>
      </c>
      <c r="P33" s="1913"/>
    </row>
    <row r="34" spans="1:18" ht="15" customHeight="1">
      <c r="B34" s="1912"/>
      <c r="C34" s="1912"/>
      <c r="D34" s="1912"/>
      <c r="E34" s="1912"/>
      <c r="F34" s="1912"/>
      <c r="G34" s="1912"/>
      <c r="I34" s="663"/>
      <c r="J34" s="662"/>
      <c r="K34" s="542"/>
      <c r="M34" s="525"/>
      <c r="O34" s="1912"/>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1674</v>
      </c>
      <c r="C37" s="1933"/>
      <c r="D37" s="1933"/>
      <c r="E37" s="1933"/>
      <c r="F37" s="531"/>
      <c r="G37" s="531"/>
      <c r="H37" s="532"/>
      <c r="I37" s="380"/>
      <c r="J37" s="380"/>
      <c r="Q37" s="380"/>
      <c r="R37" s="380"/>
    </row>
    <row r="38" spans="1:18" ht="15" customHeight="1">
      <c r="B38" s="1927" t="s">
        <v>1692</v>
      </c>
      <c r="C38" s="1927"/>
      <c r="D38" s="1927"/>
      <c r="E38" s="1927"/>
      <c r="F38" s="665"/>
      <c r="G38" s="533">
        <f>D110</f>
        <v>465335.29429619451</v>
      </c>
      <c r="H38" s="388"/>
      <c r="I38" s="534"/>
      <c r="J38" s="388"/>
      <c r="L38" s="804"/>
      <c r="M38" s="804"/>
      <c r="N38" s="804"/>
      <c r="O38" s="804"/>
      <c r="Q38" s="1910"/>
      <c r="R38" s="1910"/>
    </row>
    <row r="39" spans="1:18" ht="15" customHeight="1">
      <c r="B39" s="1938" t="s">
        <v>1336</v>
      </c>
      <c r="C39" s="1938"/>
      <c r="D39" s="1938"/>
      <c r="E39" s="1938"/>
      <c r="F39" s="665"/>
      <c r="G39" s="647"/>
      <c r="H39" s="388"/>
      <c r="I39" s="534"/>
      <c r="J39" s="388"/>
      <c r="L39" s="388"/>
      <c r="M39" s="380"/>
      <c r="N39" s="380"/>
      <c r="O39" s="380"/>
      <c r="Q39" s="535"/>
      <c r="R39" s="535"/>
    </row>
    <row r="40" spans="1:18" ht="15" customHeight="1">
      <c r="B40" s="1938" t="s">
        <v>1337</v>
      </c>
      <c r="C40" s="1938"/>
      <c r="D40" s="1938"/>
      <c r="E40" s="1938"/>
      <c r="F40" s="665"/>
      <c r="G40" s="647">
        <f>+[4]EVERYTHING!$E$15</f>
        <v>1748736</v>
      </c>
      <c r="H40" s="388"/>
      <c r="I40" s="534"/>
      <c r="J40" s="388"/>
      <c r="K40" s="1940"/>
      <c r="L40" s="1940"/>
      <c r="M40" s="1940"/>
      <c r="N40" s="1940"/>
      <c r="O40" s="1940"/>
      <c r="Q40" s="1910"/>
      <c r="R40" s="1910"/>
    </row>
    <row r="41" spans="1:18" ht="15" customHeight="1">
      <c r="B41" s="1939" t="s">
        <v>1687</v>
      </c>
      <c r="C41" s="1939"/>
      <c r="D41" s="1939"/>
      <c r="E41" s="1939"/>
      <c r="F41" s="665"/>
      <c r="G41" s="388"/>
      <c r="H41" s="388"/>
      <c r="I41" s="534"/>
      <c r="J41" s="388"/>
      <c r="K41" s="388"/>
      <c r="L41" s="388"/>
      <c r="M41" s="380"/>
      <c r="N41" s="380"/>
      <c r="O41" s="380"/>
      <c r="Q41" s="535"/>
      <c r="R41" s="535"/>
    </row>
    <row r="42" spans="1:18" ht="15" customHeight="1">
      <c r="B42" s="649" t="s">
        <v>2510</v>
      </c>
      <c r="C42" s="649"/>
      <c r="D42" s="643"/>
      <c r="E42" s="667">
        <f>+[4]EVERYTHING!$E$8</f>
        <v>17240556</v>
      </c>
      <c r="F42" s="665"/>
      <c r="G42" s="388"/>
      <c r="H42" s="388"/>
      <c r="I42" s="534"/>
      <c r="J42" s="388"/>
      <c r="K42" s="1940"/>
      <c r="L42" s="1940"/>
      <c r="M42" s="1940"/>
      <c r="N42" s="1940"/>
      <c r="O42" s="1940"/>
      <c r="Q42" s="1910"/>
      <c r="R42" s="1910"/>
    </row>
    <row r="43" spans="1:18" ht="15" customHeight="1">
      <c r="B43" s="649" t="s">
        <v>2511</v>
      </c>
      <c r="C43" s="649"/>
      <c r="D43" s="519"/>
      <c r="E43" s="667">
        <f>+[4]EVERYTHING!$E$11</f>
        <v>15000</v>
      </c>
      <c r="F43" s="665"/>
      <c r="G43" s="388"/>
      <c r="H43" s="388"/>
      <c r="I43" s="534"/>
      <c r="J43" s="388"/>
      <c r="L43" s="388"/>
      <c r="M43" s="380"/>
      <c r="N43" s="380"/>
      <c r="O43" s="380"/>
      <c r="Q43" s="535"/>
      <c r="R43" s="535"/>
    </row>
    <row r="44" spans="1:18" ht="15" customHeight="1">
      <c r="B44" s="649" t="s">
        <v>2509</v>
      </c>
      <c r="C44" s="649"/>
      <c r="D44" s="519"/>
      <c r="E44" s="667">
        <f>+[4]EVERYTHING!$E$7</f>
        <v>2538787</v>
      </c>
      <c r="F44" s="665"/>
      <c r="G44" s="388"/>
      <c r="H44" s="388"/>
      <c r="I44" s="534"/>
      <c r="K44" s="387" t="s">
        <v>1939</v>
      </c>
      <c r="Q44" s="1910"/>
      <c r="R44" s="1910"/>
    </row>
    <row r="45" spans="1:18" ht="15" customHeight="1">
      <c r="B45" s="649" t="s">
        <v>2502</v>
      </c>
      <c r="C45" s="649"/>
      <c r="D45" s="519"/>
      <c r="E45" s="667">
        <f>+[4]EVERYTHING!$E$17</f>
        <v>1200000</v>
      </c>
      <c r="F45" s="665"/>
      <c r="G45" s="388"/>
      <c r="H45" s="388"/>
      <c r="I45" s="534"/>
      <c r="K45" s="392" t="s">
        <v>1934</v>
      </c>
      <c r="L45" s="392"/>
      <c r="M45" s="388"/>
      <c r="N45" s="388"/>
      <c r="O45" s="388"/>
      <c r="P45" s="388"/>
    </row>
    <row r="46" spans="1:18" ht="15" customHeight="1">
      <c r="B46" s="649" t="s">
        <v>2452</v>
      </c>
      <c r="C46" s="649"/>
      <c r="D46" s="519"/>
      <c r="E46" s="667">
        <f>+[4]EVERYTHING!$E$14</f>
        <v>540000</v>
      </c>
      <c r="F46" s="665"/>
      <c r="G46" s="388"/>
      <c r="H46" s="388"/>
      <c r="I46" s="534"/>
      <c r="J46" s="388"/>
      <c r="K46" s="1916" t="s">
        <v>1935</v>
      </c>
      <c r="L46" s="1916"/>
      <c r="M46" s="1916"/>
      <c r="N46" s="1916"/>
      <c r="O46" s="1916"/>
      <c r="Q46" s="1914"/>
      <c r="R46" s="1914"/>
    </row>
    <row r="47" spans="1:18" ht="15" customHeight="1">
      <c r="B47" s="649" t="s">
        <v>2504</v>
      </c>
      <c r="C47" s="649"/>
      <c r="D47" s="519"/>
      <c r="E47" s="667">
        <f>+[4]EVERYTHING!$E$12</f>
        <v>1250000</v>
      </c>
      <c r="F47" s="665"/>
      <c r="G47" s="388"/>
      <c r="H47" s="388"/>
      <c r="I47" s="534"/>
      <c r="J47" s="388"/>
      <c r="K47" s="1915" t="s">
        <v>1936</v>
      </c>
      <c r="L47" s="1915"/>
      <c r="M47" s="1915"/>
      <c r="N47" s="1915"/>
      <c r="O47" s="1915"/>
      <c r="Q47" s="1943"/>
      <c r="R47" s="1943"/>
    </row>
    <row r="48" spans="1:18" ht="15" customHeight="1">
      <c r="B48" s="649"/>
      <c r="C48" s="649"/>
      <c r="D48" s="519"/>
      <c r="E48" s="667"/>
      <c r="F48" s="665"/>
      <c r="G48" s="388"/>
      <c r="H48" s="388"/>
      <c r="I48" s="534"/>
      <c r="J48" s="388"/>
      <c r="K48" s="1942" t="s">
        <v>1937</v>
      </c>
      <c r="L48" s="1942"/>
      <c r="M48" s="1942"/>
      <c r="N48" s="1942"/>
      <c r="O48" s="1942"/>
      <c r="Q48" s="1916">
        <f>Q46+Q47</f>
        <v>0</v>
      </c>
      <c r="R48" s="1916"/>
    </row>
    <row r="49" spans="1:29" ht="15" customHeight="1">
      <c r="B49" s="649"/>
      <c r="C49" s="649"/>
      <c r="D49" s="519"/>
      <c r="E49" s="667"/>
      <c r="F49" s="665"/>
      <c r="G49" s="388"/>
      <c r="H49" s="388"/>
      <c r="I49" s="534"/>
      <c r="J49" s="388"/>
    </row>
    <row r="50" spans="1:29" ht="15" customHeight="1">
      <c r="B50" s="645" t="s">
        <v>1772</v>
      </c>
      <c r="C50" s="645"/>
      <c r="D50" s="648"/>
      <c r="E50" s="646">
        <v>211352</v>
      </c>
      <c r="F50" s="665"/>
      <c r="G50" s="388"/>
      <c r="H50" s="388"/>
      <c r="I50" s="534"/>
      <c r="J50" s="388"/>
    </row>
    <row r="51" spans="1:29" ht="15" customHeight="1">
      <c r="B51" s="644" t="s">
        <v>1399</v>
      </c>
      <c r="C51" s="644"/>
      <c r="D51" s="648"/>
      <c r="E51" s="646">
        <v>589823</v>
      </c>
      <c r="F51" s="665"/>
      <c r="G51" s="388"/>
      <c r="H51" s="388"/>
      <c r="I51" s="534"/>
      <c r="J51" s="388"/>
    </row>
    <row r="52" spans="1:29" ht="15" customHeight="1">
      <c r="B52" s="1927" t="s">
        <v>1683</v>
      </c>
      <c r="C52" s="1927"/>
      <c r="D52" s="1927"/>
      <c r="E52" s="1927"/>
      <c r="F52" s="665"/>
      <c r="G52" s="533">
        <f>SUM(E42:E49)-ABS(E50)-ABS(E51)</f>
        <v>21983168</v>
      </c>
      <c r="H52" s="388"/>
      <c r="I52" s="534"/>
      <c r="J52" s="388"/>
    </row>
    <row r="53" spans="1:29" ht="15" customHeight="1">
      <c r="C53" s="538"/>
      <c r="D53" s="538" t="s">
        <v>916</v>
      </c>
      <c r="E53" s="538"/>
      <c r="F53" s="538"/>
      <c r="G53" s="539">
        <f>SUM(G38:G40)+G52</f>
        <v>24197239.294296194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6" t="s">
        <v>1317</v>
      </c>
      <c r="C56" s="1926"/>
      <c r="D56" s="665"/>
      <c r="E56" s="665"/>
      <c r="F56" s="665"/>
      <c r="G56" s="665"/>
      <c r="H56" s="665"/>
      <c r="I56" s="665"/>
      <c r="J56" s="665"/>
      <c r="K56" s="665"/>
      <c r="L56" s="665"/>
      <c r="M56" s="665"/>
      <c r="N56" s="665"/>
      <c r="O56" s="665"/>
      <c r="P56" s="665"/>
      <c r="U56" s="769" t="s">
        <v>1876</v>
      </c>
      <c r="AC56" s="798">
        <v>0.2</v>
      </c>
    </row>
    <row r="57" spans="1:29" ht="15" customHeight="1">
      <c r="A57" s="536"/>
      <c r="B57" s="1925" t="s">
        <v>1677</v>
      </c>
      <c r="C57" s="1925"/>
      <c r="D57" s="1925"/>
      <c r="E57" s="1925"/>
      <c r="F57" s="1925"/>
      <c r="G57" s="1925"/>
      <c r="H57" s="1925"/>
      <c r="I57" s="1925"/>
      <c r="J57" s="1925"/>
      <c r="K57" s="1925"/>
      <c r="L57" s="1925"/>
      <c r="M57" s="1925"/>
      <c r="N57" s="1925"/>
      <c r="O57" s="1925"/>
      <c r="P57" s="665"/>
      <c r="U57" s="769" t="s">
        <v>1877</v>
      </c>
      <c r="AC57" s="798">
        <v>0.1</v>
      </c>
    </row>
    <row r="58" spans="1:29" ht="15" customHeight="1">
      <c r="B58" s="1933" t="s">
        <v>1676</v>
      </c>
      <c r="C58" s="1934"/>
      <c r="D58" s="1934"/>
      <c r="E58" s="1934"/>
      <c r="F58" s="541"/>
      <c r="G58" s="541"/>
      <c r="H58" s="531"/>
      <c r="I58" s="531"/>
      <c r="J58" s="1935">
        <f>('Sources and Uses Budget'!D104+Q47)/('Sources and Uses Budget'!B104+Q48)</f>
        <v>0</v>
      </c>
      <c r="K58" s="1936"/>
      <c r="L58" s="1936"/>
      <c r="M58" s="1936"/>
      <c r="N58" s="1937"/>
      <c r="O58" s="531"/>
      <c r="P58" s="531"/>
      <c r="U58" s="769" t="s">
        <v>1878</v>
      </c>
      <c r="AC58" s="798">
        <v>0.1</v>
      </c>
    </row>
    <row r="59" spans="1:29" ht="15" customHeight="1">
      <c r="B59" s="1924" t="s">
        <v>2248</v>
      </c>
      <c r="C59" s="1924"/>
      <c r="D59" s="1924"/>
      <c r="E59" s="1924"/>
      <c r="F59" s="1924"/>
      <c r="G59" s="1924"/>
      <c r="H59" s="1924"/>
      <c r="I59" s="1924"/>
      <c r="J59" s="1924"/>
      <c r="K59" s="1924"/>
      <c r="L59" s="1924"/>
      <c r="M59" s="1924"/>
      <c r="N59" s="1924"/>
      <c r="O59" s="1924"/>
      <c r="P59" s="531"/>
      <c r="U59" s="769" t="s">
        <v>1879</v>
      </c>
      <c r="AC59" s="798">
        <v>0.05</v>
      </c>
    </row>
    <row r="60" spans="1:29" ht="15" customHeight="1" thickBot="1">
      <c r="B60" s="1924"/>
      <c r="C60" s="1924"/>
      <c r="D60" s="1924"/>
      <c r="E60" s="1924"/>
      <c r="F60" s="1924"/>
      <c r="G60" s="1924"/>
      <c r="H60" s="1924"/>
      <c r="I60" s="1924"/>
      <c r="J60" s="1924"/>
      <c r="K60" s="1924"/>
      <c r="L60" s="1924"/>
      <c r="M60" s="1924"/>
      <c r="N60" s="1924"/>
      <c r="O60" s="1924"/>
      <c r="P60" s="531"/>
      <c r="U60" s="770"/>
      <c r="AC60" s="771"/>
    </row>
    <row r="61" spans="1:29" ht="15" customHeight="1">
      <c r="B61" s="1925" t="s">
        <v>1678</v>
      </c>
      <c r="C61" s="1925"/>
      <c r="D61" s="1925"/>
      <c r="E61" s="1925"/>
      <c r="F61" s="1925"/>
      <c r="G61" s="1925"/>
      <c r="H61" s="1925"/>
      <c r="I61" s="1925"/>
      <c r="J61" s="1925"/>
      <c r="K61" s="1925"/>
      <c r="L61" s="1925"/>
      <c r="M61" s="1925"/>
      <c r="N61" s="1925"/>
      <c r="O61" s="1925"/>
      <c r="P61" s="531"/>
      <c r="U61" s="194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0"/>
    </row>
    <row r="63" spans="1:29" ht="15" customHeight="1">
      <c r="B63" s="380"/>
      <c r="C63" s="380"/>
      <c r="D63" s="380"/>
      <c r="E63" s="387"/>
      <c r="F63" s="380"/>
      <c r="G63" s="380"/>
      <c r="H63" s="380"/>
      <c r="I63" s="774"/>
      <c r="J63" s="1929" t="s">
        <v>2250</v>
      </c>
      <c r="K63" s="1930"/>
      <c r="L63" s="1930"/>
      <c r="M63" s="1930"/>
      <c r="N63" s="1930"/>
      <c r="O63" s="1930"/>
      <c r="P63" s="1930"/>
      <c r="Q63" s="1930"/>
      <c r="R63" s="1930"/>
      <c r="U63" s="1949">
        <f>IF(J67="Non-rural project, Census Tract is High Resource (10 percentage points)",AC57,0)</f>
        <v>0</v>
      </c>
    </row>
    <row r="64" spans="1:29" ht="15" customHeight="1" thickBot="1">
      <c r="B64" s="1926" t="s">
        <v>1688</v>
      </c>
      <c r="C64" s="1926"/>
      <c r="D64" s="380"/>
      <c r="F64" s="380"/>
      <c r="G64" s="538" t="s">
        <v>1938</v>
      </c>
      <c r="H64" s="380"/>
      <c r="I64" s="775"/>
      <c r="J64" s="1931"/>
      <c r="K64" s="1932"/>
      <c r="L64" s="1932"/>
      <c r="M64" s="1932"/>
      <c r="N64" s="1932"/>
      <c r="O64" s="1932"/>
      <c r="P64" s="1932"/>
      <c r="Q64" s="1932"/>
      <c r="R64" s="1932"/>
      <c r="U64" s="1950"/>
    </row>
    <row r="65" spans="1:22" ht="15" customHeight="1">
      <c r="B65" s="542" t="s">
        <v>1681</v>
      </c>
      <c r="C65" s="527" t="str">
        <f>IF(Application!M349="Yes","Yes","No")</f>
        <v>Yes</v>
      </c>
      <c r="E65" s="807"/>
      <c r="F65" s="807"/>
      <c r="G65" s="538" t="s">
        <v>1940</v>
      </c>
      <c r="H65" s="380"/>
      <c r="I65" s="775"/>
      <c r="J65" s="1931"/>
      <c r="K65" s="1932"/>
      <c r="L65" s="1932"/>
      <c r="M65" s="1932"/>
      <c r="N65" s="1932"/>
      <c r="O65" s="1932"/>
      <c r="P65" s="1932"/>
      <c r="Q65" s="1932"/>
      <c r="R65" s="1932"/>
      <c r="U65" s="1949">
        <f>IF(J67="Rural project, Census Tract is Highest Resource (10 percentage points)",AC58,0)</f>
        <v>0</v>
      </c>
    </row>
    <row r="66" spans="1:22" ht="15" customHeight="1" thickBot="1">
      <c r="B66" s="543" t="s">
        <v>1758</v>
      </c>
      <c r="C66" s="653">
        <f>Application!AG430-Application!AG431</f>
        <v>120</v>
      </c>
      <c r="D66" s="807"/>
      <c r="E66" s="543" t="s">
        <v>1941</v>
      </c>
      <c r="F66" s="807"/>
      <c r="G66" s="670"/>
      <c r="H66" s="544"/>
      <c r="I66" s="776"/>
      <c r="J66" s="1931"/>
      <c r="K66" s="1932"/>
      <c r="L66" s="1932"/>
      <c r="M66" s="1932"/>
      <c r="N66" s="1932"/>
      <c r="O66" s="1932"/>
      <c r="P66" s="1932"/>
      <c r="Q66" s="1932"/>
      <c r="R66" s="1932"/>
      <c r="U66" s="1950"/>
    </row>
    <row r="67" spans="1:22" ht="15" customHeight="1">
      <c r="B67" s="543" t="s">
        <v>1675</v>
      </c>
      <c r="C67" s="654">
        <f>MIN(IF(AND(C65="Yes",G67&gt;=50),(0.75+(G67/200)),1),1.5)</f>
        <v>1.35</v>
      </c>
      <c r="D67" s="544"/>
      <c r="E67" s="543" t="s">
        <v>1759</v>
      </c>
      <c r="G67" s="653">
        <f>C66+G66</f>
        <v>120</v>
      </c>
      <c r="H67" s="544"/>
      <c r="I67" s="776"/>
      <c r="J67" s="1928" t="s">
        <v>132</v>
      </c>
      <c r="K67" s="1928"/>
      <c r="L67" s="1928"/>
      <c r="M67" s="1928"/>
      <c r="N67" s="1928"/>
      <c r="O67" s="1928"/>
      <c r="P67" s="1928"/>
      <c r="Q67" s="1928"/>
      <c r="R67" s="1928"/>
      <c r="U67" s="194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0"/>
    </row>
    <row r="69" spans="1:22" ht="15" customHeight="1">
      <c r="U69" s="1953">
        <f>SUM(U61:U68)</f>
        <v>0</v>
      </c>
    </row>
    <row r="70" spans="1:22" ht="15" customHeight="1" thickBot="1">
      <c r="B70" s="523" t="s">
        <v>1685</v>
      </c>
      <c r="C70" s="523"/>
      <c r="D70" s="523"/>
      <c r="E70" s="523"/>
      <c r="F70" s="523"/>
      <c r="G70" s="523"/>
      <c r="U70" s="1954"/>
      <c r="V70" s="377" t="s">
        <v>1880</v>
      </c>
    </row>
    <row r="71" spans="1:22" ht="15" customHeight="1">
      <c r="B71" s="1927" t="s">
        <v>1689</v>
      </c>
      <c r="C71" s="1927"/>
      <c r="D71" s="1927"/>
      <c r="E71" s="523"/>
      <c r="F71" s="523"/>
      <c r="G71" s="533">
        <f>G53*(1-J58)</f>
        <v>24197239.294296194</v>
      </c>
      <c r="J71" s="545"/>
      <c r="K71" s="702" t="s">
        <v>1691</v>
      </c>
      <c r="L71" s="702"/>
      <c r="M71" s="702"/>
      <c r="N71" s="702"/>
      <c r="O71" s="702"/>
      <c r="Q71" s="1916">
        <f>'Basis &amp; Credits'!T23+'Basis &amp; Credits'!Y23+'Basis &amp; Credits'!AD23+'Basis &amp; Credits'!AI23</f>
        <v>55454837.060142279</v>
      </c>
      <c r="R71" s="1916"/>
    </row>
    <row r="72" spans="1:22" ht="15" customHeight="1">
      <c r="B72" s="1918" t="s">
        <v>1690</v>
      </c>
      <c r="C72" s="1918"/>
      <c r="D72" s="1918"/>
      <c r="E72" s="523"/>
      <c r="F72" s="523"/>
      <c r="G72" s="533">
        <f>G71*C67</f>
        <v>32666273.047299866</v>
      </c>
      <c r="J72" s="545"/>
      <c r="K72" s="665"/>
      <c r="L72" s="665"/>
      <c r="M72" s="665"/>
      <c r="N72" s="665"/>
      <c r="O72" s="665"/>
      <c r="Q72" s="1910"/>
      <c r="R72" s="1910"/>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9">
        <f>$G$72</f>
        <v>32666273.047299866</v>
      </c>
      <c r="C75" s="1920"/>
      <c r="D75" s="1920"/>
      <c r="E75" s="1920"/>
      <c r="F75" s="1920"/>
      <c r="G75" s="1920"/>
      <c r="H75" s="546"/>
      <c r="I75" s="1912" t="s">
        <v>149</v>
      </c>
      <c r="J75" s="1913" t="s">
        <v>1036</v>
      </c>
      <c r="K75" s="1912">
        <v>1</v>
      </c>
      <c r="M75" s="399"/>
      <c r="N75" s="525"/>
      <c r="O75" s="672">
        <f>$Q$71</f>
        <v>55454837.060142279</v>
      </c>
      <c r="P75" s="1913" t="s">
        <v>2039</v>
      </c>
      <c r="Q75" s="1921" t="s">
        <v>148</v>
      </c>
      <c r="R75" s="1951">
        <f>((B75/B76)+((1-(O75/O76))/2))+U69</f>
        <v>0.58188445935914501</v>
      </c>
    </row>
    <row r="76" spans="1:22" ht="15" customHeight="1" thickBot="1">
      <c r="B76" s="1922">
        <f>'Sources and Uses Budget'!$C$104+$Q$46-($E$50+$E$51)*(1-$J$58)</f>
        <v>60314918.799999997</v>
      </c>
      <c r="C76" s="1923"/>
      <c r="D76" s="1923"/>
      <c r="E76" s="1923"/>
      <c r="F76" s="1923"/>
      <c r="G76" s="1922"/>
      <c r="I76" s="1912"/>
      <c r="J76" s="1913"/>
      <c r="K76" s="1912"/>
      <c r="M76" s="663"/>
      <c r="O76" s="671">
        <f>B76</f>
        <v>60314918.799999997</v>
      </c>
      <c r="P76" s="1913"/>
      <c r="Q76" s="1921"/>
      <c r="R76" s="195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2249</v>
      </c>
      <c r="C84" s="785"/>
      <c r="D84" s="785"/>
      <c r="E84" s="779"/>
      <c r="F84" s="779"/>
      <c r="G84" s="786"/>
      <c r="I84" s="534"/>
      <c r="K84" s="772" t="s">
        <v>1698</v>
      </c>
      <c r="L84" s="666"/>
      <c r="M84" s="666"/>
      <c r="N84" s="666"/>
      <c r="O84" s="666"/>
      <c r="P84" s="666"/>
      <c r="Q84" s="1914"/>
      <c r="R84" s="1914"/>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4">
        <f>+[4]EVERYTHING!$E$86</f>
        <v>1000000</v>
      </c>
      <c r="R89" s="1914"/>
    </row>
    <row r="90" spans="2:18" ht="15" customHeight="1">
      <c r="B90" s="511" t="s">
        <v>651</v>
      </c>
      <c r="C90" s="512"/>
      <c r="D90" s="513"/>
      <c r="E90" s="513"/>
      <c r="F90" s="555"/>
      <c r="G90" s="388">
        <f>MAX(($E90-$D90)*$C90*12,0)</f>
        <v>0</v>
      </c>
      <c r="I90" s="534"/>
      <c r="K90" s="773" t="s">
        <v>1700</v>
      </c>
      <c r="L90" s="699"/>
      <c r="M90" s="699"/>
      <c r="N90" s="699"/>
      <c r="O90" s="699"/>
      <c r="P90" s="699"/>
      <c r="Q90" s="1917">
        <v>20</v>
      </c>
      <c r="R90" s="1917"/>
    </row>
    <row r="91" spans="2:18" ht="15" customHeight="1">
      <c r="B91" s="511" t="s">
        <v>651</v>
      </c>
      <c r="C91" s="512"/>
      <c r="D91" s="513"/>
      <c r="E91" s="513"/>
      <c r="F91" s="555"/>
      <c r="G91" s="388">
        <f t="shared" ref="G91:G97" si="0">MAX(($E91-$D91)*$C91*12,0)</f>
        <v>0</v>
      </c>
      <c r="I91" s="534"/>
      <c r="K91" s="773" t="s">
        <v>1703</v>
      </c>
      <c r="L91" s="699"/>
      <c r="M91" s="699"/>
      <c r="N91" s="699"/>
      <c r="O91" s="699"/>
      <c r="P91" s="699"/>
      <c r="Q91" s="1915">
        <f>IFERROR(Q89/Q90,0)</f>
        <v>50000</v>
      </c>
      <c r="R91" s="1915"/>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6">
        <f>MAX(Q84,Q91)</f>
        <v>50000</v>
      </c>
      <c r="R93" s="191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50000</v>
      </c>
      <c r="I100" s="534"/>
    </row>
    <row r="101" spans="2:9" ht="15" customHeight="1">
      <c r="B101" s="380" t="s">
        <v>1032</v>
      </c>
      <c r="D101" s="551">
        <v>0.05</v>
      </c>
      <c r="I101" s="534"/>
    </row>
    <row r="102" spans="2:9" ht="15" customHeight="1">
      <c r="B102" s="380" t="s">
        <v>1062</v>
      </c>
      <c r="D102" s="535">
        <f>D100-(D100*D101)</f>
        <v>47500</v>
      </c>
    </row>
    <row r="103" spans="2:9" ht="15" customHeight="1">
      <c r="B103" s="380" t="s">
        <v>1693</v>
      </c>
      <c r="D103" s="552"/>
    </row>
    <row r="104" spans="2:9" ht="15" customHeight="1">
      <c r="B104" s="380" t="s">
        <v>1702</v>
      </c>
      <c r="D104" s="535">
        <f>D102/D108</f>
        <v>41304.34782608696</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465335.29429619451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I15" sqref="I1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946480.79999999993</v>
      </c>
      <c r="F4" s="388"/>
      <c r="G4" s="388">
        <f>E4*$C$4</f>
        <v>970142.81999999983</v>
      </c>
      <c r="H4" s="388"/>
      <c r="I4" s="388">
        <f>G4*$C$4</f>
        <v>994396.39049999975</v>
      </c>
      <c r="J4" s="388"/>
      <c r="K4" s="388">
        <f>I4*$C$4</f>
        <v>1019256.3002624996</v>
      </c>
      <c r="L4" s="388"/>
      <c r="M4" s="388">
        <f>K4*$C$4</f>
        <v>1044737.707769062</v>
      </c>
      <c r="N4" s="388"/>
      <c r="O4" s="388">
        <f>M4*$C$4</f>
        <v>1070856.1504632884</v>
      </c>
      <c r="P4" s="388"/>
      <c r="Q4" s="388">
        <f>O4*$C$4</f>
        <v>1097627.5542248706</v>
      </c>
      <c r="R4" s="388"/>
      <c r="S4" s="388">
        <f>Q4*$C$4</f>
        <v>1125068.2430804924</v>
      </c>
      <c r="T4" s="388"/>
      <c r="U4" s="388">
        <f>S4*$C$4</f>
        <v>1153194.9491575046</v>
      </c>
      <c r="V4" s="388"/>
      <c r="W4" s="388">
        <f>U4*$C$4</f>
        <v>1182024.8228864421</v>
      </c>
      <c r="X4" s="388"/>
      <c r="Y4" s="388">
        <f>W4*$C$4</f>
        <v>1211575.443458603</v>
      </c>
      <c r="Z4" s="388"/>
      <c r="AA4" s="388">
        <f>Y4*$C$4</f>
        <v>1241864.8295450679</v>
      </c>
      <c r="AB4" s="388"/>
      <c r="AC4" s="388">
        <f>AA4*$C$4</f>
        <v>1272911.4502836945</v>
      </c>
      <c r="AD4" s="388"/>
      <c r="AE4" s="388">
        <f>AC4*$C$4</f>
        <v>1304734.2365407867</v>
      </c>
      <c r="AF4" s="388"/>
      <c r="AG4" s="388">
        <f>AE4*$C$4</f>
        <v>1337352.5924543063</v>
      </c>
      <c r="AH4" s="388"/>
    </row>
    <row r="5" spans="1:34" ht="14.25">
      <c r="A5" s="380"/>
      <c r="B5" s="380" t="s">
        <v>1032</v>
      </c>
      <c r="C5" s="412">
        <f>IF(Application!$D$214="Special Needs",0.1,0.05)*0+6.86%</f>
        <v>6.8600000000000008E-2</v>
      </c>
      <c r="D5" s="380"/>
      <c r="E5" s="390">
        <f>-E4*$C$5</f>
        <v>-64928.582880000002</v>
      </c>
      <c r="F5" s="390"/>
      <c r="G5" s="390">
        <f>-G4*$C$5</f>
        <v>-66551.797451999999</v>
      </c>
      <c r="H5" s="390"/>
      <c r="I5" s="390">
        <f>-I4*$C$5</f>
        <v>-68215.592388299992</v>
      </c>
      <c r="J5" s="390"/>
      <c r="K5" s="390">
        <f>-K4*$C$5</f>
        <v>-69920.982198007478</v>
      </c>
      <c r="L5" s="390"/>
      <c r="M5" s="390">
        <f>-M4*$C$5</f>
        <v>-71669.006752957663</v>
      </c>
      <c r="N5" s="390"/>
      <c r="O5" s="390">
        <f>-O4*$C$5</f>
        <v>-73460.731921781597</v>
      </c>
      <c r="P5" s="390"/>
      <c r="Q5" s="390">
        <f>-Q4*$C$5</f>
        <v>-75297.250219826135</v>
      </c>
      <c r="R5" s="390"/>
      <c r="S5" s="390">
        <f>-S4*$C$5</f>
        <v>-77179.681475321791</v>
      </c>
      <c r="T5" s="390"/>
      <c r="U5" s="390">
        <f>-U4*$C$5</f>
        <v>-79109.173512204827</v>
      </c>
      <c r="V5" s="390"/>
      <c r="W5" s="390">
        <f>-W4*$C$5</f>
        <v>-81086.902850009938</v>
      </c>
      <c r="X5" s="390"/>
      <c r="Y5" s="390">
        <f>-Y4*$C$5</f>
        <v>-83114.075421260175</v>
      </c>
      <c r="Z5" s="390"/>
      <c r="AA5" s="390">
        <f>-AA4*$C$5</f>
        <v>-85191.927306791666</v>
      </c>
      <c r="AB5" s="390"/>
      <c r="AC5" s="390">
        <f>-AC4*$C$5</f>
        <v>-87321.72548946146</v>
      </c>
      <c r="AD5" s="390"/>
      <c r="AE5" s="390">
        <f>-AE4*$C$5</f>
        <v>-89504.768626697973</v>
      </c>
      <c r="AF5" s="390"/>
      <c r="AG5" s="390">
        <f>-AG4*$C$5</f>
        <v>-91742.387842365424</v>
      </c>
      <c r="AH5" s="380"/>
    </row>
    <row r="6" spans="1:34" ht="14.25">
      <c r="A6" s="380" t="s">
        <v>1121</v>
      </c>
      <c r="B6" s="380"/>
      <c r="C6" s="411">
        <v>1.0249999999999999</v>
      </c>
      <c r="D6" s="380"/>
      <c r="E6" s="391">
        <f>Application!Z773</f>
        <v>50000.399999999994</v>
      </c>
      <c r="F6" s="391"/>
      <c r="G6" s="391">
        <f>E6*$C$6</f>
        <v>51250.409999999989</v>
      </c>
      <c r="H6" s="391"/>
      <c r="I6" s="391">
        <f>G6*$C$6</f>
        <v>52531.670249999981</v>
      </c>
      <c r="J6" s="391"/>
      <c r="K6" s="391">
        <f>I6*$C$6</f>
        <v>53844.962006249974</v>
      </c>
      <c r="L6" s="391"/>
      <c r="M6" s="391">
        <f>K6*$C$6</f>
        <v>55191.086056406217</v>
      </c>
      <c r="N6" s="391"/>
      <c r="O6" s="391">
        <f>M6*$C$6</f>
        <v>56570.863207816365</v>
      </c>
      <c r="P6" s="391"/>
      <c r="Q6" s="391">
        <f>O6*$C$6</f>
        <v>57985.134788011768</v>
      </c>
      <c r="R6" s="391"/>
      <c r="S6" s="391">
        <f>Q6*$C$6</f>
        <v>59434.763157712056</v>
      </c>
      <c r="T6" s="391"/>
      <c r="U6" s="391">
        <f>S6*$C$6</f>
        <v>60920.632236654848</v>
      </c>
      <c r="V6" s="391"/>
      <c r="W6" s="391">
        <f>U6*$C$6</f>
        <v>62443.648042571214</v>
      </c>
      <c r="X6" s="391"/>
      <c r="Y6" s="391">
        <f>W6*$C$6</f>
        <v>64004.739243635486</v>
      </c>
      <c r="Z6" s="391"/>
      <c r="AA6" s="391">
        <f>Y6*$C$6</f>
        <v>65604.85772472636</v>
      </c>
      <c r="AB6" s="391"/>
      <c r="AC6" s="391">
        <f>AA6*$C$6</f>
        <v>67244.979167844518</v>
      </c>
      <c r="AD6" s="391"/>
      <c r="AE6" s="391">
        <f>AC6*$C$6</f>
        <v>68926.103647040625</v>
      </c>
      <c r="AF6" s="391"/>
      <c r="AG6" s="391">
        <f>AE6*$C$6</f>
        <v>70649.256238216636</v>
      </c>
      <c r="AH6" s="380"/>
    </row>
    <row r="7" spans="1:34" ht="14.25">
      <c r="A7" s="380"/>
      <c r="B7" s="380" t="s">
        <v>1032</v>
      </c>
      <c r="C7" s="412">
        <f>IF(Application!$D$214="Special Needs",0.1,0.05)*0+6.86%</f>
        <v>6.8600000000000008E-2</v>
      </c>
      <c r="D7" s="380"/>
      <c r="E7" s="390">
        <f>-E6*$C$7</f>
        <v>-3430.0274399999998</v>
      </c>
      <c r="F7" s="390"/>
      <c r="G7" s="390">
        <f>-G6*$C$7</f>
        <v>-3515.7781259999997</v>
      </c>
      <c r="H7" s="390"/>
      <c r="I7" s="390">
        <f>-I6*$C$7</f>
        <v>-3603.6725791499989</v>
      </c>
      <c r="J7" s="390"/>
      <c r="K7" s="390">
        <f>-K6*$C$7</f>
        <v>-3693.7643936287486</v>
      </c>
      <c r="L7" s="390"/>
      <c r="M7" s="390">
        <f>-M6*$C$7</f>
        <v>-3786.108503469467</v>
      </c>
      <c r="N7" s="390"/>
      <c r="O7" s="390">
        <f>-O6*$C$7</f>
        <v>-3880.761216056203</v>
      </c>
      <c r="P7" s="390"/>
      <c r="Q7" s="390">
        <f>-Q6*$C$7</f>
        <v>-3977.780246457608</v>
      </c>
      <c r="R7" s="390"/>
      <c r="S7" s="390">
        <f>-S6*$C$7</f>
        <v>-4077.2247526190476</v>
      </c>
      <c r="T7" s="390"/>
      <c r="U7" s="390">
        <f>-U6*$C$7</f>
        <v>-4179.1553714345227</v>
      </c>
      <c r="V7" s="390"/>
      <c r="W7" s="390">
        <f>-W6*$C$7</f>
        <v>-4283.6342557203861</v>
      </c>
      <c r="X7" s="390"/>
      <c r="Y7" s="390">
        <f>-Y6*$C$7</f>
        <v>-4390.725112113395</v>
      </c>
      <c r="Z7" s="390"/>
      <c r="AA7" s="390">
        <f>-AA6*$C$7</f>
        <v>-4500.493239916229</v>
      </c>
      <c r="AB7" s="390"/>
      <c r="AC7" s="390">
        <f>-AC6*$C$7</f>
        <v>-4613.0055709141343</v>
      </c>
      <c r="AD7" s="390"/>
      <c r="AE7" s="390">
        <f>-AE6*$C$7</f>
        <v>-4728.3307101869877</v>
      </c>
      <c r="AF7" s="390"/>
      <c r="AG7" s="390">
        <f>-AG6*$C$7</f>
        <v>-4846.5389779416619</v>
      </c>
      <c r="AH7" s="380"/>
    </row>
    <row r="8" spans="1:34" ht="14.25">
      <c r="A8" s="380" t="s">
        <v>276</v>
      </c>
      <c r="B8" s="380"/>
      <c r="C8" s="411">
        <v>1.0249999999999999</v>
      </c>
      <c r="D8" s="380"/>
      <c r="E8" s="391">
        <f>Application!Z781</f>
        <v>6240</v>
      </c>
      <c r="F8" s="391"/>
      <c r="G8" s="391">
        <f>E8*$C$8</f>
        <v>6395.9999999999991</v>
      </c>
      <c r="H8" s="391"/>
      <c r="I8" s="391">
        <f>G8*$C$8</f>
        <v>6555.8999999999987</v>
      </c>
      <c r="J8" s="391"/>
      <c r="K8" s="391">
        <f>I8*$C$8</f>
        <v>6719.7974999999979</v>
      </c>
      <c r="L8" s="391"/>
      <c r="M8" s="391">
        <f>K8*$C$8</f>
        <v>6887.7924374999975</v>
      </c>
      <c r="N8" s="391"/>
      <c r="O8" s="391">
        <f>M8*$C$8</f>
        <v>7059.9872484374964</v>
      </c>
      <c r="P8" s="391"/>
      <c r="Q8" s="391">
        <f>O8*$C$8</f>
        <v>7236.486929648433</v>
      </c>
      <c r="R8" s="391"/>
      <c r="S8" s="391">
        <f>Q8*$C$8</f>
        <v>7417.3991028896435</v>
      </c>
      <c r="T8" s="391"/>
      <c r="U8" s="391">
        <f>S8*$C$8</f>
        <v>7602.8340804618838</v>
      </c>
      <c r="V8" s="391"/>
      <c r="W8" s="391">
        <f>U8*$C$8</f>
        <v>7792.9049324734306</v>
      </c>
      <c r="X8" s="391"/>
      <c r="Y8" s="391">
        <f>W8*$C$8</f>
        <v>7987.7275557852654</v>
      </c>
      <c r="Z8" s="391"/>
      <c r="AA8" s="391">
        <f>Y8*$C$8</f>
        <v>8187.4207446798964</v>
      </c>
      <c r="AB8" s="391"/>
      <c r="AC8" s="391">
        <f>AA8*$C$8</f>
        <v>8392.1062632968933</v>
      </c>
      <c r="AD8" s="391"/>
      <c r="AE8" s="391">
        <f>AC8*$C$8</f>
        <v>8601.9089198793154</v>
      </c>
      <c r="AF8" s="391"/>
      <c r="AG8" s="391">
        <f>AE8*$C$8</f>
        <v>8816.9566428762973</v>
      </c>
      <c r="AH8" s="380"/>
    </row>
    <row r="9" spans="1:34" ht="14.25">
      <c r="A9" s="380"/>
      <c r="B9" s="380" t="s">
        <v>1032</v>
      </c>
      <c r="C9" s="412">
        <f>IF(Application!$D$214="Special Needs",0.1,0.05)*0+6.86%</f>
        <v>6.8600000000000008E-2</v>
      </c>
      <c r="D9" s="380"/>
      <c r="E9" s="390">
        <f>-E8*$C$9</f>
        <v>-428.06400000000008</v>
      </c>
      <c r="F9" s="390"/>
      <c r="G9" s="390">
        <f>-G8*$C$9</f>
        <v>-438.76560000000001</v>
      </c>
      <c r="H9" s="390"/>
      <c r="I9" s="390">
        <f>-I8*$C$9</f>
        <v>-449.73473999999999</v>
      </c>
      <c r="J9" s="390"/>
      <c r="K9" s="390">
        <f>-K8*$C$9</f>
        <v>-460.97810849999991</v>
      </c>
      <c r="L9" s="390"/>
      <c r="M9" s="390">
        <f>-M8*$C$9</f>
        <v>-472.50256121249987</v>
      </c>
      <c r="N9" s="390"/>
      <c r="O9" s="390">
        <f>-O8*$C$9</f>
        <v>-484.31512524281231</v>
      </c>
      <c r="P9" s="390"/>
      <c r="Q9" s="390">
        <f>-Q8*$C$9</f>
        <v>-496.42300337388258</v>
      </c>
      <c r="R9" s="390"/>
      <c r="S9" s="390">
        <f>-S8*$C$9</f>
        <v>-508.83357845822962</v>
      </c>
      <c r="T9" s="390"/>
      <c r="U9" s="390">
        <f>-U8*$C$9</f>
        <v>-521.55441791968531</v>
      </c>
      <c r="V9" s="390"/>
      <c r="W9" s="390">
        <f>-W8*$C$9</f>
        <v>-534.59327836767739</v>
      </c>
      <c r="X9" s="390"/>
      <c r="Y9" s="390">
        <f>-Y8*$C$9</f>
        <v>-547.95811032686925</v>
      </c>
      <c r="Z9" s="390"/>
      <c r="AA9" s="390">
        <f>-AA8*$C$9</f>
        <v>-561.65706308504093</v>
      </c>
      <c r="AB9" s="390"/>
      <c r="AC9" s="390">
        <f>-AC8*$C$9</f>
        <v>-575.69848966216693</v>
      </c>
      <c r="AD9" s="390"/>
      <c r="AE9" s="390">
        <f>-AE8*$C$9</f>
        <v>-590.09095190372113</v>
      </c>
      <c r="AF9" s="390"/>
      <c r="AG9" s="390">
        <f>-AG8*$C$9</f>
        <v>-604.84322570131405</v>
      </c>
      <c r="AH9" s="380"/>
    </row>
    <row r="10" spans="1:34" ht="14.25">
      <c r="A10" s="955" t="s">
        <v>2523</v>
      </c>
      <c r="B10" s="955"/>
      <c r="C10" s="412"/>
      <c r="D10" s="380"/>
      <c r="E10" s="956">
        <v>0</v>
      </c>
      <c r="F10" s="390"/>
      <c r="G10" s="956">
        <v>0</v>
      </c>
      <c r="H10" s="390"/>
      <c r="I10" s="956">
        <v>0</v>
      </c>
      <c r="J10" s="390"/>
      <c r="K10" s="956">
        <f>-[4]EVERYTHING!$BF$45</f>
        <v>2631.9852187501092</v>
      </c>
      <c r="L10" s="390"/>
      <c r="M10" s="956">
        <f>-[4]EVERYTHING!$BG$45</f>
        <v>7643.4832536188478</v>
      </c>
      <c r="N10" s="390"/>
      <c r="O10" s="956">
        <f>-[4]EVERYTHING!$BH$45</f>
        <v>13069.227226813236</v>
      </c>
      <c r="P10" s="390"/>
      <c r="Q10" s="956">
        <f>-[4]EVERYTHING!$BI$45</f>
        <v>18929.686833852582</v>
      </c>
      <c r="R10" s="390"/>
      <c r="S10" s="956">
        <f>-[4]EVERYTHING!$BJ$45</f>
        <v>25246.197486790508</v>
      </c>
      <c r="T10" s="390"/>
      <c r="U10" s="956">
        <f>-[4]EVERYTHING!$BK$45</f>
        <v>32040.994346225314</v>
      </c>
      <c r="V10" s="390"/>
      <c r="W10" s="956">
        <f>-[4]EVERYTHING!$BL$45</f>
        <v>39337.247637725348</v>
      </c>
      <c r="X10" s="390"/>
      <c r="Y10" s="956">
        <f>-[4]EVERYTHING!$BM$45</f>
        <v>47159.099299962079</v>
      </c>
      <c r="Z10" s="390"/>
      <c r="AA10" s="956">
        <f>-[4]EVERYTHING!$BN$45</f>
        <v>55531.701013550541</v>
      </c>
      <c r="AB10" s="390"/>
      <c r="AC10" s="956">
        <f>-[4]EVERYTHING!$BO$45</f>
        <v>64481.253661366325</v>
      </c>
      <c r="AD10" s="390"/>
      <c r="AE10" s="956">
        <f>-[4]EVERYTHING!$BP$45</f>
        <v>74035.04827296469</v>
      </c>
      <c r="AF10" s="390"/>
      <c r="AG10" s="956">
        <f>-[4]EVERYTHING!$BQ$45</f>
        <v>84221.508507604856</v>
      </c>
      <c r="AH10" s="380"/>
    </row>
    <row r="11" spans="1:34" ht="15">
      <c r="A11" s="392" t="s">
        <v>1122</v>
      </c>
      <c r="B11" s="392"/>
      <c r="C11" s="385"/>
      <c r="D11" s="392"/>
      <c r="E11" s="392">
        <f>SUM(E4:E10)</f>
        <v>933934.52567999996</v>
      </c>
      <c r="F11" s="392"/>
      <c r="G11" s="392">
        <f>SUM(G4:G10)</f>
        <v>957282.88882199989</v>
      </c>
      <c r="H11" s="392"/>
      <c r="I11" s="392">
        <f>SUM(I4:I10)</f>
        <v>981214.96104254981</v>
      </c>
      <c r="J11" s="392"/>
      <c r="K11" s="392">
        <f>SUM(K4:K10)</f>
        <v>1008377.3202873634</v>
      </c>
      <c r="L11" s="392"/>
      <c r="M11" s="392">
        <f>SUM(M4:M10)</f>
        <v>1038532.4516989473</v>
      </c>
      <c r="N11" s="392"/>
      <c r="O11" s="392">
        <f>SUM(O4:O10)</f>
        <v>1069730.4198832749</v>
      </c>
      <c r="P11" s="392"/>
      <c r="Q11" s="392">
        <f>SUM(Q4:Q10)</f>
        <v>1102007.4093067257</v>
      </c>
      <c r="R11" s="392"/>
      <c r="S11" s="392">
        <f>SUM(S4:S10)</f>
        <v>1135400.8630214857</v>
      </c>
      <c r="T11" s="392"/>
      <c r="U11" s="392">
        <f>SUM(U4:U10)</f>
        <v>1169949.5265192878</v>
      </c>
      <c r="V11" s="392"/>
      <c r="W11" s="392">
        <f>SUM(W4:W10)</f>
        <v>1205693.493115114</v>
      </c>
      <c r="X11" s="392"/>
      <c r="Y11" s="392">
        <f>SUM(Y4:Y10)</f>
        <v>1242674.2509142854</v>
      </c>
      <c r="Z11" s="392"/>
      <c r="AA11" s="392">
        <f>SUM(AA4:AA10)</f>
        <v>1280934.7314182317</v>
      </c>
      <c r="AB11" s="392"/>
      <c r="AC11" s="392">
        <f>SUM(AC4:AC10)</f>
        <v>1320519.3598261643</v>
      </c>
      <c r="AD11" s="392"/>
      <c r="AE11" s="392">
        <f>SUM(AE4:AE10)</f>
        <v>1361474.1070918825</v>
      </c>
      <c r="AF11" s="392"/>
      <c r="AG11" s="392">
        <f>SUM(AG4:AG10)</f>
        <v>1403846.5437969957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55400</v>
      </c>
      <c r="F15" s="388"/>
      <c r="G15" s="388">
        <f t="shared" ref="G15:G21" si="0">E15*$C$14</f>
        <v>57338.999999999993</v>
      </c>
      <c r="H15" s="388"/>
      <c r="I15" s="388">
        <f t="shared" ref="I15:I21" si="1">G15*$C$14</f>
        <v>59345.864999999991</v>
      </c>
      <c r="J15" s="388"/>
      <c r="K15" s="388">
        <f t="shared" ref="K15:K21" si="2">I15*$C$14</f>
        <v>61422.970274999985</v>
      </c>
      <c r="L15" s="388"/>
      <c r="M15" s="388">
        <f t="shared" ref="M15:M21" si="3">K15*$C$14</f>
        <v>63572.77423462498</v>
      </c>
      <c r="N15" s="388"/>
      <c r="O15" s="388">
        <f t="shared" ref="O15:O21" si="4">M15*$C$14</f>
        <v>65797.821332836844</v>
      </c>
      <c r="P15" s="388"/>
      <c r="Q15" s="388">
        <f t="shared" ref="Q15:Q21" si="5">O15*$C$14</f>
        <v>68100.745079486122</v>
      </c>
      <c r="R15" s="388"/>
      <c r="S15" s="388">
        <f t="shared" ref="S15:S21" si="6">Q15*$C$14</f>
        <v>70484.271157268129</v>
      </c>
      <c r="T15" s="388"/>
      <c r="U15" s="388">
        <f t="shared" ref="U15:U21" si="7">S15*$C$14</f>
        <v>72951.220647772512</v>
      </c>
      <c r="V15" s="388"/>
      <c r="W15" s="388">
        <f t="shared" ref="W15:W21" si="8">U15*$C$14</f>
        <v>75504.513370444547</v>
      </c>
      <c r="X15" s="388"/>
      <c r="Y15" s="388">
        <f t="shared" ref="Y15:Y21" si="9">W15*$C$14</f>
        <v>78147.171338410102</v>
      </c>
      <c r="Z15" s="388"/>
      <c r="AA15" s="388">
        <f t="shared" ref="AA15:AA21" si="10">Y15*$C$14</f>
        <v>80882.322335254445</v>
      </c>
      <c r="AB15" s="388"/>
      <c r="AC15" s="388">
        <f t="shared" ref="AC15:AC21" si="11">AA15*$C$14</f>
        <v>83713.20361698835</v>
      </c>
      <c r="AD15" s="388"/>
      <c r="AE15" s="388">
        <f t="shared" ref="AE15:AE21" si="12">AC15*$C$14</f>
        <v>86643.16574358294</v>
      </c>
      <c r="AF15" s="388"/>
      <c r="AG15" s="388">
        <f t="shared" ref="AG15:AG21" si="13">AE15*$C$14</f>
        <v>89675.67654460833</v>
      </c>
      <c r="AH15" s="388"/>
    </row>
    <row r="16" spans="1:34" ht="14.25">
      <c r="A16" s="380" t="s">
        <v>497</v>
      </c>
      <c r="B16" s="380"/>
      <c r="C16" s="402"/>
      <c r="D16" s="380"/>
      <c r="E16" s="391">
        <f>Application!W813</f>
        <v>82000</v>
      </c>
      <c r="F16" s="391"/>
      <c r="G16" s="391">
        <f t="shared" si="0"/>
        <v>84870</v>
      </c>
      <c r="H16" s="391"/>
      <c r="I16" s="391">
        <f t="shared" si="1"/>
        <v>87840.45</v>
      </c>
      <c r="J16" s="391"/>
      <c r="K16" s="391">
        <f t="shared" si="2"/>
        <v>90914.865749999997</v>
      </c>
      <c r="L16" s="391"/>
      <c r="M16" s="391">
        <f t="shared" si="3"/>
        <v>94096.886051249996</v>
      </c>
      <c r="N16" s="391"/>
      <c r="O16" s="391">
        <f t="shared" si="4"/>
        <v>97390.277063043744</v>
      </c>
      <c r="P16" s="391"/>
      <c r="Q16" s="391">
        <f t="shared" si="5"/>
        <v>100798.93676025026</v>
      </c>
      <c r="R16" s="391"/>
      <c r="S16" s="391">
        <f t="shared" si="6"/>
        <v>104326.89954685901</v>
      </c>
      <c r="T16" s="391"/>
      <c r="U16" s="391">
        <f t="shared" si="7"/>
        <v>107978.34103099907</v>
      </c>
      <c r="V16" s="391"/>
      <c r="W16" s="391">
        <f t="shared" si="8"/>
        <v>111757.58296708403</v>
      </c>
      <c r="X16" s="391"/>
      <c r="Y16" s="391">
        <f t="shared" si="9"/>
        <v>115669.09837093197</v>
      </c>
      <c r="Z16" s="391"/>
      <c r="AA16" s="391">
        <f t="shared" si="10"/>
        <v>119717.51681391458</v>
      </c>
      <c r="AB16" s="391"/>
      <c r="AC16" s="391">
        <f t="shared" si="11"/>
        <v>123907.62990240159</v>
      </c>
      <c r="AD16" s="391"/>
      <c r="AE16" s="391">
        <f t="shared" si="12"/>
        <v>128244.39694898564</v>
      </c>
      <c r="AF16" s="391"/>
      <c r="AG16" s="391">
        <f t="shared" si="13"/>
        <v>132732.95084220014</v>
      </c>
      <c r="AH16" s="380"/>
    </row>
    <row r="17" spans="1:34" ht="14.25">
      <c r="A17" s="380" t="s">
        <v>770</v>
      </c>
      <c r="B17" s="380"/>
      <c r="C17" s="402"/>
      <c r="D17" s="380"/>
      <c r="E17" s="391">
        <f>Application!W819</f>
        <v>97677</v>
      </c>
      <c r="F17" s="391"/>
      <c r="G17" s="391">
        <f t="shared" si="0"/>
        <v>101095.69499999999</v>
      </c>
      <c r="H17" s="391"/>
      <c r="I17" s="391">
        <f t="shared" si="1"/>
        <v>104634.04432499998</v>
      </c>
      <c r="J17" s="391"/>
      <c r="K17" s="391">
        <f t="shared" si="2"/>
        <v>108296.23587637497</v>
      </c>
      <c r="L17" s="391"/>
      <c r="M17" s="391">
        <f t="shared" si="3"/>
        <v>112086.60413204809</v>
      </c>
      <c r="N17" s="391"/>
      <c r="O17" s="391">
        <f t="shared" si="4"/>
        <v>116009.63527666977</v>
      </c>
      <c r="P17" s="391"/>
      <c r="Q17" s="391">
        <f t="shared" si="5"/>
        <v>120069.9725113532</v>
      </c>
      <c r="R17" s="391"/>
      <c r="S17" s="391">
        <f t="shared" si="6"/>
        <v>124272.42154925056</v>
      </c>
      <c r="T17" s="391"/>
      <c r="U17" s="391">
        <f t="shared" si="7"/>
        <v>128621.95630347432</v>
      </c>
      <c r="V17" s="391"/>
      <c r="W17" s="391">
        <f t="shared" si="8"/>
        <v>133123.7247740959</v>
      </c>
      <c r="X17" s="391"/>
      <c r="Y17" s="391">
        <f t="shared" si="9"/>
        <v>137783.05514118925</v>
      </c>
      <c r="Z17" s="391"/>
      <c r="AA17" s="391">
        <f t="shared" si="10"/>
        <v>142605.46207113087</v>
      </c>
      <c r="AB17" s="391"/>
      <c r="AC17" s="391">
        <f t="shared" si="11"/>
        <v>147596.65324362044</v>
      </c>
      <c r="AD17" s="391"/>
      <c r="AE17" s="391">
        <f t="shared" si="12"/>
        <v>152762.53610714714</v>
      </c>
      <c r="AF17" s="391"/>
      <c r="AG17" s="391">
        <f t="shared" si="13"/>
        <v>158109.22487089728</v>
      </c>
      <c r="AH17" s="380"/>
    </row>
    <row r="18" spans="1:34" ht="14.25">
      <c r="A18" s="380" t="s">
        <v>1126</v>
      </c>
      <c r="B18" s="380"/>
      <c r="C18" s="402"/>
      <c r="D18" s="380"/>
      <c r="E18" s="391">
        <f>Application!W826</f>
        <v>124000</v>
      </c>
      <c r="F18" s="391"/>
      <c r="G18" s="391">
        <f t="shared" si="0"/>
        <v>128339.99999999999</v>
      </c>
      <c r="H18" s="391"/>
      <c r="I18" s="391">
        <f t="shared" si="1"/>
        <v>132831.89999999997</v>
      </c>
      <c r="J18" s="391"/>
      <c r="K18" s="391">
        <f t="shared" si="2"/>
        <v>137481.01649999994</v>
      </c>
      <c r="L18" s="391"/>
      <c r="M18" s="391">
        <f t="shared" si="3"/>
        <v>142292.85207749993</v>
      </c>
      <c r="N18" s="391"/>
      <c r="O18" s="391">
        <f t="shared" si="4"/>
        <v>147273.10190021241</v>
      </c>
      <c r="P18" s="391"/>
      <c r="Q18" s="391">
        <f t="shared" si="5"/>
        <v>152427.66046671983</v>
      </c>
      <c r="R18" s="391"/>
      <c r="S18" s="391">
        <f t="shared" si="6"/>
        <v>157762.62858305502</v>
      </c>
      <c r="T18" s="391"/>
      <c r="U18" s="391">
        <f t="shared" si="7"/>
        <v>163284.32058346193</v>
      </c>
      <c r="V18" s="391"/>
      <c r="W18" s="391">
        <f t="shared" si="8"/>
        <v>168999.27180388308</v>
      </c>
      <c r="X18" s="391"/>
      <c r="Y18" s="391">
        <f t="shared" si="9"/>
        <v>174914.24631701899</v>
      </c>
      <c r="Z18" s="391"/>
      <c r="AA18" s="391">
        <f t="shared" si="10"/>
        <v>181036.24493811463</v>
      </c>
      <c r="AB18" s="391"/>
      <c r="AC18" s="391">
        <f t="shared" si="11"/>
        <v>187372.51351094863</v>
      </c>
      <c r="AD18" s="391"/>
      <c r="AE18" s="391">
        <f t="shared" si="12"/>
        <v>193930.5514838318</v>
      </c>
      <c r="AF18" s="391"/>
      <c r="AG18" s="391">
        <f t="shared" si="13"/>
        <v>200718.1207857659</v>
      </c>
    </row>
    <row r="19" spans="1:34" ht="14.25">
      <c r="A19" s="380" t="s">
        <v>975</v>
      </c>
      <c r="B19" s="380"/>
      <c r="C19" s="402"/>
      <c r="D19" s="380"/>
      <c r="E19" s="391">
        <f>Application!W827</f>
        <v>45000</v>
      </c>
      <c r="F19" s="391"/>
      <c r="G19" s="391">
        <f t="shared" si="0"/>
        <v>46575</v>
      </c>
      <c r="H19" s="391"/>
      <c r="I19" s="391">
        <f t="shared" si="1"/>
        <v>48205.124999999993</v>
      </c>
      <c r="J19" s="391"/>
      <c r="K19" s="391">
        <f t="shared" si="2"/>
        <v>49892.304374999985</v>
      </c>
      <c r="L19" s="391"/>
      <c r="M19" s="391">
        <f t="shared" si="3"/>
        <v>51638.535028124978</v>
      </c>
      <c r="N19" s="391"/>
      <c r="O19" s="391">
        <f t="shared" si="4"/>
        <v>53445.883754109345</v>
      </c>
      <c r="P19" s="391"/>
      <c r="Q19" s="391">
        <f t="shared" si="5"/>
        <v>55316.489685503169</v>
      </c>
      <c r="R19" s="391"/>
      <c r="S19" s="391">
        <f t="shared" si="6"/>
        <v>57252.566824495778</v>
      </c>
      <c r="T19" s="391"/>
      <c r="U19" s="391">
        <f t="shared" si="7"/>
        <v>59256.406663353126</v>
      </c>
      <c r="V19" s="391"/>
      <c r="W19" s="391">
        <f t="shared" si="8"/>
        <v>61330.380896570481</v>
      </c>
      <c r="X19" s="391"/>
      <c r="Y19" s="391">
        <f t="shared" si="9"/>
        <v>63476.944227950444</v>
      </c>
      <c r="Z19" s="391"/>
      <c r="AA19" s="391">
        <f t="shared" si="10"/>
        <v>65698.637275928704</v>
      </c>
      <c r="AB19" s="391"/>
      <c r="AC19" s="391">
        <f t="shared" si="11"/>
        <v>67998.089580586209</v>
      </c>
      <c r="AD19" s="391"/>
      <c r="AE19" s="391">
        <f t="shared" si="12"/>
        <v>70378.022715906714</v>
      </c>
      <c r="AF19" s="391"/>
      <c r="AG19" s="391">
        <f t="shared" si="13"/>
        <v>72841.253510963448</v>
      </c>
    </row>
    <row r="20" spans="1:34" ht="14.25">
      <c r="A20" s="380" t="s">
        <v>59</v>
      </c>
      <c r="B20" s="380"/>
      <c r="C20" s="402"/>
      <c r="D20" s="380"/>
      <c r="E20" s="391">
        <f>Application!W836</f>
        <v>247063</v>
      </c>
      <c r="F20" s="391"/>
      <c r="G20" s="391">
        <f t="shared" si="0"/>
        <v>255710.20499999999</v>
      </c>
      <c r="H20" s="391"/>
      <c r="I20" s="391">
        <f t="shared" si="1"/>
        <v>264660.06217499997</v>
      </c>
      <c r="J20" s="391"/>
      <c r="K20" s="391">
        <f t="shared" si="2"/>
        <v>273923.16435112496</v>
      </c>
      <c r="L20" s="391"/>
      <c r="M20" s="391">
        <f t="shared" si="3"/>
        <v>283510.47510341433</v>
      </c>
      <c r="N20" s="391"/>
      <c r="O20" s="391">
        <f t="shared" si="4"/>
        <v>293433.34173203382</v>
      </c>
      <c r="P20" s="391"/>
      <c r="Q20" s="391">
        <f t="shared" si="5"/>
        <v>303703.50869265496</v>
      </c>
      <c r="R20" s="391"/>
      <c r="S20" s="391">
        <f t="shared" si="6"/>
        <v>314333.13149689784</v>
      </c>
      <c r="T20" s="391"/>
      <c r="U20" s="391">
        <f t="shared" si="7"/>
        <v>325334.79109928926</v>
      </c>
      <c r="V20" s="391"/>
      <c r="W20" s="391">
        <f t="shared" si="8"/>
        <v>336721.50878776435</v>
      </c>
      <c r="X20" s="391"/>
      <c r="Y20" s="391">
        <f t="shared" si="9"/>
        <v>348506.76159533608</v>
      </c>
      <c r="Z20" s="391"/>
      <c r="AA20" s="391">
        <f t="shared" si="10"/>
        <v>360704.49825117283</v>
      </c>
      <c r="AB20" s="391"/>
      <c r="AC20" s="391">
        <f t="shared" si="11"/>
        <v>373329.15568996384</v>
      </c>
      <c r="AD20" s="391"/>
      <c r="AE20" s="391">
        <f t="shared" si="12"/>
        <v>386395.67613911256</v>
      </c>
      <c r="AF20" s="391"/>
      <c r="AG20" s="391">
        <f t="shared" si="13"/>
        <v>399919.52480398148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651140</v>
      </c>
      <c r="F22" s="392"/>
      <c r="G22" s="392">
        <f>SUM(G15:G21)</f>
        <v>673929.9</v>
      </c>
      <c r="H22" s="392"/>
      <c r="I22" s="392">
        <f>SUM(I15:I21)</f>
        <v>697517.44649999985</v>
      </c>
      <c r="J22" s="392"/>
      <c r="K22" s="392">
        <f>SUM(K15:K21)</f>
        <v>721930.55712749984</v>
      </c>
      <c r="L22" s="392"/>
      <c r="M22" s="392">
        <f>SUM(M15:M21)</f>
        <v>747198.12662696233</v>
      </c>
      <c r="N22" s="392"/>
      <c r="O22" s="392">
        <f>SUM(O15:O21)</f>
        <v>773350.06105890591</v>
      </c>
      <c r="P22" s="392"/>
      <c r="Q22" s="392">
        <f>SUM(Q15:Q21)</f>
        <v>800417.31319596758</v>
      </c>
      <c r="R22" s="392"/>
      <c r="S22" s="392">
        <f>SUM(S15:S21)</f>
        <v>828431.91915782634</v>
      </c>
      <c r="T22" s="392"/>
      <c r="U22" s="392">
        <f>SUM(U15:U21)</f>
        <v>857427.03632835019</v>
      </c>
      <c r="V22" s="392"/>
      <c r="W22" s="392">
        <f>SUM(W15:W21)</f>
        <v>887436.98259984236</v>
      </c>
      <c r="X22" s="392"/>
      <c r="Y22" s="392">
        <f>SUM(Y15:Y21)</f>
        <v>918497.27699083672</v>
      </c>
      <c r="Z22" s="392"/>
      <c r="AA22" s="392">
        <f>SUM(AA15:AA21)</f>
        <v>950644.68168551615</v>
      </c>
      <c r="AB22" s="392"/>
      <c r="AC22" s="392">
        <f>SUM(AC15:AC21)</f>
        <v>983917.24554450903</v>
      </c>
      <c r="AD22" s="392"/>
      <c r="AE22" s="392">
        <f>SUM(AE15:AE21)</f>
        <v>1018354.3491385669</v>
      </c>
      <c r="AF22" s="392"/>
      <c r="AG22" s="392">
        <f>SUM(AG15:AG21)</f>
        <v>1053996.7513584166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85000</v>
      </c>
      <c r="F27" s="391"/>
      <c r="G27" s="391">
        <f>E27*$C$27</f>
        <v>87975</v>
      </c>
      <c r="H27" s="391"/>
      <c r="I27" s="391">
        <f>G27*$C$27</f>
        <v>91054.125</v>
      </c>
      <c r="J27" s="391"/>
      <c r="K27" s="391">
        <f>I27*$C$27</f>
        <v>94241.019374999989</v>
      </c>
      <c r="L27" s="391"/>
      <c r="M27" s="391">
        <f>K27*$C$27</f>
        <v>97539.455053124984</v>
      </c>
      <c r="N27" s="391"/>
      <c r="O27" s="391">
        <f>M27*$C$27</f>
        <v>100953.33597998435</v>
      </c>
      <c r="P27" s="391"/>
      <c r="Q27" s="391">
        <f>O27*$C$27</f>
        <v>104486.70273928379</v>
      </c>
      <c r="R27" s="391"/>
      <c r="S27" s="391">
        <f>Q27*$C$27</f>
        <v>108143.73733515872</v>
      </c>
      <c r="T27" s="391"/>
      <c r="U27" s="391">
        <f>S27*$C$27</f>
        <v>111928.76814188926</v>
      </c>
      <c r="V27" s="391"/>
      <c r="W27" s="391">
        <f>U27*$C$27</f>
        <v>115846.27502685538</v>
      </c>
      <c r="X27" s="391"/>
      <c r="Y27" s="391">
        <f>W27*$C$27</f>
        <v>119900.89465279531</v>
      </c>
      <c r="Z27" s="391"/>
      <c r="AA27" s="391">
        <f>Y27*$C$27</f>
        <v>124097.42596564314</v>
      </c>
      <c r="AB27" s="391"/>
      <c r="AC27" s="391">
        <f>AA27*$C$27</f>
        <v>128440.83587444064</v>
      </c>
      <c r="AD27" s="391"/>
      <c r="AE27" s="391">
        <f>AC27*$C$27</f>
        <v>132936.26513004606</v>
      </c>
      <c r="AF27" s="391"/>
      <c r="AG27" s="391">
        <f>AE27*$C$27</f>
        <v>137589.03440959766</v>
      </c>
    </row>
    <row r="28" spans="1:34" ht="14.25">
      <c r="A28" s="614" t="s">
        <v>1129</v>
      </c>
      <c r="B28" s="380"/>
      <c r="C28" s="411"/>
      <c r="D28" s="380"/>
      <c r="E28" s="391">
        <f>Application!AC853</f>
        <v>60000</v>
      </c>
      <c r="F28" s="391"/>
      <c r="G28" s="391">
        <f>$E$28</f>
        <v>60000</v>
      </c>
      <c r="H28" s="391"/>
      <c r="I28" s="391">
        <f>$E$28</f>
        <v>60000</v>
      </c>
      <c r="J28" s="391"/>
      <c r="K28" s="391">
        <f>$E$28</f>
        <v>60000</v>
      </c>
      <c r="L28" s="391"/>
      <c r="M28" s="391">
        <f>$E$28</f>
        <v>60000</v>
      </c>
      <c r="N28" s="391"/>
      <c r="O28" s="391">
        <f>$E$28</f>
        <v>60000</v>
      </c>
      <c r="P28" s="391"/>
      <c r="Q28" s="391">
        <f>$E$28</f>
        <v>60000</v>
      </c>
      <c r="R28" s="391"/>
      <c r="S28" s="391">
        <f>$E$28</f>
        <v>60000</v>
      </c>
      <c r="T28" s="391"/>
      <c r="U28" s="391">
        <f>$E$28</f>
        <v>60000</v>
      </c>
      <c r="V28" s="391"/>
      <c r="W28" s="391">
        <f>$E$28</f>
        <v>60000</v>
      </c>
      <c r="X28" s="391"/>
      <c r="Y28" s="391">
        <f>$E$28</f>
        <v>60000</v>
      </c>
      <c r="Z28" s="391"/>
      <c r="AA28" s="391">
        <f>$E$28</f>
        <v>60000</v>
      </c>
      <c r="AB28" s="391"/>
      <c r="AC28" s="391">
        <f>$E$28</f>
        <v>60000</v>
      </c>
      <c r="AD28" s="391"/>
      <c r="AE28" s="391">
        <f>$E$28</f>
        <v>60000</v>
      </c>
      <c r="AF28" s="391"/>
      <c r="AG28" s="391">
        <f>$E$28</f>
        <v>60000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8500</v>
      </c>
      <c r="F30" s="391"/>
      <c r="G30" s="391">
        <f>E30*$C$30</f>
        <v>8670</v>
      </c>
      <c r="H30" s="391"/>
      <c r="I30" s="391">
        <f>G30*$C$30</f>
        <v>8843.4</v>
      </c>
      <c r="J30" s="391"/>
      <c r="K30" s="391">
        <f>I30*$C$30</f>
        <v>9020.268</v>
      </c>
      <c r="L30" s="391"/>
      <c r="M30" s="391">
        <f>K30*$C$30</f>
        <v>9200.6733600000007</v>
      </c>
      <c r="N30" s="391"/>
      <c r="O30" s="391">
        <f>M30*$C$30</f>
        <v>9384.6868272000011</v>
      </c>
      <c r="P30" s="391"/>
      <c r="Q30" s="391">
        <f>O30*$C$30</f>
        <v>9572.3805637440018</v>
      </c>
      <c r="R30" s="391"/>
      <c r="S30" s="391">
        <f>Q30*$C$30</f>
        <v>9763.8281750188817</v>
      </c>
      <c r="T30" s="391"/>
      <c r="U30" s="391">
        <f>S30*$C$30</f>
        <v>9959.1047385192596</v>
      </c>
      <c r="V30" s="391"/>
      <c r="W30" s="391">
        <f>U30*$C$30</f>
        <v>10158.286833289645</v>
      </c>
      <c r="X30" s="391"/>
      <c r="Y30" s="391">
        <f>W30*$C$30</f>
        <v>10361.452569955438</v>
      </c>
      <c r="Z30" s="391"/>
      <c r="AA30" s="391">
        <f>Y30*$C$30</f>
        <v>10568.681621354546</v>
      </c>
      <c r="AB30" s="391"/>
      <c r="AC30" s="391">
        <f>AA30*$C$30</f>
        <v>10780.055253781637</v>
      </c>
      <c r="AD30" s="391"/>
      <c r="AE30" s="391">
        <f>AC30*$C$30</f>
        <v>10995.65635885727</v>
      </c>
      <c r="AF30" s="391"/>
      <c r="AG30" s="391">
        <f>AE30*$C$30</f>
        <v>11215.569486034416</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804640</v>
      </c>
      <c r="F35" s="392"/>
      <c r="G35" s="392">
        <f>SUM(G22:G33)</f>
        <v>830574.9</v>
      </c>
      <c r="H35" s="392"/>
      <c r="I35" s="392">
        <f>SUM(I22:I33)</f>
        <v>857414.97149999987</v>
      </c>
      <c r="J35" s="392"/>
      <c r="K35" s="392">
        <f>SUM(K22:K33)</f>
        <v>885191.84450249991</v>
      </c>
      <c r="L35" s="392"/>
      <c r="M35" s="392">
        <f>SUM(M22:M33)</f>
        <v>913938.25504008739</v>
      </c>
      <c r="N35" s="392"/>
      <c r="O35" s="392">
        <f>SUM(O22:O33)</f>
        <v>943688.08386609028</v>
      </c>
      <c r="P35" s="392"/>
      <c r="Q35" s="392">
        <f>SUM(Q22:Q33)</f>
        <v>974476.39649899537</v>
      </c>
      <c r="R35" s="392"/>
      <c r="S35" s="392">
        <f>SUM(S22:S33)</f>
        <v>1006339.484668004</v>
      </c>
      <c r="T35" s="392"/>
      <c r="U35" s="392">
        <f>SUM(U22:U33)</f>
        <v>1039314.9092087587</v>
      </c>
      <c r="V35" s="392"/>
      <c r="W35" s="392">
        <f>SUM(W22:W33)</f>
        <v>1073441.5444599874</v>
      </c>
      <c r="X35" s="392"/>
      <c r="Y35" s="392">
        <f>SUM(Y22:Y33)</f>
        <v>1108759.6242135875</v>
      </c>
      <c r="Z35" s="392"/>
      <c r="AA35" s="392">
        <f>SUM(AA22:AA33)</f>
        <v>1145310.7892725137</v>
      </c>
      <c r="AB35" s="392"/>
      <c r="AC35" s="392">
        <f>SUM(AC22:AC33)</f>
        <v>1183138.1366727313</v>
      </c>
      <c r="AD35" s="392"/>
      <c r="AE35" s="392">
        <f>SUM(AE22:AE33)</f>
        <v>1222286.2706274702</v>
      </c>
      <c r="AF35" s="392"/>
      <c r="AG35" s="392">
        <f>SUM(AG22:AG33)</f>
        <v>1262801.3552540487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129294.52567999996</v>
      </c>
      <c r="F37" s="392"/>
      <c r="G37" s="392">
        <f>G11-G35</f>
        <v>126707.98882199987</v>
      </c>
      <c r="H37" s="392"/>
      <c r="I37" s="392">
        <f>I11-I35</f>
        <v>123799.98954254994</v>
      </c>
      <c r="J37" s="392"/>
      <c r="K37" s="392">
        <f>K11-K35</f>
        <v>123185.47578486346</v>
      </c>
      <c r="L37" s="392"/>
      <c r="M37" s="392">
        <f>M11-M35</f>
        <v>124594.19665885996</v>
      </c>
      <c r="N37" s="392"/>
      <c r="O37" s="392">
        <f>O11-O35</f>
        <v>126042.33601718466</v>
      </c>
      <c r="P37" s="392"/>
      <c r="Q37" s="392">
        <f>Q11-Q35</f>
        <v>127531.01280773035</v>
      </c>
      <c r="R37" s="392"/>
      <c r="S37" s="392">
        <f>S11-S35</f>
        <v>129061.37835348176</v>
      </c>
      <c r="T37" s="392"/>
      <c r="U37" s="392">
        <f>U11-U35</f>
        <v>130634.61731052911</v>
      </c>
      <c r="V37" s="392"/>
      <c r="W37" s="392">
        <f>W11-W35</f>
        <v>132251.94865512662</v>
      </c>
      <c r="X37" s="392"/>
      <c r="Y37" s="392">
        <f>Y11-Y35</f>
        <v>133914.62670069793</v>
      </c>
      <c r="Z37" s="392"/>
      <c r="AA37" s="392">
        <f>AA11-AA35</f>
        <v>135623.94214571803</v>
      </c>
      <c r="AB37" s="392"/>
      <c r="AC37" s="392">
        <f>AC11-AC35</f>
        <v>137381.22315343306</v>
      </c>
      <c r="AD37" s="392"/>
      <c r="AE37" s="392">
        <f>AE11-AE35</f>
        <v>139187.83646441228</v>
      </c>
      <c r="AF37" s="392"/>
      <c r="AG37" s="392">
        <f>AG11-AG35</f>
        <v>141045.18854294694</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HCD AHSC </v>
      </c>
      <c r="B40" s="395"/>
      <c r="C40" s="389"/>
      <c r="D40" s="380"/>
      <c r="E40" s="388">
        <f>Application!AF618</f>
        <v>72410.335200000001</v>
      </c>
      <c r="F40" s="388"/>
      <c r="G40" s="388">
        <f>$E$40</f>
        <v>72410.335200000001</v>
      </c>
      <c r="H40" s="388"/>
      <c r="I40" s="388">
        <f>$E$40</f>
        <v>72410.335200000001</v>
      </c>
      <c r="J40" s="388"/>
      <c r="K40" s="388">
        <f>$E$40</f>
        <v>72410.335200000001</v>
      </c>
      <c r="L40" s="388"/>
      <c r="M40" s="388">
        <f>$E$40</f>
        <v>72410.335200000001</v>
      </c>
      <c r="N40" s="388"/>
      <c r="O40" s="388">
        <f>$E$40</f>
        <v>72410.335200000001</v>
      </c>
      <c r="P40" s="388"/>
      <c r="Q40" s="388">
        <f>$E$40</f>
        <v>72410.335200000001</v>
      </c>
      <c r="R40" s="388"/>
      <c r="S40" s="388">
        <f>$E$40</f>
        <v>72410.335200000001</v>
      </c>
      <c r="T40" s="388"/>
      <c r="U40" s="388">
        <f>$E$40</f>
        <v>72410.335200000001</v>
      </c>
      <c r="V40" s="388"/>
      <c r="W40" s="388">
        <f>$E$40</f>
        <v>72410.335200000001</v>
      </c>
      <c r="X40" s="388"/>
      <c r="Y40" s="388">
        <f>$E$40</f>
        <v>72410.335200000001</v>
      </c>
      <c r="Z40" s="388"/>
      <c r="AA40" s="388">
        <f>$E$40</f>
        <v>72410.335200000001</v>
      </c>
      <c r="AB40" s="388"/>
      <c r="AC40" s="388">
        <f>$E$40</f>
        <v>72410.335200000001</v>
      </c>
      <c r="AD40" s="388"/>
      <c r="AE40" s="388">
        <f>$E$40</f>
        <v>72410.335200000001</v>
      </c>
      <c r="AF40" s="388"/>
      <c r="AG40" s="388">
        <f>$E$40</f>
        <v>72410.335200000001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72410.335200000001</v>
      </c>
      <c r="F43" s="392"/>
      <c r="G43" s="392">
        <f>SUM(G40:G42)</f>
        <v>72410.335200000001</v>
      </c>
      <c r="H43" s="392"/>
      <c r="I43" s="392">
        <f>SUM(I40:I42)</f>
        <v>72410.335200000001</v>
      </c>
      <c r="J43" s="392"/>
      <c r="K43" s="392">
        <f>SUM(K40:K42)</f>
        <v>72410.335200000001</v>
      </c>
      <c r="L43" s="392"/>
      <c r="M43" s="392">
        <f>SUM(M40:M42)</f>
        <v>72410.335200000001</v>
      </c>
      <c r="N43" s="392"/>
      <c r="O43" s="392">
        <f>SUM(O40:O42)</f>
        <v>72410.335200000001</v>
      </c>
      <c r="P43" s="392"/>
      <c r="Q43" s="392">
        <f>SUM(Q40:Q42)</f>
        <v>72410.335200000001</v>
      </c>
      <c r="R43" s="392"/>
      <c r="S43" s="392">
        <f>SUM(S40:S42)</f>
        <v>72410.335200000001</v>
      </c>
      <c r="T43" s="392"/>
      <c r="U43" s="392">
        <f>SUM(U40:U42)</f>
        <v>72410.335200000001</v>
      </c>
      <c r="V43" s="392"/>
      <c r="W43" s="392">
        <f>SUM(W40:W42)</f>
        <v>72410.335200000001</v>
      </c>
      <c r="X43" s="392"/>
      <c r="Y43" s="392">
        <f>SUM(Y40:Y42)</f>
        <v>72410.335200000001</v>
      </c>
      <c r="Z43" s="392"/>
      <c r="AA43" s="392">
        <f>SUM(AA40:AA42)</f>
        <v>72410.335200000001</v>
      </c>
      <c r="AB43" s="392"/>
      <c r="AC43" s="392">
        <f>SUM(AC40:AC42)</f>
        <v>72410.335200000001</v>
      </c>
      <c r="AD43" s="392"/>
      <c r="AE43" s="392">
        <f>SUM(AE40:AE42)</f>
        <v>72410.335200000001</v>
      </c>
      <c r="AF43" s="392"/>
      <c r="AG43" s="392">
        <f>SUM(AG40:AG42)</f>
        <v>72410.335200000001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56884.190479999961</v>
      </c>
      <c r="F45" s="392"/>
      <c r="G45" s="392">
        <f>G37-G43</f>
        <v>54297.653621999867</v>
      </c>
      <c r="H45" s="392"/>
      <c r="I45" s="392">
        <f>I37-I43</f>
        <v>51389.65434254994</v>
      </c>
      <c r="J45" s="392"/>
      <c r="K45" s="392">
        <f>K37-K43</f>
        <v>50775.14058486346</v>
      </c>
      <c r="L45" s="392"/>
      <c r="M45" s="392">
        <f>M37-M43</f>
        <v>52183.861458859959</v>
      </c>
      <c r="N45" s="392"/>
      <c r="O45" s="392">
        <f>O37-O43</f>
        <v>53632.000817184657</v>
      </c>
      <c r="P45" s="392"/>
      <c r="Q45" s="392">
        <f>Q37-Q43</f>
        <v>55120.677607730351</v>
      </c>
      <c r="R45" s="392"/>
      <c r="S45" s="392">
        <f>S37-S43</f>
        <v>56651.043153481762</v>
      </c>
      <c r="T45" s="392"/>
      <c r="U45" s="392">
        <f>U37-U43</f>
        <v>58224.282110529108</v>
      </c>
      <c r="V45" s="392"/>
      <c r="W45" s="392">
        <f>W37-W43</f>
        <v>59841.613455126615</v>
      </c>
      <c r="X45" s="392"/>
      <c r="Y45" s="392">
        <f>Y37-Y43</f>
        <v>61504.291500697931</v>
      </c>
      <c r="Z45" s="392"/>
      <c r="AA45" s="392">
        <f>AA37-AA43</f>
        <v>63213.606945718027</v>
      </c>
      <c r="AB45" s="392"/>
      <c r="AC45" s="392">
        <f>AC37-AC43</f>
        <v>64970.887953433063</v>
      </c>
      <c r="AD45" s="392"/>
      <c r="AE45" s="392">
        <f>AE37-AE43</f>
        <v>66777.501264412276</v>
      </c>
      <c r="AF45" s="392"/>
      <c r="AG45" s="392">
        <f>AG37-AG43</f>
        <v>68634.853342946939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5.672981730116005E-2</v>
      </c>
      <c r="F47" s="396"/>
      <c r="G47" s="396">
        <f>G45/(G4+G6+G8)</f>
        <v>5.282956080596396E-2</v>
      </c>
      <c r="H47" s="396"/>
      <c r="I47" s="396">
        <f>I45/(I4+I6+I8)</f>
        <v>4.8780670857071669E-2</v>
      </c>
      <c r="J47" s="396"/>
      <c r="K47" s="396">
        <f>K45/(K4+K6+K8)</f>
        <v>4.7021809887406042E-2</v>
      </c>
      <c r="L47" s="396"/>
      <c r="M47" s="396">
        <f>M45/(M4+M6+M8)</f>
        <v>4.7147704603029507E-2</v>
      </c>
      <c r="N47" s="396"/>
      <c r="O47" s="396">
        <f>O45/(O4+O6+O8)</f>
        <v>4.7274231237302851E-2</v>
      </c>
      <c r="P47" s="396"/>
      <c r="Q47" s="396">
        <f>Q45/(Q4+Q6+Q8)</f>
        <v>4.7401398864176068E-2</v>
      </c>
      <c r="R47" s="396"/>
      <c r="S47" s="396">
        <f>S45/(S4+S6+S8)</f>
        <v>4.752921663193594E-2</v>
      </c>
      <c r="T47" s="396"/>
      <c r="U47" s="396">
        <f>U45/(U4+U6+U8)</f>
        <v>4.7657693764000232E-2</v>
      </c>
      <c r="V47" s="396"/>
      <c r="W47" s="396">
        <f>W45/(W4+W6+W8)</f>
        <v>4.7786839559719622E-2</v>
      </c>
      <c r="X47" s="396"/>
      <c r="Y47" s="396">
        <f>Y45/(Y4+Y6+Y8)</f>
        <v>4.7916663395187478E-2</v>
      </c>
      <c r="Z47" s="396"/>
      <c r="AA47" s="396">
        <f>AA45/(AA4+AA6+AA8)</f>
        <v>4.8047174724056278E-2</v>
      </c>
      <c r="AB47" s="396"/>
      <c r="AC47" s="396">
        <f>AC45/(AC4+AC6+AC8)</f>
        <v>4.817838307836167E-2</v>
      </c>
      <c r="AD47" s="396"/>
      <c r="AE47" s="396">
        <f>AE45/(AE4+AE6+AE8)</f>
        <v>4.8310298069356404E-2</v>
      </c>
      <c r="AF47" s="396"/>
      <c r="AG47" s="396">
        <f>AG45/(AG4+AG6+AG8)</f>
        <v>4.8442929388348439E-2</v>
      </c>
      <c r="AH47" s="396"/>
      <c r="AI47" s="396"/>
    </row>
    <row r="48" spans="1:35" ht="14.25">
      <c r="A48" s="396" t="s">
        <v>1136</v>
      </c>
      <c r="B48" s="396"/>
      <c r="C48" s="389"/>
      <c r="D48" s="396"/>
      <c r="E48" s="396">
        <f>E45/E43</f>
        <v>0.78558109588753788</v>
      </c>
      <c r="F48" s="396"/>
      <c r="G48" s="396">
        <f>G45/G43</f>
        <v>0.74986054783516409</v>
      </c>
      <c r="H48" s="396"/>
      <c r="I48" s="396">
        <f>I45/I43</f>
        <v>0.70970054482705858</v>
      </c>
      <c r="J48" s="396"/>
      <c r="K48" s="396">
        <f>K45/K43</f>
        <v>0.70121399720938538</v>
      </c>
      <c r="L48" s="396"/>
      <c r="M48" s="396">
        <f>M45/M43</f>
        <v>0.7206686906603349</v>
      </c>
      <c r="N48" s="396"/>
      <c r="O48" s="396">
        <f>O45/O43</f>
        <v>0.74066776060421624</v>
      </c>
      <c r="P48" s="396"/>
      <c r="Q48" s="396">
        <f>Q45/Q43</f>
        <v>0.76122665991650251</v>
      </c>
      <c r="R48" s="396"/>
      <c r="S48" s="396">
        <f>S45/S43</f>
        <v>0.78236128857861942</v>
      </c>
      <c r="T48" s="396"/>
      <c r="U48" s="396">
        <f>U45/U43</f>
        <v>0.80408800690828874</v>
      </c>
      <c r="V48" s="396"/>
      <c r="W48" s="396">
        <f>W45/W43</f>
        <v>0.82642364919098754</v>
      </c>
      <c r="X48" s="396"/>
      <c r="Y48" s="396">
        <f>Y45/Y43</f>
        <v>0.84938553772497838</v>
      </c>
      <c r="Z48" s="396"/>
      <c r="AA48" s="396">
        <f>AA45/AA43</f>
        <v>0.87299149729275149</v>
      </c>
      <c r="AB48" s="396"/>
      <c r="AC48" s="396">
        <f>AC45/AC43</f>
        <v>0.89725987007215324</v>
      </c>
      <c r="AD48" s="396"/>
      <c r="AE48" s="396">
        <f>AE45/AE43</f>
        <v>0.92220953100093195</v>
      </c>
      <c r="AF48" s="396"/>
      <c r="AG48" s="396">
        <f>AG45/AG43</f>
        <v>0.94785990360871775</v>
      </c>
      <c r="AH48" s="396"/>
      <c r="AI48" s="396"/>
    </row>
    <row r="49" spans="1:35" ht="14.25">
      <c r="A49" s="397" t="s">
        <v>1137</v>
      </c>
      <c r="B49" s="397"/>
      <c r="C49" s="398"/>
      <c r="D49" s="397"/>
      <c r="E49" s="397">
        <f>E37/E43</f>
        <v>1.785581095887538</v>
      </c>
      <c r="F49" s="397"/>
      <c r="G49" s="397">
        <f>G37/G43</f>
        <v>1.7498605478351641</v>
      </c>
      <c r="H49" s="397"/>
      <c r="I49" s="397">
        <f>I37/I43</f>
        <v>1.7097005448270586</v>
      </c>
      <c r="J49" s="397"/>
      <c r="K49" s="397">
        <f>K37/K43</f>
        <v>1.7012139972093854</v>
      </c>
      <c r="L49" s="397"/>
      <c r="M49" s="397">
        <f>M37/M43</f>
        <v>1.7206686906603348</v>
      </c>
      <c r="N49" s="397"/>
      <c r="O49" s="397">
        <f>O37/O43</f>
        <v>1.7406677606042162</v>
      </c>
      <c r="P49" s="397"/>
      <c r="Q49" s="397">
        <f>Q37/Q43</f>
        <v>1.7612266599165025</v>
      </c>
      <c r="R49" s="397"/>
      <c r="S49" s="397">
        <f>S37/S43</f>
        <v>1.7823612885786193</v>
      </c>
      <c r="T49" s="397"/>
      <c r="U49" s="397">
        <f>U37/U43</f>
        <v>1.8040880069082887</v>
      </c>
      <c r="V49" s="397"/>
      <c r="W49" s="397">
        <f>W37/W43</f>
        <v>1.8264236491909875</v>
      </c>
      <c r="X49" s="397"/>
      <c r="Y49" s="397">
        <f>Y37/Y43</f>
        <v>1.8493855377249784</v>
      </c>
      <c r="Z49" s="397"/>
      <c r="AA49" s="397">
        <f>AA37/AA43</f>
        <v>1.8729914972927515</v>
      </c>
      <c r="AB49" s="397"/>
      <c r="AC49" s="397">
        <f>AC37/AC43</f>
        <v>1.8972598700721532</v>
      </c>
      <c r="AD49" s="397"/>
      <c r="AE49" s="397">
        <f>AE37/AE43</f>
        <v>1.9222095310009319</v>
      </c>
      <c r="AF49" s="397"/>
      <c r="AG49" s="397">
        <f>AG37/AG43</f>
        <v>1.9478599036087176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56884.190479999961</v>
      </c>
      <c r="F60" s="378"/>
      <c r="G60" s="378">
        <f>G45-G58</f>
        <v>54297.653621999867</v>
      </c>
      <c r="H60" s="378"/>
      <c r="I60" s="378">
        <f>I45-I58</f>
        <v>51389.65434254994</v>
      </c>
      <c r="J60" s="378"/>
      <c r="K60" s="378">
        <f>K45-K58</f>
        <v>50775.14058486346</v>
      </c>
      <c r="L60" s="378"/>
      <c r="M60" s="378">
        <f>M45-M58</f>
        <v>52183.861458859959</v>
      </c>
      <c r="N60" s="378"/>
      <c r="O60" s="378">
        <f>O45-O58</f>
        <v>53632.000817184657</v>
      </c>
      <c r="P60" s="378"/>
      <c r="Q60" s="378">
        <f>Q45-Q58</f>
        <v>55120.677607730351</v>
      </c>
      <c r="R60" s="378"/>
      <c r="S60" s="378">
        <f>S45-S58</f>
        <v>56651.043153481762</v>
      </c>
      <c r="T60" s="378"/>
      <c r="U60" s="378">
        <f>U45-U58</f>
        <v>58224.282110529108</v>
      </c>
      <c r="V60" s="378"/>
      <c r="W60" s="378">
        <f>W45-W58</f>
        <v>59841.613455126615</v>
      </c>
      <c r="X60" s="378"/>
      <c r="Y60" s="378">
        <f>Y45-Y58</f>
        <v>61504.291500697931</v>
      </c>
      <c r="Z60" s="378"/>
      <c r="AA60" s="378">
        <f>AA45-AA58</f>
        <v>63213.606945718027</v>
      </c>
      <c r="AB60" s="378"/>
      <c r="AC60" s="378">
        <f>AC45-AC58</f>
        <v>64970.887953433063</v>
      </c>
      <c r="AD60" s="378"/>
      <c r="AE60" s="378">
        <f>AE45-AE58</f>
        <v>66777.501264412276</v>
      </c>
      <c r="AF60" s="378"/>
      <c r="AG60" s="378">
        <f>AG45-AG58</f>
        <v>68634.853342946939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56884.190479999961</v>
      </c>
      <c r="F72" s="384"/>
      <c r="G72" s="378">
        <f>G60-G62-G70</f>
        <v>54297.653621999867</v>
      </c>
      <c r="H72" s="384"/>
      <c r="I72" s="378">
        <f>I60-I62-I70</f>
        <v>51389.65434254994</v>
      </c>
      <c r="J72" s="384"/>
      <c r="K72" s="378">
        <f>K60-K62-K70</f>
        <v>50775.14058486346</v>
      </c>
      <c r="L72" s="384"/>
      <c r="M72" s="378">
        <f>M60-M62-M70</f>
        <v>52183.861458859959</v>
      </c>
      <c r="N72" s="384"/>
      <c r="O72" s="378">
        <f>O60-O62-O70</f>
        <v>53632.000817184657</v>
      </c>
      <c r="P72" s="384"/>
      <c r="Q72" s="378">
        <f>Q60-Q62-Q70</f>
        <v>55120.677607730351</v>
      </c>
      <c r="R72" s="384"/>
      <c r="S72" s="378">
        <f>S60-S62-S70</f>
        <v>56651.043153481762</v>
      </c>
      <c r="T72" s="384"/>
      <c r="U72" s="378">
        <f>U60-U62-U70</f>
        <v>58224.282110529108</v>
      </c>
      <c r="V72" s="384"/>
      <c r="W72" s="378">
        <f>W60-W62-W70</f>
        <v>59841.613455126615</v>
      </c>
      <c r="X72" s="384"/>
      <c r="Y72" s="378">
        <f>Y60-Y62-Y70</f>
        <v>61504.291500697931</v>
      </c>
      <c r="Z72" s="384"/>
      <c r="AA72" s="378">
        <f>AA60-AA62-AA70</f>
        <v>63213.606945718027</v>
      </c>
      <c r="AB72" s="384"/>
      <c r="AC72" s="378">
        <f>AC60-AC62-AC70</f>
        <v>64970.887953433063</v>
      </c>
      <c r="AD72" s="384"/>
      <c r="AE72" s="378">
        <f>AE60-AE62-AE70</f>
        <v>66777.501264412276</v>
      </c>
      <c r="AF72" s="384"/>
      <c r="AG72" s="378">
        <f>AG60-AG62-AG70</f>
        <v>68634.853342946939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1146</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20" workbookViewId="0">
      <selection activeCell="L24" sqref="L24"/>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6" t="s">
        <v>1218</v>
      </c>
      <c r="B1" s="1956"/>
      <c r="C1" s="1956"/>
      <c r="D1" s="1956"/>
      <c r="E1" s="1956"/>
      <c r="F1" s="1956"/>
      <c r="G1" s="1956"/>
      <c r="H1" s="1956"/>
      <c r="I1" s="195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45</v>
      </c>
      <c r="C4" s="617">
        <f>Application!$O692</f>
        <v>466</v>
      </c>
      <c r="D4" s="618"/>
      <c r="E4" s="962">
        <v>535.25</v>
      </c>
      <c r="F4" s="617">
        <f>$E4*$B4</f>
        <v>24086.25</v>
      </c>
      <c r="G4" s="618"/>
      <c r="H4" s="617">
        <f>IF($E4=0,0,MAX($E4-$C4,0))</f>
        <v>69.25</v>
      </c>
      <c r="I4" s="617">
        <f>IF($H4=0,0,($H4*$B4))</f>
        <v>3116.25</v>
      </c>
    </row>
    <row r="5" spans="1:9">
      <c r="A5" s="617" t="str">
        <f>Application!$B693</f>
        <v>1 Bedroom</v>
      </c>
      <c r="B5" s="963">
        <f>Application!$G693</f>
        <v>35</v>
      </c>
      <c r="C5" s="617">
        <f>Application!$O693</f>
        <v>776</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12</v>
      </c>
      <c r="C6" s="617">
        <f>Application!$O694</f>
        <v>931.19999999999993</v>
      </c>
      <c r="D6" s="618"/>
      <c r="E6" s="962"/>
      <c r="F6" s="617">
        <f t="shared" si="0"/>
        <v>0</v>
      </c>
      <c r="G6" s="618"/>
      <c r="H6" s="617">
        <f t="shared" si="1"/>
        <v>0</v>
      </c>
      <c r="I6" s="617">
        <f t="shared" si="2"/>
        <v>0</v>
      </c>
    </row>
    <row r="7" spans="1:9">
      <c r="A7" s="617" t="str">
        <f>Application!$B695</f>
        <v>2 Bedrooms</v>
      </c>
      <c r="B7" s="963">
        <f>Application!$G695</f>
        <v>15</v>
      </c>
      <c r="C7" s="617">
        <f>Application!$O695</f>
        <v>559</v>
      </c>
      <c r="D7" s="618"/>
      <c r="E7" s="962">
        <v>629.03</v>
      </c>
      <c r="F7" s="617">
        <f t="shared" si="0"/>
        <v>9435.4499999999989</v>
      </c>
      <c r="G7" s="618"/>
      <c r="H7" s="617">
        <f t="shared" si="1"/>
        <v>70.029999999999973</v>
      </c>
      <c r="I7" s="617">
        <f t="shared" si="2"/>
        <v>1050.4499999999996</v>
      </c>
    </row>
    <row r="8" spans="1:9">
      <c r="A8" s="617" t="str">
        <f>Application!$B696</f>
        <v>2 Bedrooms</v>
      </c>
      <c r="B8" s="963">
        <f>Application!$G696</f>
        <v>12</v>
      </c>
      <c r="C8" s="617">
        <f>Application!$O696</f>
        <v>932</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946480.79999999993</v>
      </c>
      <c r="D30" s="618"/>
      <c r="E30" s="618"/>
      <c r="F30" s="621">
        <f>SUM(F4:F28)*12</f>
        <v>402260.39999999997</v>
      </c>
      <c r="G30" s="622"/>
      <c r="H30" s="620"/>
      <c r="I30" s="621">
        <f>SUM(I4:I28)*12</f>
        <v>50000.399999999994</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B4"/>
  <sheetViews>
    <sheetView workbookViewId="0">
      <selection activeCell="B4" sqref="B4"/>
    </sheetView>
  </sheetViews>
  <sheetFormatPr defaultColWidth="9.140625" defaultRowHeight="12.75"/>
  <cols>
    <col min="1" max="16384" width="9.140625" style="340"/>
  </cols>
  <sheetData>
    <row r="4" spans="2:2">
      <c r="B4" s="340" t="s">
        <v>2528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55454837.060142279</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55454837.060142279</v>
      </c>
      <c r="U23" s="1314"/>
      <c r="V23" s="1314"/>
      <c r="W23" s="1314"/>
      <c r="X23" s="1314"/>
      <c r="Y23" s="1595">
        <f>Y11+Y22</f>
        <v>0</v>
      </c>
      <c r="Z23" s="1314"/>
      <c r="AA23" s="1314"/>
      <c r="AB23" s="1314"/>
      <c r="AC23" s="1314"/>
      <c r="AD23" s="1595">
        <f>AD11+AD22</f>
        <v>0</v>
      </c>
      <c r="AE23" s="1314"/>
      <c r="AF23" s="1314"/>
      <c r="AG23" s="1314"/>
      <c r="AH23" s="1314"/>
      <c r="AI23" s="1595">
        <f>AI11+AI22</f>
        <v>0</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55454837.060142279</v>
      </c>
      <c r="U26" s="1607"/>
      <c r="V26" s="1607"/>
      <c r="W26" s="1607"/>
      <c r="X26" s="1607"/>
      <c r="Y26" s="1240">
        <f>Y23*Y25</f>
        <v>0</v>
      </c>
      <c r="Z26" s="1607"/>
      <c r="AA26" s="1607"/>
      <c r="AB26" s="1607"/>
      <c r="AC26" s="1607"/>
      <c r="AD26" s="1240">
        <f>AD23*AD25</f>
        <v>0</v>
      </c>
      <c r="AE26" s="1607"/>
      <c r="AF26" s="1607"/>
      <c r="AG26" s="1607"/>
      <c r="AH26" s="1607"/>
      <c r="AI26" s="1240">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55454837.060142279</v>
      </c>
      <c r="U28" s="1607"/>
      <c r="V28" s="1607"/>
      <c r="W28" s="1607"/>
      <c r="X28" s="1607"/>
      <c r="Y28" s="1240">
        <f>IF(ISERROR((Y26*Y27)),0,(Y26*Y27))</f>
        <v>0</v>
      </c>
      <c r="Z28" s="1607"/>
      <c r="AA28" s="1607"/>
      <c r="AB28" s="1607"/>
      <c r="AC28" s="1607"/>
      <c r="AD28" s="1240">
        <f>IF(ISERROR((AD26*AD27)),0,(AD26*AD27))</f>
        <v>0</v>
      </c>
      <c r="AE28" s="1607"/>
      <c r="AF28" s="1607"/>
      <c r="AG28" s="1607"/>
      <c r="AH28" s="1607"/>
      <c r="AI28" s="1240">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55454837.060142279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30" t="s">
        <v>45</v>
      </c>
      <c r="AE35" s="1230"/>
      <c r="AF35" s="1230"/>
      <c r="AG35" s="1230"/>
      <c r="AH35" s="1230"/>
    </row>
    <row r="36" spans="1:40" ht="12.95" customHeight="1">
      <c r="B36" s="204"/>
      <c r="X36" s="71"/>
      <c r="Y36" s="1598"/>
      <c r="Z36" s="1598"/>
      <c r="AA36" s="1598"/>
      <c r="AB36" s="1598"/>
      <c r="AC36" s="1598"/>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5">
        <f>ROUND(AD38*AD39,0)</f>
        <v>0</v>
      </c>
      <c r="AE40" s="1314"/>
      <c r="AF40" s="1314"/>
      <c r="AG40" s="1314"/>
      <c r="AH40" s="1314"/>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61116093.799999997</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61116093.799999997</v>
      </c>
      <c r="AC48" s="1156"/>
      <c r="AD48" s="1156"/>
      <c r="AE48" s="1156"/>
      <c r="AF48" s="1157"/>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0</v>
      </c>
      <c r="AC53" s="1156"/>
      <c r="AD53" s="1156"/>
      <c r="AE53" s="1156"/>
      <c r="AF53" s="1157"/>
    </row>
    <row r="54" spans="1:40" ht="12.95" customHeight="1">
      <c r="D54" s="3" t="s">
        <v>592</v>
      </c>
      <c r="AB54" s="1155">
        <f>(AB53/10)</f>
        <v>0</v>
      </c>
      <c r="AC54" s="1156"/>
      <c r="AD54" s="1156"/>
      <c r="AE54" s="1156"/>
      <c r="AF54" s="1157"/>
    </row>
    <row r="55" spans="1:40" ht="12.95" customHeight="1">
      <c r="D55" s="3" t="s">
        <v>362</v>
      </c>
      <c r="AB55" s="1608">
        <f>(IF((Y41&lt;AB54),Y41,AB54))</f>
        <v>0</v>
      </c>
      <c r="AC55" s="1609"/>
      <c r="AD55" s="1609"/>
      <c r="AE55" s="1609"/>
      <c r="AF55" s="1610"/>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61116093.799999997</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4"/>
      <c r="AA63" s="1604"/>
      <c r="AB63" s="1604"/>
      <c r="AC63" s="1604"/>
      <c r="AD63" s="1314">
        <f>AI28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4">
        <f>ROUND(Y63*Y66,0)</f>
        <v>0</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0</v>
      </c>
      <c r="AC75" s="1222"/>
      <c r="AD75" s="1222"/>
      <c r="AE75" s="1222"/>
      <c r="AF75" s="1222"/>
    </row>
    <row r="76" spans="1:34" ht="12.95" customHeight="1">
      <c r="C76" s="3"/>
      <c r="D76" s="3" t="s">
        <v>113</v>
      </c>
      <c r="AB76" s="1217">
        <f>IF((Y67+AD67&lt;AB75),Y67+AD67,AB75)</f>
        <v>0</v>
      </c>
      <c r="AC76" s="1218"/>
      <c r="AD76" s="1218"/>
      <c r="AE76" s="1218"/>
      <c r="AF76" s="1219"/>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1">
        <f>AB48-(AB56+AB77)</f>
        <v>61116093.799999997</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55454837.060142279</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55454837.060142279</v>
      </c>
      <c r="U23" s="1314"/>
      <c r="V23" s="1314"/>
      <c r="W23" s="1314"/>
      <c r="X23" s="1314"/>
      <c r="Y23" s="1595">
        <f>Y11+Y22</f>
        <v>0</v>
      </c>
      <c r="Z23" s="1314"/>
      <c r="AA23" s="1314"/>
      <c r="AB23" s="1314"/>
      <c r="AC23" s="1314"/>
      <c r="AD23" s="1595">
        <f>AD11+AD22</f>
        <v>0</v>
      </c>
      <c r="AE23" s="1314"/>
      <c r="AF23" s="1314"/>
      <c r="AG23" s="1314"/>
      <c r="AH23" s="1314"/>
      <c r="AI23" s="1595">
        <f>AI11+AI22</f>
        <v>0</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55454837.060142279</v>
      </c>
      <c r="U26" s="1607"/>
      <c r="V26" s="1607"/>
      <c r="W26" s="1607"/>
      <c r="X26" s="1607"/>
      <c r="Y26" s="1240">
        <f>Y23*Y25</f>
        <v>0</v>
      </c>
      <c r="Z26" s="1607"/>
      <c r="AA26" s="1607"/>
      <c r="AB26" s="1607"/>
      <c r="AC26" s="1607"/>
      <c r="AD26" s="1240">
        <f>AD23*AD25</f>
        <v>0</v>
      </c>
      <c r="AE26" s="1607"/>
      <c r="AF26" s="1607"/>
      <c r="AG26" s="1607"/>
      <c r="AH26" s="1607"/>
      <c r="AI26" s="1240">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55454837.060142279</v>
      </c>
      <c r="U28" s="1607"/>
      <c r="V28" s="1607"/>
      <c r="W28" s="1607"/>
      <c r="X28" s="1607"/>
      <c r="Y28" s="1240">
        <f>IF(ISERROR((Y26*Y27)),0,(Y26*Y27))</f>
        <v>0</v>
      </c>
      <c r="Z28" s="1607"/>
      <c r="AA28" s="1607"/>
      <c r="AB28" s="1607"/>
      <c r="AC28" s="1607"/>
      <c r="AD28" s="1240">
        <f>IF(ISERROR((AD26*AD27)),0,(AD26*AD27))</f>
        <v>0</v>
      </c>
      <c r="AE28" s="1607"/>
      <c r="AF28" s="1607"/>
      <c r="AG28" s="1607"/>
      <c r="AH28" s="1607"/>
      <c r="AI28" s="1240">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55454837.060142279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30" t="s">
        <v>45</v>
      </c>
      <c r="AE35" s="1230"/>
      <c r="AF35" s="1230"/>
      <c r="AG35" s="1230"/>
      <c r="AH35" s="1230"/>
    </row>
    <row r="36" spans="1:40" ht="12.95" customHeight="1">
      <c r="B36" s="204"/>
      <c r="X36" s="71"/>
      <c r="Y36" s="1598"/>
      <c r="Z36" s="1598"/>
      <c r="AA36" s="1598"/>
      <c r="AB36" s="1598"/>
      <c r="AC36" s="1598"/>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5">
        <f>ROUND(AD38*AD39,0)</f>
        <v>0</v>
      </c>
      <c r="AE40" s="1314"/>
      <c r="AF40" s="1314"/>
      <c r="AG40" s="1314"/>
      <c r="AH40" s="1314"/>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61116093.799999997</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61116093.799999997</v>
      </c>
      <c r="AC48" s="1156"/>
      <c r="AD48" s="1156"/>
      <c r="AE48" s="1156"/>
      <c r="AF48" s="1157"/>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0</v>
      </c>
      <c r="AC53" s="1156"/>
      <c r="AD53" s="1156"/>
      <c r="AE53" s="1156"/>
      <c r="AF53" s="1157"/>
    </row>
    <row r="54" spans="1:40" ht="12.95" customHeight="1">
      <c r="D54" s="3" t="s">
        <v>592</v>
      </c>
      <c r="AB54" s="1155">
        <f>(AB53/10)</f>
        <v>0</v>
      </c>
      <c r="AC54" s="1156"/>
      <c r="AD54" s="1156"/>
      <c r="AE54" s="1156"/>
      <c r="AF54" s="1157"/>
    </row>
    <row r="55" spans="1:40" ht="12.95" customHeight="1">
      <c r="D55" s="3" t="s">
        <v>362</v>
      </c>
      <c r="AB55" s="1608">
        <f>(IF((Y41&lt;AB54),Y41,AB54))</f>
        <v>0</v>
      </c>
      <c r="AC55" s="1609"/>
      <c r="AD55" s="1609"/>
      <c r="AE55" s="1609"/>
      <c r="AF55" s="1610"/>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61116093.799999997</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4"/>
      <c r="AA63" s="1604"/>
      <c r="AB63" s="1604"/>
      <c r="AC63" s="1604"/>
      <c r="AD63" s="1314">
        <f>AI28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4">
        <f>ROUND(Y63*Y66,0)</f>
        <v>0</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0</v>
      </c>
      <c r="AC75" s="1222"/>
      <c r="AD75" s="1222"/>
      <c r="AE75" s="1222"/>
      <c r="AF75" s="1222"/>
    </row>
    <row r="76" spans="1:34" ht="12.95" customHeight="1">
      <c r="C76" s="3"/>
      <c r="D76" s="3" t="s">
        <v>113</v>
      </c>
      <c r="AB76" s="1217">
        <f>IF((Y67+AD67&lt;AB75),Y67+AD67,AB75)</f>
        <v>0</v>
      </c>
      <c r="AC76" s="1218"/>
      <c r="AD76" s="1218"/>
      <c r="AE76" s="1218"/>
      <c r="AF76" s="1219"/>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1">
        <f>AB48-(AB56+AB77)</f>
        <v>61116093.799999997</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574352</v>
      </c>
      <c r="C5" s="330">
        <f>'Sources and Uses Budget'!C4</f>
        <v>574352</v>
      </c>
      <c r="D5" s="330">
        <f>'Sources and Uses Budget'!C4</f>
        <v>574352</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20000</v>
      </c>
      <c r="C7" s="330">
        <f>'Sources and Uses Budget'!C6</f>
        <v>20000</v>
      </c>
      <c r="D7" s="330">
        <f>'Sources and Uses Budget'!C6</f>
        <v>20000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594352</v>
      </c>
      <c r="C9" s="332">
        <f>SUM(C5:C8)</f>
        <v>594352</v>
      </c>
      <c r="D9" s="332">
        <f>SUM(D5:D8)</f>
        <v>594352</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594352</v>
      </c>
      <c r="C13" s="332">
        <f>SUM(C9+C12)</f>
        <v>594352</v>
      </c>
      <c r="D13" s="332">
        <f>SUM(D9+D12)</f>
        <v>594352</v>
      </c>
      <c r="E13" s="332">
        <f t="shared" si="0"/>
        <v>0</v>
      </c>
      <c r="F13" s="331"/>
      <c r="G13" s="331"/>
    </row>
    <row r="14" spans="1:7" s="583" customFormat="1" ht="12.75">
      <c r="A14" s="906" t="s">
        <v>1157</v>
      </c>
      <c r="B14" s="330">
        <f>'Sources and Uses Budget'!C13</f>
        <v>20000</v>
      </c>
      <c r="C14" s="330">
        <f>'Sources and Uses Budget'!C13</f>
        <v>20000</v>
      </c>
      <c r="D14" s="330">
        <f>'Sources and Uses Budget'!C13</f>
        <v>20000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3349712</v>
      </c>
      <c r="C30" s="330">
        <f>'Sources and Uses Budget'!C29</f>
        <v>3349712</v>
      </c>
      <c r="D30" s="330">
        <f>'Sources and Uses Budget'!C29</f>
        <v>3349712</v>
      </c>
      <c r="E30" s="332">
        <f t="shared" si="0"/>
        <v>0</v>
      </c>
      <c r="F30" s="331"/>
      <c r="G30" s="331"/>
    </row>
    <row r="31" spans="1:7" s="583" customFormat="1" ht="12.75">
      <c r="A31" s="239" t="s">
        <v>955</v>
      </c>
      <c r="B31" s="330">
        <f>'Sources and Uses Budget'!C30</f>
        <v>33718389</v>
      </c>
      <c r="C31" s="330">
        <f>'Sources and Uses Budget'!C30</f>
        <v>33718389</v>
      </c>
      <c r="D31" s="330">
        <f>'Sources and Uses Budget'!C30</f>
        <v>33718389</v>
      </c>
      <c r="E31" s="332">
        <f t="shared" si="0"/>
        <v>0</v>
      </c>
      <c r="F31" s="331"/>
      <c r="G31" s="331"/>
    </row>
    <row r="32" spans="1:7" s="583" customFormat="1" ht="12.75">
      <c r="A32" s="239" t="s">
        <v>956</v>
      </c>
      <c r="B32" s="330">
        <f>'Sources and Uses Budget'!C31</f>
        <v>2040000</v>
      </c>
      <c r="C32" s="330">
        <f>'Sources and Uses Budget'!C31</f>
        <v>2040000</v>
      </c>
      <c r="D32" s="330">
        <f>'Sources and Uses Budget'!C31</f>
        <v>2040000</v>
      </c>
      <c r="E32" s="332">
        <f t="shared" si="0"/>
        <v>0</v>
      </c>
      <c r="F32" s="331"/>
      <c r="G32" s="331"/>
    </row>
    <row r="33" spans="1:7" s="583" customFormat="1" ht="12.75">
      <c r="A33" s="239" t="s">
        <v>957</v>
      </c>
      <c r="B33" s="330">
        <f>'Sources and Uses Budget'!C32</f>
        <v>1132491.5</v>
      </c>
      <c r="C33" s="330">
        <f>'Sources and Uses Budget'!C32</f>
        <v>1132491.5</v>
      </c>
      <c r="D33" s="330">
        <f>'Sources and Uses Budget'!C32</f>
        <v>1132491.5</v>
      </c>
      <c r="E33" s="332">
        <f t="shared" si="0"/>
        <v>0</v>
      </c>
      <c r="F33" s="331"/>
      <c r="G33" s="331"/>
    </row>
    <row r="34" spans="1:7" s="583" customFormat="1" ht="12.75">
      <c r="A34" s="239" t="s">
        <v>958</v>
      </c>
      <c r="B34" s="330">
        <f>'Sources and Uses Budget'!C33</f>
        <v>1132491.5</v>
      </c>
      <c r="C34" s="330">
        <f>'Sources and Uses Budget'!C33</f>
        <v>1132491.5</v>
      </c>
      <c r="D34" s="330">
        <f>'Sources and Uses Budget'!C33</f>
        <v>1132491.5</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1141552</v>
      </c>
      <c r="C36" s="330">
        <f>'Sources and Uses Budget'!C35</f>
        <v>1141552</v>
      </c>
      <c r="D36" s="330">
        <f>'Sources and Uses Budget'!C35</f>
        <v>1141552</v>
      </c>
      <c r="E36" s="332">
        <f t="shared" si="0"/>
        <v>0</v>
      </c>
      <c r="F36" s="331"/>
      <c r="G36" s="331"/>
    </row>
    <row r="37" spans="1:7" s="583" customFormat="1" ht="12.75">
      <c r="A37" s="239" t="s">
        <v>2052</v>
      </c>
      <c r="B37" s="330">
        <f>'Sources and Uses Budget'!C36</f>
        <v>80000</v>
      </c>
      <c r="C37" s="330">
        <f>'Sources and Uses Budget'!C36</f>
        <v>80000</v>
      </c>
      <c r="D37" s="330">
        <f>'Sources and Uses Budget'!C36</f>
        <v>80000</v>
      </c>
      <c r="E37" s="332">
        <f t="shared" si="0"/>
        <v>0</v>
      </c>
      <c r="F37" s="331"/>
      <c r="G37" s="331"/>
    </row>
    <row r="38" spans="1:7" s="583" customFormat="1" ht="12.75">
      <c r="A38" s="250" t="s">
        <v>564</v>
      </c>
      <c r="B38" s="330">
        <f>'Sources and Uses Budget'!C37</f>
        <v>1000000</v>
      </c>
      <c r="C38" s="330">
        <f>'Sources and Uses Budget'!C37</f>
        <v>1000000</v>
      </c>
      <c r="D38" s="330">
        <f>'Sources and Uses Budget'!C37</f>
        <v>1000000</v>
      </c>
      <c r="E38" s="332">
        <f>C38-B38</f>
        <v>0</v>
      </c>
      <c r="F38" s="331"/>
      <c r="G38" s="331"/>
    </row>
    <row r="39" spans="1:7" s="583" customFormat="1" ht="12.75">
      <c r="A39" s="907" t="s">
        <v>963</v>
      </c>
      <c r="B39" s="914">
        <f>'Sources and Uses Budget'!C38</f>
        <v>43594636</v>
      </c>
      <c r="C39" s="914">
        <f>'Sources and Uses Budget'!C38</f>
        <v>43594636</v>
      </c>
      <c r="D39" s="914">
        <f>'Sources and Uses Budget'!C38</f>
        <v>43594636</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1218549</v>
      </c>
      <c r="C41" s="330">
        <f>'Sources and Uses Budget'!C40</f>
        <v>1218549</v>
      </c>
      <c r="D41" s="330">
        <f>'Sources and Uses Budget'!C40</f>
        <v>1218549</v>
      </c>
      <c r="E41" s="332">
        <f>C41-B41</f>
        <v>0</v>
      </c>
      <c r="F41" s="331"/>
      <c r="G41" s="331"/>
    </row>
    <row r="42" spans="1:7" s="583" customFormat="1" ht="12.75">
      <c r="A42" s="908" t="s">
        <v>966</v>
      </c>
      <c r="B42" s="330">
        <f>'Sources and Uses Budget'!C41</f>
        <v>308580</v>
      </c>
      <c r="C42" s="330">
        <f>'Sources and Uses Budget'!C41</f>
        <v>308580</v>
      </c>
      <c r="D42" s="330">
        <f>'Sources and Uses Budget'!C41</f>
        <v>308580</v>
      </c>
      <c r="E42" s="332">
        <f>C42-B42</f>
        <v>0</v>
      </c>
      <c r="F42" s="331"/>
      <c r="G42" s="331"/>
    </row>
    <row r="43" spans="1:7" s="583" customFormat="1" ht="12" customHeight="1">
      <c r="A43" s="907" t="s">
        <v>967</v>
      </c>
      <c r="B43" s="914">
        <f>'Sources and Uses Budget'!C42</f>
        <v>1527129</v>
      </c>
      <c r="C43" s="914">
        <f>'Sources and Uses Budget'!C42</f>
        <v>1527129</v>
      </c>
      <c r="D43" s="914">
        <f>'Sources and Uses Budget'!C42</f>
        <v>1527129</v>
      </c>
      <c r="E43" s="332">
        <f>C43-B43</f>
        <v>0</v>
      </c>
      <c r="F43" s="331"/>
      <c r="G43" s="331"/>
    </row>
    <row r="44" spans="1:7" s="583" customFormat="1" ht="12.75">
      <c r="A44" s="907" t="s">
        <v>968</v>
      </c>
      <c r="B44" s="330">
        <f>'Sources and Uses Budget'!C43</f>
        <v>170000</v>
      </c>
      <c r="C44" s="330">
        <f>'Sources and Uses Budget'!C43</f>
        <v>170000</v>
      </c>
      <c r="D44" s="330">
        <f>'Sources and Uses Budget'!C43</f>
        <v>170000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4077963</v>
      </c>
      <c r="C46" s="330">
        <f>'Sources and Uses Budget'!C45</f>
        <v>4077963</v>
      </c>
      <c r="D46" s="330">
        <f>'Sources and Uses Budget'!C45</f>
        <v>4077963</v>
      </c>
      <c r="E46" s="332">
        <f t="shared" si="0"/>
        <v>0</v>
      </c>
      <c r="F46" s="331"/>
      <c r="G46" s="331"/>
    </row>
    <row r="47" spans="1:7" s="583" customFormat="1" ht="12.75">
      <c r="A47" s="239" t="s">
        <v>971</v>
      </c>
      <c r="B47" s="330">
        <f>'Sources and Uses Budget'!C46</f>
        <v>355120</v>
      </c>
      <c r="C47" s="330">
        <f>'Sources and Uses Budget'!C46</f>
        <v>355120</v>
      </c>
      <c r="D47" s="330">
        <f>'Sources and Uses Budget'!C46</f>
        <v>355120</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50000</v>
      </c>
      <c r="C50" s="330">
        <f>'Sources and Uses Budget'!C49</f>
        <v>50000</v>
      </c>
      <c r="D50" s="330">
        <f>'Sources and Uses Budget'!C49</f>
        <v>50000</v>
      </c>
      <c r="E50" s="332">
        <f t="shared" si="0"/>
        <v>0</v>
      </c>
      <c r="F50" s="331"/>
      <c r="G50" s="331"/>
    </row>
    <row r="51" spans="1:7" s="583" customFormat="1" ht="12.75">
      <c r="A51" s="239" t="s">
        <v>974</v>
      </c>
      <c r="B51" s="330">
        <f>'Sources and Uses Budget'!C50</f>
        <v>30000</v>
      </c>
      <c r="C51" s="330">
        <f>'Sources and Uses Budget'!C50</f>
        <v>30000</v>
      </c>
      <c r="D51" s="330">
        <f>'Sources and Uses Budget'!C50</f>
        <v>30000</v>
      </c>
      <c r="E51" s="332">
        <f t="shared" si="0"/>
        <v>0</v>
      </c>
      <c r="F51" s="331"/>
      <c r="G51" s="331"/>
    </row>
    <row r="52" spans="1:7" s="584" customFormat="1" ht="12.75">
      <c r="A52" s="239" t="s">
        <v>975</v>
      </c>
      <c r="B52" s="330">
        <f>'Sources and Uses Budget'!C51</f>
        <v>200000</v>
      </c>
      <c r="C52" s="330">
        <f>'Sources and Uses Budget'!C51</f>
        <v>200000</v>
      </c>
      <c r="D52" s="330">
        <f>'Sources and Uses Budget'!C51</f>
        <v>200000</v>
      </c>
      <c r="E52" s="332">
        <f t="shared" si="0"/>
        <v>0</v>
      </c>
      <c r="F52" s="331"/>
      <c r="G52" s="331"/>
    </row>
    <row r="53" spans="1:7" s="583" customFormat="1" ht="12.75">
      <c r="A53" s="246" t="s">
        <v>564</v>
      </c>
      <c r="B53" s="330">
        <f>'Sources and Uses Budget'!C52</f>
        <v>20000</v>
      </c>
      <c r="C53" s="330">
        <f>'Sources and Uses Budget'!C52</f>
        <v>20000</v>
      </c>
      <c r="D53" s="330">
        <f>'Sources and Uses Budget'!C52</f>
        <v>20000</v>
      </c>
      <c r="E53" s="332">
        <f t="shared" si="0"/>
        <v>0</v>
      </c>
      <c r="F53" s="331"/>
      <c r="G53" s="331"/>
    </row>
    <row r="54" spans="1:7" s="583" customFormat="1" ht="12.75">
      <c r="A54" s="243" t="s">
        <v>977</v>
      </c>
      <c r="B54" s="914">
        <f>'Sources and Uses Budget'!C53</f>
        <v>4733083</v>
      </c>
      <c r="C54" s="914">
        <f>'Sources and Uses Budget'!C53</f>
        <v>4733083</v>
      </c>
      <c r="D54" s="914">
        <f>'Sources and Uses Budget'!C53</f>
        <v>4733083</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10000</v>
      </c>
      <c r="C58" s="330">
        <f>'Sources and Uses Budget'!C57</f>
        <v>10000</v>
      </c>
      <c r="D58" s="330">
        <f>'Sources and Uses Budget'!C57</f>
        <v>10000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10000</v>
      </c>
      <c r="C61" s="330">
        <f>'Sources and Uses Budget'!C60</f>
        <v>10000</v>
      </c>
      <c r="D61" s="330">
        <f>'Sources and Uses Budget'!C60</f>
        <v>10000</v>
      </c>
      <c r="E61" s="332">
        <f t="shared" si="0"/>
        <v>0</v>
      </c>
      <c r="F61" s="331"/>
      <c r="G61" s="331"/>
    </row>
    <row r="62" spans="1:7" s="583" customFormat="1" ht="12.75">
      <c r="A62" s="907" t="s">
        <v>529</v>
      </c>
      <c r="B62" s="914">
        <f>'Sources and Uses Budget'!C61</f>
        <v>20000</v>
      </c>
      <c r="C62" s="914">
        <f>'Sources and Uses Budget'!C61</f>
        <v>20000</v>
      </c>
      <c r="D62" s="914">
        <f>'Sources and Uses Budget'!C61</f>
        <v>20000</v>
      </c>
      <c r="E62" s="332">
        <f t="shared" si="0"/>
        <v>0</v>
      </c>
      <c r="F62" s="331"/>
      <c r="G62" s="331"/>
    </row>
    <row r="63" spans="1:7" s="583" customFormat="1" ht="12.75">
      <c r="A63" s="910" t="s">
        <v>530</v>
      </c>
      <c r="B63" s="914">
        <f>'Sources and Uses Budget'!C62</f>
        <v>50659200</v>
      </c>
      <c r="C63" s="914">
        <f>'Sources and Uses Budget'!C62</f>
        <v>50659200</v>
      </c>
      <c r="D63" s="914">
        <f>'Sources and Uses Budget'!C62</f>
        <v>50659200</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55000</v>
      </c>
      <c r="C65" s="330">
        <f>'Sources and Uses Budget'!C64</f>
        <v>55000</v>
      </c>
      <c r="D65" s="330">
        <f>'Sources and Uses Budget'!C64</f>
        <v>55000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200000</v>
      </c>
      <c r="C69" s="330">
        <f>'Sources and Uses Budget'!C68</f>
        <v>200000</v>
      </c>
      <c r="D69" s="330">
        <f>'Sources and Uses Budget'!C68</f>
        <v>200000</v>
      </c>
      <c r="E69" s="332">
        <f t="shared" si="0"/>
        <v>0</v>
      </c>
      <c r="F69" s="331"/>
      <c r="G69" s="331"/>
    </row>
    <row r="70" spans="1:7" s="583" customFormat="1" ht="12.75">
      <c r="A70" s="243" t="s">
        <v>2057</v>
      </c>
      <c r="B70" s="914">
        <f>'Sources and Uses Budget'!C69</f>
        <v>255000</v>
      </c>
      <c r="C70" s="914">
        <f>'Sources and Uses Budget'!C69</f>
        <v>255000</v>
      </c>
      <c r="D70" s="914">
        <f>'Sources and Uses Budget'!C69</f>
        <v>255000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438525</v>
      </c>
      <c r="C75" s="330">
        <f>'Sources and Uses Budget'!C74</f>
        <v>438525</v>
      </c>
      <c r="D75" s="330">
        <f>'Sources and Uses Budget'!C74</f>
        <v>438525</v>
      </c>
      <c r="E75" s="332">
        <f>C75-B75</f>
        <v>0</v>
      </c>
      <c r="F75" s="331"/>
      <c r="G75" s="331"/>
    </row>
    <row r="76" spans="1:7" s="583" customFormat="1" ht="12.75">
      <c r="A76" s="912" t="s">
        <v>564</v>
      </c>
      <c r="B76" s="330">
        <f>'Sources and Uses Budget'!C75</f>
        <v>1000000</v>
      </c>
      <c r="C76" s="330">
        <f>'Sources and Uses Budget'!C75</f>
        <v>1000000</v>
      </c>
      <c r="D76" s="330">
        <f>'Sources and Uses Budget'!C75</f>
        <v>1000000</v>
      </c>
      <c r="E76" s="332">
        <f>C76-B76</f>
        <v>0</v>
      </c>
      <c r="F76" s="331"/>
      <c r="G76" s="331"/>
    </row>
    <row r="77" spans="1:7" s="583" customFormat="1" ht="12.75">
      <c r="A77" s="907" t="s">
        <v>304</v>
      </c>
      <c r="B77" s="914">
        <f>'Sources and Uses Budget'!C76</f>
        <v>1438525</v>
      </c>
      <c r="C77" s="914">
        <f>'Sources and Uses Budget'!C76</f>
        <v>1438525</v>
      </c>
      <c r="D77" s="914">
        <f>'Sources and Uses Budget'!C76</f>
        <v>1438525</v>
      </c>
      <c r="E77" s="332">
        <f>C77-B77</f>
        <v>0</v>
      </c>
      <c r="F77" s="331"/>
      <c r="G77" s="331"/>
    </row>
    <row r="78" spans="1:7" s="583" customFormat="1" ht="12.75">
      <c r="A78" s="903" t="s">
        <v>1820</v>
      </c>
      <c r="B78" s="328"/>
      <c r="C78" s="328"/>
      <c r="D78" s="328"/>
      <c r="E78" s="328"/>
      <c r="F78" s="328"/>
      <c r="G78" s="328"/>
    </row>
    <row r="79" spans="1:7" s="583" customFormat="1" ht="14.1" customHeight="1">
      <c r="A79" s="908" t="s">
        <v>1818</v>
      </c>
      <c r="B79" s="330">
        <f>'Sources and Uses Budget'!C78</f>
        <v>2175731.8000000003</v>
      </c>
      <c r="C79" s="330">
        <f>'Sources and Uses Budget'!C78</f>
        <v>2175731.8000000003</v>
      </c>
      <c r="D79" s="330">
        <f>'Sources and Uses Budget'!C78</f>
        <v>2175731.8000000003</v>
      </c>
      <c r="E79" s="332">
        <f t="shared" ref="E79:E105" si="2">C79-B79</f>
        <v>0</v>
      </c>
      <c r="F79" s="331"/>
      <c r="G79" s="331"/>
    </row>
    <row r="80" spans="1:7" s="583" customFormat="1" ht="12.75">
      <c r="A80" s="908" t="s">
        <v>569</v>
      </c>
      <c r="B80" s="330">
        <f>'Sources and Uses Budget'!C79</f>
        <v>200000</v>
      </c>
      <c r="C80" s="330">
        <f>'Sources and Uses Budget'!C79</f>
        <v>200000</v>
      </c>
      <c r="D80" s="330">
        <f>'Sources and Uses Budget'!C79</f>
        <v>200000</v>
      </c>
      <c r="E80" s="332">
        <f t="shared" si="2"/>
        <v>0</v>
      </c>
      <c r="F80" s="331"/>
      <c r="G80" s="331"/>
    </row>
    <row r="81" spans="1:7" s="583" customFormat="1" ht="12.75">
      <c r="A81" s="907" t="s">
        <v>1819</v>
      </c>
      <c r="B81" s="914">
        <f>'Sources and Uses Budget'!C80</f>
        <v>2375731.8000000003</v>
      </c>
      <c r="C81" s="914">
        <f>'Sources and Uses Budget'!C80</f>
        <v>2375731.8000000003</v>
      </c>
      <c r="D81" s="914">
        <f>'Sources and Uses Budget'!C80</f>
        <v>2375731.8000000003</v>
      </c>
      <c r="E81" s="332">
        <f t="shared" si="2"/>
        <v>0</v>
      </c>
      <c r="F81" s="331"/>
      <c r="G81" s="331"/>
    </row>
    <row r="82" spans="1:7" s="583" customFormat="1" ht="12.75">
      <c r="A82" s="903" t="s">
        <v>546</v>
      </c>
      <c r="B82" s="328"/>
      <c r="C82" s="328"/>
      <c r="D82" s="328"/>
      <c r="E82" s="328"/>
      <c r="F82" s="328"/>
      <c r="G82" s="328"/>
    </row>
    <row r="83" spans="1:7" s="583" customFormat="1" ht="12.75">
      <c r="A83" s="239" t="s">
        <v>2238</v>
      </c>
      <c r="B83" s="330">
        <f>'Sources and Uses Budget'!C82</f>
        <v>150790</v>
      </c>
      <c r="C83" s="330">
        <f>'Sources and Uses Budget'!C82</f>
        <v>150790</v>
      </c>
      <c r="D83" s="330">
        <f>'Sources and Uses Budget'!C82</f>
        <v>150790</v>
      </c>
      <c r="E83" s="332">
        <f t="shared" si="2"/>
        <v>0</v>
      </c>
      <c r="F83" s="331"/>
      <c r="G83" s="331"/>
    </row>
    <row r="84" spans="1:7" s="583" customFormat="1" ht="12.75">
      <c r="A84" s="239" t="s">
        <v>547</v>
      </c>
      <c r="B84" s="330">
        <f>'Sources and Uses Budget'!C83</f>
        <v>45000</v>
      </c>
      <c r="C84" s="330">
        <f>'Sources and Uses Budget'!C83</f>
        <v>45000</v>
      </c>
      <c r="D84" s="330">
        <f>'Sources and Uses Budget'!C83</f>
        <v>45000</v>
      </c>
      <c r="E84" s="332">
        <f t="shared" si="2"/>
        <v>0</v>
      </c>
      <c r="F84" s="331"/>
      <c r="G84" s="331"/>
    </row>
    <row r="85" spans="1:7" s="583" customFormat="1" ht="12.75">
      <c r="A85" s="239" t="s">
        <v>548</v>
      </c>
      <c r="B85" s="330">
        <f>'Sources and Uses Budget'!C84</f>
        <v>3276847</v>
      </c>
      <c r="C85" s="330">
        <f>'Sources and Uses Budget'!C84</f>
        <v>3276847</v>
      </c>
      <c r="D85" s="330">
        <f>'Sources and Uses Budget'!C84</f>
        <v>3276847</v>
      </c>
      <c r="E85" s="332">
        <f t="shared" si="2"/>
        <v>0</v>
      </c>
      <c r="F85" s="331"/>
      <c r="G85" s="331"/>
    </row>
    <row r="86" spans="1:7" s="583" customFormat="1" ht="12.75">
      <c r="A86" s="239" t="s">
        <v>549</v>
      </c>
      <c r="B86" s="330">
        <f>'Sources and Uses Budget'!C85</f>
        <v>300000</v>
      </c>
      <c r="C86" s="330">
        <f>'Sources and Uses Budget'!C85</f>
        <v>300000</v>
      </c>
      <c r="D86" s="330">
        <f>'Sources and Uses Budget'!C85</f>
        <v>300000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120000</v>
      </c>
      <c r="C88" s="330">
        <f>'Sources and Uses Budget'!C87</f>
        <v>120000</v>
      </c>
      <c r="D88" s="330">
        <f>'Sources and Uses Budget'!C87</f>
        <v>120000</v>
      </c>
      <c r="E88" s="332">
        <f t="shared" si="2"/>
        <v>0</v>
      </c>
      <c r="F88" s="331"/>
      <c r="G88" s="331"/>
    </row>
    <row r="89" spans="1:7" s="583" customFormat="1" ht="12.75">
      <c r="A89" s="239" t="s">
        <v>552</v>
      </c>
      <c r="B89" s="330">
        <f>'Sources and Uses Budget'!C88</f>
        <v>60000</v>
      </c>
      <c r="C89" s="330">
        <f>'Sources and Uses Budget'!C88</f>
        <v>60000</v>
      </c>
      <c r="D89" s="330">
        <f>'Sources and Uses Budget'!C88</f>
        <v>60000</v>
      </c>
      <c r="E89" s="332">
        <f t="shared" si="2"/>
        <v>0</v>
      </c>
      <c r="F89" s="331"/>
      <c r="G89" s="331"/>
    </row>
    <row r="90" spans="1:7" s="583" customFormat="1" ht="12.75">
      <c r="A90" s="239" t="s">
        <v>553</v>
      </c>
      <c r="B90" s="330">
        <f>'Sources and Uses Budget'!C89</f>
        <v>15000</v>
      </c>
      <c r="C90" s="330">
        <f>'Sources and Uses Budget'!C89</f>
        <v>15000</v>
      </c>
      <c r="D90" s="330">
        <f>'Sources and Uses Budget'!C89</f>
        <v>15000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10000</v>
      </c>
      <c r="C92" s="330">
        <f>'Sources and Uses Budget'!C91</f>
        <v>10000</v>
      </c>
      <c r="D92" s="330">
        <f>'Sources and Uses Budget'!C91</f>
        <v>10000</v>
      </c>
      <c r="E92" s="332">
        <f t="shared" si="2"/>
        <v>0</v>
      </c>
      <c r="F92" s="331"/>
      <c r="G92" s="331"/>
    </row>
    <row r="93" spans="1:7" s="583" customFormat="1" ht="12.75">
      <c r="A93" s="246" t="s">
        <v>564</v>
      </c>
      <c r="B93" s="330">
        <f>'Sources and Uses Budget'!C92</f>
        <v>40000</v>
      </c>
      <c r="C93" s="330">
        <f>'Sources and Uses Budget'!C92</f>
        <v>40000</v>
      </c>
      <c r="D93" s="330">
        <f>'Sources and Uses Budget'!C92</f>
        <v>40000</v>
      </c>
      <c r="E93" s="332">
        <f t="shared" si="2"/>
        <v>0</v>
      </c>
      <c r="F93" s="331"/>
      <c r="G93" s="331"/>
    </row>
    <row r="94" spans="1:7" s="583" customFormat="1" ht="12.75">
      <c r="A94" s="246" t="s">
        <v>564</v>
      </c>
      <c r="B94" s="330">
        <f>'Sources and Uses Budget'!C93</f>
        <v>155000</v>
      </c>
      <c r="C94" s="330">
        <f>'Sources and Uses Budget'!C93</f>
        <v>155000</v>
      </c>
      <c r="D94" s="330">
        <f>'Sources and Uses Budget'!C93</f>
        <v>155000</v>
      </c>
      <c r="E94" s="332">
        <f t="shared" si="2"/>
        <v>0</v>
      </c>
      <c r="F94" s="331"/>
      <c r="G94" s="331"/>
    </row>
    <row r="95" spans="1:7" s="583" customFormat="1" ht="12.75">
      <c r="A95" s="246" t="s">
        <v>564</v>
      </c>
      <c r="B95" s="330">
        <f>'Sources and Uses Budget'!C94</f>
        <v>15000</v>
      </c>
      <c r="C95" s="330">
        <f>'Sources and Uses Budget'!C94</f>
        <v>15000</v>
      </c>
      <c r="D95" s="330">
        <f>'Sources and Uses Budget'!C94</f>
        <v>15000</v>
      </c>
      <c r="E95" s="332">
        <f t="shared" si="2"/>
        <v>0</v>
      </c>
      <c r="F95" s="331"/>
      <c r="G95" s="331"/>
    </row>
    <row r="96" spans="1:7" s="583" customFormat="1" ht="12.75">
      <c r="A96" s="243" t="s">
        <v>554</v>
      </c>
      <c r="B96" s="914">
        <f>'Sources and Uses Budget'!C95</f>
        <v>4187637</v>
      </c>
      <c r="C96" s="914">
        <f>'Sources and Uses Budget'!C95</f>
        <v>4187637</v>
      </c>
      <c r="D96" s="914">
        <f>'Sources and Uses Budget'!C95</f>
        <v>4187637</v>
      </c>
      <c r="E96" s="332">
        <f t="shared" si="2"/>
        <v>0</v>
      </c>
      <c r="F96" s="331"/>
      <c r="G96" s="331"/>
    </row>
    <row r="97" spans="1:7" s="583" customFormat="1" ht="12.75">
      <c r="A97" s="243" t="s">
        <v>555</v>
      </c>
      <c r="B97" s="914">
        <f>'Sources and Uses Budget'!C96</f>
        <v>58916093.799999997</v>
      </c>
      <c r="C97" s="914">
        <f>'Sources and Uses Budget'!C96</f>
        <v>58916093.799999997</v>
      </c>
      <c r="D97" s="914">
        <f>'Sources and Uses Budget'!C96</f>
        <v>58916093.799999997</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2000000</v>
      </c>
      <c r="C99" s="330">
        <f>'Sources and Uses Budget'!C98</f>
        <v>2000000</v>
      </c>
      <c r="D99" s="330">
        <f>'Sources and Uses Budget'!C98</f>
        <v>2000000</v>
      </c>
      <c r="E99" s="332">
        <f t="shared" si="2"/>
        <v>0</v>
      </c>
      <c r="F99" s="331"/>
      <c r="G99" s="331"/>
    </row>
    <row r="100" spans="1:7" s="583" customFormat="1" ht="12" customHeight="1">
      <c r="A100" s="239" t="s">
        <v>2113</v>
      </c>
      <c r="B100" s="330">
        <f>'Sources and Uses Budget'!C99</f>
        <v>200000</v>
      </c>
      <c r="C100" s="330">
        <f>'Sources and Uses Budget'!C99</f>
        <v>200000</v>
      </c>
      <c r="D100" s="330">
        <f>'Sources and Uses Budget'!C99</f>
        <v>200000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61116093.799999997</v>
      </c>
      <c r="C105" s="914">
        <f>'Sources and Uses Budget'!C104</f>
        <v>61116093.799999997</v>
      </c>
      <c r="D105" s="914">
        <f>'Sources and Uses Budget'!C104</f>
        <v>61116093.799999997</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2329</v>
      </c>
      <c r="B3" s="990"/>
      <c r="C3" s="990"/>
      <c r="D3" s="990"/>
      <c r="E3" s="990"/>
      <c r="F3" s="990"/>
      <c r="G3" s="990"/>
      <c r="H3" s="990"/>
      <c r="I3" s="990"/>
      <c r="J3" s="990"/>
    </row>
    <row r="4" spans="1:10"/>
    <row r="5" spans="1:10" ht="12.75" customHeight="1">
      <c r="A5" s="996" t="s">
        <v>2295</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1219" zoomScale="150" zoomScaleNormal="150" workbookViewId="0">
      <selection activeCell="G1251" sqref="A1:G125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1" t="s">
        <v>2328</v>
      </c>
      <c r="B2" s="1021"/>
      <c r="C2" s="990"/>
      <c r="D2" s="990"/>
      <c r="E2" s="990"/>
      <c r="F2" s="990"/>
      <c r="G2" s="990"/>
      <c r="I2" t="s">
        <v>84</v>
      </c>
    </row>
    <row r="3" spans="1:9" ht="12.75">
      <c r="A3" s="190"/>
      <c r="B3" s="190"/>
      <c r="C3"/>
      <c r="D3"/>
      <c r="E3"/>
      <c r="F3"/>
      <c r="G3"/>
      <c r="I3" s="5" t="s">
        <v>1456</v>
      </c>
    </row>
    <row r="4" spans="1:9" ht="12.75">
      <c r="A4" s="1022" t="s">
        <v>2261</v>
      </c>
      <c r="B4" s="1022"/>
      <c r="C4" s="1023"/>
      <c r="D4" s="1023"/>
      <c r="E4" s="1023"/>
      <c r="F4" s="1023"/>
      <c r="G4" s="1023"/>
      <c r="I4" s="5" t="s">
        <v>1440</v>
      </c>
    </row>
    <row r="5" spans="1:9" ht="12.75">
      <c r="A5" s="1022" t="s">
        <v>1088</v>
      </c>
      <c r="B5" s="1022"/>
      <c r="C5" s="1023"/>
      <c r="D5" s="1023"/>
      <c r="E5" s="1023"/>
      <c r="F5" s="1023"/>
      <c r="G5" s="1023"/>
      <c r="I5" t="s">
        <v>132</v>
      </c>
    </row>
    <row r="6" spans="1:9" ht="13.7"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7"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45" customHeight="1">
      <c r="A16" s="271"/>
      <c r="B16" s="624" t="s">
        <v>132</v>
      </c>
      <c r="C16" s="191"/>
      <c r="D16" s="976" t="s">
        <v>2165</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1440</v>
      </c>
      <c r="D28" s="976" t="s">
        <v>2262</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132</v>
      </c>
      <c r="D34" s="982" t="s">
        <v>2263</v>
      </c>
      <c r="E34" s="982"/>
      <c r="F34" s="982"/>
    </row>
    <row r="35" spans="1:6" ht="14.25">
      <c r="A35" s="271"/>
      <c r="B35" s="271"/>
      <c r="D35" s="982"/>
      <c r="E35" s="982"/>
      <c r="F35" s="982"/>
    </row>
    <row r="36" spans="1:6" ht="14.25">
      <c r="A36" s="271"/>
      <c r="B36" s="271"/>
      <c r="D36" s="209"/>
      <c r="E36" s="209"/>
      <c r="F36" s="209"/>
    </row>
    <row r="37" spans="1:6" ht="14.25">
      <c r="A37" s="271"/>
      <c r="B37" s="624" t="s">
        <v>132</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132</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132</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132</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132</v>
      </c>
      <c r="D64" s="982" t="s">
        <v>2264</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132</v>
      </c>
      <c r="D73" s="982" t="s">
        <v>1612</v>
      </c>
      <c r="E73" s="982"/>
      <c r="F73" s="982"/>
    </row>
    <row r="74" spans="1:6" ht="12.75">
      <c r="D74" s="982"/>
      <c r="E74" s="982"/>
      <c r="F74" s="982"/>
    </row>
    <row r="75" spans="1:6" ht="12.75">
      <c r="D75" s="982"/>
      <c r="E75" s="982"/>
      <c r="F75" s="982"/>
    </row>
    <row r="76" spans="1:6" ht="12.75"/>
    <row r="77" spans="1:6" ht="14.25">
      <c r="A77" s="271" t="s">
        <v>244</v>
      </c>
      <c r="B77" s="624" t="s">
        <v>132</v>
      </c>
      <c r="D77" s="982" t="s">
        <v>1511</v>
      </c>
      <c r="E77" s="982"/>
      <c r="F77" s="982"/>
    </row>
    <row r="78" spans="1:6" ht="12.75">
      <c r="D78" s="982"/>
      <c r="E78" s="982"/>
      <c r="F78" s="982"/>
    </row>
    <row r="79" spans="1:6" ht="12.75"/>
    <row r="80" spans="1:6" ht="14.25">
      <c r="A80" s="271" t="s">
        <v>244</v>
      </c>
      <c r="B80" s="624" t="s">
        <v>132</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132</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7" customHeight="1">
      <c r="C89" s="605"/>
      <c r="D89" s="1009" t="s">
        <v>1445</v>
      </c>
      <c r="E89" s="1009"/>
      <c r="F89" s="1009"/>
      <c r="G89"/>
    </row>
    <row r="90" spans="1:7" ht="13.7"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132</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132</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1440</v>
      </c>
      <c r="D128" s="982" t="s">
        <v>1618</v>
      </c>
      <c r="E128" s="982"/>
      <c r="F128" s="982"/>
    </row>
    <row r="129" spans="1:7" s="324" customFormat="1" ht="14.1" customHeight="1">
      <c r="A129" s="317"/>
      <c r="B129" s="317"/>
      <c r="C129" s="317"/>
      <c r="D129" s="982"/>
      <c r="E129" s="982"/>
      <c r="F129" s="982"/>
      <c r="G129" s="361"/>
    </row>
    <row r="130" spans="1:7" ht="14.1" customHeight="1">
      <c r="D130" s="982"/>
      <c r="E130" s="982"/>
      <c r="F130" s="982"/>
    </row>
    <row r="131" spans="1:7" ht="14.1" customHeight="1">
      <c r="D131" s="982"/>
      <c r="E131" s="982"/>
      <c r="F131" s="982"/>
    </row>
    <row r="132" spans="1:7" ht="14.1" customHeight="1">
      <c r="D132" s="982"/>
      <c r="E132" s="982"/>
      <c r="F132" s="982"/>
    </row>
    <row r="133" spans="1:7" ht="14.1" customHeight="1">
      <c r="D133" s="982"/>
      <c r="E133" s="982"/>
      <c r="F133" s="982"/>
    </row>
    <row r="134" spans="1:7" ht="14.1" customHeight="1">
      <c r="D134" s="982"/>
      <c r="E134" s="982"/>
      <c r="F134" s="982"/>
      <c r="G134"/>
    </row>
    <row r="135" spans="1:7" ht="14.1" customHeight="1">
      <c r="D135" s="982"/>
      <c r="E135" s="982"/>
      <c r="F135" s="982"/>
      <c r="G135"/>
    </row>
    <row r="136" spans="1:7" ht="14.1" customHeight="1">
      <c r="D136" s="982"/>
      <c r="E136" s="982"/>
      <c r="F136" s="982"/>
      <c r="G136"/>
    </row>
    <row r="137" spans="1:7" ht="14.1" customHeight="1">
      <c r="D137" s="982"/>
      <c r="E137" s="982"/>
      <c r="F137" s="982"/>
      <c r="G137"/>
    </row>
    <row r="138" spans="1:7" ht="17.25" customHeight="1">
      <c r="D138" s="982"/>
      <c r="E138" s="982"/>
      <c r="F138" s="982"/>
      <c r="G138"/>
    </row>
    <row r="139" spans="1:7" ht="25.5" hidden="1" customHeight="1">
      <c r="D139" s="982"/>
      <c r="E139" s="982"/>
      <c r="F139" s="982"/>
      <c r="G139"/>
    </row>
    <row r="140" spans="1:7" ht="14.1" customHeight="1">
      <c r="G140"/>
    </row>
    <row r="141" spans="1:7" ht="14.1" customHeight="1">
      <c r="B141" s="624" t="s">
        <v>132</v>
      </c>
      <c r="D141" s="976" t="s">
        <v>1807</v>
      </c>
      <c r="E141" s="982"/>
      <c r="F141" s="982"/>
      <c r="G141"/>
    </row>
    <row r="142" spans="1:7" ht="14.1" customHeight="1">
      <c r="D142" s="982"/>
      <c r="E142" s="982"/>
      <c r="F142" s="982"/>
      <c r="G142"/>
    </row>
    <row r="143" spans="1:7" ht="14.1" customHeight="1">
      <c r="D143" s="982"/>
      <c r="E143" s="982"/>
      <c r="F143" s="982"/>
      <c r="G143"/>
    </row>
    <row r="144" spans="1:7" ht="14.1" customHeight="1">
      <c r="D144" s="982"/>
      <c r="E144" s="982"/>
      <c r="F144" s="982"/>
      <c r="G144"/>
    </row>
    <row r="145" spans="1:7" ht="14.1" customHeight="1">
      <c r="D145" s="982"/>
      <c r="E145" s="982"/>
      <c r="F145" s="982"/>
      <c r="G145"/>
    </row>
    <row r="146" spans="1:7" ht="14.1" customHeight="1">
      <c r="A146" s="18"/>
      <c r="B146" s="18"/>
      <c r="D146" s="982"/>
      <c r="E146" s="982"/>
      <c r="F146" s="982"/>
      <c r="G146"/>
    </row>
    <row r="147" spans="1:7" ht="14.1" customHeight="1">
      <c r="A147" s="18"/>
      <c r="B147" s="18"/>
      <c r="D147" s="982"/>
      <c r="E147" s="982"/>
      <c r="F147" s="982"/>
      <c r="G147"/>
    </row>
    <row r="148" spans="1:7" ht="14.1" customHeight="1">
      <c r="A148" s="18"/>
      <c r="B148" s="18"/>
      <c r="D148" s="982"/>
      <c r="E148" s="982"/>
      <c r="F148" s="982"/>
      <c r="G148"/>
    </row>
    <row r="149" spans="1:7" ht="14.1" customHeight="1">
      <c r="A149" s="18"/>
      <c r="B149" s="18"/>
      <c r="D149" s="982"/>
      <c r="E149" s="982"/>
      <c r="F149" s="982"/>
      <c r="G149"/>
    </row>
    <row r="150" spans="1:7" ht="14.1" customHeight="1">
      <c r="A150" s="18"/>
      <c r="B150" s="18"/>
      <c r="D150" s="982"/>
      <c r="E150" s="982"/>
      <c r="F150" s="982"/>
      <c r="G150"/>
    </row>
    <row r="151" spans="1:7" ht="14.1" customHeight="1">
      <c r="A151" s="18"/>
      <c r="B151" s="18"/>
      <c r="D151" s="982"/>
      <c r="E151" s="982"/>
      <c r="F151" s="982"/>
      <c r="G151"/>
    </row>
    <row r="152" spans="1:7" ht="14.1" customHeight="1">
      <c r="A152" s="18"/>
      <c r="B152" s="18"/>
      <c r="D152" s="982"/>
      <c r="E152" s="982"/>
      <c r="F152" s="982"/>
      <c r="G152"/>
    </row>
    <row r="153" spans="1:7" ht="14.1" customHeight="1">
      <c r="A153" s="18"/>
      <c r="B153" s="18"/>
      <c r="D153" s="982"/>
      <c r="E153" s="982"/>
      <c r="F153" s="982"/>
      <c r="G153"/>
    </row>
    <row r="154" spans="1:7" ht="14.1" customHeight="1">
      <c r="A154" s="18"/>
      <c r="B154" s="18"/>
      <c r="D154" s="982"/>
      <c r="E154" s="982"/>
      <c r="F154" s="982"/>
      <c r="G154"/>
    </row>
    <row r="155" spans="1:7" ht="14.1" customHeight="1">
      <c r="A155" s="18"/>
      <c r="B155" s="18"/>
      <c r="D155" s="982"/>
      <c r="E155" s="982"/>
      <c r="F155" s="982"/>
      <c r="G155"/>
    </row>
    <row r="156" spans="1:7" ht="14.1" customHeight="1">
      <c r="A156" s="18"/>
      <c r="B156" s="18"/>
      <c r="D156" s="982"/>
      <c r="E156" s="982"/>
      <c r="F156" s="982"/>
      <c r="G156"/>
    </row>
    <row r="157" spans="1:7" ht="14.1" customHeight="1">
      <c r="A157" s="18"/>
      <c r="B157" s="18"/>
      <c r="D157" s="982"/>
      <c r="E157" s="982"/>
      <c r="F157" s="982"/>
      <c r="G157"/>
    </row>
    <row r="158" spans="1:7" ht="14.1" customHeight="1">
      <c r="A158" s="18"/>
      <c r="B158" s="18"/>
      <c r="D158" s="982"/>
      <c r="E158" s="982"/>
      <c r="F158" s="982"/>
      <c r="G158"/>
    </row>
    <row r="159" spans="1:7" ht="14.1" customHeight="1">
      <c r="A159" s="18"/>
      <c r="B159" s="18"/>
      <c r="D159" s="1041" t="s">
        <v>1808</v>
      </c>
      <c r="E159" s="1041"/>
      <c r="F159" s="1041"/>
      <c r="G159"/>
    </row>
    <row r="160" spans="1:7" ht="14.1" customHeight="1">
      <c r="A160" s="18"/>
      <c r="B160" s="18"/>
      <c r="D160" s="44"/>
      <c r="G160"/>
    </row>
    <row r="161" spans="1:7" ht="14.1" customHeight="1">
      <c r="A161" s="271"/>
      <c r="B161" s="624" t="s">
        <v>132</v>
      </c>
      <c r="D161" s="1003" t="s">
        <v>1836</v>
      </c>
      <c r="E161" s="1043"/>
      <c r="F161" s="1043"/>
      <c r="G161"/>
    </row>
    <row r="162" spans="1:7" ht="14.1" customHeight="1">
      <c r="A162" s="271"/>
      <c r="B162" s="18"/>
      <c r="D162" s="1043"/>
      <c r="E162" s="1043"/>
      <c r="F162" s="1043"/>
      <c r="G162"/>
    </row>
    <row r="163" spans="1:7" ht="14.1" customHeight="1">
      <c r="A163" s="18"/>
      <c r="B163" s="18"/>
      <c r="D163" s="1043"/>
      <c r="E163" s="1043"/>
      <c r="F163" s="1043"/>
      <c r="G163"/>
    </row>
    <row r="164" spans="1:7" ht="14.1" customHeight="1">
      <c r="A164" s="18"/>
      <c r="B164" s="18"/>
      <c r="D164" s="44"/>
      <c r="G164"/>
    </row>
    <row r="165" spans="1:7" ht="14.1" customHeight="1">
      <c r="A165" s="271"/>
      <c r="B165" s="624" t="s">
        <v>1440</v>
      </c>
      <c r="D165" s="1043" t="s">
        <v>1619</v>
      </c>
      <c r="E165" s="1043"/>
      <c r="F165" s="1043"/>
      <c r="G165"/>
    </row>
    <row r="166" spans="1:7" ht="14.1" customHeight="1">
      <c r="A166" s="18"/>
      <c r="B166" s="18"/>
      <c r="D166" s="1043"/>
      <c r="E166" s="1043"/>
      <c r="F166" s="1043"/>
    </row>
    <row r="167" spans="1:7" ht="14.1" customHeight="1">
      <c r="A167" s="18"/>
      <c r="B167" s="18"/>
      <c r="D167" s="1043"/>
      <c r="E167" s="1043"/>
      <c r="F167" s="1043"/>
    </row>
    <row r="168" spans="1:7" ht="14.1" customHeight="1">
      <c r="A168" s="18"/>
      <c r="B168" s="18"/>
      <c r="D168" s="1043"/>
      <c r="E168" s="1043"/>
      <c r="F168" s="1043"/>
    </row>
    <row r="169" spans="1:7" ht="14.1" customHeight="1">
      <c r="A169" s="18"/>
      <c r="B169" s="18"/>
      <c r="D169" s="44"/>
    </row>
    <row r="170" spans="1:7" ht="14.1" customHeight="1">
      <c r="A170" s="374"/>
      <c r="B170" s="624" t="s">
        <v>132</v>
      </c>
      <c r="C170" s="374"/>
      <c r="D170" s="1039" t="s">
        <v>2265</v>
      </c>
      <c r="E170" s="1039"/>
      <c r="F170" s="1039"/>
      <c r="G170" s="365"/>
    </row>
    <row r="171" spans="1:7" ht="14.1" customHeight="1">
      <c r="A171" s="374"/>
      <c r="B171" s="374"/>
      <c r="C171" s="374"/>
      <c r="D171" s="1039"/>
      <c r="E171" s="1039"/>
      <c r="F171" s="1039"/>
      <c r="G171" s="365"/>
    </row>
    <row r="172" spans="1:7" ht="14.1"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1440</v>
      </c>
      <c r="D179" s="1005" t="s">
        <v>1810</v>
      </c>
      <c r="E179" s="1006"/>
      <c r="F179" s="1006"/>
    </row>
    <row r="180" spans="1:6" ht="14.25">
      <c r="A180" s="271"/>
      <c r="D180" s="313"/>
      <c r="E180" s="102"/>
      <c r="F180" s="102"/>
    </row>
    <row r="181" spans="1:6" ht="14.25">
      <c r="A181" s="271"/>
      <c r="B181" s="624" t="s">
        <v>1440</v>
      </c>
      <c r="D181" s="1006" t="s">
        <v>1620</v>
      </c>
      <c r="E181" s="1006"/>
      <c r="F181" s="1006"/>
    </row>
    <row r="182" spans="1:6" ht="14.25">
      <c r="A182" s="271"/>
      <c r="D182" s="102"/>
      <c r="E182" s="102"/>
      <c r="F182" s="102"/>
    </row>
    <row r="183" spans="1:6" ht="14.25">
      <c r="A183" s="271"/>
      <c r="B183" s="624" t="s">
        <v>1440</v>
      </c>
      <c r="D183" s="1042" t="s">
        <v>1890</v>
      </c>
      <c r="E183" s="1042"/>
      <c r="F183" s="1042"/>
    </row>
    <row r="184" spans="1:6" ht="13.7" customHeight="1">
      <c r="A184" s="271"/>
      <c r="D184" s="41" t="s">
        <v>944</v>
      </c>
      <c r="E184" s="976" t="s">
        <v>2260</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1891</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132</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2350</v>
      </c>
      <c r="E200" s="1041"/>
      <c r="F200" s="1041"/>
    </row>
    <row r="201" spans="1:7" ht="12.75">
      <c r="D201" s="640"/>
      <c r="E201" s="640"/>
      <c r="F201" s="640"/>
    </row>
    <row r="202" spans="1:7" ht="14.25">
      <c r="A202" s="271"/>
      <c r="B202" s="624" t="s">
        <v>132</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2266</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132</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1440</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132</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1440</v>
      </c>
      <c r="C265" s="900"/>
      <c r="D265" s="1017" t="s">
        <v>2108</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1440</v>
      </c>
      <c r="C270" s="900"/>
      <c r="D270" s="1017" t="s">
        <v>2109</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7"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1440</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45" customHeight="1">
      <c r="A316" s="271"/>
      <c r="B316" s="624" t="s">
        <v>132</v>
      </c>
      <c r="D316" s="982" t="s">
        <v>1636</v>
      </c>
      <c r="E316" s="982"/>
      <c r="F316" s="982"/>
    </row>
    <row r="317" spans="1:7" ht="14.25">
      <c r="A317" s="271"/>
      <c r="B317" s="271"/>
      <c r="D317" s="982"/>
      <c r="E317" s="982"/>
      <c r="F317" s="982"/>
    </row>
    <row r="318" spans="1:7" ht="12.75"/>
    <row r="319" spans="1:7" ht="14.45" customHeight="1">
      <c r="A319" s="271"/>
      <c r="B319" s="624" t="s">
        <v>132</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132</v>
      </c>
      <c r="D331" s="1002" t="s">
        <v>1639</v>
      </c>
      <c r="E331" s="1002"/>
      <c r="F331" s="1002"/>
      <c r="G331"/>
    </row>
    <row r="332" spans="1:7" ht="14.25">
      <c r="A332" s="271"/>
      <c r="B332" s="271"/>
      <c r="D332" s="431"/>
      <c r="G332"/>
    </row>
    <row r="333" spans="1:7" ht="14.25">
      <c r="A333" s="271"/>
      <c r="B333" s="624" t="s">
        <v>132</v>
      </c>
      <c r="D333" s="1002" t="s">
        <v>1640</v>
      </c>
      <c r="E333" s="1002"/>
      <c r="F333" s="1002"/>
      <c r="G333"/>
    </row>
    <row r="334" spans="1:7" ht="12.75">
      <c r="G334"/>
    </row>
    <row r="335" spans="1:7" ht="14.45" customHeight="1">
      <c r="A335" s="271"/>
      <c r="B335" s="624" t="s">
        <v>132</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132</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2267</v>
      </c>
      <c r="E371" s="1012"/>
      <c r="F371" s="1012"/>
    </row>
    <row r="372" spans="1:6" ht="14.25">
      <c r="A372" s="271"/>
      <c r="B372" s="271"/>
      <c r="C372" s="365"/>
      <c r="D372" s="431"/>
    </row>
    <row r="373" spans="1:6" ht="14.25">
      <c r="A373" s="271"/>
      <c r="B373" s="624" t="s">
        <v>132</v>
      </c>
      <c r="C373" s="365"/>
      <c r="D373" s="977" t="s">
        <v>2268</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1647</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45" customHeight="1">
      <c r="A432" s="271"/>
      <c r="B432" s="624" t="s">
        <v>132</v>
      </c>
      <c r="C432" s="207"/>
      <c r="D432" s="982" t="s">
        <v>2269</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8" t="s">
        <v>2180</v>
      </c>
      <c r="F465" s="948"/>
    </row>
    <row r="466" spans="1:6" ht="13.7" customHeight="1">
      <c r="D466" s="976" t="s">
        <v>1948</v>
      </c>
      <c r="E466" s="982"/>
      <c r="F466" s="982"/>
    </row>
    <row r="467" spans="1:6" ht="13.7" customHeight="1">
      <c r="D467" s="982"/>
      <c r="E467" s="982"/>
      <c r="F467" s="982"/>
    </row>
    <row r="468" spans="1:6" ht="12.75">
      <c r="D468" s="44"/>
    </row>
    <row r="469" spans="1:6" ht="14.4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7"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132</v>
      </c>
      <c r="D504" s="1000" t="s">
        <v>1651</v>
      </c>
      <c r="E504" s="1000"/>
      <c r="F504" s="1000"/>
    </row>
    <row r="505" spans="1:7" ht="14.25">
      <c r="A505" s="271"/>
      <c r="B505" s="271"/>
      <c r="D505" s="1000"/>
      <c r="E505" s="1000"/>
      <c r="F505" s="1000"/>
    </row>
    <row r="506" spans="1:7" ht="14.25">
      <c r="A506" s="271"/>
      <c r="B506" s="271"/>
      <c r="D506" s="44"/>
    </row>
    <row r="507" spans="1:7" ht="14.25">
      <c r="A507" s="271"/>
      <c r="B507" s="624" t="s">
        <v>132</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1653</v>
      </c>
      <c r="E512" s="1002"/>
      <c r="F512" s="1002"/>
      <c r="G512"/>
    </row>
    <row r="513" spans="1:7" ht="12.75">
      <c r="D513" s="44"/>
      <c r="G513"/>
    </row>
    <row r="514" spans="1:7" ht="14.25">
      <c r="A514" s="271"/>
      <c r="B514" s="624" t="s">
        <v>132</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2270</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132</v>
      </c>
      <c r="C529" s="191"/>
      <c r="D529" s="949" t="s">
        <v>2182</v>
      </c>
      <c r="E529" s="950"/>
      <c r="G529"/>
    </row>
    <row r="530" spans="1:7" ht="12.75">
      <c r="A530" s="191"/>
      <c r="B530" s="191"/>
      <c r="C530" s="191"/>
      <c r="D530" s="950"/>
      <c r="E530" s="104" t="s">
        <v>2183</v>
      </c>
      <c r="G530"/>
    </row>
    <row r="531" spans="1:7" ht="14.25">
      <c r="A531" s="271"/>
      <c r="B531"/>
      <c r="D531" s="1000" t="s">
        <v>2271</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4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1440</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51"/>
      <c r="E573" s="104" t="s">
        <v>2185</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3.7"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1440</v>
      </c>
      <c r="C589" s="207"/>
      <c r="D589" s="982" t="s">
        <v>2272</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45" customHeight="1">
      <c r="A604" s="271"/>
      <c r="B604" s="624" t="s">
        <v>1440</v>
      </c>
      <c r="D604" s="1010" t="s">
        <v>2273</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2274</v>
      </c>
      <c r="E613" s="1010"/>
      <c r="F613" s="1010"/>
    </row>
    <row r="614" spans="1:7" ht="14.25">
      <c r="A614" s="271"/>
      <c r="B614" s="271"/>
      <c r="D614" s="1010"/>
      <c r="E614" s="1010"/>
      <c r="F614" s="1010"/>
    </row>
    <row r="615" spans="1:7" ht="14.25">
      <c r="A615" s="271"/>
      <c r="B615" s="271"/>
      <c r="D615" s="375"/>
    </row>
    <row r="616" spans="1:7" ht="14.4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1440</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3"/>
      <c r="E628" s="947" t="s">
        <v>2186</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132</v>
      </c>
      <c r="D638" s="982" t="s">
        <v>1627</v>
      </c>
      <c r="E638" s="982"/>
      <c r="F638" s="982"/>
    </row>
    <row r="639" spans="1:7" ht="14.25">
      <c r="A639" s="271"/>
      <c r="B639" s="271"/>
      <c r="D639" s="982"/>
      <c r="E639" s="982"/>
      <c r="F639" s="982"/>
    </row>
    <row r="640" spans="1:7" ht="14.25">
      <c r="A640" s="271"/>
      <c r="B640" s="271"/>
      <c r="D640" s="44"/>
    </row>
    <row r="641" spans="1:7" ht="14.25">
      <c r="A641" s="271"/>
      <c r="B641" s="624" t="s">
        <v>1440</v>
      </c>
      <c r="D641" s="976" t="s">
        <v>2017</v>
      </c>
      <c r="E641" s="976"/>
      <c r="F641" s="976"/>
    </row>
    <row r="642" spans="1:7" ht="13.7" customHeight="1">
      <c r="D642" s="976"/>
      <c r="E642" s="976"/>
      <c r="F642" s="976"/>
    </row>
    <row r="643" spans="1:7" ht="12.75"/>
    <row r="644" spans="1:7" ht="14.25">
      <c r="A644" s="271"/>
      <c r="B644" s="624" t="s">
        <v>132</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2275</v>
      </c>
      <c r="E650" s="997"/>
      <c r="F650" s="997"/>
    </row>
    <row r="651" spans="1:7" ht="14.25">
      <c r="A651" s="271"/>
      <c r="B651" s="271"/>
      <c r="D651" s="997"/>
      <c r="E651" s="997"/>
      <c r="F651" s="997"/>
    </row>
    <row r="652" spans="1:7" ht="12.75">
      <c r="D652" s="953"/>
      <c r="E652" s="947" t="s">
        <v>2189</v>
      </c>
      <c r="F652" s="953"/>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45" customHeight="1">
      <c r="A670" s="271"/>
      <c r="B670" s="624" t="s">
        <v>1440</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2276</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1440</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1440</v>
      </c>
      <c r="C696" s="191"/>
      <c r="D696" s="982" t="s">
        <v>2277</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1440</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1440</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1440</v>
      </c>
      <c r="C711" s="191"/>
      <c r="D711" s="976" t="s">
        <v>1809</v>
      </c>
      <c r="E711" s="982"/>
      <c r="F711" s="982"/>
    </row>
    <row r="712" spans="1:6" ht="12.75">
      <c r="A712" s="191"/>
      <c r="B712" s="191"/>
      <c r="C712" s="191"/>
      <c r="D712" s="982"/>
      <c r="E712" s="982"/>
      <c r="F712" s="982"/>
    </row>
    <row r="713" spans="1:6" ht="12.75">
      <c r="A713" s="191"/>
      <c r="B713" s="191"/>
      <c r="C713" s="191"/>
    </row>
    <row r="714" spans="1:6" ht="14.4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1440</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1440</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132</v>
      </c>
      <c r="C747" s="191"/>
      <c r="D747" s="976" t="s">
        <v>2356</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1440</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132</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7"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1440</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2344</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1440</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2278</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45" customHeight="1">
      <c r="B893" s="580"/>
      <c r="D893" s="1050"/>
      <c r="E893" s="1050"/>
      <c r="F893" s="1050"/>
      <c r="G893" s="188"/>
      <c r="H893" s="267"/>
      <c r="I893" s="267"/>
    </row>
    <row r="894" spans="1:9" ht="14.25">
      <c r="A894" s="271"/>
      <c r="B894"/>
      <c r="D894" s="982" t="s">
        <v>2278</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7"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1440</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2279</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2280</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1440</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1440</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1440</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6" t="s">
        <v>2332</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2333</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2281</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1440</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132</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1440</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6" customHeight="1">
      <c r="A1121" s="207"/>
      <c r="B1121" s="624" t="s">
        <v>132</v>
      </c>
      <c r="C1121" s="207"/>
      <c r="D1121" s="1038" t="s">
        <v>1850</v>
      </c>
      <c r="E1121" s="1036"/>
      <c r="F1121" s="1036"/>
      <c r="G1121" s="188"/>
    </row>
    <row r="1122" spans="1:7" ht="12.6"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132</v>
      </c>
      <c r="D1127" s="982" t="s">
        <v>1737</v>
      </c>
      <c r="E1127" s="982"/>
      <c r="F1127" s="982"/>
    </row>
    <row r="1128" spans="1:7" ht="12.75">
      <c r="D1128" s="982"/>
      <c r="E1128" s="982"/>
      <c r="F1128" s="982"/>
    </row>
    <row r="1129" spans="1:7" ht="12.75"/>
    <row r="1130" spans="1:7" ht="14.25">
      <c r="A1130" s="271"/>
      <c r="B1130" s="624" t="s">
        <v>1440</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1440</v>
      </c>
      <c r="D1135" s="1002" t="s">
        <v>1739</v>
      </c>
      <c r="E1135" s="1002"/>
      <c r="F1135" s="1002"/>
    </row>
    <row r="1136" spans="1:7" ht="12.75"/>
    <row r="1137" spans="1:7" ht="14.25">
      <c r="A1137" s="271"/>
      <c r="B1137" s="624" t="s">
        <v>1440</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45" customHeight="1">
      <c r="A1142" s="271"/>
      <c r="B1142" s="624" t="s">
        <v>132</v>
      </c>
      <c r="D1142" s="976" t="s">
        <v>2334</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7" customHeight="1">
      <c r="B1162" s="624" t="s">
        <v>1440</v>
      </c>
      <c r="D1162" s="999" t="s">
        <v>2194</v>
      </c>
      <c r="E1162" s="999"/>
      <c r="F1162" s="999"/>
      <c r="G1162"/>
    </row>
    <row r="1163" spans="1:7" ht="12.75">
      <c r="D1163" s="999"/>
      <c r="E1163" s="999"/>
      <c r="F1163" s="999"/>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1440</v>
      </c>
      <c r="D1178" s="1002" t="s">
        <v>1742</v>
      </c>
      <c r="E1178" s="1002"/>
      <c r="F1178" s="1002"/>
      <c r="G1178"/>
    </row>
    <row r="1179" spans="1:7" ht="12.75">
      <c r="G1179"/>
    </row>
    <row r="1180" spans="1:7" ht="14.25">
      <c r="A1180" s="271"/>
      <c r="B1180" s="624" t="s">
        <v>132</v>
      </c>
      <c r="D1180" s="1002" t="s">
        <v>1743</v>
      </c>
      <c r="E1180" s="1002"/>
      <c r="F1180" s="1002"/>
      <c r="G1180"/>
    </row>
    <row r="1181" spans="1:7" ht="12.75">
      <c r="D1181" s="44"/>
      <c r="G1181"/>
    </row>
    <row r="1182" spans="1:7" ht="14.25">
      <c r="A1182" s="271"/>
      <c r="B1182" s="624" t="s">
        <v>132</v>
      </c>
      <c r="D1182" s="1002" t="s">
        <v>1744</v>
      </c>
      <c r="E1182" s="1002"/>
      <c r="F1182" s="1002"/>
      <c r="G1182"/>
    </row>
    <row r="1183" spans="1:7" ht="12.75">
      <c r="D1183" s="44"/>
      <c r="G1183"/>
    </row>
    <row r="1184" spans="1:7" ht="14.25">
      <c r="A1184" s="271"/>
      <c r="B1184" s="624" t="s">
        <v>132</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1440</v>
      </c>
      <c r="D1192" s="1002" t="s">
        <v>1748</v>
      </c>
      <c r="E1192" s="1002"/>
      <c r="F1192" s="1002"/>
    </row>
    <row r="1193" spans="1:7" ht="14.25">
      <c r="A1193" s="271"/>
      <c r="B1193" s="271"/>
      <c r="D1193" s="44"/>
    </row>
    <row r="1194" spans="1:7" ht="14.25">
      <c r="A1194" s="271"/>
      <c r="B1194" s="624" t="s">
        <v>132</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1440</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3.7"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4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59" fitToHeight="15"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901" zoomScale="110" zoomScaleNormal="110" workbookViewId="0">
      <selection activeCell="L911" sqref="L911"/>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2.95" customHeight="1">
      <c r="A10" s="1412" t="s">
        <v>2351</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2.95" customHeight="1">
      <c r="A11" s="1413" t="s">
        <v>2354</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2.9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5" t="s">
        <v>2358</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2.95" customHeight="1"/>
    <row r="17" spans="1:40" ht="12.95" customHeight="1">
      <c r="A17" s="63" t="s">
        <v>831</v>
      </c>
      <c r="C17" s="5"/>
      <c r="D17" s="5"/>
      <c r="E17" s="5"/>
      <c r="F17" s="5"/>
      <c r="G17" s="5"/>
      <c r="H17" s="1288" t="s">
        <v>2359</v>
      </c>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0">
        <f>ROUND('Basis &amp; Credits'!AB55,0)</f>
        <v>2500000</v>
      </c>
      <c r="N25" s="1390"/>
      <c r="O25" s="1390"/>
      <c r="P25" s="1390"/>
      <c r="Q25" s="139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0">
        <f>'Basis &amp; Credits'!AB76</f>
        <v>16539667</v>
      </c>
      <c r="N27" s="1390"/>
      <c r="O27" s="1390"/>
      <c r="P27" s="1390"/>
      <c r="Q27" s="139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7" t="s">
        <v>116</v>
      </c>
      <c r="P33" s="1117"/>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96" t="s">
        <v>2360</v>
      </c>
      <c r="H128" s="1119"/>
      <c r="I128" s="41" t="s">
        <v>441</v>
      </c>
      <c r="J128" s="41"/>
      <c r="L128" s="1301" t="s">
        <v>2361</v>
      </c>
      <c r="M128" s="1302"/>
      <c r="N128" s="1302"/>
      <c r="O128" s="41" t="s">
        <v>2352</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1" t="s">
        <v>2362</v>
      </c>
      <c r="D130" s="1302"/>
      <c r="E130" s="1302"/>
      <c r="F130" s="1302"/>
      <c r="G130" s="1302"/>
      <c r="H130" s="1302"/>
      <c r="I130" s="1302"/>
      <c r="J130" s="1302"/>
      <c r="K130" s="1302"/>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8" t="s">
        <v>2363</v>
      </c>
      <c r="Z131" s="1118"/>
      <c r="AA131" s="1118"/>
      <c r="AB131" s="1118"/>
      <c r="AC131" s="1118"/>
      <c r="AD131" s="1118"/>
      <c r="AE131" s="1118"/>
      <c r="AF131" s="1118"/>
      <c r="AG131" s="1118"/>
      <c r="AH131" s="1118"/>
      <c r="AI131" s="1118"/>
      <c r="AJ131" s="1118"/>
      <c r="AK131" s="1118"/>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8" t="s">
        <v>2364</v>
      </c>
      <c r="Z134" s="1118"/>
      <c r="AA134" s="1118"/>
      <c r="AB134" s="1118"/>
      <c r="AC134" s="1118"/>
      <c r="AD134" s="1118"/>
      <c r="AE134" s="1118"/>
      <c r="AF134" s="1118"/>
      <c r="AG134" s="1118"/>
      <c r="AH134" s="1118"/>
      <c r="AI134" s="1118"/>
      <c r="AJ134" s="1118"/>
      <c r="AK134" s="1118"/>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288" t="s">
        <v>2365</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T156" t="s">
        <v>84</v>
      </c>
    </row>
    <row r="157" spans="1:72" ht="12.95" customHeight="1">
      <c r="D157" s="340" t="s">
        <v>574</v>
      </c>
      <c r="O157" s="1142" t="s">
        <v>2366</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2.95" customHeight="1">
      <c r="D158" s="12" t="s">
        <v>575</v>
      </c>
      <c r="F158" s="12"/>
      <c r="G158" s="12"/>
      <c r="H158" s="12"/>
      <c r="I158" s="12"/>
      <c r="J158" s="12"/>
      <c r="K158" s="12"/>
      <c r="L158" s="12"/>
      <c r="M158" s="12"/>
      <c r="N158" s="12"/>
      <c r="O158" s="1299" t="s">
        <v>576</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30" t="s">
        <v>452</v>
      </c>
      <c r="BT158" t="s">
        <v>32</v>
      </c>
    </row>
    <row r="159" spans="1:72" ht="12.95" customHeight="1">
      <c r="D159" t="s">
        <v>683</v>
      </c>
      <c r="O159" s="1091" t="s">
        <v>2367</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288" t="s">
        <v>2362</v>
      </c>
      <c r="P160" s="1118"/>
      <c r="Q160" s="1118"/>
      <c r="R160" s="1118"/>
      <c r="S160" s="1118"/>
      <c r="T160" s="1118"/>
      <c r="U160" s="1118"/>
      <c r="V160" s="1118"/>
      <c r="W160" s="1118"/>
      <c r="X160" s="1118"/>
      <c r="Y160" s="12"/>
      <c r="Z160" s="12"/>
      <c r="AA160" s="12"/>
      <c r="AB160" s="12"/>
      <c r="AC160" s="12"/>
      <c r="AD160" s="12"/>
      <c r="AE160" s="12"/>
      <c r="AF160" s="12"/>
      <c r="BN160" s="30" t="s">
        <v>80</v>
      </c>
      <c r="BT160" t="s">
        <v>414</v>
      </c>
    </row>
    <row r="161" spans="1:72" ht="12.95" customHeight="1">
      <c r="D161" t="s">
        <v>685</v>
      </c>
      <c r="O161" s="1305">
        <v>95202</v>
      </c>
      <c r="P161" s="1305"/>
      <c r="Q161" s="1305"/>
      <c r="R161" s="1305"/>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2" t="s">
        <v>2368</v>
      </c>
      <c r="P162" s="1292"/>
      <c r="Q162" s="1292"/>
      <c r="R162" s="1292"/>
      <c r="S162" s="1292"/>
      <c r="T162" s="1292"/>
      <c r="V162" s="179" t="s">
        <v>12</v>
      </c>
      <c r="W162" s="1306"/>
      <c r="X162" s="1306"/>
      <c r="Y162" s="14"/>
      <c r="Z162" s="14"/>
      <c r="AA162" s="14"/>
      <c r="AB162" s="14"/>
      <c r="AC162" s="14"/>
      <c r="AD162" s="14"/>
      <c r="AE162" s="14"/>
      <c r="AF162" s="14"/>
      <c r="BJ162" t="s">
        <v>116</v>
      </c>
      <c r="BN162" s="30" t="s">
        <v>82</v>
      </c>
      <c r="BT162" t="s">
        <v>416</v>
      </c>
    </row>
    <row r="163" spans="1:72" ht="12.95" customHeight="1">
      <c r="D163" t="s">
        <v>687</v>
      </c>
      <c r="O163" s="1292" t="s">
        <v>2369</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5" customHeight="1">
      <c r="D164" t="s">
        <v>688</v>
      </c>
      <c r="O164" s="1141" t="s">
        <v>2370</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4" t="s">
        <v>2019</v>
      </c>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5"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0" t="s">
        <v>536</v>
      </c>
      <c r="K173" s="1300"/>
      <c r="L173" s="1300"/>
      <c r="M173" s="1300"/>
      <c r="N173" s="1300"/>
      <c r="O173" s="1300"/>
      <c r="P173" s="1300"/>
      <c r="Q173" s="1300"/>
      <c r="R173" s="1300"/>
      <c r="S173" s="1300"/>
      <c r="U173" s="32"/>
      <c r="X173" s="32"/>
      <c r="BN173" s="30" t="s">
        <v>520</v>
      </c>
      <c r="BT173" t="s">
        <v>427</v>
      </c>
    </row>
    <row r="174" spans="1:72" ht="12.95" customHeight="1">
      <c r="C174" s="31"/>
      <c r="D174" t="s">
        <v>467</v>
      </c>
      <c r="U174" s="1117" t="s">
        <v>116</v>
      </c>
      <c r="V174" s="1117"/>
      <c r="BN174" s="30" t="s">
        <v>630</v>
      </c>
      <c r="BT174" t="s">
        <v>428</v>
      </c>
    </row>
    <row r="175" spans="1:72" ht="12.95" customHeight="1">
      <c r="C175" s="12"/>
      <c r="D175" s="33"/>
      <c r="E175" t="s">
        <v>245</v>
      </c>
      <c r="O175" s="34"/>
      <c r="P175" t="s">
        <v>2228</v>
      </c>
      <c r="T175" s="34" t="s">
        <v>246</v>
      </c>
      <c r="U175" s="1094">
        <v>22</v>
      </c>
      <c r="V175" s="1094"/>
      <c r="W175" s="1" t="s">
        <v>247</v>
      </c>
      <c r="X175" s="1303">
        <v>11</v>
      </c>
      <c r="Y175" s="1303"/>
      <c r="BN175" s="30" t="s">
        <v>631</v>
      </c>
      <c r="BT175" t="s">
        <v>429</v>
      </c>
    </row>
    <row r="176" spans="1:72" ht="12.95" customHeight="1">
      <c r="C176" s="31"/>
      <c r="D176" t="s">
        <v>294</v>
      </c>
      <c r="U176" s="1117" t="s">
        <v>511</v>
      </c>
      <c r="V176" s="1117"/>
      <c r="BN176" s="30" t="s">
        <v>633</v>
      </c>
      <c r="BT176" t="s">
        <v>430</v>
      </c>
    </row>
    <row r="177" spans="1:72" ht="12.95" customHeight="1">
      <c r="C177" s="31"/>
      <c r="D177" s="365" t="s">
        <v>1285</v>
      </c>
      <c r="BN177" s="30" t="s">
        <v>634</v>
      </c>
      <c r="BT177" t="s">
        <v>431</v>
      </c>
    </row>
    <row r="178" spans="1:72" ht="12.95" customHeight="1">
      <c r="C178" s="31"/>
      <c r="E178" s="365" t="s">
        <v>2228</v>
      </c>
      <c r="F178" s="365"/>
      <c r="G178" s="365"/>
      <c r="I178" s="960" t="s">
        <v>246</v>
      </c>
      <c r="J178" s="1403"/>
      <c r="K178" s="1403"/>
      <c r="L178" s="374" t="s">
        <v>247</v>
      </c>
      <c r="M178" s="1120"/>
      <c r="N178" s="1120"/>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2.95" customHeight="1">
      <c r="C179" s="31"/>
      <c r="BN179" s="30" t="s">
        <v>636</v>
      </c>
      <c r="BT179" t="s">
        <v>433</v>
      </c>
    </row>
    <row r="180" spans="1:72" ht="12.95" customHeight="1">
      <c r="C180" s="12"/>
      <c r="D180" t="s">
        <v>2229</v>
      </c>
      <c r="O180" s="365"/>
      <c r="P180" s="365"/>
      <c r="Q180" s="365"/>
      <c r="R180" s="365"/>
      <c r="Y180" s="1117" t="s">
        <v>511</v>
      </c>
      <c r="Z180" s="1295"/>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8" t="str">
        <f>H17</f>
        <v>The Hunter House</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2.95" customHeight="1">
      <c r="C185" s="29"/>
      <c r="D185" t="s">
        <v>458</v>
      </c>
      <c r="I185" s="1092" t="s">
        <v>2371</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2.9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2.95" customHeight="1">
      <c r="C189" s="29"/>
      <c r="D189" t="s">
        <v>459</v>
      </c>
      <c r="I189" s="1091" t="s">
        <v>2362</v>
      </c>
      <c r="J189" s="1091"/>
      <c r="K189" s="1091"/>
      <c r="L189" s="1091"/>
      <c r="M189" s="1091"/>
      <c r="N189" s="1091"/>
      <c r="O189" s="1091"/>
      <c r="P189" s="1091"/>
      <c r="Q189" t="s">
        <v>461</v>
      </c>
      <c r="T189" s="1091" t="s">
        <v>123</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092">
        <v>95202</v>
      </c>
      <c r="J190" s="1092"/>
      <c r="K190" s="1092"/>
      <c r="L190" s="1092"/>
      <c r="M190" s="1092"/>
      <c r="N190" s="1092"/>
      <c r="O190" t="s">
        <v>464</v>
      </c>
      <c r="T190" s="1293">
        <v>1.02</v>
      </c>
      <c r="U190" s="1293"/>
      <c r="V190" s="1293"/>
      <c r="W190" s="1293"/>
      <c r="X190" s="1293"/>
      <c r="Y190" s="1293"/>
      <c r="Z190" s="1293"/>
      <c r="AA190" s="1293"/>
      <c r="AB190" s="1293"/>
      <c r="AC190" s="1293"/>
      <c r="AD190" s="1293"/>
      <c r="AE190" s="1293"/>
      <c r="BC190" t="s">
        <v>699</v>
      </c>
      <c r="BH190" t="s">
        <v>699</v>
      </c>
      <c r="BN190" s="30" t="s">
        <v>450</v>
      </c>
      <c r="BT190" t="s">
        <v>118</v>
      </c>
    </row>
    <row r="191" spans="1:72" ht="12.95" customHeight="1">
      <c r="C191" s="29"/>
      <c r="D191" t="s">
        <v>89</v>
      </c>
      <c r="N191" s="1405" t="s">
        <v>2372</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2.9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2.95" customHeight="1">
      <c r="C193" s="29"/>
      <c r="D193" t="s">
        <v>465</v>
      </c>
      <c r="T193" s="1117" t="s">
        <v>511</v>
      </c>
      <c r="U193" s="1117"/>
      <c r="W193" s="41" t="s">
        <v>1982</v>
      </c>
      <c r="AA193" s="1284"/>
      <c r="AB193" s="1284"/>
      <c r="AC193" s="1284"/>
      <c r="BC193" t="s">
        <v>595</v>
      </c>
      <c r="BH193" s="5" t="s">
        <v>1496</v>
      </c>
      <c r="BN193" s="30" t="s">
        <v>615</v>
      </c>
      <c r="BT193" t="s">
        <v>121</v>
      </c>
    </row>
    <row r="194" spans="1:73" ht="12.95" customHeight="1">
      <c r="C194" s="29"/>
      <c r="D194" t="s">
        <v>126</v>
      </c>
      <c r="T194" s="1106" t="s">
        <v>116</v>
      </c>
      <c r="U194" s="1106"/>
      <c r="W194" t="s">
        <v>67</v>
      </c>
      <c r="AI194" s="1117" t="s">
        <v>511</v>
      </c>
      <c r="AJ194" s="1117"/>
      <c r="AX194" s="5" t="s">
        <v>132</v>
      </c>
      <c r="BC194" t="s">
        <v>651</v>
      </c>
      <c r="BN194" s="30" t="s">
        <v>790</v>
      </c>
      <c r="BT194" t="s">
        <v>122</v>
      </c>
    </row>
    <row r="195" spans="1:73" ht="12.95" customHeight="1">
      <c r="C195" s="29"/>
      <c r="D195" s="41" t="s">
        <v>1811</v>
      </c>
      <c r="T195" s="1106" t="s">
        <v>511</v>
      </c>
      <c r="U195" s="1106"/>
      <c r="X195" s="817" t="s">
        <v>2230</v>
      </c>
      <c r="AX195" s="5" t="s">
        <v>1198</v>
      </c>
      <c r="BN195" s="30" t="s">
        <v>791</v>
      </c>
      <c r="BT195" t="s">
        <v>123</v>
      </c>
    </row>
    <row r="196" spans="1:73" ht="12.95" customHeight="1">
      <c r="C196" s="29"/>
      <c r="D196" s="5" t="s">
        <v>1203</v>
      </c>
      <c r="T196" s="1106" t="s">
        <v>116</v>
      </c>
      <c r="U196" s="1106"/>
      <c r="AK196" s="1283"/>
      <c r="AL196" s="1283"/>
      <c r="AX196" s="41" t="s">
        <v>2327</v>
      </c>
      <c r="BN196" s="30" t="s">
        <v>792</v>
      </c>
      <c r="BT196" t="s">
        <v>124</v>
      </c>
    </row>
    <row r="197" spans="1:73" ht="12.95" customHeight="1">
      <c r="C197" s="29"/>
      <c r="D197" s="41" t="s">
        <v>1983</v>
      </c>
      <c r="T197" s="1117" t="s">
        <v>511</v>
      </c>
      <c r="U197" s="1117"/>
      <c r="AX197" s="5" t="s">
        <v>1199</v>
      </c>
      <c r="BC197" t="s">
        <v>84</v>
      </c>
      <c r="BN197" s="30" t="s">
        <v>793</v>
      </c>
      <c r="BT197" t="s">
        <v>125</v>
      </c>
    </row>
    <row r="198" spans="1:73" ht="12.95" customHeight="1">
      <c r="C198" s="29"/>
      <c r="D198" s="41" t="s">
        <v>2011</v>
      </c>
      <c r="W198" s="1296" t="s">
        <v>511</v>
      </c>
      <c r="X198" s="1117"/>
      <c r="AX198" s="5" t="s">
        <v>1200</v>
      </c>
      <c r="BC198" t="s">
        <v>1150</v>
      </c>
      <c r="BN198" s="30" t="s">
        <v>794</v>
      </c>
      <c r="BT198" t="s">
        <v>844</v>
      </c>
    </row>
    <row r="199" spans="1:73" ht="12.95" customHeight="1">
      <c r="C199" s="29"/>
      <c r="L199" s="310"/>
      <c r="M199" s="310"/>
      <c r="N199" s="310"/>
      <c r="O199" s="310"/>
      <c r="P199" s="310"/>
      <c r="Q199" s="942" t="s">
        <v>2231</v>
      </c>
      <c r="R199" s="1288" t="s">
        <v>2124</v>
      </c>
      <c r="S199" s="1288"/>
      <c r="T199" s="1288"/>
      <c r="U199" s="1288"/>
      <c r="V199" s="1288"/>
      <c r="W199" s="1288"/>
      <c r="X199" s="1288"/>
      <c r="Y199" s="1288"/>
      <c r="Z199" s="1288"/>
      <c r="AA199" s="1288"/>
      <c r="AB199" s="1288"/>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8" t="str">
        <f>IF(AND(M25&gt;0,M27&gt;0),"Federal and State","Federal Only")</f>
        <v>Federal and State</v>
      </c>
      <c r="E203" s="1298"/>
      <c r="F203" s="1298"/>
      <c r="G203" s="1298"/>
      <c r="H203" s="1298"/>
      <c r="I203" s="1298"/>
      <c r="J203" s="1298"/>
      <c r="K203" s="1298"/>
      <c r="L203" s="1298"/>
      <c r="M203" s="1298"/>
      <c r="P203" s="1411">
        <f>M25</f>
        <v>2500000</v>
      </c>
      <c r="Q203" s="1411"/>
      <c r="R203" s="1411"/>
      <c r="S203" s="1411"/>
      <c r="T203" s="1411"/>
      <c r="U203" s="1411"/>
      <c r="W203" s="1411">
        <f>M27</f>
        <v>16539667</v>
      </c>
      <c r="X203" s="1411"/>
      <c r="Y203" s="1411"/>
      <c r="Z203" s="1411"/>
      <c r="AA203" s="1411"/>
      <c r="AB203" s="1411"/>
      <c r="AV203" t="s">
        <v>132</v>
      </c>
      <c r="AX203" s="5" t="s">
        <v>700</v>
      </c>
      <c r="BC203" t="s">
        <v>1501</v>
      </c>
      <c r="BN203" s="30" t="s">
        <v>697</v>
      </c>
      <c r="BT203" s="40" t="s">
        <v>849</v>
      </c>
      <c r="BU203" s="21"/>
    </row>
    <row r="204" spans="1:73" ht="12.9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18" t="s">
        <v>2373</v>
      </c>
      <c r="E208" s="1118"/>
      <c r="F208" s="1118"/>
      <c r="G208" s="1118"/>
      <c r="H208" s="1118"/>
      <c r="I208" s="1118"/>
      <c r="J208" s="1118"/>
      <c r="K208" s="1118"/>
      <c r="L208" s="1118"/>
      <c r="M208" s="1118"/>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18" t="s">
        <v>2327</v>
      </c>
      <c r="E211" s="1118"/>
      <c r="F211" s="1118"/>
      <c r="G211" s="1118"/>
      <c r="H211" s="1118"/>
      <c r="I211" s="1118"/>
      <c r="J211" s="1118"/>
      <c r="K211" s="1118"/>
      <c r="L211" s="1118"/>
      <c r="M211" s="1118"/>
      <c r="N211" s="1118"/>
      <c r="O211" s="1118"/>
      <c r="P211" s="1118"/>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288" t="s">
        <v>700</v>
      </c>
      <c r="E214" s="1118"/>
      <c r="F214" s="1118"/>
      <c r="G214" s="1118"/>
      <c r="H214" s="1118"/>
      <c r="I214" s="1118"/>
      <c r="J214" s="1118"/>
      <c r="K214" s="1118"/>
      <c r="L214" s="1118"/>
      <c r="M214" s="1118"/>
      <c r="N214" s="1118"/>
      <c r="O214" s="1118"/>
      <c r="P214" s="1118"/>
      <c r="Q214" s="1118"/>
      <c r="R214" s="1118"/>
      <c r="S214" s="1118"/>
      <c r="T214" s="1118"/>
      <c r="U214" s="1118"/>
      <c r="V214" s="1118"/>
      <c r="W214" s="1118"/>
      <c r="X214" s="1118"/>
      <c r="Y214" s="1118"/>
      <c r="Z214" s="1118"/>
      <c r="BC214" t="s">
        <v>666</v>
      </c>
      <c r="BN214" s="30" t="s">
        <v>472</v>
      </c>
      <c r="BT214" s="40" t="s">
        <v>858</v>
      </c>
    </row>
    <row r="215" spans="1:72" ht="12.95" customHeight="1">
      <c r="D215" s="35"/>
      <c r="E215" s="41" t="s">
        <v>2207</v>
      </c>
      <c r="AC215" s="1289">
        <v>60</v>
      </c>
      <c r="AD215" s="1289"/>
      <c r="AF215" s="1407">
        <f>IFERROR(AC215/AG433,"")</f>
        <v>0.50420168067226889</v>
      </c>
      <c r="AG215" s="1407"/>
      <c r="BC215" t="s">
        <v>663</v>
      </c>
    </row>
    <row r="216" spans="1:72" ht="12.95" customHeight="1">
      <c r="D216" s="35"/>
      <c r="E216" s="958" t="s">
        <v>1499</v>
      </c>
      <c r="BC216" t="s">
        <v>780</v>
      </c>
    </row>
    <row r="217" spans="1:72" ht="12.95" customHeight="1">
      <c r="E217" s="1416" t="s">
        <v>1495</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2.95" customHeight="1">
      <c r="E218" s="41" t="s">
        <v>2059</v>
      </c>
      <c r="AA218" s="49"/>
      <c r="AC218" s="1297"/>
      <c r="AD218" s="1297"/>
      <c r="AE218" s="1297"/>
      <c r="AF218" s="1297"/>
      <c r="AG218" s="1297"/>
      <c r="AH218" s="1297"/>
      <c r="AI218" s="1297"/>
      <c r="AJ218" s="1297"/>
      <c r="AK218" s="1297"/>
      <c r="AL218" s="1297"/>
      <c r="AM218" s="1297"/>
      <c r="BC218" t="s">
        <v>665</v>
      </c>
      <c r="BI218" s="39"/>
    </row>
    <row r="219" spans="1:72" ht="12.95"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8" t="s">
        <v>2159</v>
      </c>
      <c r="E223" s="1288"/>
      <c r="F223" s="1288"/>
      <c r="G223" s="1288"/>
      <c r="H223" s="1288"/>
      <c r="I223" s="1288"/>
      <c r="J223" s="1288"/>
      <c r="K223" s="1288"/>
      <c r="L223" s="1288"/>
      <c r="M223" s="1288"/>
      <c r="N223" s="1288"/>
      <c r="O223" s="1288"/>
      <c r="P223" s="1288"/>
      <c r="Q223" s="1288"/>
      <c r="R223" s="1288"/>
      <c r="S223" s="1288"/>
      <c r="T223" s="1288"/>
      <c r="U223" s="1288"/>
      <c r="V223" s="1288"/>
      <c r="W223" s="1288"/>
      <c r="X223" s="1288"/>
      <c r="Y223" s="1288"/>
      <c r="Z223" s="1288"/>
      <c r="AA223" s="1288"/>
      <c r="AB223" s="1288"/>
      <c r="AC223" s="1288"/>
      <c r="AD223" s="1288"/>
      <c r="AE223" s="1288"/>
      <c r="AF223" s="1288"/>
      <c r="AG223" s="1288"/>
      <c r="AH223" s="1288"/>
      <c r="AI223" s="1288"/>
      <c r="AJ223" s="21"/>
      <c r="AK223" s="21"/>
      <c r="AL223" s="21"/>
    </row>
    <row r="224" spans="1:72" ht="12.95" customHeight="1">
      <c r="AJ224" s="5"/>
    </row>
    <row r="225" spans="1:59" ht="12.95" customHeight="1">
      <c r="D225" t="s">
        <v>588</v>
      </c>
      <c r="O225" s="1117">
        <v>9</v>
      </c>
      <c r="P225" s="1117"/>
    </row>
    <row r="226" spans="1:59" ht="12.95" customHeight="1">
      <c r="D226" t="s">
        <v>589</v>
      </c>
      <c r="O226" s="1117">
        <v>13</v>
      </c>
      <c r="P226" s="1117"/>
      <c r="BB226" s="5" t="s">
        <v>674</v>
      </c>
      <c r="BG226" s="414">
        <f>IF(AND(AND($M$251="for profit",$M$259="for profit",$M$267="nonprofit")),2,0)</f>
        <v>0</v>
      </c>
    </row>
    <row r="227" spans="1:59" ht="12.95" customHeight="1">
      <c r="D227" t="s">
        <v>590</v>
      </c>
      <c r="O227" s="1117">
        <v>5</v>
      </c>
      <c r="P227" s="1117"/>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5"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1" t="str">
        <f>H15</f>
        <v>Service First of Northern California</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2.95" customHeight="1">
      <c r="D236" s="5" t="s">
        <v>397</v>
      </c>
      <c r="E236" s="5"/>
      <c r="F236" s="5"/>
      <c r="G236" s="5"/>
      <c r="H236" s="5"/>
      <c r="I236" s="5"/>
      <c r="J236" s="5"/>
      <c r="K236" s="5"/>
      <c r="M236" s="1288" t="s">
        <v>2374</v>
      </c>
      <c r="N236" s="1118"/>
      <c r="O236" s="1118"/>
      <c r="P236" s="1118"/>
      <c r="Q236" s="1118"/>
      <c r="R236" s="1118"/>
      <c r="S236" s="1118"/>
      <c r="T236" s="1118"/>
      <c r="U236" s="1118"/>
      <c r="V236" s="1118"/>
      <c r="W236" s="1118"/>
      <c r="X236" s="1118"/>
      <c r="Y236" s="1118"/>
      <c r="Z236" s="1118"/>
      <c r="AA236" s="1118"/>
      <c r="AB236" s="1118"/>
      <c r="AC236" s="1118"/>
      <c r="AD236" s="1118"/>
      <c r="AE236" s="1118"/>
      <c r="AM236" s="41"/>
      <c r="AN236" s="41"/>
      <c r="BB236" t="s">
        <v>673</v>
      </c>
      <c r="BG236" s="414">
        <f>IF(AND(AND($M$251="nonprofit",$M$259="nonprofit",$M$267="nonprofit")),1,0)</f>
        <v>0</v>
      </c>
    </row>
    <row r="237" spans="1:59" ht="12.95" customHeight="1">
      <c r="D237" s="5" t="s">
        <v>459</v>
      </c>
      <c r="E237" s="5"/>
      <c r="M237" s="1288" t="s">
        <v>2362</v>
      </c>
      <c r="N237" s="1118"/>
      <c r="O237" s="1118"/>
      <c r="P237" s="1118"/>
      <c r="Q237" s="1118"/>
      <c r="R237" s="1118"/>
      <c r="S237" s="1118"/>
      <c r="T237" s="1118"/>
      <c r="V237" s="42" t="s">
        <v>398</v>
      </c>
      <c r="W237" s="1142" t="s">
        <v>2375</v>
      </c>
      <c r="X237" s="1287"/>
      <c r="Y237" s="5" t="s">
        <v>462</v>
      </c>
      <c r="AC237" s="1118">
        <v>95207</v>
      </c>
      <c r="AD237" s="1118"/>
      <c r="AE237" s="1118"/>
      <c r="AN237" s="41"/>
      <c r="BB237" t="s">
        <v>673</v>
      </c>
      <c r="BG237" s="414">
        <f>IF(AND(AND($M$251="nonprofit",$M$259="nonprofit",$M$267="(select one)")),1,0)</f>
        <v>1</v>
      </c>
    </row>
    <row r="238" spans="1:59" ht="12.95" customHeight="1">
      <c r="D238" s="5" t="s">
        <v>399</v>
      </c>
      <c r="E238" s="5"/>
      <c r="F238" s="5"/>
      <c r="G238" s="5"/>
      <c r="H238" s="5"/>
      <c r="I238" s="5"/>
      <c r="J238" s="5"/>
      <c r="K238" s="28"/>
      <c r="M238" s="1288" t="s">
        <v>2376</v>
      </c>
      <c r="N238" s="1118"/>
      <c r="O238" s="1118"/>
      <c r="P238" s="1118"/>
      <c r="Q238" s="1118"/>
      <c r="R238" s="1118"/>
      <c r="S238" s="1118"/>
      <c r="T238" s="1118"/>
      <c r="U238" s="1118"/>
      <c r="V238" s="1118"/>
      <c r="W238" s="1118"/>
      <c r="X238" s="1118"/>
      <c r="Y238" s="1118"/>
      <c r="Z238" s="1118"/>
      <c r="AA238" s="1118"/>
      <c r="AB238" s="1118"/>
      <c r="AC238" s="1118"/>
      <c r="AD238" s="1118"/>
      <c r="AE238" s="1118"/>
      <c r="AI238" s="5"/>
      <c r="AJ238" s="5"/>
      <c r="AK238" s="5"/>
      <c r="AL238" s="5"/>
      <c r="AN238" s="41"/>
      <c r="BB238" t="s">
        <v>673</v>
      </c>
      <c r="BG238" s="414">
        <f>IF(AND(AND($M$251="nonprofit",$M$259="(select one)",$M$267="(select one)")),1,0)</f>
        <v>0</v>
      </c>
    </row>
    <row r="239" spans="1:59" ht="12.95" customHeight="1">
      <c r="D239" s="5" t="s">
        <v>400</v>
      </c>
      <c r="E239" s="5"/>
      <c r="F239" s="5"/>
      <c r="M239" s="1126" t="s">
        <v>2377</v>
      </c>
      <c r="N239" s="1116"/>
      <c r="O239" s="1116"/>
      <c r="P239" s="1116"/>
      <c r="Q239" s="1116"/>
      <c r="R239" s="1116"/>
      <c r="S239" s="5" t="s">
        <v>859</v>
      </c>
      <c r="T239" s="5"/>
      <c r="U239" s="1287"/>
      <c r="V239" s="1287"/>
      <c r="W239" s="1287"/>
      <c r="X239" s="5" t="s">
        <v>401</v>
      </c>
      <c r="Z239" s="1116"/>
      <c r="AA239" s="1116"/>
      <c r="AB239" s="1116"/>
      <c r="AC239" s="1116"/>
      <c r="AD239" s="1116"/>
      <c r="AE239" s="1116"/>
      <c r="AM239" s="41"/>
      <c r="AN239" s="41"/>
      <c r="BB239" t="s">
        <v>1054</v>
      </c>
      <c r="BG239" s="414">
        <f>IF(AND(AND($M$251="for profit",$M$259="for profit",$M$267="for profit")),3,0)</f>
        <v>0</v>
      </c>
    </row>
    <row r="240" spans="1:59" ht="12.95" customHeight="1">
      <c r="D240" s="5" t="s">
        <v>402</v>
      </c>
      <c r="E240" s="5"/>
      <c r="F240" s="5"/>
      <c r="M240" s="1141" t="s">
        <v>2378</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523</v>
      </c>
      <c r="N241" s="1092"/>
      <c r="O241" s="1092"/>
      <c r="P241" s="1092"/>
      <c r="Q241" s="1092"/>
      <c r="R241" s="1092"/>
      <c r="S241" s="1092"/>
      <c r="T241" s="1092"/>
      <c r="U241" s="5" t="s">
        <v>1192</v>
      </c>
      <c r="AA241" s="1114" t="s">
        <v>2379</v>
      </c>
      <c r="AB241" s="1115"/>
      <c r="AC241" s="1115"/>
      <c r="AD241" s="1115"/>
      <c r="AE241" s="1115"/>
      <c r="AF241" s="1115"/>
      <c r="AG241" s="1115"/>
      <c r="AH241" s="1115"/>
      <c r="AI241" s="1115"/>
      <c r="AJ241" s="1115"/>
      <c r="AK241" s="1115"/>
      <c r="AL241" s="41"/>
      <c r="AM241" s="5"/>
      <c r="AN241" s="41"/>
      <c r="AO241" s="41"/>
      <c r="BB241" t="s">
        <v>1054</v>
      </c>
      <c r="BG241" s="415">
        <f>IF(AND(AND($M$251="for profit",$M$259="(select one)",$M$267="(select one)")),3,0)</f>
        <v>0</v>
      </c>
    </row>
    <row r="242" spans="1:67" ht="12.95" customHeight="1">
      <c r="D242" t="s">
        <v>667</v>
      </c>
      <c r="M242" s="1288"/>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85" t="s">
        <v>2358</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2380</v>
      </c>
      <c r="AG245" s="1286"/>
      <c r="AH245" s="1286"/>
      <c r="AI245" s="1286"/>
      <c r="AJ245" s="1286"/>
      <c r="AK245" s="1286"/>
      <c r="AM245" s="5"/>
      <c r="AN245" s="41"/>
      <c r="BB245" s="5" t="s">
        <v>934</v>
      </c>
      <c r="BH245">
        <v>2</v>
      </c>
      <c r="BI245" t="s">
        <v>780</v>
      </c>
      <c r="BO245" s="416" t="str">
        <f>VLOOKUP(AZ260,BH244:BI246,2,FALSE)</f>
        <v>Nonprofit</v>
      </c>
    </row>
    <row r="246" spans="1:67" ht="12.95" customHeight="1">
      <c r="A246" s="28"/>
      <c r="B246" s="5"/>
      <c r="C246" s="5"/>
      <c r="D246" s="5" t="s">
        <v>397</v>
      </c>
      <c r="E246" s="5"/>
      <c r="F246" s="5"/>
      <c r="G246" s="5"/>
      <c r="H246" s="5"/>
      <c r="I246" s="5"/>
      <c r="J246" s="5"/>
      <c r="K246" s="5"/>
      <c r="L246" s="5"/>
      <c r="M246" s="1118" t="s">
        <v>2374</v>
      </c>
      <c r="N246" s="1118"/>
      <c r="O246" s="1118"/>
      <c r="P246" s="1118"/>
      <c r="Q246" s="1118"/>
      <c r="R246" s="1118"/>
      <c r="S246" s="1118"/>
      <c r="T246" s="1118"/>
      <c r="U246" s="1118"/>
      <c r="V246" s="1118"/>
      <c r="W246" s="1118"/>
      <c r="X246" s="1118"/>
      <c r="Y246" s="1118"/>
      <c r="Z246" s="1118"/>
      <c r="AA246" s="1118"/>
      <c r="AB246" s="1118"/>
      <c r="AC246" s="1118"/>
      <c r="AD246" s="1118"/>
      <c r="AE246" s="1118"/>
      <c r="AL246" s="5"/>
      <c r="AN246" s="41"/>
      <c r="BB246" s="5" t="s">
        <v>483</v>
      </c>
      <c r="BH246">
        <v>3</v>
      </c>
      <c r="BI246" t="s">
        <v>672</v>
      </c>
    </row>
    <row r="247" spans="1:67" ht="12.95" customHeight="1">
      <c r="A247" s="28"/>
      <c r="B247" s="5"/>
      <c r="C247" s="5"/>
      <c r="D247" s="5" t="s">
        <v>459</v>
      </c>
      <c r="E247" s="5"/>
      <c r="M247" s="1118" t="s">
        <v>2362</v>
      </c>
      <c r="N247" s="1118"/>
      <c r="O247" s="1118"/>
      <c r="P247" s="1118"/>
      <c r="Q247" s="1118"/>
      <c r="R247" s="1118"/>
      <c r="S247" s="1118"/>
      <c r="T247" s="1118"/>
      <c r="V247" s="42" t="s">
        <v>398</v>
      </c>
      <c r="W247" s="1142" t="s">
        <v>2375</v>
      </c>
      <c r="X247" s="1287"/>
      <c r="Y247" s="5" t="s">
        <v>462</v>
      </c>
      <c r="AC247" s="1118">
        <v>95207</v>
      </c>
      <c r="AD247" s="1118"/>
      <c r="AE247" s="1118"/>
      <c r="AN247" s="41"/>
    </row>
    <row r="248" spans="1:67" ht="12.95" customHeight="1">
      <c r="A248" s="28"/>
      <c r="B248" s="5"/>
      <c r="C248" s="5"/>
      <c r="D248" s="5" t="s">
        <v>399</v>
      </c>
      <c r="E248" s="5"/>
      <c r="F248" s="5"/>
      <c r="G248" s="5"/>
      <c r="H248" s="5"/>
      <c r="I248" s="5"/>
      <c r="J248" s="5"/>
      <c r="K248" s="5"/>
      <c r="L248" s="28"/>
      <c r="M248" s="1118" t="s">
        <v>2376</v>
      </c>
      <c r="N248" s="1118"/>
      <c r="O248" s="1118"/>
      <c r="P248" s="1118"/>
      <c r="Q248" s="1118"/>
      <c r="R248" s="1118"/>
      <c r="S248" s="1118"/>
      <c r="T248" s="1118"/>
      <c r="U248" s="1118"/>
      <c r="V248" s="1118"/>
      <c r="W248" s="1118"/>
      <c r="X248" s="1118"/>
      <c r="Y248" s="1118"/>
      <c r="Z248" s="1118"/>
      <c r="AA248" s="1118"/>
      <c r="AB248" s="1118"/>
      <c r="AC248" s="1118"/>
      <c r="AD248" s="1118"/>
      <c r="AE248" s="1118"/>
      <c r="AJ248" s="5"/>
      <c r="AK248" s="5"/>
      <c r="AL248" s="5"/>
      <c r="AN248" s="41"/>
    </row>
    <row r="249" spans="1:67" ht="12.95" customHeight="1">
      <c r="A249" s="28"/>
      <c r="B249" s="5"/>
      <c r="C249" s="5"/>
      <c r="D249" s="5" t="s">
        <v>400</v>
      </c>
      <c r="E249" s="5"/>
      <c r="F249" s="5"/>
      <c r="M249" s="1116" t="s">
        <v>2377</v>
      </c>
      <c r="N249" s="1116"/>
      <c r="O249" s="1116"/>
      <c r="P249" s="1116"/>
      <c r="Q249" s="1116"/>
      <c r="R249" s="1116"/>
      <c r="S249" s="5" t="s">
        <v>859</v>
      </c>
      <c r="T249" s="5"/>
      <c r="U249" s="1287"/>
      <c r="V249" s="1287"/>
      <c r="W249" s="1287"/>
      <c r="X249" s="5" t="s">
        <v>401</v>
      </c>
      <c r="Z249" s="1116"/>
      <c r="AA249" s="1116"/>
      <c r="AB249" s="1116"/>
      <c r="AC249" s="1116"/>
      <c r="AD249" s="1116"/>
      <c r="AE249" s="1116"/>
      <c r="AM249" s="5"/>
      <c r="AN249" s="41"/>
    </row>
    <row r="250" spans="1:67" ht="12.95" customHeight="1">
      <c r="A250" s="28"/>
      <c r="B250" s="5"/>
      <c r="C250" s="5"/>
      <c r="D250" s="5" t="s">
        <v>402</v>
      </c>
      <c r="E250" s="5"/>
      <c r="F250" s="5"/>
      <c r="M250" s="1141" t="s">
        <v>2378</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t="s">
        <v>2379</v>
      </c>
      <c r="AB251" s="1115"/>
      <c r="AC251" s="1115"/>
      <c r="AD251" s="1115"/>
      <c r="AE251" s="1115"/>
      <c r="AF251" s="1115"/>
      <c r="AG251" s="1115"/>
      <c r="AH251" s="1115"/>
      <c r="AI251" s="1115"/>
      <c r="AJ251" s="1115"/>
      <c r="AK251" s="111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85" t="s">
        <v>2381</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2382</v>
      </c>
      <c r="AG253" s="1286"/>
      <c r="AH253" s="1286"/>
      <c r="AI253" s="1286"/>
      <c r="AJ253" s="1286"/>
      <c r="AK253" s="1286"/>
      <c r="AM253" s="5"/>
    </row>
    <row r="254" spans="1:67" ht="12.95" customHeight="1">
      <c r="A254" s="28"/>
      <c r="B254" s="5"/>
      <c r="C254" s="5"/>
      <c r="D254" s="5" t="s">
        <v>397</v>
      </c>
      <c r="E254" s="5"/>
      <c r="F254" s="5"/>
      <c r="G254" s="5"/>
      <c r="H254" s="5"/>
      <c r="I254" s="5"/>
      <c r="J254" s="5"/>
      <c r="K254" s="5"/>
      <c r="L254" s="5"/>
      <c r="M254" s="1288" t="s">
        <v>2383</v>
      </c>
      <c r="N254" s="1118"/>
      <c r="O254" s="1118"/>
      <c r="P254" s="1118"/>
      <c r="Q254" s="1118"/>
      <c r="R254" s="1118"/>
      <c r="S254" s="1118"/>
      <c r="T254" s="1118"/>
      <c r="U254" s="1118"/>
      <c r="V254" s="1118"/>
      <c r="W254" s="1118"/>
      <c r="X254" s="1118"/>
      <c r="Y254" s="1118"/>
      <c r="Z254" s="1118"/>
      <c r="AA254" s="1118"/>
      <c r="AB254" s="1118"/>
      <c r="AC254" s="1118"/>
      <c r="AD254" s="1118"/>
      <c r="AE254" s="1118"/>
      <c r="AL254" s="5"/>
    </row>
    <row r="255" spans="1:67" ht="12.95" customHeight="1">
      <c r="A255" s="28"/>
      <c r="B255" s="5"/>
      <c r="C255" s="5"/>
      <c r="D255" s="5" t="s">
        <v>459</v>
      </c>
      <c r="E255" s="5"/>
      <c r="M255" s="1288" t="s">
        <v>434</v>
      </c>
      <c r="N255" s="1118"/>
      <c r="O255" s="1118"/>
      <c r="P255" s="1118"/>
      <c r="Q255" s="1118"/>
      <c r="R255" s="1118"/>
      <c r="S255" s="1118"/>
      <c r="T255" s="1118"/>
      <c r="V255" s="42" t="s">
        <v>398</v>
      </c>
      <c r="W255" s="1142" t="s">
        <v>2375</v>
      </c>
      <c r="X255" s="1287"/>
      <c r="Y255" s="5" t="s">
        <v>462</v>
      </c>
      <c r="AC255" s="1118">
        <v>95348</v>
      </c>
      <c r="AD255" s="1118"/>
      <c r="AE255" s="1118"/>
    </row>
    <row r="256" spans="1:67" ht="12.95" customHeight="1">
      <c r="A256" s="28"/>
      <c r="B256" s="5"/>
      <c r="C256" s="5"/>
      <c r="D256" s="5" t="s">
        <v>399</v>
      </c>
      <c r="E256" s="5"/>
      <c r="F256" s="5"/>
      <c r="G256" s="5"/>
      <c r="H256" s="5"/>
      <c r="I256" s="5"/>
      <c r="J256" s="5"/>
      <c r="K256" s="5"/>
      <c r="L256" s="28"/>
      <c r="M256" s="1288" t="s">
        <v>2384</v>
      </c>
      <c r="N256" s="1118"/>
      <c r="O256" s="1118"/>
      <c r="P256" s="1118"/>
      <c r="Q256" s="1118"/>
      <c r="R256" s="1118"/>
      <c r="S256" s="1118"/>
      <c r="T256" s="1118"/>
      <c r="U256" s="1118"/>
      <c r="V256" s="1118"/>
      <c r="W256" s="1118"/>
      <c r="X256" s="1118"/>
      <c r="Y256" s="1118"/>
      <c r="Z256" s="1118"/>
      <c r="AA256" s="1118"/>
      <c r="AB256" s="1118"/>
      <c r="AC256" s="1118"/>
      <c r="AD256" s="1118"/>
      <c r="AE256" s="1118"/>
      <c r="AJ256" s="5"/>
      <c r="AK256" s="5"/>
      <c r="AL256" s="5"/>
    </row>
    <row r="257" spans="1:53" ht="12.95" customHeight="1">
      <c r="A257" s="28"/>
      <c r="B257" s="5"/>
      <c r="C257" s="5"/>
      <c r="D257" s="5" t="s">
        <v>400</v>
      </c>
      <c r="E257" s="5"/>
      <c r="F257" s="5"/>
      <c r="M257" s="1126" t="s">
        <v>2385</v>
      </c>
      <c r="N257" s="1116"/>
      <c r="O257" s="1116"/>
      <c r="P257" s="1116"/>
      <c r="Q257" s="1116"/>
      <c r="R257" s="1116"/>
      <c r="S257" s="5" t="s">
        <v>859</v>
      </c>
      <c r="T257" s="5"/>
      <c r="U257" s="1287"/>
      <c r="V257" s="1287"/>
      <c r="W257" s="1287"/>
      <c r="X257" s="5" t="s">
        <v>401</v>
      </c>
      <c r="Z257" s="1116"/>
      <c r="AA257" s="1116"/>
      <c r="AB257" s="1116"/>
      <c r="AC257" s="1116"/>
      <c r="AD257" s="1116"/>
      <c r="AE257" s="1116"/>
      <c r="BA257" s="43"/>
    </row>
    <row r="258" spans="1:53" ht="12.95" customHeight="1">
      <c r="A258" s="28"/>
      <c r="B258" s="5"/>
      <c r="C258" s="5"/>
      <c r="D258" s="5" t="s">
        <v>402</v>
      </c>
      <c r="E258" s="5"/>
      <c r="F258" s="5"/>
      <c r="M258" s="1141" t="s">
        <v>2386</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2.95" customHeight="1">
      <c r="A259" s="18"/>
      <c r="B259" s="5"/>
      <c r="C259" s="62"/>
      <c r="D259" s="5" t="s">
        <v>671</v>
      </c>
      <c r="E259" s="5"/>
      <c r="F259" s="5"/>
      <c r="G259" s="5"/>
      <c r="H259" s="5"/>
      <c r="I259" s="5"/>
      <c r="J259" s="5"/>
      <c r="K259" s="5"/>
      <c r="L259" s="5"/>
      <c r="M259" s="1092" t="s">
        <v>670</v>
      </c>
      <c r="N259" s="1092"/>
      <c r="O259" s="1092"/>
      <c r="P259" s="1092"/>
      <c r="Q259" s="1092"/>
      <c r="R259" s="1092"/>
      <c r="S259" s="1092"/>
      <c r="T259" s="1092"/>
      <c r="U259" s="5" t="s">
        <v>1192</v>
      </c>
      <c r="AA259" s="1114" t="s">
        <v>2379</v>
      </c>
      <c r="AB259" s="1115"/>
      <c r="AC259" s="1115"/>
      <c r="AD259" s="1115"/>
      <c r="AE259" s="1115"/>
      <c r="AF259" s="1115"/>
      <c r="AG259" s="1115"/>
      <c r="AH259" s="1115"/>
      <c r="AI259" s="1115"/>
      <c r="AJ259" s="1115"/>
      <c r="AK259" s="111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1981</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2.95" customHeight="1">
      <c r="A262" s="18"/>
      <c r="B262" s="5"/>
      <c r="C262" s="5"/>
      <c r="D262" s="5" t="s">
        <v>397</v>
      </c>
      <c r="E262" s="5"/>
      <c r="F262" s="5"/>
      <c r="G262" s="5"/>
      <c r="H262" s="5"/>
      <c r="I262" s="5"/>
      <c r="J262" s="5"/>
      <c r="K262" s="5"/>
      <c r="L262" s="5"/>
      <c r="M262" s="1118"/>
      <c r="N262" s="1118"/>
      <c r="O262" s="1118"/>
      <c r="P262" s="1118"/>
      <c r="Q262" s="1118"/>
      <c r="R262" s="1118"/>
      <c r="S262" s="1118"/>
      <c r="T262" s="1118"/>
      <c r="U262" s="1118"/>
      <c r="V262" s="1118"/>
      <c r="W262" s="1118"/>
      <c r="X262" s="1118"/>
      <c r="Y262" s="1118"/>
      <c r="Z262" s="1118"/>
      <c r="AA262" s="1118"/>
      <c r="AB262" s="1118"/>
      <c r="AC262" s="1118"/>
      <c r="AD262" s="1118"/>
      <c r="AE262" s="1118"/>
      <c r="AL262" s="41"/>
      <c r="BA262" s="43"/>
    </row>
    <row r="263" spans="1:53" ht="12.95" customHeight="1">
      <c r="A263" s="18"/>
      <c r="B263" s="5"/>
      <c r="C263" s="5"/>
      <c r="D263" s="5" t="s">
        <v>459</v>
      </c>
      <c r="E263" s="5"/>
      <c r="M263" s="1118"/>
      <c r="N263" s="1118"/>
      <c r="O263" s="1118"/>
      <c r="P263" s="1118"/>
      <c r="Q263" s="1118"/>
      <c r="R263" s="1118"/>
      <c r="S263" s="1118"/>
      <c r="T263" s="1118"/>
      <c r="V263" s="42" t="s">
        <v>398</v>
      </c>
      <c r="W263" s="1287"/>
      <c r="X263" s="1287"/>
      <c r="Y263" s="5" t="s">
        <v>462</v>
      </c>
      <c r="AC263" s="1118"/>
      <c r="AD263" s="1118"/>
      <c r="AE263" s="1118"/>
      <c r="AL263" s="41"/>
      <c r="BA263" s="43"/>
    </row>
    <row r="264" spans="1:53" ht="12.95" customHeight="1">
      <c r="A264" s="18"/>
      <c r="B264" s="5"/>
      <c r="C264" s="5"/>
      <c r="D264" s="5" t="s">
        <v>399</v>
      </c>
      <c r="E264" s="5"/>
      <c r="F264" s="5"/>
      <c r="G264" s="5"/>
      <c r="H264" s="5"/>
      <c r="I264" s="5"/>
      <c r="J264" s="5"/>
      <c r="K264" s="5"/>
      <c r="L264" s="28"/>
      <c r="M264" s="1118"/>
      <c r="N264" s="1118"/>
      <c r="O264" s="1118"/>
      <c r="P264" s="1118"/>
      <c r="Q264" s="1118"/>
      <c r="R264" s="1118"/>
      <c r="S264" s="1118"/>
      <c r="T264" s="1118"/>
      <c r="U264" s="1118"/>
      <c r="V264" s="1118"/>
      <c r="W264" s="1118"/>
      <c r="X264" s="1118"/>
      <c r="Y264" s="1118"/>
      <c r="Z264" s="1118"/>
      <c r="AA264" s="1118"/>
      <c r="AB264" s="1118"/>
      <c r="AC264" s="1118"/>
      <c r="AD264" s="1118"/>
      <c r="AE264" s="1118"/>
      <c r="AJ264" s="5"/>
      <c r="AK264" s="5"/>
      <c r="AL264" s="41"/>
      <c r="BA264" s="43"/>
    </row>
    <row r="265" spans="1:53" ht="12.95" customHeight="1">
      <c r="A265" s="18"/>
      <c r="B265" s="5"/>
      <c r="C265" s="5"/>
      <c r="D265" s="5" t="s">
        <v>400</v>
      </c>
      <c r="E265" s="5"/>
      <c r="F265" s="5"/>
      <c r="M265" s="1116"/>
      <c r="N265" s="1116"/>
      <c r="O265" s="1116"/>
      <c r="P265" s="1116"/>
      <c r="Q265" s="1116"/>
      <c r="R265" s="1116"/>
      <c r="S265" s="5" t="s">
        <v>859</v>
      </c>
      <c r="T265" s="5"/>
      <c r="U265" s="1287"/>
      <c r="V265" s="1287"/>
      <c r="W265" s="1287"/>
      <c r="X265" s="5" t="s">
        <v>401</v>
      </c>
      <c r="Z265" s="1116"/>
      <c r="AA265" s="1116"/>
      <c r="AB265" s="1116"/>
      <c r="AC265" s="1116"/>
      <c r="AD265" s="1116"/>
      <c r="AE265" s="1116"/>
      <c r="AL265" s="41"/>
      <c r="BA265" s="43"/>
    </row>
    <row r="266" spans="1:53" ht="12.95"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5"/>
      <c r="AB267" s="1115"/>
      <c r="AC267" s="1115"/>
      <c r="AD267" s="1115"/>
      <c r="AE267" s="1115"/>
      <c r="AF267" s="1115"/>
      <c r="AG267" s="1115"/>
      <c r="AH267" s="1115"/>
      <c r="AI267" s="1115"/>
      <c r="AJ267" s="1115"/>
      <c r="AK267" s="111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0" t="str">
        <f>BO245</f>
        <v>Nonprofit</v>
      </c>
      <c r="U269" s="1140"/>
      <c r="V269" s="1140"/>
      <c r="W269" s="1140"/>
      <c r="X269" s="1140"/>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8" t="s">
        <v>483</v>
      </c>
      <c r="E272" s="1118"/>
      <c r="F272" s="1118"/>
      <c r="G272" s="1118"/>
      <c r="H272" s="1118"/>
      <c r="J272" t="s">
        <v>933</v>
      </c>
      <c r="X272" s="1307">
        <v>45108</v>
      </c>
      <c r="Y272" s="1307"/>
      <c r="Z272" s="1307"/>
      <c r="AA272" s="1307"/>
      <c r="AB272" s="1307"/>
      <c r="AC272" s="1307"/>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5" t="s">
        <v>2358</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2.95" customHeight="1">
      <c r="D277" s="5" t="s">
        <v>397</v>
      </c>
      <c r="E277" s="5"/>
      <c r="F277" s="5"/>
      <c r="G277" s="5"/>
      <c r="H277" s="5"/>
      <c r="I277" s="5"/>
      <c r="J277" s="5"/>
      <c r="K277" s="5"/>
      <c r="L277" s="1288" t="s">
        <v>2374</v>
      </c>
      <c r="M277" s="1118"/>
      <c r="N277" s="1118"/>
      <c r="O277" s="1118"/>
      <c r="P277" s="1118"/>
      <c r="Q277" s="1118"/>
      <c r="R277" s="1118"/>
      <c r="S277" s="1118"/>
      <c r="T277" s="1118"/>
      <c r="U277" s="1118"/>
      <c r="V277" s="1118"/>
      <c r="W277" s="1118"/>
      <c r="X277" s="1118"/>
      <c r="Y277" s="1118"/>
      <c r="Z277" s="1118"/>
      <c r="AA277" s="1118"/>
      <c r="AB277" s="1118"/>
      <c r="AC277" s="1118"/>
      <c r="AD277" s="1118"/>
      <c r="AK277" s="41"/>
      <c r="AL277" s="41"/>
      <c r="BA277" s="43"/>
    </row>
    <row r="278" spans="1:53" ht="12.95" customHeight="1">
      <c r="D278" s="5" t="s">
        <v>459</v>
      </c>
      <c r="E278" s="5"/>
      <c r="L278" s="1288" t="s">
        <v>2362</v>
      </c>
      <c r="M278" s="1118"/>
      <c r="N278" s="1118"/>
      <c r="O278" s="1118"/>
      <c r="P278" s="1118"/>
      <c r="Q278" s="1118"/>
      <c r="R278" s="1118"/>
      <c r="S278" s="1118"/>
      <c r="U278" s="42" t="s">
        <v>398</v>
      </c>
      <c r="V278" s="1142" t="s">
        <v>2375</v>
      </c>
      <c r="W278" s="1287"/>
      <c r="X278" s="5" t="s">
        <v>462</v>
      </c>
      <c r="AB278" s="1118">
        <v>95207</v>
      </c>
      <c r="AC278" s="1118"/>
      <c r="AD278" s="1118"/>
      <c r="AK278" s="41"/>
      <c r="AL278" s="41"/>
      <c r="BA278" s="43"/>
    </row>
    <row r="279" spans="1:53" ht="12.95" customHeight="1">
      <c r="D279" s="5" t="s">
        <v>399</v>
      </c>
      <c r="E279" s="5"/>
      <c r="F279" s="5"/>
      <c r="G279" s="5"/>
      <c r="H279" s="5"/>
      <c r="I279" s="5"/>
      <c r="J279" s="5"/>
      <c r="K279" s="28"/>
      <c r="L279" s="1288" t="s">
        <v>2376</v>
      </c>
      <c r="M279" s="1118"/>
      <c r="N279" s="1118"/>
      <c r="O279" s="1118"/>
      <c r="P279" s="1118"/>
      <c r="Q279" s="1118"/>
      <c r="R279" s="1118"/>
      <c r="S279" s="1118"/>
      <c r="T279" s="1118"/>
      <c r="U279" s="1118"/>
      <c r="V279" s="1118"/>
      <c r="W279" s="1118"/>
      <c r="X279" s="1118"/>
      <c r="Y279" s="1118"/>
      <c r="Z279" s="1118"/>
      <c r="AA279" s="1118"/>
      <c r="AB279" s="1118"/>
      <c r="AC279" s="1118"/>
      <c r="AD279" s="1118"/>
      <c r="AI279" s="5"/>
      <c r="AJ279" s="5"/>
      <c r="AK279" s="41"/>
      <c r="AL279" s="41"/>
      <c r="BA279" s="43"/>
    </row>
    <row r="280" spans="1:53" ht="12.95" customHeight="1">
      <c r="D280" s="5" t="s">
        <v>400</v>
      </c>
      <c r="E280" s="5"/>
      <c r="F280" s="5"/>
      <c r="L280" s="1126" t="s">
        <v>2377</v>
      </c>
      <c r="M280" s="1116"/>
      <c r="N280" s="1116"/>
      <c r="O280" s="1116"/>
      <c r="P280" s="1116"/>
      <c r="Q280" s="1116"/>
      <c r="R280" s="5" t="s">
        <v>859</v>
      </c>
      <c r="S280" s="5"/>
      <c r="T280" s="1287"/>
      <c r="U280" s="1287"/>
      <c r="V280" s="1287"/>
      <c r="W280" s="5" t="s">
        <v>401</v>
      </c>
      <c r="Y280" s="1116"/>
      <c r="Z280" s="1116"/>
      <c r="AA280" s="1116"/>
      <c r="AB280" s="1116"/>
      <c r="AC280" s="1116"/>
      <c r="AD280" s="1116"/>
      <c r="BA280" s="43"/>
    </row>
    <row r="281" spans="1:53" ht="12.95" customHeight="1">
      <c r="D281" s="5" t="s">
        <v>402</v>
      </c>
      <c r="E281" s="5"/>
      <c r="F281" s="5"/>
      <c r="L281" s="1141" t="s">
        <v>2378</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2.95" customHeight="1">
      <c r="D282" s="41" t="s">
        <v>197</v>
      </c>
      <c r="E282" s="41"/>
      <c r="F282" s="41"/>
      <c r="G282" s="41"/>
      <c r="H282" s="41"/>
      <c r="I282" s="41"/>
      <c r="L282" s="1142" t="s">
        <v>2387</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2.95" customHeight="1">
      <c r="L283" s="4" t="s">
        <v>198</v>
      </c>
      <c r="BA283" s="43"/>
    </row>
    <row r="284" spans="1:53" ht="12.95"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5"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1" t="s">
        <v>2358</v>
      </c>
      <c r="I289" s="1091"/>
      <c r="J289" s="1091"/>
      <c r="K289" s="1091"/>
      <c r="L289" s="1091"/>
      <c r="M289" s="1091"/>
      <c r="N289" s="1091"/>
      <c r="O289" s="1091"/>
      <c r="P289" s="1091"/>
      <c r="Q289" s="1091"/>
      <c r="R289" s="1091"/>
      <c r="T289" s="41" t="s">
        <v>781</v>
      </c>
      <c r="V289" s="41"/>
      <c r="W289" s="41"/>
      <c r="X289" s="41"/>
      <c r="Y289" s="41"/>
      <c r="AA289" s="1091" t="s">
        <v>2409</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092" t="s">
        <v>2374</v>
      </c>
      <c r="I290" s="1092"/>
      <c r="J290" s="1092"/>
      <c r="K290" s="1092"/>
      <c r="L290" s="1092"/>
      <c r="M290" s="1092"/>
      <c r="N290" s="1092"/>
      <c r="O290" s="1092"/>
      <c r="P290" s="1092"/>
      <c r="Q290" s="1092"/>
      <c r="R290" s="1092"/>
      <c r="T290" s="41" t="s">
        <v>735</v>
      </c>
      <c r="V290" s="41"/>
      <c r="W290" s="41"/>
      <c r="X290" s="41"/>
      <c r="Y290" s="41"/>
      <c r="AA290" s="1092" t="s">
        <v>2410</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092" t="s">
        <v>2388</v>
      </c>
      <c r="I291" s="1092"/>
      <c r="J291" s="1092"/>
      <c r="K291" s="1092"/>
      <c r="L291" s="1092"/>
      <c r="M291" s="1092"/>
      <c r="N291" s="1092"/>
      <c r="O291" s="1092"/>
      <c r="P291" s="1092"/>
      <c r="Q291" s="1092"/>
      <c r="R291" s="1092"/>
      <c r="T291" s="41" t="s">
        <v>736</v>
      </c>
      <c r="V291" s="41"/>
      <c r="W291" s="41"/>
      <c r="X291" s="41"/>
      <c r="Y291" s="41"/>
      <c r="AA291" s="1092" t="s">
        <v>2411</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092" t="s">
        <v>2376</v>
      </c>
      <c r="I292" s="1092"/>
      <c r="J292" s="1092"/>
      <c r="K292" s="1092"/>
      <c r="L292" s="1092"/>
      <c r="M292" s="1092"/>
      <c r="N292" s="1092"/>
      <c r="O292" s="1092"/>
      <c r="P292" s="1092"/>
      <c r="Q292" s="1092"/>
      <c r="R292" s="1092"/>
      <c r="T292" s="41" t="s">
        <v>399</v>
      </c>
      <c r="V292" s="41"/>
      <c r="W292" s="41"/>
      <c r="X292" s="41"/>
      <c r="Y292" s="41"/>
      <c r="AA292" s="1092" t="s">
        <v>2412</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4" t="s">
        <v>2377</v>
      </c>
      <c r="I293" s="1115"/>
      <c r="J293" s="1115"/>
      <c r="K293" s="1115"/>
      <c r="L293" s="1115"/>
      <c r="M293" s="1115"/>
      <c r="N293" s="5" t="s">
        <v>859</v>
      </c>
      <c r="O293" s="5"/>
      <c r="P293" s="1118"/>
      <c r="Q293" s="1118"/>
      <c r="R293" s="1118"/>
      <c r="S293" s="41"/>
      <c r="T293" s="41" t="s">
        <v>400</v>
      </c>
      <c r="V293" s="41"/>
      <c r="W293" s="41"/>
      <c r="X293" s="41"/>
      <c r="Y293" s="41"/>
      <c r="AA293" s="1114" t="s">
        <v>2413</v>
      </c>
      <c r="AB293" s="1115"/>
      <c r="AC293" s="1115"/>
      <c r="AD293" s="1115"/>
      <c r="AE293" s="1115"/>
      <c r="AF293" s="1115"/>
      <c r="AG293" s="5" t="s">
        <v>859</v>
      </c>
      <c r="AH293" s="5"/>
      <c r="AI293" s="1118"/>
      <c r="AJ293" s="1118"/>
      <c r="AK293" s="1118"/>
      <c r="BA293" s="43"/>
    </row>
    <row r="294" spans="2:53" ht="12.95" customHeight="1">
      <c r="B294" s="41" t="s">
        <v>401</v>
      </c>
      <c r="C294" s="41"/>
      <c r="D294" s="41"/>
      <c r="E294" s="41"/>
      <c r="F294" s="41"/>
      <c r="G294" s="41"/>
      <c r="H294" s="1126" t="s">
        <v>2389</v>
      </c>
      <c r="I294" s="1116"/>
      <c r="J294" s="1116"/>
      <c r="K294" s="1116"/>
      <c r="L294" s="1116"/>
      <c r="M294" s="1116"/>
      <c r="N294" s="5"/>
      <c r="O294" s="5"/>
      <c r="P294" s="44"/>
      <c r="Q294" s="44"/>
      <c r="R294" s="44"/>
      <c r="S294" s="41"/>
      <c r="T294" s="41" t="s">
        <v>401</v>
      </c>
      <c r="V294" s="41"/>
      <c r="W294" s="41"/>
      <c r="X294" s="41"/>
      <c r="Y294" s="41"/>
      <c r="AA294" s="1116"/>
      <c r="AB294" s="1116"/>
      <c r="AC294" s="1116"/>
      <c r="AD294" s="1116"/>
      <c r="AE294" s="1116"/>
      <c r="AF294" s="1116"/>
      <c r="AG294" s="5"/>
      <c r="AH294" s="5"/>
      <c r="AI294" s="44"/>
      <c r="AJ294" s="44"/>
      <c r="AK294" s="44"/>
      <c r="BA294" s="43"/>
    </row>
    <row r="295" spans="2:53" ht="12.95" customHeight="1">
      <c r="B295" s="41" t="s">
        <v>738</v>
      </c>
      <c r="C295" s="41"/>
      <c r="D295" s="41"/>
      <c r="E295" s="41"/>
      <c r="F295" s="41"/>
      <c r="G295" s="41"/>
      <c r="H295" s="1092" t="s">
        <v>2378</v>
      </c>
      <c r="I295" s="1092"/>
      <c r="J295" s="1092"/>
      <c r="K295" s="1092"/>
      <c r="L295" s="1092"/>
      <c r="M295" s="1092"/>
      <c r="N295" s="1091"/>
      <c r="O295" s="1091"/>
      <c r="P295" s="1091"/>
      <c r="Q295" s="1091"/>
      <c r="R295" s="1091"/>
      <c r="S295" s="41"/>
      <c r="T295" s="41" t="s">
        <v>738</v>
      </c>
      <c r="V295" s="41"/>
      <c r="W295" s="41"/>
      <c r="X295" s="41"/>
      <c r="Y295" s="41"/>
      <c r="AA295" s="1092" t="s">
        <v>2414</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2390</v>
      </c>
      <c r="I297" s="1091"/>
      <c r="J297" s="1091"/>
      <c r="K297" s="1091"/>
      <c r="L297" s="1091"/>
      <c r="M297" s="1091"/>
      <c r="N297" s="1091"/>
      <c r="O297" s="1091"/>
      <c r="P297" s="1091"/>
      <c r="Q297" s="1091"/>
      <c r="R297" s="1091"/>
      <c r="T297" s="41" t="s">
        <v>39</v>
      </c>
      <c r="V297" s="41"/>
      <c r="W297" s="41"/>
      <c r="X297" s="41"/>
      <c r="Y297" s="41"/>
      <c r="AA297" s="1091" t="s">
        <v>2415</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2391</v>
      </c>
      <c r="I298" s="1092"/>
      <c r="J298" s="1092"/>
      <c r="K298" s="1092"/>
      <c r="L298" s="1092"/>
      <c r="M298" s="1092"/>
      <c r="N298" s="1092"/>
      <c r="O298" s="1092"/>
      <c r="P298" s="1092"/>
      <c r="Q298" s="1092"/>
      <c r="R298" s="1092"/>
      <c r="T298" s="41" t="s">
        <v>735</v>
      </c>
      <c r="V298" s="41"/>
      <c r="W298" s="41"/>
      <c r="X298" s="41"/>
      <c r="Y298" s="41"/>
      <c r="AA298" s="1092" t="s">
        <v>2416</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2392</v>
      </c>
      <c r="I299" s="1092"/>
      <c r="J299" s="1092"/>
      <c r="K299" s="1092"/>
      <c r="L299" s="1092"/>
      <c r="M299" s="1092"/>
      <c r="N299" s="1092"/>
      <c r="O299" s="1092"/>
      <c r="P299" s="1092"/>
      <c r="Q299" s="1092"/>
      <c r="R299" s="1092"/>
      <c r="T299" s="41" t="s">
        <v>736</v>
      </c>
      <c r="V299" s="41"/>
      <c r="W299" s="41"/>
      <c r="X299" s="41"/>
      <c r="Y299" s="41"/>
      <c r="AA299" s="1092" t="s">
        <v>2417</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2393</v>
      </c>
      <c r="I300" s="1092"/>
      <c r="J300" s="1092"/>
      <c r="K300" s="1092"/>
      <c r="L300" s="1092"/>
      <c r="M300" s="1092"/>
      <c r="N300" s="1092"/>
      <c r="O300" s="1092"/>
      <c r="P300" s="1092"/>
      <c r="Q300" s="1092"/>
      <c r="R300" s="1092"/>
      <c r="T300" s="41" t="s">
        <v>399</v>
      </c>
      <c r="V300" s="41"/>
      <c r="W300" s="41"/>
      <c r="X300" s="41"/>
      <c r="Y300" s="41"/>
      <c r="AA300" s="1092" t="s">
        <v>2418</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4" t="s">
        <v>2394</v>
      </c>
      <c r="I301" s="1115"/>
      <c r="J301" s="1115"/>
      <c r="K301" s="1115"/>
      <c r="L301" s="1115"/>
      <c r="M301" s="1115"/>
      <c r="N301" s="5" t="s">
        <v>859</v>
      </c>
      <c r="O301" s="5"/>
      <c r="P301" s="1118"/>
      <c r="Q301" s="1118"/>
      <c r="R301" s="1118"/>
      <c r="S301" s="41"/>
      <c r="T301" s="41" t="s">
        <v>400</v>
      </c>
      <c r="V301" s="41"/>
      <c r="W301" s="41"/>
      <c r="X301" s="41"/>
      <c r="Y301" s="41"/>
      <c r="AA301" s="1114" t="s">
        <v>2419</v>
      </c>
      <c r="AB301" s="1115"/>
      <c r="AC301" s="1115"/>
      <c r="AD301" s="1115"/>
      <c r="AE301" s="1115"/>
      <c r="AF301" s="1115"/>
      <c r="AG301" s="5" t="s">
        <v>859</v>
      </c>
      <c r="AH301" s="5"/>
      <c r="AI301" s="1118"/>
      <c r="AJ301" s="1118"/>
      <c r="AK301" s="1118"/>
      <c r="BA301" s="43"/>
    </row>
    <row r="302" spans="2:53" ht="12.95" customHeight="1">
      <c r="B302" s="41" t="s">
        <v>401</v>
      </c>
      <c r="C302" s="41"/>
      <c r="D302" s="41"/>
      <c r="E302" s="41"/>
      <c r="F302" s="41"/>
      <c r="G302" s="41"/>
      <c r="H302" s="1116"/>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2.95" customHeight="1">
      <c r="B303" s="41" t="s">
        <v>738</v>
      </c>
      <c r="C303" s="41"/>
      <c r="D303" s="41"/>
      <c r="E303" s="41"/>
      <c r="F303" s="41"/>
      <c r="G303" s="41"/>
      <c r="H303" s="1092" t="s">
        <v>2395</v>
      </c>
      <c r="I303" s="1092"/>
      <c r="J303" s="1092"/>
      <c r="K303" s="1092"/>
      <c r="L303" s="1092"/>
      <c r="M303" s="1092"/>
      <c r="N303" s="1091"/>
      <c r="O303" s="1091"/>
      <c r="P303" s="1091"/>
      <c r="Q303" s="1091"/>
      <c r="R303" s="1091"/>
      <c r="S303" s="41"/>
      <c r="T303" s="41" t="s">
        <v>738</v>
      </c>
      <c r="V303" s="41"/>
      <c r="W303" s="41"/>
      <c r="X303" s="41"/>
      <c r="Y303" s="41"/>
      <c r="AA303" s="1092" t="s">
        <v>2420</v>
      </c>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2390</v>
      </c>
      <c r="I305" s="1091"/>
      <c r="J305" s="1091"/>
      <c r="K305" s="1091"/>
      <c r="L305" s="1091"/>
      <c r="M305" s="1091"/>
      <c r="N305" s="1091"/>
      <c r="O305" s="1091"/>
      <c r="P305" s="1091"/>
      <c r="Q305" s="1091"/>
      <c r="R305" s="1091"/>
      <c r="T305" s="5" t="s">
        <v>1152</v>
      </c>
      <c r="V305" s="41"/>
      <c r="W305" s="41"/>
      <c r="X305" s="41"/>
      <c r="Y305" s="41"/>
      <c r="AA305" s="1091" t="s">
        <v>2421</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2391</v>
      </c>
      <c r="I306" s="1092"/>
      <c r="J306" s="1092"/>
      <c r="K306" s="1092"/>
      <c r="L306" s="1092"/>
      <c r="M306" s="1092"/>
      <c r="N306" s="1092"/>
      <c r="O306" s="1092"/>
      <c r="P306" s="1092"/>
      <c r="Q306" s="1092"/>
      <c r="R306" s="1092"/>
      <c r="T306" s="41" t="s">
        <v>735</v>
      </c>
      <c r="V306" s="41"/>
      <c r="W306" s="41"/>
      <c r="X306" s="41"/>
      <c r="Y306" s="41"/>
      <c r="AA306" s="1092" t="s">
        <v>2422</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2392</v>
      </c>
      <c r="I307" s="1092"/>
      <c r="J307" s="1092"/>
      <c r="K307" s="1092"/>
      <c r="L307" s="1092"/>
      <c r="M307" s="1092"/>
      <c r="N307" s="1092"/>
      <c r="O307" s="1092"/>
      <c r="P307" s="1092"/>
      <c r="Q307" s="1092"/>
      <c r="R307" s="1092"/>
      <c r="T307" s="41" t="s">
        <v>736</v>
      </c>
      <c r="V307" s="41"/>
      <c r="W307" s="41"/>
      <c r="X307" s="41"/>
      <c r="Y307" s="41"/>
      <c r="AA307" s="1092" t="s">
        <v>2423</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2393</v>
      </c>
      <c r="I308" s="1092"/>
      <c r="J308" s="1092"/>
      <c r="K308" s="1092"/>
      <c r="L308" s="1092"/>
      <c r="M308" s="1092"/>
      <c r="N308" s="1092"/>
      <c r="O308" s="1092"/>
      <c r="P308" s="1092"/>
      <c r="Q308" s="1092"/>
      <c r="R308" s="1092"/>
      <c r="T308" s="41" t="s">
        <v>399</v>
      </c>
      <c r="V308" s="41"/>
      <c r="W308" s="41"/>
      <c r="X308" s="41"/>
      <c r="Y308" s="41"/>
      <c r="AA308" s="1092" t="s">
        <v>2424</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15" t="s">
        <v>2394</v>
      </c>
      <c r="I309" s="1115"/>
      <c r="J309" s="1115"/>
      <c r="K309" s="1115"/>
      <c r="L309" s="1115"/>
      <c r="M309" s="1115"/>
      <c r="N309" s="5" t="s">
        <v>859</v>
      </c>
      <c r="O309" s="5"/>
      <c r="P309" s="1118"/>
      <c r="Q309" s="1118"/>
      <c r="R309" s="1118"/>
      <c r="S309" s="41"/>
      <c r="T309" s="41" t="s">
        <v>400</v>
      </c>
      <c r="V309" s="41"/>
      <c r="W309" s="41"/>
      <c r="X309" s="41"/>
      <c r="Y309" s="41"/>
      <c r="AA309" s="1114" t="s">
        <v>2425</v>
      </c>
      <c r="AB309" s="1115"/>
      <c r="AC309" s="1115"/>
      <c r="AD309" s="1115"/>
      <c r="AE309" s="1115"/>
      <c r="AF309" s="1115"/>
      <c r="AG309" s="5" t="s">
        <v>859</v>
      </c>
      <c r="AH309" s="5"/>
      <c r="AI309" s="1118"/>
      <c r="AJ309" s="1118"/>
      <c r="AK309" s="1118"/>
      <c r="BA309" s="43"/>
    </row>
    <row r="310" spans="2:53" ht="12.95" customHeight="1">
      <c r="B310" s="41" t="s">
        <v>401</v>
      </c>
      <c r="C310" s="41"/>
      <c r="D310" s="41"/>
      <c r="E310" s="41"/>
      <c r="F310" s="41"/>
      <c r="G310" s="41"/>
      <c r="H310" s="1116"/>
      <c r="I310" s="1116"/>
      <c r="J310" s="1116"/>
      <c r="K310" s="1116"/>
      <c r="L310" s="1116"/>
      <c r="M310" s="1116"/>
      <c r="N310" s="5"/>
      <c r="O310" s="5"/>
      <c r="P310" s="44"/>
      <c r="Q310" s="44"/>
      <c r="R310" s="44"/>
      <c r="S310" s="41"/>
      <c r="T310" s="41" t="s">
        <v>401</v>
      </c>
      <c r="V310" s="41"/>
      <c r="W310" s="41"/>
      <c r="X310" s="41"/>
      <c r="Y310" s="41"/>
      <c r="AA310" s="1116"/>
      <c r="AB310" s="1116"/>
      <c r="AC310" s="1116"/>
      <c r="AD310" s="1116"/>
      <c r="AE310" s="1116"/>
      <c r="AF310" s="1116"/>
      <c r="AG310" s="5"/>
      <c r="AH310" s="5"/>
      <c r="AI310" s="44"/>
      <c r="AJ310" s="44"/>
      <c r="AK310" s="44"/>
      <c r="BA310" s="43"/>
    </row>
    <row r="311" spans="2:53" ht="12.95" customHeight="1">
      <c r="B311" s="41" t="s">
        <v>738</v>
      </c>
      <c r="C311" s="41"/>
      <c r="D311" s="41"/>
      <c r="E311" s="41"/>
      <c r="F311" s="41"/>
      <c r="G311" s="41"/>
      <c r="H311" s="1092" t="s">
        <v>2395</v>
      </c>
      <c r="I311" s="1092"/>
      <c r="J311" s="1092"/>
      <c r="K311" s="1092"/>
      <c r="L311" s="1092"/>
      <c r="M311" s="1092"/>
      <c r="N311" s="1091"/>
      <c r="O311" s="1091"/>
      <c r="P311" s="1091"/>
      <c r="Q311" s="1091"/>
      <c r="R311" s="1091"/>
      <c r="S311" s="41"/>
      <c r="T311" s="41" t="s">
        <v>738</v>
      </c>
      <c r="V311" s="41"/>
      <c r="W311" s="41"/>
      <c r="X311" s="41"/>
      <c r="Y311" s="41"/>
      <c r="AA311" s="1092" t="s">
        <v>2426</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t="s">
        <v>2396</v>
      </c>
      <c r="I313" s="1091"/>
      <c r="J313" s="1091"/>
      <c r="K313" s="1091"/>
      <c r="L313" s="1091"/>
      <c r="M313" s="1091"/>
      <c r="N313" s="1091"/>
      <c r="O313" s="1091"/>
      <c r="P313" s="1091"/>
      <c r="Q313" s="1091"/>
      <c r="R313" s="1091"/>
      <c r="T313" s="41" t="s">
        <v>40</v>
      </c>
      <c r="V313" s="41"/>
      <c r="W313" s="41"/>
      <c r="X313" s="41"/>
      <c r="Y313" s="41"/>
      <c r="AA313" s="1091"/>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t="s">
        <v>2397</v>
      </c>
      <c r="I314" s="1092"/>
      <c r="J314" s="1092"/>
      <c r="K314" s="1092"/>
      <c r="L314" s="1092"/>
      <c r="M314" s="1092"/>
      <c r="N314" s="1092"/>
      <c r="O314" s="1092"/>
      <c r="P314" s="1092"/>
      <c r="Q314" s="1092"/>
      <c r="R314" s="1092"/>
      <c r="T314" s="41" t="s">
        <v>735</v>
      </c>
      <c r="V314" s="41"/>
      <c r="W314" s="41"/>
      <c r="X314" s="41"/>
      <c r="Y314" s="41"/>
      <c r="AA314" s="1092"/>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t="s">
        <v>2398</v>
      </c>
      <c r="I315" s="1092"/>
      <c r="J315" s="1092"/>
      <c r="K315" s="1092"/>
      <c r="L315" s="1092"/>
      <c r="M315" s="1092"/>
      <c r="N315" s="1092"/>
      <c r="O315" s="1092"/>
      <c r="P315" s="1092"/>
      <c r="Q315" s="1092"/>
      <c r="R315" s="1092"/>
      <c r="T315" s="41" t="s">
        <v>736</v>
      </c>
      <c r="V315" s="41"/>
      <c r="W315" s="41"/>
      <c r="X315" s="41"/>
      <c r="Y315" s="41"/>
      <c r="AA315" s="1092"/>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t="s">
        <v>2399</v>
      </c>
      <c r="I316" s="1092"/>
      <c r="J316" s="1092"/>
      <c r="K316" s="1092"/>
      <c r="L316" s="1092"/>
      <c r="M316" s="1092"/>
      <c r="N316" s="1092"/>
      <c r="O316" s="1092"/>
      <c r="P316" s="1092"/>
      <c r="Q316" s="1092"/>
      <c r="R316" s="1092"/>
      <c r="T316" s="41" t="s">
        <v>399</v>
      </c>
      <c r="V316" s="41"/>
      <c r="W316" s="41"/>
      <c r="X316" s="41"/>
      <c r="Y316" s="41"/>
      <c r="AA316" s="1092"/>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4" t="s">
        <v>2400</v>
      </c>
      <c r="I317" s="1115"/>
      <c r="J317" s="1115"/>
      <c r="K317" s="1115"/>
      <c r="L317" s="1115"/>
      <c r="M317" s="1115"/>
      <c r="N317" s="5" t="s">
        <v>859</v>
      </c>
      <c r="O317" s="5"/>
      <c r="P317" s="1118"/>
      <c r="Q317" s="1118"/>
      <c r="R317" s="1118"/>
      <c r="S317" s="41"/>
      <c r="T317" s="41" t="s">
        <v>400</v>
      </c>
      <c r="V317" s="41"/>
      <c r="W317" s="41"/>
      <c r="X317" s="41"/>
      <c r="Y317" s="41"/>
      <c r="AA317" s="1115"/>
      <c r="AB317" s="1115"/>
      <c r="AC317" s="1115"/>
      <c r="AD317" s="1115"/>
      <c r="AE317" s="1115"/>
      <c r="AF317" s="1115"/>
      <c r="AG317" s="5" t="s">
        <v>859</v>
      </c>
      <c r="AH317" s="5"/>
      <c r="AI317" s="1118"/>
      <c r="AJ317" s="1118"/>
      <c r="AK317" s="1118"/>
      <c r="BA317" s="43"/>
    </row>
    <row r="318" spans="2:53" ht="12.95" customHeight="1">
      <c r="B318" s="41" t="s">
        <v>401</v>
      </c>
      <c r="C318" s="41"/>
      <c r="D318" s="41"/>
      <c r="E318" s="41"/>
      <c r="F318" s="41"/>
      <c r="G318" s="41"/>
      <c r="H318" s="1126" t="s">
        <v>2401</v>
      </c>
      <c r="I318" s="1116"/>
      <c r="J318" s="1116"/>
      <c r="K318" s="1116"/>
      <c r="L318" s="1116"/>
      <c r="M318" s="1116"/>
      <c r="N318" s="5"/>
      <c r="O318" s="5"/>
      <c r="P318" s="44"/>
      <c r="Q318" s="44"/>
      <c r="R318" s="44"/>
      <c r="S318" s="41"/>
      <c r="T318" s="41" t="s">
        <v>401</v>
      </c>
      <c r="V318" s="41"/>
      <c r="W318" s="41"/>
      <c r="X318" s="41"/>
      <c r="Y318" s="41"/>
      <c r="AA318" s="1116"/>
      <c r="AB318" s="1116"/>
      <c r="AC318" s="1116"/>
      <c r="AD318" s="1116"/>
      <c r="AE318" s="1116"/>
      <c r="AF318" s="1116"/>
      <c r="AG318" s="5"/>
      <c r="AH318" s="5"/>
      <c r="AI318" s="44"/>
      <c r="AJ318" s="44"/>
      <c r="AK318" s="44"/>
      <c r="BA318" s="43"/>
    </row>
    <row r="319" spans="2:53" ht="12.95" customHeight="1">
      <c r="B319" s="41" t="s">
        <v>738</v>
      </c>
      <c r="C319" s="41"/>
      <c r="D319" s="41"/>
      <c r="E319" s="41"/>
      <c r="F319" s="41"/>
      <c r="G319" s="41"/>
      <c r="H319" s="1092" t="s">
        <v>2402</v>
      </c>
      <c r="I319" s="1092"/>
      <c r="J319" s="1092"/>
      <c r="K319" s="1092"/>
      <c r="L319" s="1092"/>
      <c r="M319" s="1092"/>
      <c r="N319" s="1091"/>
      <c r="O319" s="1091"/>
      <c r="P319" s="1091"/>
      <c r="Q319" s="1091"/>
      <c r="R319" s="1091"/>
      <c r="S319" s="41"/>
      <c r="T319" s="41" t="s">
        <v>738</v>
      </c>
      <c r="V319" s="41"/>
      <c r="W319" s="41"/>
      <c r="X319" s="41"/>
      <c r="Y319" s="41"/>
      <c r="AA319" s="1092"/>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t="s">
        <v>2403</v>
      </c>
      <c r="I321" s="1091"/>
      <c r="J321" s="1091"/>
      <c r="K321" s="1091"/>
      <c r="L321" s="1091"/>
      <c r="M321" s="1091"/>
      <c r="N321" s="1091"/>
      <c r="O321" s="1091"/>
      <c r="P321" s="1091"/>
      <c r="Q321" s="1091"/>
      <c r="R321" s="1091"/>
      <c r="T321" s="41" t="s">
        <v>41</v>
      </c>
      <c r="V321" s="41"/>
      <c r="W321" s="41"/>
      <c r="X321" s="41"/>
      <c r="Y321" s="41"/>
      <c r="AA321" s="1091" t="s">
        <v>2427</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t="s">
        <v>2404</v>
      </c>
      <c r="I322" s="1092"/>
      <c r="J322" s="1092"/>
      <c r="K322" s="1092"/>
      <c r="L322" s="1092"/>
      <c r="M322" s="1092"/>
      <c r="N322" s="1092"/>
      <c r="O322" s="1092"/>
      <c r="P322" s="1092"/>
      <c r="Q322" s="1092"/>
      <c r="R322" s="1092"/>
      <c r="T322" s="41" t="s">
        <v>735</v>
      </c>
      <c r="V322" s="41"/>
      <c r="W322" s="41"/>
      <c r="X322" s="41"/>
      <c r="Y322" s="41"/>
      <c r="AA322" s="1092" t="s">
        <v>2428</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t="s">
        <v>2405</v>
      </c>
      <c r="I323" s="1092"/>
      <c r="J323" s="1092"/>
      <c r="K323" s="1092"/>
      <c r="L323" s="1092"/>
      <c r="M323" s="1092"/>
      <c r="N323" s="1092"/>
      <c r="O323" s="1092"/>
      <c r="P323" s="1092"/>
      <c r="Q323" s="1092"/>
      <c r="R323" s="1092"/>
      <c r="T323" s="41" t="s">
        <v>736</v>
      </c>
      <c r="V323" s="41"/>
      <c r="W323" s="41"/>
      <c r="X323" s="41"/>
      <c r="Y323" s="41"/>
      <c r="AA323" s="1092" t="s">
        <v>2429</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t="s">
        <v>2406</v>
      </c>
      <c r="I324" s="1092"/>
      <c r="J324" s="1092"/>
      <c r="K324" s="1092"/>
      <c r="L324" s="1092"/>
      <c r="M324" s="1092"/>
      <c r="N324" s="1092"/>
      <c r="O324" s="1092"/>
      <c r="P324" s="1092"/>
      <c r="Q324" s="1092"/>
      <c r="R324" s="1092"/>
      <c r="T324" s="41" t="s">
        <v>399</v>
      </c>
      <c r="V324" s="41"/>
      <c r="W324" s="41"/>
      <c r="X324" s="41"/>
      <c r="Y324" s="41"/>
      <c r="AA324" s="1092" t="s">
        <v>2430</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4" t="s">
        <v>2407</v>
      </c>
      <c r="I325" s="1115"/>
      <c r="J325" s="1115"/>
      <c r="K325" s="1115"/>
      <c r="L325" s="1115"/>
      <c r="M325" s="1115"/>
      <c r="N325" s="5" t="s">
        <v>859</v>
      </c>
      <c r="O325" s="5"/>
      <c r="P325" s="1118">
        <v>4</v>
      </c>
      <c r="Q325" s="1118"/>
      <c r="R325" s="1118"/>
      <c r="S325" s="41"/>
      <c r="T325" s="41" t="s">
        <v>400</v>
      </c>
      <c r="V325" s="41"/>
      <c r="W325" s="41"/>
      <c r="X325" s="41"/>
      <c r="Y325" s="41"/>
      <c r="AA325" s="1114" t="s">
        <v>2431</v>
      </c>
      <c r="AB325" s="1115"/>
      <c r="AC325" s="1115"/>
      <c r="AD325" s="1115"/>
      <c r="AE325" s="1115"/>
      <c r="AF325" s="1115"/>
      <c r="AG325" s="5" t="s">
        <v>859</v>
      </c>
      <c r="AH325" s="5"/>
      <c r="AI325" s="1118"/>
      <c r="AJ325" s="1118"/>
      <c r="AK325" s="1118"/>
      <c r="BA325" s="43"/>
    </row>
    <row r="326" spans="2:53" ht="12.95" customHeight="1">
      <c r="B326" s="41" t="s">
        <v>401</v>
      </c>
      <c r="C326" s="41"/>
      <c r="D326" s="41"/>
      <c r="E326" s="41"/>
      <c r="F326" s="41"/>
      <c r="G326" s="41"/>
      <c r="H326" s="1116"/>
      <c r="I326" s="1116"/>
      <c r="J326" s="1116"/>
      <c r="K326" s="1116"/>
      <c r="L326" s="1116"/>
      <c r="M326" s="1116"/>
      <c r="N326" s="5"/>
      <c r="O326" s="5"/>
      <c r="P326" s="44"/>
      <c r="Q326" s="44"/>
      <c r="R326" s="44"/>
      <c r="S326" s="41"/>
      <c r="T326" s="41" t="s">
        <v>401</v>
      </c>
      <c r="V326" s="41"/>
      <c r="W326" s="41"/>
      <c r="X326" s="41"/>
      <c r="Y326" s="41"/>
      <c r="AA326" s="1126" t="s">
        <v>2432</v>
      </c>
      <c r="AB326" s="1116"/>
      <c r="AC326" s="1116"/>
      <c r="AD326" s="1116"/>
      <c r="AE326" s="1116"/>
      <c r="AF326" s="1116"/>
      <c r="AG326" s="5"/>
      <c r="AH326" s="5"/>
      <c r="AI326" s="44"/>
      <c r="AJ326" s="44"/>
      <c r="AK326" s="44"/>
      <c r="BA326" s="43"/>
    </row>
    <row r="327" spans="2:53" ht="12.95" customHeight="1">
      <c r="B327" s="41" t="s">
        <v>738</v>
      </c>
      <c r="C327" s="41"/>
      <c r="D327" s="41"/>
      <c r="E327" s="41"/>
      <c r="F327" s="41"/>
      <c r="G327" s="41"/>
      <c r="H327" s="1092" t="s">
        <v>2408</v>
      </c>
      <c r="I327" s="1092"/>
      <c r="J327" s="1092"/>
      <c r="K327" s="1092"/>
      <c r="L327" s="1092"/>
      <c r="M327" s="1092"/>
      <c r="N327" s="1091"/>
      <c r="O327" s="1091"/>
      <c r="P327" s="1091"/>
      <c r="Q327" s="1091"/>
      <c r="R327" s="1091"/>
      <c r="S327" s="41"/>
      <c r="T327" s="41" t="s">
        <v>738</v>
      </c>
      <c r="V327" s="41"/>
      <c r="W327" s="41"/>
      <c r="X327" s="41"/>
      <c r="Y327" s="41"/>
      <c r="AA327" s="1092" t="s">
        <v>2433</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c r="I329" s="1091"/>
      <c r="J329" s="1091"/>
      <c r="K329" s="1091"/>
      <c r="L329" s="1091"/>
      <c r="M329" s="1091"/>
      <c r="N329" s="1091"/>
      <c r="O329" s="1091"/>
      <c r="P329" s="1091"/>
      <c r="Q329" s="1091"/>
      <c r="R329" s="1091"/>
      <c r="T329" s="5" t="s">
        <v>1153</v>
      </c>
      <c r="V329" s="41"/>
      <c r="W329" s="41"/>
      <c r="X329" s="41"/>
      <c r="Y329" s="41"/>
      <c r="AA329" s="1091" t="s">
        <v>2434</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092"/>
      <c r="I330" s="1092"/>
      <c r="J330" s="1092"/>
      <c r="K330" s="1092"/>
      <c r="L330" s="1092"/>
      <c r="M330" s="1092"/>
      <c r="N330" s="1092"/>
      <c r="O330" s="1092"/>
      <c r="P330" s="1092"/>
      <c r="Q330" s="1092"/>
      <c r="R330" s="1092"/>
      <c r="T330" s="41" t="s">
        <v>735</v>
      </c>
      <c r="V330" s="41"/>
      <c r="W330" s="41"/>
      <c r="X330" s="41"/>
      <c r="Y330" s="41"/>
      <c r="AA330" s="1092" t="s">
        <v>2435</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092"/>
      <c r="I331" s="1092"/>
      <c r="J331" s="1092"/>
      <c r="K331" s="1092"/>
      <c r="L331" s="1092"/>
      <c r="M331" s="1092"/>
      <c r="N331" s="1092"/>
      <c r="O331" s="1092"/>
      <c r="P331" s="1092"/>
      <c r="Q331" s="1092"/>
      <c r="R331" s="1092"/>
      <c r="T331" s="41" t="s">
        <v>736</v>
      </c>
      <c r="V331" s="41"/>
      <c r="W331" s="41"/>
      <c r="X331" s="41"/>
      <c r="Y331" s="41"/>
      <c r="AA331" s="1092" t="s">
        <v>2436</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092"/>
      <c r="I332" s="1092"/>
      <c r="J332" s="1092"/>
      <c r="K332" s="1092"/>
      <c r="L332" s="1092"/>
      <c r="M332" s="1092"/>
      <c r="N332" s="1092"/>
      <c r="O332" s="1092"/>
      <c r="P332" s="1092"/>
      <c r="Q332" s="1092"/>
      <c r="R332" s="1092"/>
      <c r="T332" s="41" t="s">
        <v>399</v>
      </c>
      <c r="V332" s="41"/>
      <c r="W332" s="41"/>
      <c r="X332" s="41"/>
      <c r="Y332" s="41"/>
      <c r="AA332" s="1092" t="s">
        <v>2437</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5"/>
      <c r="I333" s="1115"/>
      <c r="J333" s="1115"/>
      <c r="K333" s="1115"/>
      <c r="L333" s="1115"/>
      <c r="M333" s="1115"/>
      <c r="N333" s="5" t="s">
        <v>859</v>
      </c>
      <c r="O333" s="5"/>
      <c r="P333" s="1118"/>
      <c r="Q333" s="1118"/>
      <c r="R333" s="1118"/>
      <c r="T333" s="41" t="s">
        <v>400</v>
      </c>
      <c r="V333" s="41"/>
      <c r="W333" s="41"/>
      <c r="X333" s="41"/>
      <c r="Y333" s="41"/>
      <c r="AA333" s="1114" t="s">
        <v>2438</v>
      </c>
      <c r="AB333" s="1115"/>
      <c r="AC333" s="1115"/>
      <c r="AD333" s="1115"/>
      <c r="AE333" s="1115"/>
      <c r="AF333" s="1115"/>
      <c r="AG333" s="5" t="s">
        <v>859</v>
      </c>
      <c r="AH333" s="5"/>
      <c r="AI333" s="1118"/>
      <c r="AJ333" s="1118"/>
      <c r="AK333" s="1118"/>
      <c r="BA333" s="43"/>
    </row>
    <row r="334" spans="2:53" ht="12.95"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c r="AB334" s="1116"/>
      <c r="AC334" s="1116"/>
      <c r="AD334" s="1116"/>
      <c r="AE334" s="1116"/>
      <c r="AF334" s="1116"/>
      <c r="AG334" s="5"/>
      <c r="AH334" s="5"/>
      <c r="AI334" s="44"/>
      <c r="AJ334" s="44"/>
      <c r="AK334" s="44"/>
      <c r="BA334" s="43"/>
    </row>
    <row r="335" spans="2:53" ht="12.95" customHeight="1">
      <c r="B335" s="41" t="s">
        <v>738</v>
      </c>
      <c r="C335" s="41"/>
      <c r="D335" s="41"/>
      <c r="E335" s="41"/>
      <c r="F335" s="41"/>
      <c r="G335" s="41"/>
      <c r="H335" s="1092"/>
      <c r="I335" s="1092"/>
      <c r="J335" s="1092"/>
      <c r="K335" s="1092"/>
      <c r="L335" s="1092"/>
      <c r="M335" s="1092"/>
      <c r="N335" s="1091"/>
      <c r="O335" s="1091"/>
      <c r="P335" s="1091"/>
      <c r="Q335" s="1091"/>
      <c r="R335" s="1091"/>
      <c r="T335" s="41" t="s">
        <v>738</v>
      </c>
      <c r="V335" s="41"/>
      <c r="W335" s="41"/>
      <c r="X335" s="41"/>
      <c r="Y335" s="41"/>
      <c r="AA335" s="1092" t="s">
        <v>2439</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1"/>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092"/>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5"/>
      <c r="I341" s="1115"/>
      <c r="J341" s="1115"/>
      <c r="K341" s="1115"/>
      <c r="L341" s="1115"/>
      <c r="M341" s="1115"/>
      <c r="N341" s="5" t="s">
        <v>859</v>
      </c>
      <c r="O341" s="5"/>
      <c r="P341" s="1118"/>
      <c r="Q341" s="1118"/>
      <c r="R341" s="1118"/>
      <c r="T341" s="41" t="s">
        <v>400</v>
      </c>
      <c r="AA341" s="1115"/>
      <c r="AB341" s="1115"/>
      <c r="AC341" s="1115"/>
      <c r="AD341" s="1115"/>
      <c r="AE341" s="1115"/>
      <c r="AF341" s="1115"/>
      <c r="AG341" s="5" t="s">
        <v>859</v>
      </c>
      <c r="AH341" s="5"/>
      <c r="AI341" s="1118"/>
      <c r="AJ341" s="1118"/>
      <c r="AK341" s="1118"/>
    </row>
    <row r="342" spans="1:53" ht="12.95" customHeight="1">
      <c r="B342" s="365" t="s">
        <v>401</v>
      </c>
      <c r="C342" s="365"/>
      <c r="D342" s="365"/>
      <c r="E342" s="365"/>
      <c r="F342" s="365"/>
      <c r="G342" s="365"/>
      <c r="H342" s="1116"/>
      <c r="I342" s="1116"/>
      <c r="J342" s="1116"/>
      <c r="K342" s="1116"/>
      <c r="L342" s="1116"/>
      <c r="M342" s="1116"/>
      <c r="N342" s="5"/>
      <c r="O342" s="5"/>
      <c r="P342" s="44"/>
      <c r="Q342" s="44"/>
      <c r="R342" s="44"/>
      <c r="T342" s="41" t="s">
        <v>401</v>
      </c>
      <c r="AA342" s="1116"/>
      <c r="AB342" s="1116"/>
      <c r="AC342" s="1116"/>
      <c r="AD342" s="1116"/>
      <c r="AE342" s="1116"/>
      <c r="AF342" s="1116"/>
      <c r="AG342" s="5"/>
      <c r="AH342" s="5"/>
      <c r="AI342" s="44"/>
      <c r="AJ342" s="44"/>
      <c r="AK342" s="44"/>
    </row>
    <row r="343" spans="1:53" ht="12.95" customHeight="1">
      <c r="B343" s="365" t="s">
        <v>738</v>
      </c>
      <c r="C343" s="365"/>
      <c r="D343" s="365"/>
      <c r="E343" s="365"/>
      <c r="F343" s="365"/>
      <c r="G343" s="365"/>
      <c r="H343" s="1092"/>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5"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7" t="s">
        <v>116</v>
      </c>
      <c r="N349" s="1117"/>
      <c r="P349" t="s">
        <v>2061</v>
      </c>
      <c r="AJ349" s="1117" t="s">
        <v>132</v>
      </c>
      <c r="AK349" s="1117"/>
    </row>
    <row r="350" spans="1:53" ht="12.95" customHeight="1">
      <c r="D350" s="41" t="s">
        <v>1984</v>
      </c>
      <c r="M350" s="1117" t="s">
        <v>132</v>
      </c>
      <c r="N350" s="1117"/>
      <c r="P350" s="41" t="s">
        <v>2062</v>
      </c>
      <c r="AJ350" s="1057"/>
      <c r="AK350" s="1057"/>
    </row>
    <row r="351" spans="1:53" ht="12.95" customHeight="1">
      <c r="D351" t="s">
        <v>334</v>
      </c>
      <c r="M351" s="1117" t="s">
        <v>132</v>
      </c>
      <c r="N351" s="1117"/>
      <c r="P351" t="s">
        <v>2063</v>
      </c>
      <c r="AJ351" s="1117" t="s">
        <v>132</v>
      </c>
      <c r="AK351" s="1117"/>
    </row>
    <row r="352" spans="1:53" ht="12.95" customHeight="1">
      <c r="D352" t="s">
        <v>335</v>
      </c>
      <c r="M352" s="1117" t="s">
        <v>132</v>
      </c>
      <c r="N352" s="1117"/>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7" t="s">
        <v>132</v>
      </c>
      <c r="O357" s="1117"/>
      <c r="P357" s="49"/>
      <c r="Q357" s="49"/>
      <c r="R357" s="49"/>
      <c r="S357" s="49"/>
      <c r="T357" s="49"/>
      <c r="U357" s="49"/>
      <c r="V357" s="49"/>
      <c r="W357" s="49"/>
      <c r="X357" s="49"/>
      <c r="Y357" s="49"/>
      <c r="Z357" s="49"/>
      <c r="AC357" s="49"/>
      <c r="AD357" s="49"/>
      <c r="AE357" s="49"/>
    </row>
    <row r="358" spans="1:57" ht="12.95" customHeight="1">
      <c r="E358" t="s">
        <v>769</v>
      </c>
      <c r="Y358" s="1117" t="s">
        <v>132</v>
      </c>
      <c r="Z358" s="1117"/>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7" t="s">
        <v>132</v>
      </c>
      <c r="K360" s="1117"/>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19"/>
      <c r="O363" s="1119"/>
      <c r="P363" s="1119"/>
      <c r="Q363" s="1119"/>
      <c r="R363" s="5"/>
      <c r="U363" s="5" t="s">
        <v>627</v>
      </c>
      <c r="V363" s="5"/>
      <c r="W363" s="5"/>
      <c r="X363" s="5"/>
      <c r="Y363" s="5"/>
      <c r="Z363" s="5"/>
      <c r="AA363" s="5"/>
      <c r="AB363" s="5"/>
      <c r="AC363" s="1119"/>
      <c r="AD363" s="1119"/>
      <c r="AE363" s="1119"/>
      <c r="AF363" s="1119"/>
      <c r="BE363" t="s">
        <v>116</v>
      </c>
    </row>
    <row r="364" spans="1:57" ht="12.95" customHeight="1">
      <c r="E364" s="5" t="s">
        <v>628</v>
      </c>
      <c r="F364" s="5"/>
      <c r="G364" s="5"/>
      <c r="H364" s="5"/>
      <c r="I364" s="5"/>
      <c r="J364" s="5"/>
      <c r="K364" s="5"/>
      <c r="L364" s="5"/>
      <c r="N364" s="1119"/>
      <c r="O364" s="1119"/>
      <c r="P364" s="1119"/>
      <c r="Q364" s="1119"/>
      <c r="R364" s="5"/>
      <c r="U364" s="5" t="s">
        <v>629</v>
      </c>
      <c r="V364" s="5"/>
      <c r="W364" s="5"/>
      <c r="X364" s="5"/>
      <c r="Y364" s="5"/>
      <c r="Z364" s="5"/>
      <c r="AA364" s="5"/>
      <c r="AB364" s="5"/>
      <c r="AC364" s="1119"/>
      <c r="AD364" s="1119"/>
      <c r="AE364" s="1119"/>
      <c r="AF364" s="1119"/>
    </row>
    <row r="365" spans="1:57" ht="12.95" customHeight="1">
      <c r="E365" s="5" t="s">
        <v>68</v>
      </c>
      <c r="F365" s="5"/>
      <c r="G365" s="5"/>
      <c r="H365" s="5"/>
      <c r="I365" s="5"/>
      <c r="J365" s="5"/>
      <c r="K365" s="5"/>
      <c r="L365" s="5"/>
      <c r="N365" s="1119"/>
      <c r="O365" s="1119"/>
      <c r="P365" s="1119"/>
      <c r="Q365" s="1119"/>
      <c r="R365" s="5"/>
      <c r="V365" s="5"/>
      <c r="W365" s="5"/>
      <c r="X365" s="5"/>
      <c r="Y365" s="5"/>
      <c r="Z365" s="5"/>
      <c r="AA365" s="5"/>
      <c r="AB365" s="5"/>
    </row>
    <row r="366" spans="1:57" ht="12.95" customHeight="1">
      <c r="E366" s="5" t="s">
        <v>69</v>
      </c>
      <c r="F366" s="5"/>
      <c r="G366" s="5"/>
      <c r="H366" s="5"/>
      <c r="I366" s="5"/>
      <c r="J366" s="5"/>
      <c r="K366" s="5"/>
      <c r="L366" s="5"/>
      <c r="N366" s="1311"/>
      <c r="O366" s="1311"/>
      <c r="P366" s="1311"/>
      <c r="Q366" s="1311"/>
      <c r="R366" s="1311"/>
      <c r="S366" s="1311"/>
      <c r="T366" s="1311"/>
      <c r="U366" s="1311"/>
      <c r="V366" s="1311"/>
      <c r="W366" s="1311"/>
      <c r="X366" s="1311"/>
      <c r="Y366" s="1311"/>
      <c r="Z366" s="1311"/>
      <c r="AA366" s="1311"/>
      <c r="AB366" s="1311"/>
      <c r="AC366" s="1311"/>
      <c r="AD366" s="1311"/>
      <c r="AE366" s="1311"/>
      <c r="AF366" s="1311"/>
    </row>
    <row r="367" spans="1:57" ht="12.95" customHeight="1">
      <c r="E367" s="5"/>
      <c r="F367" s="5"/>
      <c r="G367" s="5"/>
      <c r="H367" s="5"/>
      <c r="I367" s="5"/>
      <c r="J367" s="5"/>
      <c r="K367" s="5"/>
      <c r="L367" s="5"/>
      <c r="N367" s="1312"/>
      <c r="O367" s="1312"/>
      <c r="P367" s="1312"/>
      <c r="Q367" s="1312"/>
      <c r="R367" s="1312"/>
      <c r="S367" s="1312"/>
      <c r="T367" s="1312"/>
      <c r="U367" s="1312"/>
      <c r="V367" s="1312"/>
      <c r="W367" s="1312"/>
      <c r="X367" s="1312"/>
      <c r="Y367" s="1312"/>
      <c r="Z367" s="1312"/>
      <c r="AA367" s="1312"/>
      <c r="AB367" s="1312"/>
      <c r="AC367" s="1312"/>
      <c r="AD367" s="1312"/>
      <c r="AE367" s="1312"/>
      <c r="AF367" s="1312"/>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121"/>
      <c r="T370" s="1121"/>
      <c r="U370" s="374" t="s">
        <v>247</v>
      </c>
      <c r="V370" s="1121"/>
      <c r="W370" s="1121"/>
      <c r="X370" s="365"/>
      <c r="Z370" s="365"/>
      <c r="AA370" s="960" t="s">
        <v>2228</v>
      </c>
      <c r="AB370" s="365" t="s">
        <v>246</v>
      </c>
      <c r="AC370" s="365"/>
      <c r="AD370" s="1121"/>
      <c r="AE370" s="1121"/>
      <c r="AF370" s="374" t="s">
        <v>247</v>
      </c>
      <c r="AG370" s="1121"/>
      <c r="AH370" s="1121"/>
    </row>
    <row r="371" spans="1:36" ht="12.95" customHeight="1">
      <c r="D371" s="365"/>
      <c r="E371" s="365" t="s">
        <v>1288</v>
      </c>
      <c r="F371" s="365"/>
      <c r="G371" s="365"/>
      <c r="H371" s="365"/>
      <c r="I371" s="365"/>
      <c r="J371" s="365"/>
      <c r="K371" s="365"/>
      <c r="L371" s="365"/>
      <c r="M371" s="365"/>
      <c r="N371" s="1121"/>
      <c r="O371" s="1121"/>
      <c r="P371" s="1121"/>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0" t="s">
        <v>132</v>
      </c>
      <c r="AH372" s="1120"/>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0" t="s">
        <v>132</v>
      </c>
      <c r="AH373" s="1120"/>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20" t="s">
        <v>132</v>
      </c>
      <c r="W374" s="1120"/>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0" t="s">
        <v>132</v>
      </c>
      <c r="W375" s="1120"/>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1" t="s">
        <v>2440</v>
      </c>
      <c r="K378" s="1091"/>
      <c r="L378" s="1091"/>
      <c r="M378" s="1091"/>
      <c r="N378" s="1091"/>
      <c r="O378" s="1091"/>
      <c r="P378" s="1091"/>
      <c r="Q378" s="1091"/>
      <c r="R378" s="1091"/>
      <c r="S378" s="1091"/>
      <c r="T378" s="1091"/>
      <c r="U378" s="1091"/>
      <c r="V378" s="12" t="s">
        <v>746</v>
      </c>
      <c r="W378" s="12"/>
      <c r="X378" s="12"/>
      <c r="Y378" s="12"/>
      <c r="Z378" s="12"/>
      <c r="AA378" s="12"/>
      <c r="AB378" s="12"/>
      <c r="AC378" s="1091"/>
      <c r="AD378" s="1091"/>
      <c r="AE378" s="1091"/>
      <c r="AF378" s="1091"/>
      <c r="AG378" s="1091"/>
      <c r="AH378" s="1091"/>
      <c r="AI378" s="1091"/>
      <c r="AJ378" s="1091"/>
    </row>
    <row r="379" spans="1:36" ht="12.95" customHeight="1">
      <c r="D379" s="41" t="s">
        <v>2064</v>
      </c>
      <c r="J379" s="1092"/>
      <c r="K379" s="1092"/>
      <c r="L379" s="1092"/>
      <c r="M379" s="1092"/>
      <c r="N379" s="1092"/>
      <c r="O379" s="1092"/>
      <c r="P379" s="1092"/>
      <c r="Q379" s="1092"/>
      <c r="R379" s="1092"/>
      <c r="S379" s="1092"/>
      <c r="T379" s="1092"/>
      <c r="U379" s="1092"/>
      <c r="V379" s="41" t="s">
        <v>2064</v>
      </c>
      <c r="W379" s="12"/>
      <c r="X379" s="12"/>
      <c r="Y379" s="12"/>
      <c r="Z379" s="12"/>
      <c r="AA379" s="12"/>
      <c r="AB379" s="12"/>
      <c r="AC379" s="1091"/>
      <c r="AD379" s="1091"/>
      <c r="AE379" s="1091"/>
      <c r="AF379" s="1091"/>
      <c r="AG379" s="1091"/>
      <c r="AH379" s="1091"/>
      <c r="AI379" s="1091"/>
      <c r="AJ379" s="1091"/>
    </row>
    <row r="380" spans="1:36" ht="12.95" customHeight="1">
      <c r="D380" s="41" t="s">
        <v>575</v>
      </c>
      <c r="J380" s="1092"/>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2.95" customHeight="1">
      <c r="D381" t="s">
        <v>2065</v>
      </c>
      <c r="J381" s="1106"/>
      <c r="K381" s="1106"/>
      <c r="L381" s="1106"/>
      <c r="M381" s="1106"/>
      <c r="N381" s="1106"/>
      <c r="O381" s="1106"/>
      <c r="P381" s="1106"/>
      <c r="Q381" s="1106"/>
      <c r="R381" s="1106"/>
      <c r="S381" s="1106"/>
      <c r="T381" s="1106"/>
      <c r="U381" s="1106"/>
      <c r="V381" s="1091"/>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7">
        <v>42983</v>
      </c>
      <c r="R382" s="1417"/>
      <c r="S382" s="1417"/>
      <c r="T382" s="1417"/>
      <c r="U382" s="1417"/>
      <c r="V382" t="s">
        <v>179</v>
      </c>
      <c r="AI382" s="1117" t="s">
        <v>511</v>
      </c>
      <c r="AJ382" s="1117"/>
    </row>
    <row r="383" spans="1:36" ht="12.95" customHeight="1">
      <c r="D383" t="s">
        <v>586</v>
      </c>
      <c r="Q383" s="1210"/>
      <c r="R383" s="1313"/>
      <c r="S383" s="1313"/>
      <c r="T383" s="1313"/>
      <c r="U383" s="1313"/>
      <c r="W383" s="29" t="s">
        <v>20</v>
      </c>
      <c r="AG383" s="1139"/>
      <c r="AH383" s="1139"/>
      <c r="AI383" s="1139"/>
      <c r="AJ383" s="1139"/>
    </row>
    <row r="384" spans="1:36" ht="12.95" customHeight="1">
      <c r="D384" t="s">
        <v>289</v>
      </c>
      <c r="Q384" s="1122">
        <v>574352</v>
      </c>
      <c r="R384" s="1122"/>
      <c r="S384" s="1122"/>
      <c r="T384" s="1122"/>
      <c r="U384" s="1122"/>
      <c r="V384" s="41" t="s">
        <v>2066</v>
      </c>
      <c r="AG384" s="1251"/>
      <c r="AH384" s="1251"/>
      <c r="AI384" s="1251"/>
      <c r="AJ384" s="1251"/>
    </row>
    <row r="385" spans="4:36" ht="12.95" customHeight="1">
      <c r="D385" t="s">
        <v>400</v>
      </c>
      <c r="I385" s="1114"/>
      <c r="J385" s="1114"/>
      <c r="K385" s="1114"/>
      <c r="L385" s="1114"/>
      <c r="M385" s="1114"/>
      <c r="N385" s="1114"/>
      <c r="Q385" s="41" t="s">
        <v>859</v>
      </c>
      <c r="S385" s="1137"/>
      <c r="T385" s="1137"/>
      <c r="U385" s="1137"/>
      <c r="V385" t="s">
        <v>19</v>
      </c>
      <c r="AI385" s="1117" t="s">
        <v>511</v>
      </c>
      <c r="AJ385" s="1117"/>
    </row>
    <row r="386" spans="4:36" ht="12.95" customHeight="1">
      <c r="D386" t="s">
        <v>180</v>
      </c>
      <c r="Q386" s="1138"/>
      <c r="R386" s="1138"/>
      <c r="S386" s="1138"/>
      <c r="T386" s="1138"/>
      <c r="U386" s="1138"/>
      <c r="V386" t="s">
        <v>181</v>
      </c>
      <c r="AG386" s="1139">
        <v>20000</v>
      </c>
      <c r="AH386" s="1139"/>
      <c r="AI386" s="1139"/>
      <c r="AJ386" s="1139"/>
    </row>
    <row r="387" spans="4:36" ht="12.95" customHeight="1">
      <c r="D387" t="s">
        <v>28</v>
      </c>
      <c r="Q387" s="1437">
        <v>0.01</v>
      </c>
      <c r="R387" s="1437"/>
      <c r="S387" s="1437"/>
      <c r="T387" s="1437"/>
      <c r="U387" s="1437"/>
      <c r="V387" t="s">
        <v>1757</v>
      </c>
      <c r="AG387" s="1139"/>
      <c r="AH387" s="1139"/>
      <c r="AI387" s="1139"/>
      <c r="AJ387" s="1139"/>
    </row>
    <row r="388" spans="4:36" ht="12.95" customHeight="1">
      <c r="D388" t="s">
        <v>2067</v>
      </c>
      <c r="AG388" s="1139"/>
      <c r="AH388" s="1139"/>
      <c r="AI388" s="1139"/>
      <c r="AJ388" s="1139"/>
    </row>
    <row r="389" spans="4:36" ht="12.95" customHeight="1">
      <c r="AG389" s="852"/>
      <c r="AH389" s="852"/>
      <c r="AI389" s="852"/>
      <c r="AJ389" s="852"/>
    </row>
    <row r="390" spans="4:36" ht="12.95" customHeight="1">
      <c r="D390" s="41" t="s">
        <v>2338</v>
      </c>
      <c r="AG390" s="852"/>
      <c r="AH390" s="852"/>
      <c r="AI390" s="1117" t="s">
        <v>511</v>
      </c>
      <c r="AJ390" s="1117"/>
    </row>
    <row r="391" spans="4:36" ht="12.95" customHeight="1">
      <c r="D391" s="41" t="s">
        <v>2068</v>
      </c>
      <c r="T391" s="1440"/>
      <c r="U391" s="1440"/>
      <c r="V391" s="1440"/>
      <c r="W391" s="1440"/>
      <c r="X391" s="1440"/>
      <c r="Y391" s="1440"/>
      <c r="Z391" s="1440"/>
      <c r="AA391" s="1440"/>
      <c r="AB391" s="1440"/>
      <c r="AC391" s="1440"/>
      <c r="AD391" s="1440"/>
      <c r="AE391" s="1440"/>
      <c r="AF391" s="1440"/>
      <c r="AG391" s="1440"/>
      <c r="AH391" s="1440"/>
      <c r="AI391" s="1440"/>
      <c r="AJ391" s="1440"/>
    </row>
    <row r="392" spans="4:36" ht="12.95" customHeight="1">
      <c r="D392" s="41" t="s">
        <v>2069</v>
      </c>
      <c r="T392" s="1440"/>
      <c r="U392" s="1440"/>
      <c r="V392" s="1440"/>
      <c r="W392" s="1440"/>
      <c r="X392" s="1440"/>
      <c r="Y392" s="1440"/>
      <c r="Z392" s="1440"/>
      <c r="AA392" s="1440"/>
      <c r="AB392" s="1440"/>
      <c r="AC392" s="1440"/>
      <c r="AD392" s="1440"/>
      <c r="AE392" s="1440"/>
      <c r="AF392" s="1440"/>
      <c r="AG392" s="1440"/>
      <c r="AH392" s="1440"/>
      <c r="AI392" s="1440"/>
      <c r="AJ392" s="1440"/>
    </row>
    <row r="393" spans="4:36" ht="12.95" customHeight="1">
      <c r="AG393" s="852"/>
      <c r="AH393" s="852"/>
      <c r="AI393" s="852"/>
      <c r="AJ393" s="852"/>
    </row>
    <row r="394" spans="4:36" ht="12.95" customHeight="1">
      <c r="D394" s="41" t="s">
        <v>2070</v>
      </c>
      <c r="S394" s="1440" t="s">
        <v>511</v>
      </c>
      <c r="T394" s="1440"/>
      <c r="U394" s="1440"/>
      <c r="V394" t="s">
        <v>2071</v>
      </c>
      <c r="AG394" s="1470"/>
      <c r="AH394" s="1470"/>
      <c r="AI394" s="1470"/>
      <c r="AJ394" s="1470"/>
    </row>
    <row r="395" spans="4:36" ht="12.95" customHeight="1">
      <c r="D395" s="41" t="s">
        <v>2072</v>
      </c>
      <c r="S395" s="1440" t="s">
        <v>132</v>
      </c>
      <c r="T395" s="1440"/>
      <c r="U395" s="1440"/>
      <c r="V395" t="s">
        <v>2073</v>
      </c>
      <c r="AE395" s="1471"/>
      <c r="AF395" s="1471"/>
      <c r="AG395" s="1471"/>
      <c r="AH395" s="1471"/>
      <c r="AI395" s="1471"/>
      <c r="AJ395" s="1471"/>
    </row>
    <row r="396" spans="4:36" ht="12.95"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2.95" customHeight="1">
      <c r="D397" s="41" t="s">
        <v>2075</v>
      </c>
      <c r="K397" s="1297"/>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2.95" customHeight="1">
      <c r="D398" s="41" t="s">
        <v>2076</v>
      </c>
      <c r="E398" s="833"/>
      <c r="F398" s="833"/>
      <c r="G398" s="833"/>
      <c r="H398" s="833"/>
      <c r="I398" s="833"/>
      <c r="J398" s="833"/>
      <c r="K398" s="833"/>
      <c r="L398" s="833"/>
      <c r="M398" s="833"/>
      <c r="N398" s="833"/>
      <c r="O398" s="833"/>
      <c r="P398" s="833"/>
      <c r="Q398" s="833"/>
      <c r="R398" s="833"/>
      <c r="S398" s="1418" t="s">
        <v>2441</v>
      </c>
      <c r="T398" s="1418"/>
      <c r="U398" s="1418"/>
      <c r="V398" s="1418"/>
      <c r="W398" s="1418"/>
      <c r="X398" s="1418"/>
      <c r="Y398" s="1418"/>
      <c r="Z398" s="1418"/>
      <c r="AA398" s="1418"/>
      <c r="AB398" s="1418"/>
      <c r="AC398" s="1418"/>
      <c r="AD398" s="1418"/>
      <c r="AE398" s="1418"/>
      <c r="AF398" s="1418"/>
      <c r="AG398" s="1418"/>
      <c r="AH398" s="1418"/>
      <c r="AI398" s="1418"/>
      <c r="AJ398" s="1418"/>
    </row>
    <row r="399" spans="4:36" ht="12.9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1812</v>
      </c>
      <c r="I403" s="1288" t="s">
        <v>2442</v>
      </c>
      <c r="J403" s="1288"/>
      <c r="K403" s="1288"/>
      <c r="L403" s="1288"/>
      <c r="M403" s="1288"/>
      <c r="N403" s="1288"/>
      <c r="O403" s="1288"/>
      <c r="P403" s="1288"/>
      <c r="Q403" s="1288"/>
      <c r="R403" s="1288"/>
      <c r="S403" s="1288"/>
      <c r="T403" s="1288"/>
      <c r="U403" s="1288"/>
      <c r="V403" s="1288"/>
      <c r="W403" s="1288"/>
      <c r="X403" s="1288"/>
      <c r="Y403" s="1288"/>
      <c r="Z403" s="1288"/>
      <c r="AA403" s="1288"/>
      <c r="AB403" s="1288"/>
      <c r="AC403" s="1288"/>
      <c r="AD403" s="1288"/>
    </row>
    <row r="404" spans="1:36" ht="12.95" customHeight="1">
      <c r="E404" t="s">
        <v>896</v>
      </c>
      <c r="R404" s="1117" t="s">
        <v>116</v>
      </c>
      <c r="S404" s="1117"/>
      <c r="T404" t="s">
        <v>306</v>
      </c>
      <c r="AD404" s="1119">
        <v>5</v>
      </c>
      <c r="AE404" s="1119"/>
    </row>
    <row r="405" spans="1:36" ht="12.95" customHeight="1">
      <c r="E405" t="s">
        <v>897</v>
      </c>
      <c r="R405" s="1117" t="s">
        <v>132</v>
      </c>
      <c r="S405" s="1117"/>
      <c r="T405" t="s">
        <v>306</v>
      </c>
      <c r="AD405" s="1119">
        <v>0</v>
      </c>
      <c r="AE405" s="1119"/>
    </row>
    <row r="406" spans="1:36" ht="12.95" customHeight="1">
      <c r="E406" t="s">
        <v>898</v>
      </c>
      <c r="S406" s="1117" t="s">
        <v>132</v>
      </c>
      <c r="T406" s="1117"/>
    </row>
    <row r="407" spans="1:36" ht="12.95" customHeight="1">
      <c r="E407" t="s">
        <v>298</v>
      </c>
      <c r="H407" s="1476" t="s">
        <v>593</v>
      </c>
      <c r="I407" s="1476"/>
      <c r="J407" s="1476"/>
      <c r="K407" s="1476"/>
      <c r="L407" s="1476"/>
      <c r="M407" s="1476"/>
      <c r="N407" s="1476"/>
      <c r="O407" s="1476"/>
      <c r="P407" s="1476"/>
      <c r="Q407" s="1476"/>
      <c r="R407" s="1476"/>
      <c r="S407" s="1476"/>
      <c r="T407" s="1476"/>
      <c r="U407" s="1476"/>
      <c r="V407" s="1476"/>
      <c r="W407" s="1476"/>
      <c r="X407" s="1476"/>
      <c r="Y407" s="1476"/>
      <c r="Z407" s="1476"/>
      <c r="AA407" s="1476"/>
      <c r="AB407" s="1476"/>
      <c r="AC407" s="1476"/>
      <c r="AD407" s="1476"/>
      <c r="AE407" s="1476"/>
      <c r="AF407" s="1476"/>
      <c r="AG407" s="1476"/>
      <c r="AH407" s="1476"/>
      <c r="AI407" s="1476"/>
      <c r="AJ407" s="1476"/>
    </row>
    <row r="408" spans="1:36" ht="12.95" customHeight="1">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row>
    <row r="409" spans="1:36" ht="12.95" customHeight="1"/>
    <row r="410" spans="1:36" ht="12.95" customHeight="1">
      <c r="A410" s="3" t="s">
        <v>131</v>
      </c>
      <c r="B410" s="3"/>
      <c r="C410" s="3"/>
      <c r="D410" s="3" t="s">
        <v>946</v>
      </c>
      <c r="AE410" s="5"/>
      <c r="AF410" s="3" t="s">
        <v>1266</v>
      </c>
    </row>
    <row r="411" spans="1:36" ht="12.95" customHeight="1">
      <c r="E411" s="1478"/>
      <c r="F411" s="1478"/>
      <c r="G411" s="1478"/>
      <c r="H411" s="18" t="s">
        <v>947</v>
      </c>
      <c r="I411" s="1478"/>
      <c r="J411" s="1478"/>
      <c r="K411" s="1478"/>
      <c r="L411" t="s">
        <v>948</v>
      </c>
      <c r="N411" s="34" t="s">
        <v>892</v>
      </c>
      <c r="P411" s="1479">
        <v>1.18801</v>
      </c>
      <c r="Q411" s="1479"/>
      <c r="R411" s="1479"/>
      <c r="S411" t="s">
        <v>949</v>
      </c>
      <c r="W411" s="1480">
        <f>IF(E411&gt;0,(E411*I411),(P411*43560))</f>
        <v>51749.715600000003</v>
      </c>
      <c r="X411" s="1480"/>
      <c r="Y411" s="1480"/>
      <c r="Z411" t="s">
        <v>950</v>
      </c>
      <c r="AF411" s="1492">
        <f>IF(P411&gt;0,(AG430/P411),(AG430/(W411/43560)))</f>
        <v>101.00925076388246</v>
      </c>
      <c r="AG411" s="1492"/>
      <c r="AH411" s="1492"/>
    </row>
    <row r="412" spans="1:36" ht="12.95" customHeight="1">
      <c r="E412" t="s">
        <v>215</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2079</v>
      </c>
      <c r="F414" s="29"/>
      <c r="G414" s="29"/>
      <c r="H414" s="29"/>
      <c r="I414" s="1463"/>
      <c r="J414" s="1463"/>
      <c r="K414" s="1463"/>
      <c r="L414" s="29"/>
      <c r="M414" s="270"/>
      <c r="N414" s="29"/>
      <c r="O414" s="29"/>
      <c r="P414" s="1491" t="e">
        <f>(CQ615+CS620+CQ634)/I414</f>
        <v>#DIV/0!</v>
      </c>
      <c r="Q414" s="1491"/>
      <c r="R414" s="1491"/>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7">
        <v>2</v>
      </c>
      <c r="Q417" s="1117"/>
      <c r="S417" t="s">
        <v>144</v>
      </c>
      <c r="AE417" s="1117">
        <v>2</v>
      </c>
      <c r="AF417" s="1117"/>
    </row>
    <row r="418" spans="1:36" ht="12.95" customHeight="1">
      <c r="E418" t="s">
        <v>145</v>
      </c>
      <c r="P418" s="1117">
        <v>0</v>
      </c>
      <c r="Q418" s="1117"/>
      <c r="S418" t="s">
        <v>762</v>
      </c>
      <c r="AE418" s="1117" t="s">
        <v>132</v>
      </c>
      <c r="AF418" s="1117"/>
    </row>
    <row r="419" spans="1:36" ht="12.95" customHeight="1">
      <c r="F419" s="36" t="s">
        <v>236</v>
      </c>
    </row>
    <row r="420" spans="1:36" ht="12.9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2.9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2.95" customHeight="1">
      <c r="E422" t="s">
        <v>899</v>
      </c>
      <c r="P422" s="1"/>
      <c r="Q422" s="1117" t="s">
        <v>116</v>
      </c>
      <c r="R422" s="1117"/>
      <c r="AE422" s="1"/>
      <c r="AF422" s="1"/>
    </row>
    <row r="423" spans="1:36" ht="12.95" customHeight="1">
      <c r="F423" t="s">
        <v>900</v>
      </c>
      <c r="P423" s="1"/>
      <c r="Q423" s="1"/>
      <c r="AE423" s="1117" t="s">
        <v>132</v>
      </c>
      <c r="AF423" s="1300"/>
    </row>
    <row r="424" spans="1:36" ht="12.95" customHeight="1"/>
    <row r="425" spans="1:36" ht="12.95" customHeight="1">
      <c r="A425" s="3"/>
      <c r="B425" s="3"/>
      <c r="C425" s="3"/>
      <c r="E425" s="5" t="s">
        <v>85</v>
      </c>
      <c r="Z425" s="1117" t="s">
        <v>511</v>
      </c>
      <c r="AA425" s="1117"/>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7" t="s">
        <v>132</v>
      </c>
      <c r="AA427" s="1117"/>
    </row>
    <row r="428" spans="1:36" ht="12.95" customHeight="1"/>
    <row r="429" spans="1:36" ht="12.95" customHeight="1">
      <c r="A429" s="3" t="s">
        <v>392</v>
      </c>
      <c r="B429" s="3"/>
      <c r="C429" s="3"/>
      <c r="D429" s="3" t="s">
        <v>183</v>
      </c>
      <c r="AF429" s="54"/>
    </row>
    <row r="430" spans="1:36" ht="12.95"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68"/>
      <c r="AG430" s="1430">
        <v>120</v>
      </c>
      <c r="AH430" s="1430"/>
      <c r="AI430" s="1430"/>
      <c r="AJ430" s="1430"/>
    </row>
    <row r="431" spans="1:36" ht="12.9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4">
        <v>0</v>
      </c>
      <c r="AH431" s="1475"/>
      <c r="AI431" s="1475"/>
      <c r="AJ431" s="1475"/>
    </row>
    <row r="432" spans="1:36" ht="12.9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0">
        <v>119</v>
      </c>
      <c r="AH432" s="1430"/>
      <c r="AI432" s="1430"/>
      <c r="AJ432" s="1430"/>
    </row>
    <row r="433" spans="4:36" ht="12.9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0">
        <v>119</v>
      </c>
      <c r="AH433" s="1430"/>
      <c r="AI433" s="1430"/>
      <c r="AJ433" s="1430"/>
    </row>
    <row r="434" spans="4:36" ht="12.9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1">
        <f>IF(ISERROR(AG433/AG432),"",AG433/AG432)</f>
        <v>1</v>
      </c>
      <c r="AH434" s="1431"/>
      <c r="AI434" s="1431"/>
      <c r="AJ434" s="1431"/>
    </row>
    <row r="435" spans="4:36" ht="12.9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8">
        <v>79200</v>
      </c>
      <c r="AH435" s="1438"/>
      <c r="AI435" s="1438"/>
      <c r="AJ435" s="1438"/>
    </row>
    <row r="436" spans="4:36" ht="12.9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8">
        <v>79200</v>
      </c>
      <c r="AH436" s="1438"/>
      <c r="AI436" s="1438"/>
      <c r="AJ436" s="1438"/>
    </row>
    <row r="437" spans="4:36" ht="12.9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1">
        <f>IF(ISERROR(AG436/AG435),"",AG436/AG435)</f>
        <v>1</v>
      </c>
      <c r="AH437" s="1431"/>
      <c r="AI437" s="1431"/>
      <c r="AJ437" s="1431"/>
    </row>
    <row r="438" spans="4:36" ht="12.9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1">
        <f>MIN(IF(AG434&gt;AG437,AG437,AG434),1)</f>
        <v>1</v>
      </c>
      <c r="AH438" s="1431"/>
      <c r="AI438" s="1431"/>
      <c r="AJ438" s="1431"/>
    </row>
    <row r="439" spans="4:36" ht="12.95" customHeight="1">
      <c r="D439" s="1487" t="s">
        <v>2235</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68"/>
      <c r="AG439" s="1438">
        <v>2920</v>
      </c>
      <c r="AH439" s="1438"/>
      <c r="AI439" s="1438"/>
      <c r="AJ439" s="1438"/>
    </row>
    <row r="440" spans="4:36" ht="12.9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8">
        <v>0</v>
      </c>
      <c r="AH440" s="1438"/>
      <c r="AI440" s="1438"/>
      <c r="AJ440" s="1438"/>
    </row>
    <row r="441" spans="4:36" ht="12.95" customHeight="1">
      <c r="D441" s="1487"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8">
        <v>26800</v>
      </c>
      <c r="AH441" s="1438"/>
      <c r="AI441" s="1438"/>
      <c r="AJ441" s="1438"/>
    </row>
    <row r="442" spans="4:36" ht="12.9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8"/>
      <c r="AH442" s="1438"/>
      <c r="AI442" s="1438"/>
      <c r="AJ442" s="1438"/>
    </row>
    <row r="443" spans="4:36" ht="12.9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2">
        <f>AG435+AG439+AG441+AG442</f>
        <v>108920</v>
      </c>
      <c r="AH443" s="1462"/>
      <c r="AI443" s="1462"/>
      <c r="AJ443" s="1462"/>
    </row>
    <row r="444" spans="4:36" ht="12.95" customHeight="1">
      <c r="D444" s="1466" t="s">
        <v>1814</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33"/>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3"/>
      <c r="AG446" s="1433"/>
      <c r="AH446" s="1433"/>
      <c r="AI446" s="1433"/>
      <c r="AJ446" s="1433"/>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509300.78166666662</v>
      </c>
      <c r="AD447" s="1441"/>
      <c r="AE447" s="1441"/>
      <c r="AF447" s="1441"/>
      <c r="AG447" s="1428"/>
      <c r="AH447" s="1428"/>
      <c r="AI447" s="1428"/>
      <c r="AJ447" s="1428"/>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509300.78166666662</v>
      </c>
      <c r="AD448" s="1441"/>
      <c r="AE448" s="1441"/>
      <c r="AF448" s="1441"/>
      <c r="AG448" s="1428"/>
      <c r="AH448" s="1428"/>
      <c r="AI448" s="1428"/>
      <c r="AJ448" s="1428"/>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462123.64216785232</v>
      </c>
      <c r="AD449" s="1441"/>
      <c r="AE449" s="1441"/>
      <c r="AF449" s="14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19" t="s">
        <v>2208</v>
      </c>
      <c r="E458" s="1420"/>
      <c r="F458" s="1420"/>
      <c r="G458" s="1420"/>
      <c r="H458" s="1420"/>
      <c r="I458" s="1420"/>
      <c r="J458" s="1420"/>
      <c r="K458" s="1420"/>
      <c r="L458" s="1420"/>
      <c r="M458" s="1420"/>
      <c r="N458" s="1420"/>
      <c r="O458" s="1420"/>
      <c r="P458" s="1420"/>
      <c r="Q458" s="1420"/>
      <c r="R458" s="1420"/>
      <c r="S458" s="1420"/>
      <c r="T458" s="1420"/>
      <c r="U458" s="1420"/>
      <c r="V458" s="1421"/>
      <c r="W458" s="1393">
        <v>60</v>
      </c>
      <c r="X458" s="1394"/>
      <c r="Y458" s="1395"/>
      <c r="Z458" s="311"/>
      <c r="AA458" s="311"/>
      <c r="AB458" s="311"/>
      <c r="AC458" s="311"/>
      <c r="AD458" s="311"/>
      <c r="AE458" s="311"/>
      <c r="AF458" s="311"/>
      <c r="AG458" s="311"/>
      <c r="AH458" s="311"/>
      <c r="AI458" s="311"/>
      <c r="AJ458" s="41"/>
      <c r="AK458" s="41"/>
      <c r="AL458" s="41"/>
    </row>
    <row r="459" spans="1:38" ht="12.95" customHeight="1">
      <c r="A459" s="41"/>
      <c r="B459" s="41"/>
      <c r="C459" s="41"/>
      <c r="D459" s="1419" t="s">
        <v>227</v>
      </c>
      <c r="E459" s="1420"/>
      <c r="F459" s="1420"/>
      <c r="G459" s="1420"/>
      <c r="H459" s="1420"/>
      <c r="I459" s="1420"/>
      <c r="J459" s="1420"/>
      <c r="K459" s="1420"/>
      <c r="L459" s="1420"/>
      <c r="M459" s="1420"/>
      <c r="N459" s="1420"/>
      <c r="O459" s="1420"/>
      <c r="P459" s="1420"/>
      <c r="Q459" s="1420"/>
      <c r="R459" s="1420"/>
      <c r="S459" s="1420"/>
      <c r="T459" s="1420"/>
      <c r="U459" s="1420"/>
      <c r="V459" s="1421"/>
      <c r="W459" s="1393" t="s">
        <v>132</v>
      </c>
      <c r="X459" s="1394"/>
      <c r="Y459" s="1395"/>
      <c r="Z459" s="311"/>
      <c r="AA459" s="311"/>
      <c r="AB459" s="311"/>
      <c r="AC459" s="311"/>
      <c r="AD459" s="311"/>
      <c r="AE459" s="311"/>
      <c r="AF459" s="311"/>
      <c r="AG459" s="311"/>
      <c r="AH459" s="311"/>
      <c r="AI459" s="311"/>
      <c r="AJ459" s="41"/>
      <c r="AK459" s="41"/>
      <c r="AL459" s="41"/>
    </row>
    <row r="460" spans="1:38" ht="12.95" customHeight="1">
      <c r="A460" s="41"/>
      <c r="B460" s="41"/>
      <c r="C460" s="41"/>
      <c r="D460" s="1419" t="s">
        <v>228</v>
      </c>
      <c r="E460" s="1420"/>
      <c r="F460" s="1420"/>
      <c r="G460" s="1420"/>
      <c r="H460" s="1420"/>
      <c r="I460" s="1420"/>
      <c r="J460" s="1420"/>
      <c r="K460" s="1420"/>
      <c r="L460" s="1420"/>
      <c r="M460" s="1420"/>
      <c r="N460" s="1420"/>
      <c r="O460" s="1420"/>
      <c r="P460" s="1420"/>
      <c r="Q460" s="1420"/>
      <c r="R460" s="1420"/>
      <c r="S460" s="1420"/>
      <c r="T460" s="1420"/>
      <c r="U460" s="1420"/>
      <c r="V460" s="1421"/>
      <c r="W460" s="1393">
        <v>60</v>
      </c>
      <c r="X460" s="1394"/>
      <c r="Y460" s="1395"/>
      <c r="Z460" s="311"/>
      <c r="AA460" s="311"/>
      <c r="AB460" s="311"/>
      <c r="AC460" s="311"/>
      <c r="AD460" s="311"/>
      <c r="AE460" s="311"/>
      <c r="AF460" s="311"/>
      <c r="AG460" s="311"/>
      <c r="AH460" s="311"/>
      <c r="AI460" s="311"/>
      <c r="AJ460" s="41"/>
      <c r="AK460" s="41"/>
      <c r="AL460" s="41"/>
    </row>
    <row r="461" spans="1:38" ht="12.95" customHeight="1">
      <c r="A461" s="41"/>
      <c r="B461" s="41"/>
      <c r="C461" s="41"/>
      <c r="D461" s="1419" t="s">
        <v>231</v>
      </c>
      <c r="E461" s="1420"/>
      <c r="F461" s="1420"/>
      <c r="G461" s="1420"/>
      <c r="H461" s="1420"/>
      <c r="I461" s="1420"/>
      <c r="J461" s="1420"/>
      <c r="K461" s="1420"/>
      <c r="L461" s="1420"/>
      <c r="M461" s="1420"/>
      <c r="N461" s="1420"/>
      <c r="O461" s="1420"/>
      <c r="P461" s="1420"/>
      <c r="Q461" s="1420"/>
      <c r="R461" s="1420"/>
      <c r="S461" s="1420"/>
      <c r="T461" s="1420"/>
      <c r="U461" s="1420"/>
      <c r="V461" s="1421"/>
      <c r="W461" s="1393" t="s">
        <v>132</v>
      </c>
      <c r="X461" s="1394"/>
      <c r="Y461" s="1395"/>
      <c r="Z461" s="311"/>
      <c r="AA461" s="311"/>
      <c r="AB461" s="311"/>
      <c r="AC461" s="311"/>
      <c r="AD461" s="311"/>
      <c r="AE461" s="311"/>
      <c r="AF461" s="311"/>
      <c r="AG461" s="311"/>
      <c r="AH461" s="311"/>
      <c r="AI461" s="311"/>
      <c r="AJ461" s="41"/>
      <c r="AK461" s="41"/>
      <c r="AL461" s="41"/>
    </row>
    <row r="462" spans="1:38" ht="12.95" customHeight="1">
      <c r="A462" s="41"/>
      <c r="B462" s="41"/>
      <c r="C462" s="41"/>
      <c r="D462" s="1429" t="s">
        <v>1156</v>
      </c>
      <c r="E462" s="1420"/>
      <c r="F462" s="1420"/>
      <c r="G462" s="1420"/>
      <c r="H462" s="1420"/>
      <c r="I462" s="1420"/>
      <c r="J462" s="1420"/>
      <c r="K462" s="1420"/>
      <c r="L462" s="1420"/>
      <c r="M462" s="1420"/>
      <c r="N462" s="1420"/>
      <c r="O462" s="1420"/>
      <c r="P462" s="1420"/>
      <c r="Q462" s="1420"/>
      <c r="R462" s="1420"/>
      <c r="S462" s="1420"/>
      <c r="T462" s="1420"/>
      <c r="U462" s="1420"/>
      <c r="V462" s="1421"/>
      <c r="W462" s="1393" t="s">
        <v>132</v>
      </c>
      <c r="X462" s="1394"/>
      <c r="Y462" s="1395"/>
      <c r="Z462" s="311"/>
      <c r="AA462" s="311"/>
      <c r="AB462" s="311"/>
      <c r="AC462" s="311"/>
      <c r="AD462" s="311"/>
      <c r="AE462" s="311"/>
      <c r="AF462" s="311"/>
      <c r="AG462" s="311"/>
      <c r="AH462" s="311"/>
      <c r="AI462" s="311"/>
      <c r="AJ462" s="41"/>
      <c r="AK462" s="41"/>
      <c r="AL462" s="41"/>
    </row>
    <row r="463" spans="1:38" ht="12.95" customHeight="1">
      <c r="A463" s="41"/>
      <c r="B463" s="41"/>
      <c r="C463" s="41"/>
      <c r="D463" s="1419" t="s">
        <v>235</v>
      </c>
      <c r="E463" s="1420"/>
      <c r="F463" s="1420"/>
      <c r="G463" s="1420"/>
      <c r="H463" s="1420"/>
      <c r="I463" s="1420"/>
      <c r="J463" s="1420"/>
      <c r="K463" s="1420"/>
      <c r="L463" s="1420"/>
      <c r="M463" s="1420"/>
      <c r="N463" s="1420"/>
      <c r="O463" s="1420"/>
      <c r="P463" s="1420"/>
      <c r="Q463" s="1420"/>
      <c r="R463" s="1420"/>
      <c r="S463" s="1420"/>
      <c r="T463" s="1420"/>
      <c r="U463" s="1420"/>
      <c r="V463" s="1421"/>
      <c r="W463" s="1393" t="s">
        <v>132</v>
      </c>
      <c r="X463" s="1394"/>
      <c r="Y463" s="1395"/>
      <c r="Z463" s="311"/>
      <c r="AA463" s="311"/>
      <c r="AB463" s="311"/>
      <c r="AC463" s="311"/>
      <c r="AD463" s="311"/>
      <c r="AE463" s="311"/>
      <c r="AF463" s="311"/>
      <c r="AG463" s="311"/>
      <c r="AH463" s="311"/>
      <c r="AI463" s="311"/>
      <c r="AJ463" s="41"/>
      <c r="AK463" s="41"/>
      <c r="AL463" s="41"/>
    </row>
    <row r="464" spans="1:38" ht="12.95" customHeight="1">
      <c r="A464" s="572"/>
      <c r="B464" s="572"/>
      <c r="C464" s="572"/>
      <c r="D464" s="1429" t="s">
        <v>1361</v>
      </c>
      <c r="E464" s="1472"/>
      <c r="F464" s="1472"/>
      <c r="G464" s="1472"/>
      <c r="H464" s="1472"/>
      <c r="I464" s="1472"/>
      <c r="J464" s="1472"/>
      <c r="K464" s="1472"/>
      <c r="L464" s="1472"/>
      <c r="M464" s="1472"/>
      <c r="N464" s="1472"/>
      <c r="O464" s="1472"/>
      <c r="P464" s="1472"/>
      <c r="Q464" s="1472"/>
      <c r="R464" s="1472"/>
      <c r="S464" s="1472"/>
      <c r="T464" s="1472"/>
      <c r="U464" s="1472"/>
      <c r="V464" s="1473"/>
      <c r="W464" s="1434" t="s">
        <v>132</v>
      </c>
      <c r="X464" s="1435"/>
      <c r="Y464" s="1436"/>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4"/>
      <c r="H465" s="1485"/>
      <c r="I465" s="1485"/>
      <c r="J465" s="1485"/>
      <c r="K465" s="1485"/>
      <c r="L465" s="1485"/>
      <c r="M465" s="1485"/>
      <c r="N465" s="1485"/>
      <c r="O465" s="1485"/>
      <c r="P465" s="1485"/>
      <c r="Q465" s="1485"/>
      <c r="R465" s="1485"/>
      <c r="S465" s="1485"/>
      <c r="T465" s="1485"/>
      <c r="U465" s="1485"/>
      <c r="V465" s="1486"/>
      <c r="W465" s="1393" t="s">
        <v>132</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4" t="s">
        <v>229</v>
      </c>
      <c r="E469" s="1465"/>
      <c r="F469" s="1465"/>
      <c r="G469" s="1465"/>
      <c r="H469" s="1465"/>
      <c r="I469" s="1465"/>
      <c r="J469" s="1465"/>
      <c r="K469" s="1465"/>
      <c r="L469" s="1465"/>
      <c r="M469" s="1465"/>
      <c r="N469" s="1465"/>
      <c r="O469" s="1465"/>
      <c r="P469" s="1465"/>
      <c r="Q469" s="1465"/>
      <c r="R469" s="1465"/>
      <c r="S469" s="1465"/>
      <c r="T469" s="1465"/>
      <c r="U469" s="1465"/>
      <c r="V469" s="1465"/>
      <c r="W469" s="1481"/>
      <c r="X469" s="1481"/>
      <c r="Y469" s="148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19" t="s">
        <v>2236</v>
      </c>
      <c r="E470" s="1420"/>
      <c r="F470" s="1420"/>
      <c r="G470" s="1420"/>
      <c r="H470" s="1420"/>
      <c r="I470" s="1420"/>
      <c r="J470" s="1420"/>
      <c r="K470" s="1420"/>
      <c r="L470" s="1420"/>
      <c r="M470" s="1420"/>
      <c r="N470" s="1420"/>
      <c r="O470" s="1420"/>
      <c r="P470" s="1420"/>
      <c r="Q470" s="1420"/>
      <c r="R470" s="1420"/>
      <c r="S470" s="1420"/>
      <c r="T470" s="1420"/>
      <c r="U470" s="1420"/>
      <c r="V470" s="1421"/>
      <c r="W470" s="1393" t="s">
        <v>132</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69" t="s">
        <v>2443</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69" t="s">
        <v>2444</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69" t="s">
        <v>2445</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2" t="s">
        <v>257</v>
      </c>
      <c r="C482" s="1423"/>
      <c r="D482" s="1423"/>
      <c r="E482" s="1423"/>
      <c r="F482" s="1423"/>
      <c r="G482" s="1423"/>
      <c r="H482" s="1423"/>
      <c r="I482" s="1423"/>
      <c r="J482" s="1423"/>
      <c r="K482" s="1423"/>
      <c r="L482" s="1423"/>
      <c r="M482" s="1423"/>
      <c r="N482" s="1423"/>
      <c r="O482" s="1423"/>
      <c r="P482" s="1424"/>
      <c r="Q482" s="1493" t="s">
        <v>511</v>
      </c>
      <c r="R482" s="1494"/>
      <c r="S482" s="1497" t="s">
        <v>57</v>
      </c>
      <c r="T482" s="1498"/>
      <c r="U482" s="1498"/>
      <c r="V482" s="1498"/>
      <c r="W482" s="1498"/>
      <c r="X482" s="1498"/>
      <c r="Y482" s="1498"/>
      <c r="Z482" s="1498"/>
      <c r="AA482" s="1498"/>
      <c r="AB482" s="1498"/>
      <c r="AC482" s="1498"/>
      <c r="AD482" s="1498"/>
      <c r="AE482" s="1498"/>
      <c r="AF482" s="1498"/>
      <c r="AG482" s="1498"/>
      <c r="AH482" s="1498"/>
      <c r="AI482" s="1498"/>
      <c r="AJ482" s="1498"/>
      <c r="AK482" s="149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5"/>
      <c r="C483" s="1426"/>
      <c r="D483" s="1426"/>
      <c r="E483" s="1426"/>
      <c r="F483" s="1426"/>
      <c r="G483" s="1426"/>
      <c r="H483" s="1426"/>
      <c r="I483" s="1426"/>
      <c r="J483" s="1426"/>
      <c r="K483" s="1426"/>
      <c r="L483" s="1426"/>
      <c r="M483" s="1426"/>
      <c r="N483" s="1426"/>
      <c r="O483" s="1426"/>
      <c r="P483" s="1427"/>
      <c r="Q483" s="1495"/>
      <c r="R483" s="1496"/>
      <c r="S483" s="1500"/>
      <c r="T483" s="1501"/>
      <c r="U483" s="1501"/>
      <c r="V483" s="1501"/>
      <c r="W483" s="1501"/>
      <c r="X483" s="1501"/>
      <c r="Y483" s="1501"/>
      <c r="Z483" s="1501"/>
      <c r="AA483" s="1501"/>
      <c r="AB483" s="1501"/>
      <c r="AC483" s="1501"/>
      <c r="AD483" s="1501"/>
      <c r="AE483" s="1501"/>
      <c r="AF483" s="1501"/>
      <c r="AG483" s="1501"/>
      <c r="AH483" s="1501"/>
      <c r="AI483" s="1501"/>
      <c r="AJ483" s="1501"/>
      <c r="AK483" s="150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2345</v>
      </c>
      <c r="C484" s="834"/>
      <c r="D484" s="834"/>
      <c r="E484" s="834"/>
      <c r="F484" s="834"/>
      <c r="G484" s="834"/>
      <c r="H484" s="834"/>
      <c r="I484" s="834"/>
      <c r="J484" s="834"/>
      <c r="K484" s="834"/>
      <c r="L484" s="834"/>
      <c r="M484" s="834"/>
      <c r="N484" s="834"/>
      <c r="O484" s="834"/>
      <c r="P484" s="834"/>
      <c r="Q484" s="1503" t="s">
        <v>511</v>
      </c>
      <c r="R484" s="1504"/>
      <c r="S484" s="1504"/>
      <c r="T484" s="1504"/>
      <c r="U484" s="1504"/>
      <c r="V484" s="1504"/>
      <c r="W484" s="1504"/>
      <c r="X484" s="1504"/>
      <c r="Y484" s="1504"/>
      <c r="Z484" s="1504"/>
      <c r="AA484" s="1504"/>
      <c r="AB484" s="1504"/>
      <c r="AC484" s="1504"/>
      <c r="AD484" s="1504"/>
      <c r="AE484" s="1504"/>
      <c r="AF484" s="1504"/>
      <c r="AG484" s="1504"/>
      <c r="AH484" s="1504"/>
      <c r="AI484" s="1504"/>
      <c r="AJ484" s="1504"/>
      <c r="AK484" s="150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69" t="s">
        <v>2446</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69" t="s">
        <v>2447</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69">
        <v>55</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056"/>
      <c r="N488" s="1057"/>
      <c r="O488" s="1057"/>
      <c r="P488" s="1058"/>
      <c r="Q488" s="214" t="s">
        <v>2084</v>
      </c>
      <c r="R488" s="9"/>
      <c r="S488" s="9"/>
      <c r="T488" s="9"/>
      <c r="U488" s="9"/>
      <c r="V488" s="9"/>
      <c r="W488" s="9"/>
      <c r="X488" s="9"/>
      <c r="Y488" s="9"/>
      <c r="Z488" s="9"/>
      <c r="AA488" s="9"/>
      <c r="AB488" s="9"/>
      <c r="AC488" s="9"/>
      <c r="AD488" s="9"/>
      <c r="AE488" s="9"/>
      <c r="AF488" s="9"/>
      <c r="AG488" s="9"/>
      <c r="AH488" s="1056">
        <v>55</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6">
        <v>6</v>
      </c>
      <c r="AD494" s="1119"/>
      <c r="AE494" s="1119"/>
      <c r="AF494" s="1119"/>
      <c r="AG494" s="18" t="s">
        <v>263</v>
      </c>
      <c r="AH494" s="1106">
        <v>2019</v>
      </c>
      <c r="AI494" s="1106"/>
      <c r="AJ494" s="1106"/>
      <c r="AK494" s="11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6">
        <v>5</v>
      </c>
      <c r="AD495" s="1119"/>
      <c r="AE495" s="1119"/>
      <c r="AF495" s="1119"/>
      <c r="AG495" s="47" t="s">
        <v>263</v>
      </c>
      <c r="AH495" s="1106">
        <v>2017</v>
      </c>
      <c r="AI495" s="1106"/>
      <c r="AJ495" s="1106"/>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432" t="s">
        <v>132</v>
      </c>
      <c r="AD496" s="1119"/>
      <c r="AE496" s="1119"/>
      <c r="AF496" s="1119"/>
      <c r="AG496" s="18" t="s">
        <v>263</v>
      </c>
      <c r="AH496" s="1106"/>
      <c r="AI496" s="1106"/>
      <c r="AJ496" s="1106"/>
      <c r="AK496" s="11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6">
        <v>6</v>
      </c>
      <c r="AD497" s="1119"/>
      <c r="AE497" s="1119"/>
      <c r="AF497" s="1119"/>
      <c r="AG497" s="18" t="s">
        <v>263</v>
      </c>
      <c r="AH497" s="1106">
        <v>2019</v>
      </c>
      <c r="AI497" s="1106"/>
      <c r="AJ497" s="1106"/>
      <c r="AK497" s="117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6">
        <v>6</v>
      </c>
      <c r="AD498" s="1119"/>
      <c r="AE498" s="1119"/>
      <c r="AF498" s="1119"/>
      <c r="AG498" s="18" t="s">
        <v>263</v>
      </c>
      <c r="AH498" s="1106">
        <v>2019</v>
      </c>
      <c r="AI498" s="1106"/>
      <c r="AJ498" s="1106"/>
      <c r="AK498" s="117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6">
        <v>12</v>
      </c>
      <c r="AD499" s="1119"/>
      <c r="AE499" s="1119"/>
      <c r="AF499" s="1119"/>
      <c r="AG499" s="18" t="s">
        <v>263</v>
      </c>
      <c r="AH499" s="1106">
        <v>2023</v>
      </c>
      <c r="AI499" s="1106"/>
      <c r="AJ499" s="1106"/>
      <c r="AK499" s="117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7">
        <v>12</v>
      </c>
      <c r="AD500" s="1228"/>
      <c r="AE500" s="1228"/>
      <c r="AF500" s="1228"/>
      <c r="AG500" s="18" t="s">
        <v>263</v>
      </c>
      <c r="AH500" s="1106">
        <v>2023</v>
      </c>
      <c r="AI500" s="1106"/>
      <c r="AJ500" s="1106"/>
      <c r="AK500" s="117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39" t="s">
        <v>2448</v>
      </c>
      <c r="M501" s="1440"/>
      <c r="N501" s="1440"/>
      <c r="O501" s="1440"/>
      <c r="P501" s="1440"/>
      <c r="Q501" s="1440"/>
      <c r="R501" s="1440"/>
      <c r="S501" s="1440"/>
      <c r="T501" s="1440"/>
      <c r="U501" s="1440"/>
      <c r="V501" s="1440"/>
      <c r="W501" s="1440"/>
      <c r="X501" s="1440"/>
      <c r="Y501" s="1440"/>
      <c r="Z501" s="1440"/>
      <c r="AA501" s="1440"/>
      <c r="AB501" s="1483"/>
      <c r="AC501" s="1432">
        <v>6</v>
      </c>
      <c r="AD501" s="1296"/>
      <c r="AE501" s="1296"/>
      <c r="AF501" s="1296"/>
      <c r="AG501" s="47" t="s">
        <v>263</v>
      </c>
      <c r="AH501" s="1106">
        <v>2019</v>
      </c>
      <c r="AI501" s="1106"/>
      <c r="AJ501" s="1106"/>
      <c r="AK501" s="117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2085</v>
      </c>
      <c r="AC502" s="1408" t="s">
        <v>511</v>
      </c>
      <c r="AD502" s="1408"/>
      <c r="AE502" s="1408"/>
      <c r="AF502" s="1408"/>
      <c r="AG502" s="18"/>
      <c r="AH502" s="1024"/>
      <c r="AI502" s="1024"/>
      <c r="AJ502" s="1024"/>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2086</v>
      </c>
      <c r="AC503" s="1227"/>
      <c r="AD503" s="1228"/>
      <c r="AE503" s="1228"/>
      <c r="AF503" s="1229"/>
      <c r="AG503" s="18"/>
      <c r="AH503" s="1024"/>
      <c r="AI503" s="1024"/>
      <c r="AJ503" s="1024"/>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88">
        <v>0.75</v>
      </c>
      <c r="AD505" s="1489"/>
      <c r="AE505" s="1489"/>
      <c r="AF505" s="1490"/>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6">
        <v>2</v>
      </c>
      <c r="AD506" s="1119"/>
      <c r="AE506" s="1119"/>
      <c r="AF506" s="1119"/>
      <c r="AG506" s="18" t="s">
        <v>263</v>
      </c>
      <c r="AH506" s="1106">
        <v>2022</v>
      </c>
      <c r="AI506" s="1106"/>
      <c r="AJ506" s="1106"/>
      <c r="AK506" s="117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6">
        <v>2</v>
      </c>
      <c r="AD507" s="1119"/>
      <c r="AE507" s="1119"/>
      <c r="AF507" s="1119"/>
      <c r="AG507" s="18" t="s">
        <v>263</v>
      </c>
      <c r="AH507" s="1106">
        <v>2022</v>
      </c>
      <c r="AI507" s="1106"/>
      <c r="AJ507" s="1106"/>
      <c r="AK507" s="117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6">
        <v>12</v>
      </c>
      <c r="AD508" s="1119"/>
      <c r="AE508" s="1119"/>
      <c r="AF508" s="1119"/>
      <c r="AG508" s="47" t="s">
        <v>263</v>
      </c>
      <c r="AH508" s="1106">
        <v>2023</v>
      </c>
      <c r="AI508" s="1106"/>
      <c r="AJ508" s="1106"/>
      <c r="AK508" s="11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27" t="s">
        <v>132</v>
      </c>
      <c r="AD509" s="1281"/>
      <c r="AE509" s="1281"/>
      <c r="AF509" s="1281"/>
      <c r="AG509" s="230" t="s">
        <v>263</v>
      </c>
      <c r="AH509" s="1106"/>
      <c r="AI509" s="1106"/>
      <c r="AJ509" s="1106"/>
      <c r="AK509" s="117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432" t="s">
        <v>132</v>
      </c>
      <c r="AD510" s="1119"/>
      <c r="AE510" s="1119"/>
      <c r="AF510" s="1119"/>
      <c r="AG510" s="18" t="s">
        <v>263</v>
      </c>
      <c r="AH510" s="1106"/>
      <c r="AI510" s="1106"/>
      <c r="AJ510" s="1106"/>
      <c r="AK510" s="117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6" t="s">
        <v>132</v>
      </c>
      <c r="AD511" s="1119"/>
      <c r="AE511" s="1119"/>
      <c r="AF511" s="1119"/>
      <c r="AG511" s="47" t="s">
        <v>263</v>
      </c>
      <c r="AH511" s="1106"/>
      <c r="AI511" s="1106"/>
      <c r="AJ511" s="1106"/>
      <c r="AK511" s="117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39" t="s">
        <v>2449</v>
      </c>
      <c r="P512" s="1440"/>
      <c r="Q512" s="1440"/>
      <c r="R512" s="1440"/>
      <c r="S512" s="1440"/>
      <c r="T512" s="1440"/>
      <c r="U512" s="1440"/>
      <c r="V512" s="1440"/>
      <c r="W512" s="1440"/>
      <c r="X512" s="1440"/>
      <c r="Y512" s="1440"/>
      <c r="Z512" s="1440"/>
      <c r="AA512" s="1440"/>
      <c r="AB512" s="64"/>
      <c r="AC512" s="1280" t="s">
        <v>132</v>
      </c>
      <c r="AD512" s="1281"/>
      <c r="AE512" s="1281"/>
      <c r="AF512" s="1281"/>
      <c r="AG512" s="230" t="s">
        <v>263</v>
      </c>
      <c r="AH512" s="1106"/>
      <c r="AI512" s="1106"/>
      <c r="AJ512" s="1106"/>
      <c r="AK512" s="117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6">
        <v>10</v>
      </c>
      <c r="AD513" s="1119"/>
      <c r="AE513" s="1119"/>
      <c r="AF513" s="1119"/>
      <c r="AG513" s="18" t="s">
        <v>263</v>
      </c>
      <c r="AH513" s="1106">
        <v>2021</v>
      </c>
      <c r="AI513" s="1106"/>
      <c r="AJ513" s="1106"/>
      <c r="AK513" s="117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6">
        <v>12</v>
      </c>
      <c r="AD514" s="1119"/>
      <c r="AE514" s="1119"/>
      <c r="AF514" s="1119"/>
      <c r="AG514" s="47" t="s">
        <v>263</v>
      </c>
      <c r="AH514" s="1106">
        <v>2021</v>
      </c>
      <c r="AI514" s="1106"/>
      <c r="AJ514" s="1106"/>
      <c r="AK514" s="1172"/>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39" t="s">
        <v>2450</v>
      </c>
      <c r="P515" s="1440"/>
      <c r="Q515" s="1440"/>
      <c r="R515" s="1440"/>
      <c r="S515" s="1440"/>
      <c r="T515" s="1440"/>
      <c r="U515" s="1440"/>
      <c r="V515" s="1440"/>
      <c r="W515" s="1440"/>
      <c r="X515" s="1440"/>
      <c r="Y515" s="1440"/>
      <c r="Z515" s="1440"/>
      <c r="AA515" s="1440"/>
      <c r="AC515" s="1396" t="s">
        <v>132</v>
      </c>
      <c r="AD515" s="1119"/>
      <c r="AE515" s="1119"/>
      <c r="AF515" s="1119"/>
      <c r="AG515" s="18" t="s">
        <v>263</v>
      </c>
      <c r="AH515" s="1106"/>
      <c r="AI515" s="1106"/>
      <c r="AJ515" s="1106"/>
      <c r="AK515" s="1172"/>
      <c r="AM515" s="41"/>
      <c r="AN515" s="41"/>
      <c r="AO515" s="41"/>
      <c r="AP515" s="41"/>
      <c r="AQ515" s="41"/>
      <c r="AR515" s="41"/>
      <c r="AS515" s="41"/>
      <c r="AT515" s="41"/>
      <c r="AU515" s="41"/>
      <c r="AV515" s="41"/>
      <c r="AW515" s="41"/>
      <c r="AX515" s="41"/>
      <c r="AY515" s="41"/>
      <c r="AZ515" s="41" t="s">
        <v>2297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6">
        <v>11</v>
      </c>
      <c r="AD516" s="1119"/>
      <c r="AE516" s="1119"/>
      <c r="AF516" s="1119"/>
      <c r="AG516" s="18" t="s">
        <v>263</v>
      </c>
      <c r="AH516" s="1106">
        <v>2021</v>
      </c>
      <c r="AI516" s="1106"/>
      <c r="AJ516" s="1106"/>
      <c r="AK516" s="1172"/>
      <c r="AM516" s="41"/>
      <c r="AN516" s="41"/>
      <c r="AO516" s="41"/>
      <c r="AP516" s="41"/>
      <c r="AQ516" s="41"/>
      <c r="AR516" s="41"/>
      <c r="AS516" s="41"/>
      <c r="AT516" s="41"/>
      <c r="AU516" s="41"/>
      <c r="AV516" s="41"/>
      <c r="AW516" s="41"/>
      <c r="AX516" s="41"/>
      <c r="AY516" s="41"/>
      <c r="AZ516" s="41" t="s">
        <v>2298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6">
        <v>2</v>
      </c>
      <c r="AD517" s="1119"/>
      <c r="AE517" s="1119"/>
      <c r="AF517" s="1119"/>
      <c r="AG517" s="47" t="s">
        <v>263</v>
      </c>
      <c r="AH517" s="1106">
        <v>2022</v>
      </c>
      <c r="AI517" s="1106"/>
      <c r="AJ517" s="1106"/>
      <c r="AK517" s="1172"/>
      <c r="AM517" s="41"/>
      <c r="AN517" s="41"/>
      <c r="AO517" s="41"/>
      <c r="AP517" s="41"/>
      <c r="AQ517" s="41"/>
      <c r="AR517" s="41"/>
      <c r="AS517" s="41"/>
      <c r="AT517" s="41"/>
      <c r="AU517" s="41"/>
      <c r="AV517" s="41"/>
      <c r="AW517" s="41"/>
      <c r="AX517" s="41"/>
      <c r="AY517" s="41"/>
      <c r="AZ517" s="41" t="s">
        <v>2299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39" t="s">
        <v>2451</v>
      </c>
      <c r="P518" s="1440"/>
      <c r="Q518" s="1440"/>
      <c r="R518" s="1440"/>
      <c r="S518" s="1440"/>
      <c r="T518" s="1440"/>
      <c r="U518" s="1440"/>
      <c r="V518" s="1440"/>
      <c r="W518" s="1440"/>
      <c r="X518" s="1440"/>
      <c r="Y518" s="1440"/>
      <c r="Z518" s="1440"/>
      <c r="AA518" s="1440"/>
      <c r="AC518" s="1396" t="s">
        <v>132</v>
      </c>
      <c r="AD518" s="1119"/>
      <c r="AE518" s="1119"/>
      <c r="AF518" s="1119"/>
      <c r="AG518" s="18" t="s">
        <v>263</v>
      </c>
      <c r="AH518" s="1106"/>
      <c r="AI518" s="1106"/>
      <c r="AJ518" s="1106"/>
      <c r="AK518" s="1172"/>
      <c r="AM518" s="41"/>
      <c r="AN518" s="41"/>
      <c r="AO518" s="41"/>
      <c r="AP518" s="41"/>
      <c r="AQ518" s="41"/>
      <c r="AR518" s="41"/>
      <c r="AS518" s="41"/>
      <c r="AT518" s="41"/>
      <c r="AU518" s="41"/>
      <c r="AV518" s="41"/>
      <c r="AW518" s="41"/>
      <c r="AX518" s="41"/>
      <c r="AY518" s="41"/>
      <c r="AZ518" s="41" t="s">
        <v>2300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6">
        <v>2</v>
      </c>
      <c r="AD519" s="1119"/>
      <c r="AE519" s="1119"/>
      <c r="AF519" s="1119"/>
      <c r="AG519" s="18" t="s">
        <v>263</v>
      </c>
      <c r="AH519" s="1106">
        <v>2021</v>
      </c>
      <c r="AI519" s="1106"/>
      <c r="AJ519" s="1106"/>
      <c r="AK519" s="1172"/>
      <c r="AM519" s="41"/>
      <c r="AN519" s="41"/>
      <c r="AO519" s="41"/>
      <c r="AP519" s="41"/>
      <c r="AQ519" s="41"/>
      <c r="AR519" s="41"/>
      <c r="AS519" s="41"/>
      <c r="AT519" s="41"/>
      <c r="AU519" s="41"/>
      <c r="AV519" s="41"/>
      <c r="AW519" s="41"/>
      <c r="AX519" s="41"/>
      <c r="AY519" s="41"/>
      <c r="AZ519" s="41" t="s">
        <v>2301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6">
        <v>6</v>
      </c>
      <c r="AD520" s="1119"/>
      <c r="AE520" s="1119"/>
      <c r="AF520" s="1119"/>
      <c r="AG520" s="47" t="s">
        <v>263</v>
      </c>
      <c r="AH520" s="1106">
        <v>2021</v>
      </c>
      <c r="AI520" s="1106"/>
      <c r="AJ520" s="1106"/>
      <c r="AK520" s="1172"/>
      <c r="AM520" s="41"/>
      <c r="AN520" s="41"/>
      <c r="AO520" s="41"/>
      <c r="AP520" s="41"/>
      <c r="AQ520" s="41"/>
      <c r="AR520" s="41"/>
      <c r="AS520" s="41"/>
      <c r="AT520" s="41"/>
      <c r="AU520" s="41"/>
      <c r="AV520" s="41"/>
      <c r="AW520" s="41"/>
      <c r="AX520" s="41"/>
      <c r="AY520" s="41"/>
      <c r="AZ520" s="41" t="s">
        <v>2302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39" t="s">
        <v>2452</v>
      </c>
      <c r="P521" s="1440"/>
      <c r="Q521" s="1440"/>
      <c r="R521" s="1440"/>
      <c r="S521" s="1440"/>
      <c r="T521" s="1440"/>
      <c r="U521" s="1440"/>
      <c r="V521" s="1440"/>
      <c r="W521" s="1440"/>
      <c r="X521" s="1440"/>
      <c r="Y521" s="1440"/>
      <c r="Z521" s="1440"/>
      <c r="AA521" s="1440"/>
      <c r="AC521" s="1396" t="s">
        <v>132</v>
      </c>
      <c r="AD521" s="1119"/>
      <c r="AE521" s="1119"/>
      <c r="AF521" s="1119"/>
      <c r="AG521" s="18" t="s">
        <v>263</v>
      </c>
      <c r="AH521" s="1106"/>
      <c r="AI521" s="1106"/>
      <c r="AJ521" s="1106"/>
      <c r="AK521" s="1172"/>
      <c r="AM521" s="41"/>
      <c r="AN521" s="41"/>
      <c r="AO521" s="41"/>
      <c r="AP521" s="41"/>
      <c r="AQ521" s="41"/>
      <c r="AR521" s="41"/>
      <c r="AS521" s="41"/>
      <c r="AT521" s="41"/>
      <c r="AU521" s="41"/>
      <c r="AV521" s="41"/>
      <c r="AW521" s="41"/>
      <c r="AX521" s="41"/>
      <c r="AY521" s="41"/>
      <c r="AZ521" s="41" t="s">
        <v>2303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6">
        <v>1</v>
      </c>
      <c r="AD522" s="1119"/>
      <c r="AE522" s="1119"/>
      <c r="AF522" s="1119"/>
      <c r="AG522" s="18" t="s">
        <v>263</v>
      </c>
      <c r="AH522" s="1106">
        <v>2020</v>
      </c>
      <c r="AI522" s="1106"/>
      <c r="AJ522" s="1106"/>
      <c r="AK522" s="1172"/>
      <c r="AM522" s="41"/>
      <c r="AN522" s="41"/>
      <c r="AO522" s="41"/>
      <c r="AP522" s="41"/>
      <c r="AQ522" s="41"/>
      <c r="AR522" s="41"/>
      <c r="AS522" s="41"/>
      <c r="AT522" s="41"/>
      <c r="AU522" s="41"/>
      <c r="AV522" s="41"/>
      <c r="AW522" s="41"/>
      <c r="AX522" s="41"/>
      <c r="AY522" s="41"/>
      <c r="AZ522" s="41" t="s">
        <v>2304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6">
        <v>2</v>
      </c>
      <c r="AD523" s="1119"/>
      <c r="AE523" s="1119"/>
      <c r="AF523" s="1119"/>
      <c r="AG523" s="47" t="s">
        <v>263</v>
      </c>
      <c r="AH523" s="1106">
        <v>2020</v>
      </c>
      <c r="AI523" s="1106"/>
      <c r="AJ523" s="1106"/>
      <c r="AK523" s="1172"/>
      <c r="AM523" s="41"/>
      <c r="AN523" s="41"/>
      <c r="AO523" s="41"/>
      <c r="AP523" s="41"/>
      <c r="AQ523" s="41"/>
      <c r="AR523" s="41"/>
      <c r="AS523" s="41"/>
      <c r="AT523" s="41"/>
      <c r="AU523" s="41"/>
      <c r="AV523" s="41"/>
      <c r="AW523" s="41"/>
      <c r="AX523" s="41"/>
      <c r="AY523" s="41"/>
      <c r="AZ523" s="41" t="s">
        <v>2305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39" t="s">
        <v>2453</v>
      </c>
      <c r="P524" s="1440"/>
      <c r="Q524" s="1440"/>
      <c r="R524" s="1440"/>
      <c r="S524" s="1440"/>
      <c r="T524" s="1440"/>
      <c r="U524" s="1440"/>
      <c r="V524" s="1440"/>
      <c r="W524" s="1440"/>
      <c r="X524" s="1440"/>
      <c r="Y524" s="1440"/>
      <c r="Z524" s="1440"/>
      <c r="AA524" s="1440"/>
      <c r="AC524" s="1396" t="s">
        <v>132</v>
      </c>
      <c r="AD524" s="1119"/>
      <c r="AE524" s="1119"/>
      <c r="AF524" s="1119"/>
      <c r="AG524" s="18" t="s">
        <v>263</v>
      </c>
      <c r="AH524" s="1106"/>
      <c r="AI524" s="1106"/>
      <c r="AJ524" s="1106"/>
      <c r="AK524" s="1172"/>
      <c r="AM524" s="41"/>
      <c r="AN524" s="41"/>
      <c r="AO524" s="41"/>
      <c r="AP524" s="41"/>
      <c r="AQ524" s="41"/>
      <c r="AR524" s="41"/>
      <c r="AS524" s="41"/>
      <c r="AT524" s="41"/>
      <c r="AU524" s="41"/>
      <c r="AV524" s="41"/>
      <c r="AW524" s="41"/>
      <c r="AX524" s="41"/>
      <c r="AY524" s="41"/>
      <c r="AZ524" s="41" t="s">
        <v>2306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6">
        <v>4</v>
      </c>
      <c r="AD525" s="1119"/>
      <c r="AE525" s="1119"/>
      <c r="AF525" s="1119"/>
      <c r="AG525" s="47" t="s">
        <v>263</v>
      </c>
      <c r="AH525" s="1106">
        <v>2021</v>
      </c>
      <c r="AI525" s="1106"/>
      <c r="AJ525" s="1106"/>
      <c r="AK525" s="1172"/>
      <c r="AM525" s="41"/>
      <c r="AN525" s="41"/>
      <c r="AO525" s="41"/>
      <c r="AP525" s="41"/>
      <c r="AQ525" s="41"/>
      <c r="AR525" s="41"/>
      <c r="AS525" s="41"/>
      <c r="AT525" s="41"/>
      <c r="AU525" s="41"/>
      <c r="AV525" s="41"/>
      <c r="AW525" s="41"/>
      <c r="AX525" s="41"/>
      <c r="AY525" s="41"/>
      <c r="AZ525" s="41" t="s">
        <v>2307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6">
        <v>6</v>
      </c>
      <c r="AD526" s="1119"/>
      <c r="AE526" s="1119"/>
      <c r="AF526" s="1119"/>
      <c r="AG526" s="18" t="s">
        <v>263</v>
      </c>
      <c r="AH526" s="1106">
        <v>2021</v>
      </c>
      <c r="AI526" s="1106"/>
      <c r="AJ526" s="1106"/>
      <c r="AK526" s="1172"/>
      <c r="AM526" s="41"/>
      <c r="AN526" s="41"/>
      <c r="AO526" s="41"/>
      <c r="AP526" s="41"/>
      <c r="AQ526" s="41"/>
      <c r="AR526" s="41"/>
      <c r="AS526" s="41"/>
      <c r="AT526" s="41"/>
      <c r="AU526" s="41"/>
      <c r="AV526" s="41"/>
      <c r="AW526" s="41"/>
      <c r="AX526" s="41"/>
      <c r="AY526" s="41"/>
      <c r="AZ526" s="41" t="s">
        <v>2308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39" t="s">
        <v>2454</v>
      </c>
      <c r="P527" s="1440"/>
      <c r="Q527" s="1440"/>
      <c r="R527" s="1440"/>
      <c r="S527" s="1440"/>
      <c r="T527" s="1440"/>
      <c r="U527" s="1440"/>
      <c r="V527" s="1440"/>
      <c r="W527" s="1440"/>
      <c r="X527" s="1440"/>
      <c r="Y527" s="1440"/>
      <c r="Z527" s="1440"/>
      <c r="AA527" s="1440"/>
      <c r="AC527" s="1396" t="s">
        <v>132</v>
      </c>
      <c r="AD527" s="1119"/>
      <c r="AE527" s="1119"/>
      <c r="AF527" s="1119"/>
      <c r="AG527" s="47" t="s">
        <v>263</v>
      </c>
      <c r="AH527" s="1106"/>
      <c r="AI527" s="1106"/>
      <c r="AJ527" s="1106"/>
      <c r="AK527" s="1172"/>
      <c r="AM527" s="41"/>
      <c r="AN527" s="41"/>
      <c r="AO527" s="41"/>
      <c r="AP527" s="41"/>
      <c r="AQ527" s="41"/>
      <c r="AR527" s="41"/>
      <c r="AS527" s="41"/>
      <c r="AT527" s="41"/>
      <c r="AU527" s="41"/>
      <c r="AV527" s="41"/>
      <c r="AW527" s="41"/>
      <c r="AX527" s="41"/>
      <c r="AY527" s="41"/>
      <c r="AZ527" s="41" t="s">
        <v>2309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6">
        <v>1</v>
      </c>
      <c r="AD528" s="1119"/>
      <c r="AE528" s="1119"/>
      <c r="AF528" s="1119"/>
      <c r="AG528" s="18" t="s">
        <v>263</v>
      </c>
      <c r="AH528" s="1106">
        <v>2020</v>
      </c>
      <c r="AI528" s="1106"/>
      <c r="AJ528" s="1106"/>
      <c r="AK528" s="1172"/>
      <c r="AM528" s="41"/>
      <c r="AN528" s="41"/>
      <c r="AO528" s="41"/>
      <c r="AP528" s="41"/>
      <c r="AQ528" s="41"/>
      <c r="AR528" s="41"/>
      <c r="AS528" s="41"/>
      <c r="AT528" s="41"/>
      <c r="AU528" s="41"/>
      <c r="AV528" s="41"/>
      <c r="AW528" s="41"/>
      <c r="AX528" s="41"/>
      <c r="AY528" s="41"/>
      <c r="AZ528" s="41" t="s">
        <v>2310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6">
        <v>2</v>
      </c>
      <c r="AD529" s="1119"/>
      <c r="AE529" s="1119"/>
      <c r="AF529" s="1119"/>
      <c r="AG529" s="47" t="s">
        <v>263</v>
      </c>
      <c r="AH529" s="1106">
        <v>2020</v>
      </c>
      <c r="AI529" s="1106"/>
      <c r="AJ529" s="1106"/>
      <c r="AK529" s="1172"/>
      <c r="AM529" s="41"/>
      <c r="AN529" s="41"/>
      <c r="AO529" s="41"/>
      <c r="AP529" s="41"/>
      <c r="AQ529" s="41"/>
      <c r="AR529" s="41"/>
      <c r="AS529" s="41"/>
      <c r="AT529" s="41"/>
      <c r="AU529" s="41"/>
      <c r="AV529" s="41"/>
      <c r="AW529" s="41"/>
      <c r="AX529" s="41"/>
      <c r="AY529" s="41"/>
      <c r="AZ529" s="41" t="s">
        <v>2311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6">
        <v>12</v>
      </c>
      <c r="AD530" s="1119"/>
      <c r="AE530" s="1119"/>
      <c r="AF530" s="1119"/>
      <c r="AG530" s="47" t="s">
        <v>263</v>
      </c>
      <c r="AH530" s="1106">
        <v>2023</v>
      </c>
      <c r="AI530" s="1106"/>
      <c r="AJ530" s="1106"/>
      <c r="AK530" s="1172"/>
      <c r="AM530" s="41"/>
      <c r="AN530" s="41"/>
      <c r="AO530" s="41"/>
      <c r="AP530" s="41"/>
      <c r="AQ530" s="41"/>
      <c r="AR530" s="41"/>
      <c r="AS530" s="41"/>
      <c r="AT530" s="41"/>
      <c r="AU530" s="41"/>
      <c r="AV530" s="41"/>
      <c r="AW530" s="41"/>
      <c r="AX530" s="41"/>
      <c r="AY530" s="41"/>
      <c r="AZ530" s="41" t="s">
        <v>2312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6">
        <v>12</v>
      </c>
      <c r="AD531" s="1119"/>
      <c r="AE531" s="1119"/>
      <c r="AF531" s="1119"/>
      <c r="AG531" s="18" t="s">
        <v>263</v>
      </c>
      <c r="AH531" s="1106">
        <v>2023</v>
      </c>
      <c r="AI531" s="1106"/>
      <c r="AJ531" s="1106"/>
      <c r="AK531" s="1172"/>
      <c r="AM531" s="41"/>
      <c r="AN531" s="41"/>
      <c r="AO531" s="41"/>
      <c r="AP531" s="41"/>
      <c r="AQ531" s="41"/>
      <c r="AR531" s="41"/>
      <c r="AS531" s="41"/>
      <c r="AT531" s="41"/>
      <c r="AU531" s="41"/>
      <c r="AV531" s="41"/>
      <c r="AW531" s="41"/>
      <c r="AX531" s="41"/>
      <c r="AY531" s="41"/>
      <c r="AZ531" s="41" t="s">
        <v>2313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6">
        <v>5</v>
      </c>
      <c r="AD532" s="1119"/>
      <c r="AE532" s="1119"/>
      <c r="AF532" s="1119"/>
      <c r="AG532" s="47" t="s">
        <v>263</v>
      </c>
      <c r="AH532" s="1106">
        <v>2025</v>
      </c>
      <c r="AI532" s="1106"/>
      <c r="AJ532" s="1106"/>
      <c r="AK532" s="1172"/>
      <c r="AM532" s="41"/>
      <c r="AN532" s="41"/>
      <c r="AO532" s="41"/>
      <c r="AP532" s="41"/>
      <c r="AQ532" s="41"/>
      <c r="AR532" s="41"/>
      <c r="AS532" s="41"/>
      <c r="AT532" s="41"/>
      <c r="AU532" s="41"/>
      <c r="AV532" s="41"/>
      <c r="AW532" s="41"/>
      <c r="AX532" s="41"/>
      <c r="AY532" s="41"/>
      <c r="AZ532" s="41" t="s">
        <v>2314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6">
        <v>8</v>
      </c>
      <c r="AD533" s="1119"/>
      <c r="AE533" s="1119"/>
      <c r="AF533" s="1119"/>
      <c r="AG533" s="47" t="s">
        <v>263</v>
      </c>
      <c r="AH533" s="1106">
        <v>2025</v>
      </c>
      <c r="AI533" s="1106"/>
      <c r="AJ533" s="1106"/>
      <c r="AK533" s="1172"/>
      <c r="AM533" s="41"/>
      <c r="AN533" s="41"/>
      <c r="AO533" s="41"/>
      <c r="AP533" s="41"/>
      <c r="AQ533" s="41"/>
      <c r="AR533" s="41"/>
      <c r="AS533" s="41"/>
      <c r="AT533" s="41"/>
      <c r="AU533" s="41"/>
      <c r="AV533" s="41"/>
      <c r="AW533" s="41"/>
      <c r="AX533" s="41"/>
      <c r="AY533" s="41"/>
      <c r="AZ533" s="41" t="s">
        <v>2315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6">
        <v>11</v>
      </c>
      <c r="AD534" s="1119"/>
      <c r="AE534" s="1119"/>
      <c r="AF534" s="1119"/>
      <c r="AG534" s="47" t="s">
        <v>263</v>
      </c>
      <c r="AH534" s="1106">
        <v>2025</v>
      </c>
      <c r="AI534" s="1106"/>
      <c r="AJ534" s="1106"/>
      <c r="AK534" s="1172"/>
      <c r="AM534" s="41"/>
      <c r="AN534" s="41"/>
      <c r="AO534" s="41"/>
      <c r="AP534" s="41"/>
      <c r="AQ534" s="41"/>
      <c r="AR534" s="41"/>
      <c r="AS534" s="41"/>
      <c r="AT534" s="41"/>
      <c r="AU534" s="41"/>
      <c r="AV534" s="41"/>
      <c r="AW534" s="41"/>
      <c r="AX534" s="41"/>
      <c r="AY534" s="41"/>
      <c r="AZ534" s="41" t="s">
        <v>2316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2318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2319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2322</v>
      </c>
      <c r="C543" s="1078"/>
      <c r="D543" s="1078"/>
      <c r="E543" s="1078"/>
      <c r="F543" s="1078"/>
      <c r="G543" s="1078"/>
      <c r="H543" s="1078"/>
      <c r="I543" s="1078"/>
      <c r="J543" s="1078"/>
      <c r="K543" s="1078"/>
      <c r="L543" s="1078"/>
      <c r="M543" s="1127" t="s">
        <v>2296</v>
      </c>
      <c r="N543" s="1127"/>
      <c r="O543" s="1127"/>
      <c r="P543" s="1127"/>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7"/>
      <c r="N544" s="1127"/>
      <c r="O544" s="1127"/>
      <c r="P544" s="1127"/>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7"/>
      <c r="N545" s="1127"/>
      <c r="O545" s="1127"/>
      <c r="P545" s="1127"/>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2500</v>
      </c>
      <c r="D546" s="1089"/>
      <c r="E546" s="1089"/>
      <c r="F546" s="1089"/>
      <c r="G546" s="1089"/>
      <c r="H546" s="1089"/>
      <c r="I546" s="1089"/>
      <c r="J546" s="1089"/>
      <c r="K546" s="1089"/>
      <c r="L546" s="1089"/>
      <c r="M546" s="1090" t="s">
        <v>2306</v>
      </c>
      <c r="N546" s="1090"/>
      <c r="O546" s="1090"/>
      <c r="P546" s="1090"/>
      <c r="Q546" s="1094">
        <f>+[4]EVERYTHING!$E$26+[4]EVERYTHING!$G$26</f>
        <v>24</v>
      </c>
      <c r="R546" s="1094"/>
      <c r="S546" s="1095"/>
      <c r="T546" s="1093"/>
      <c r="U546" s="1094"/>
      <c r="V546" s="1095"/>
      <c r="W546" s="1445">
        <f>+[4]EVERYTHING!$F$25</f>
        <v>6.5000000000000002E-2</v>
      </c>
      <c r="X546" s="1446"/>
      <c r="Y546" s="1447"/>
      <c r="Z546" s="1448" t="s">
        <v>2501</v>
      </c>
      <c r="AA546" s="1448"/>
      <c r="AB546" s="1448"/>
      <c r="AC546" s="1448"/>
      <c r="AD546" s="1448"/>
      <c r="AE546" s="1449">
        <v>1</v>
      </c>
      <c r="AF546" s="1450"/>
      <c r="AG546" s="1450"/>
      <c r="AH546" s="1451"/>
      <c r="AI546" s="1442"/>
      <c r="AJ546" s="1443"/>
      <c r="AK546" s="1443"/>
      <c r="AL546" s="1444"/>
      <c r="AM546" s="1149">
        <f>+[4]EVERYTHING!$E$25</f>
        <v>47349356.832490109</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2505</v>
      </c>
      <c r="D547" s="1089"/>
      <c r="E547" s="1089"/>
      <c r="F547" s="1089"/>
      <c r="G547" s="1089"/>
      <c r="H547" s="1089"/>
      <c r="I547" s="1089"/>
      <c r="J547" s="1089"/>
      <c r="K547" s="1089"/>
      <c r="L547" s="1089"/>
      <c r="M547" s="1090" t="s">
        <v>2308</v>
      </c>
      <c r="N547" s="1090"/>
      <c r="O547" s="1090"/>
      <c r="P547" s="1090"/>
      <c r="Q547" s="1093">
        <f>55*12</f>
        <v>660</v>
      </c>
      <c r="R547" s="1094"/>
      <c r="S547" s="1095"/>
      <c r="T547" s="1093"/>
      <c r="U547" s="1094"/>
      <c r="V547" s="1095"/>
      <c r="W547" s="1445">
        <v>0</v>
      </c>
      <c r="X547" s="1446"/>
      <c r="Y547" s="1447"/>
      <c r="Z547" s="1448" t="s">
        <v>2503</v>
      </c>
      <c r="AA547" s="1448"/>
      <c r="AB547" s="1448"/>
      <c r="AC547" s="1448"/>
      <c r="AD547" s="1448"/>
      <c r="AE547" s="1449">
        <v>2</v>
      </c>
      <c r="AF547" s="1450"/>
      <c r="AG547" s="1450"/>
      <c r="AH547" s="1451"/>
      <c r="AI547" s="1442"/>
      <c r="AJ547" s="1443"/>
      <c r="AK547" s="1443"/>
      <c r="AL547" s="1444"/>
      <c r="AM547" s="1149">
        <f>+[4]EVERYTHING!$I$7</f>
        <v>2538787</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2365</v>
      </c>
      <c r="D548" s="1089"/>
      <c r="E548" s="1089"/>
      <c r="F548" s="1089"/>
      <c r="G548" s="1089"/>
      <c r="H548" s="1089"/>
      <c r="I548" s="1089"/>
      <c r="J548" s="1089"/>
      <c r="K548" s="1089"/>
      <c r="L548" s="1089"/>
      <c r="M548" s="1090" t="s">
        <v>2308</v>
      </c>
      <c r="N548" s="1090"/>
      <c r="O548" s="1090"/>
      <c r="P548" s="1090"/>
      <c r="Q548" s="1093">
        <f>55*12</f>
        <v>660</v>
      </c>
      <c r="R548" s="1094"/>
      <c r="S548" s="1095"/>
      <c r="T548" s="1093"/>
      <c r="U548" s="1094"/>
      <c r="V548" s="1095"/>
      <c r="W548" s="1445">
        <v>0.03</v>
      </c>
      <c r="X548" s="1446"/>
      <c r="Y548" s="1447"/>
      <c r="Z548" s="1448" t="s">
        <v>2503</v>
      </c>
      <c r="AA548" s="1448"/>
      <c r="AB548" s="1448"/>
      <c r="AC548" s="1448"/>
      <c r="AD548" s="1448"/>
      <c r="AE548" s="1449">
        <v>3</v>
      </c>
      <c r="AF548" s="1450"/>
      <c r="AG548" s="1450"/>
      <c r="AH548" s="1451"/>
      <c r="AI548" s="1442"/>
      <c r="AJ548" s="1443"/>
      <c r="AK548" s="1443"/>
      <c r="AL548" s="1444"/>
      <c r="AM548" s="1149">
        <f>+[4]EVERYTHING!$I$17+[4]EVERYTHING!$E$14</f>
        <v>1740000</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t="s">
        <v>2504</v>
      </c>
      <c r="D549" s="1089"/>
      <c r="E549" s="1089"/>
      <c r="F549" s="1089"/>
      <c r="G549" s="1089"/>
      <c r="H549" s="1089"/>
      <c r="I549" s="1089"/>
      <c r="J549" s="1089"/>
      <c r="K549" s="1089"/>
      <c r="L549" s="1089"/>
      <c r="M549" s="1090" t="s">
        <v>2308</v>
      </c>
      <c r="N549" s="1090"/>
      <c r="O549" s="1090"/>
      <c r="P549" s="1090"/>
      <c r="Q549" s="1093">
        <f>15*12</f>
        <v>180</v>
      </c>
      <c r="R549" s="1094"/>
      <c r="S549" s="1095"/>
      <c r="T549" s="1093"/>
      <c r="U549" s="1094"/>
      <c r="V549" s="1095"/>
      <c r="W549" s="1445">
        <v>0</v>
      </c>
      <c r="X549" s="1446"/>
      <c r="Y549" s="1447"/>
      <c r="Z549" s="1448" t="s">
        <v>2503</v>
      </c>
      <c r="AA549" s="1448"/>
      <c r="AB549" s="1448"/>
      <c r="AC549" s="1448"/>
      <c r="AD549" s="1448"/>
      <c r="AE549" s="1449">
        <v>4</v>
      </c>
      <c r="AF549" s="1450"/>
      <c r="AG549" s="1450"/>
      <c r="AH549" s="1451"/>
      <c r="AI549" s="1442"/>
      <c r="AJ549" s="1443"/>
      <c r="AK549" s="1443"/>
      <c r="AL549" s="1444"/>
      <c r="AM549" s="1149">
        <f>+[4]EVERYTHING!$E$12</f>
        <v>1250000</v>
      </c>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t="s">
        <v>2506</v>
      </c>
      <c r="D550" s="1089"/>
      <c r="E550" s="1089"/>
      <c r="F550" s="1089"/>
      <c r="G550" s="1089"/>
      <c r="H550" s="1089"/>
      <c r="I550" s="1089"/>
      <c r="J550" s="1089"/>
      <c r="K550" s="1089"/>
      <c r="L550" s="1089"/>
      <c r="M550" s="1090" t="s">
        <v>2321</v>
      </c>
      <c r="N550" s="1090"/>
      <c r="O550" s="1090"/>
      <c r="P550" s="1090"/>
      <c r="Q550" s="1093"/>
      <c r="R550" s="1094"/>
      <c r="S550" s="1095"/>
      <c r="T550" s="1093"/>
      <c r="U550" s="1094"/>
      <c r="V550" s="1095"/>
      <c r="W550" s="1445"/>
      <c r="X550" s="1446"/>
      <c r="Y550" s="1447"/>
      <c r="Z550" s="1448" t="s">
        <v>132</v>
      </c>
      <c r="AA550" s="1448"/>
      <c r="AB550" s="1448"/>
      <c r="AC550" s="1448"/>
      <c r="AD550" s="1448"/>
      <c r="AE550" s="1449"/>
      <c r="AF550" s="1450"/>
      <c r="AG550" s="1450"/>
      <c r="AH550" s="1451"/>
      <c r="AI550" s="1442"/>
      <c r="AJ550" s="1443"/>
      <c r="AK550" s="1443"/>
      <c r="AL550" s="1444"/>
      <c r="AM550" s="1149">
        <f>+[4]EVERYTHING!$E$15</f>
        <v>1748736</v>
      </c>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t="s">
        <v>2507</v>
      </c>
      <c r="D551" s="1089"/>
      <c r="E551" s="1089"/>
      <c r="F551" s="1089"/>
      <c r="G551" s="1089"/>
      <c r="H551" s="1089"/>
      <c r="I551" s="1089"/>
      <c r="J551" s="1089"/>
      <c r="K551" s="1089"/>
      <c r="L551" s="1089"/>
      <c r="M551" s="1090" t="s">
        <v>2302</v>
      </c>
      <c r="N551" s="1090"/>
      <c r="O551" s="1090"/>
      <c r="P551" s="1090"/>
      <c r="Q551" s="1093"/>
      <c r="R551" s="1094"/>
      <c r="S551" s="1095"/>
      <c r="T551" s="1093"/>
      <c r="U551" s="1094"/>
      <c r="V551" s="1095"/>
      <c r="W551" s="1445"/>
      <c r="X551" s="1446"/>
      <c r="Y551" s="1447"/>
      <c r="Z551" s="1448" t="s">
        <v>132</v>
      </c>
      <c r="AA551" s="1448"/>
      <c r="AB551" s="1448"/>
      <c r="AC551" s="1448"/>
      <c r="AD551" s="1448"/>
      <c r="AE551" s="1449"/>
      <c r="AF551" s="1450"/>
      <c r="AG551" s="1450"/>
      <c r="AH551" s="1451"/>
      <c r="AI551" s="1442"/>
      <c r="AJ551" s="1443"/>
      <c r="AK551" s="1443"/>
      <c r="AL551" s="1444"/>
      <c r="AM551" s="1149">
        <f>+[4]EVERYTHING!$I$19</f>
        <v>1000</v>
      </c>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t="s">
        <v>2508</v>
      </c>
      <c r="D552" s="1089"/>
      <c r="E552" s="1089"/>
      <c r="F552" s="1089"/>
      <c r="G552" s="1089"/>
      <c r="H552" s="1089"/>
      <c r="I552" s="1089"/>
      <c r="J552" s="1089"/>
      <c r="K552" s="1089"/>
      <c r="L552" s="1089"/>
      <c r="M552" s="1090" t="s">
        <v>2303</v>
      </c>
      <c r="N552" s="1090"/>
      <c r="O552" s="1090"/>
      <c r="P552" s="1090"/>
      <c r="Q552" s="1093"/>
      <c r="R552" s="1094"/>
      <c r="S552" s="1095"/>
      <c r="T552" s="1093"/>
      <c r="U552" s="1094"/>
      <c r="V552" s="1095"/>
      <c r="W552" s="1445"/>
      <c r="X552" s="1446"/>
      <c r="Y552" s="1447"/>
      <c r="Z552" s="1448" t="s">
        <v>132</v>
      </c>
      <c r="AA552" s="1448"/>
      <c r="AB552" s="1448"/>
      <c r="AC552" s="1448"/>
      <c r="AD552" s="1448"/>
      <c r="AE552" s="1449"/>
      <c r="AF552" s="1450"/>
      <c r="AG552" s="1450"/>
      <c r="AH552" s="1451"/>
      <c r="AI552" s="1442"/>
      <c r="AJ552" s="1443"/>
      <c r="AK552" s="1443"/>
      <c r="AL552" s="1444"/>
      <c r="AM552" s="1149">
        <f>+[4]EVERYTHING!$I$20-[4]EVERYTHING!$E$143</f>
        <v>3312582.2599932738</v>
      </c>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t="s">
        <v>2529</v>
      </c>
      <c r="D553" s="1089"/>
      <c r="E553" s="1089"/>
      <c r="F553" s="1089"/>
      <c r="G553" s="1089"/>
      <c r="H553" s="1089"/>
      <c r="I553" s="1089"/>
      <c r="J553" s="1089"/>
      <c r="K553" s="1089"/>
      <c r="L553" s="1089"/>
      <c r="M553" s="1090" t="s">
        <v>2304</v>
      </c>
      <c r="N553" s="1090"/>
      <c r="O553" s="1090"/>
      <c r="P553" s="1090"/>
      <c r="Q553" s="1093"/>
      <c r="R553" s="1094"/>
      <c r="S553" s="1095"/>
      <c r="T553" s="1093"/>
      <c r="U553" s="1094"/>
      <c r="V553" s="1095"/>
      <c r="W553" s="1445"/>
      <c r="X553" s="1446"/>
      <c r="Y553" s="1447"/>
      <c r="Z553" s="1448" t="s">
        <v>132</v>
      </c>
      <c r="AA553" s="1448"/>
      <c r="AB553" s="1448"/>
      <c r="AC553" s="1448"/>
      <c r="AD553" s="1448"/>
      <c r="AE553" s="1449"/>
      <c r="AF553" s="1450"/>
      <c r="AG553" s="1450"/>
      <c r="AH553" s="1451"/>
      <c r="AI553" s="1442"/>
      <c r="AJ553" s="1443"/>
      <c r="AK553" s="1443"/>
      <c r="AL553" s="1444"/>
      <c r="AM553" s="1149">
        <f>+[4]EVERYTHING!$E$143</f>
        <v>345101.27695007226</v>
      </c>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5"/>
      <c r="X554" s="1446"/>
      <c r="Y554" s="1447"/>
      <c r="Z554" s="1448" t="s">
        <v>2077</v>
      </c>
      <c r="AA554" s="1448"/>
      <c r="AB554" s="1448"/>
      <c r="AC554" s="1448"/>
      <c r="AD554" s="1448"/>
      <c r="AE554" s="1449"/>
      <c r="AF554" s="1450"/>
      <c r="AG554" s="1450"/>
      <c r="AH554" s="1451"/>
      <c r="AI554" s="1442"/>
      <c r="AJ554" s="1443"/>
      <c r="AK554" s="1443"/>
      <c r="AL554" s="1444"/>
      <c r="AM554" s="1149"/>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5"/>
      <c r="X555" s="1446"/>
      <c r="Y555" s="1447"/>
      <c r="Z555" s="1448" t="s">
        <v>2077</v>
      </c>
      <c r="AA555" s="1448"/>
      <c r="AB555" s="1448"/>
      <c r="AC555" s="1448"/>
      <c r="AD555" s="1448"/>
      <c r="AE555" s="1449"/>
      <c r="AF555" s="1450"/>
      <c r="AG555" s="1450"/>
      <c r="AH555" s="1451"/>
      <c r="AI555" s="1442"/>
      <c r="AJ555" s="1443"/>
      <c r="AK555" s="1443"/>
      <c r="AL555" s="1444"/>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5"/>
      <c r="X556" s="1446"/>
      <c r="Y556" s="1447"/>
      <c r="Z556" s="1448" t="s">
        <v>2077</v>
      </c>
      <c r="AA556" s="1448"/>
      <c r="AB556" s="1448"/>
      <c r="AC556" s="1448"/>
      <c r="AD556" s="1448"/>
      <c r="AE556" s="1449"/>
      <c r="AF556" s="1450"/>
      <c r="AG556" s="1450"/>
      <c r="AH556" s="1451"/>
      <c r="AI556" s="1442"/>
      <c r="AJ556" s="1443"/>
      <c r="AK556" s="1443"/>
      <c r="AL556" s="1444"/>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5"/>
      <c r="X557" s="1446"/>
      <c r="Y557" s="1447"/>
      <c r="Z557" s="1448" t="s">
        <v>2077</v>
      </c>
      <c r="AA557" s="1448"/>
      <c r="AB557" s="1448"/>
      <c r="AC557" s="1448"/>
      <c r="AD557" s="1448"/>
      <c r="AE557" s="1449"/>
      <c r="AF557" s="1450"/>
      <c r="AG557" s="1450"/>
      <c r="AH557" s="1451"/>
      <c r="AI557" s="1442"/>
      <c r="AJ557" s="1443"/>
      <c r="AK557" s="1443"/>
      <c r="AL557" s="1444"/>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58285563.369433455</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8" t="str">
        <f>C546</f>
        <v xml:space="preserve">Construction Lender </v>
      </c>
      <c r="H560" s="1298"/>
      <c r="I560" s="1298"/>
      <c r="J560" s="1298"/>
      <c r="K560" s="1298"/>
      <c r="L560" s="1298"/>
      <c r="M560" s="1298"/>
      <c r="N560" s="1298"/>
      <c r="O560" s="1298"/>
      <c r="P560" s="1298"/>
      <c r="Q560" s="1298"/>
      <c r="R560" s="1298"/>
      <c r="S560" s="12"/>
      <c r="T560" s="61" t="s">
        <v>945</v>
      </c>
      <c r="U560" t="s">
        <v>90</v>
      </c>
      <c r="Z560" s="1298" t="str">
        <f>C547</f>
        <v>HCD IIG</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2530</v>
      </c>
      <c r="H561" s="1091"/>
      <c r="I561" s="1091"/>
      <c r="J561" s="1091"/>
      <c r="K561" s="1091"/>
      <c r="L561" s="1091"/>
      <c r="M561" s="1091"/>
      <c r="N561" s="1091"/>
      <c r="O561" s="1091"/>
      <c r="P561" s="1091"/>
      <c r="Q561" s="1091"/>
      <c r="R561" s="1091"/>
      <c r="S561" s="12"/>
      <c r="T561" s="4"/>
      <c r="U561" t="s">
        <v>397</v>
      </c>
      <c r="Z561" s="1091" t="s">
        <v>2543</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2531</v>
      </c>
      <c r="H562" s="1091"/>
      <c r="I562" s="1091"/>
      <c r="J562" s="1091"/>
      <c r="K562" s="1091"/>
      <c r="L562" s="1091"/>
      <c r="M562" s="1091"/>
      <c r="N562" s="1091"/>
      <c r="O562" s="1091"/>
      <c r="P562" s="1091"/>
      <c r="Q562" s="1091"/>
      <c r="R562" s="1091"/>
      <c r="T562" s="4"/>
      <c r="U562" t="s">
        <v>459</v>
      </c>
      <c r="Z562" s="1092" t="s">
        <v>2544</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2532</v>
      </c>
      <c r="H563" s="1091"/>
      <c r="I563" s="1091"/>
      <c r="J563" s="1091"/>
      <c r="K563" s="1091"/>
      <c r="L563" s="1091"/>
      <c r="M563" s="1091"/>
      <c r="N563" s="1091"/>
      <c r="O563" s="1091"/>
      <c r="P563" s="1091"/>
      <c r="Q563" s="1091"/>
      <c r="R563" s="1091"/>
      <c r="S563" s="12"/>
      <c r="T563" s="4"/>
      <c r="U563" t="s">
        <v>874</v>
      </c>
      <c r="Z563" s="1092" t="s">
        <v>2545</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6" t="s">
        <v>2533</v>
      </c>
      <c r="H564" s="1116"/>
      <c r="I564" s="1116"/>
      <c r="J564" s="1116"/>
      <c r="K564" s="1116"/>
      <c r="L564" s="1116"/>
      <c r="O564" s="42" t="s">
        <v>859</v>
      </c>
      <c r="P564" s="1287"/>
      <c r="Q564" s="1287"/>
      <c r="R564" s="1287"/>
      <c r="S564" s="14"/>
      <c r="T564" s="4"/>
      <c r="U564" t="s">
        <v>686</v>
      </c>
      <c r="Z564" s="1116" t="s">
        <v>2546</v>
      </c>
      <c r="AA564" s="1116"/>
      <c r="AB564" s="1116"/>
      <c r="AC564" s="1116"/>
      <c r="AD564" s="1116"/>
      <c r="AE564" s="1116"/>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2534</v>
      </c>
      <c r="I565" s="1091"/>
      <c r="J565" s="1091"/>
      <c r="K565" s="1091"/>
      <c r="L565" s="1091"/>
      <c r="M565" s="1091"/>
      <c r="N565" s="1091"/>
      <c r="O565" s="1091"/>
      <c r="P565" s="1091"/>
      <c r="Q565" s="1091"/>
      <c r="R565" s="1091"/>
      <c r="S565" s="12"/>
      <c r="T565" s="4"/>
      <c r="U565" t="s">
        <v>875</v>
      </c>
      <c r="AA565" s="1091" t="s">
        <v>2547</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7" t="s">
        <v>116</v>
      </c>
      <c r="O566" s="1117"/>
      <c r="T566" s="4"/>
      <c r="U566" t="s">
        <v>877</v>
      </c>
      <c r="AG566" s="1117" t="s">
        <v>116</v>
      </c>
      <c r="AH566" s="1117"/>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8" t="str">
        <f>C548</f>
        <v>City of Stockton</v>
      </c>
      <c r="H568" s="1298"/>
      <c r="I568" s="1298"/>
      <c r="J568" s="1298"/>
      <c r="K568" s="1298"/>
      <c r="L568" s="1298"/>
      <c r="M568" s="1298"/>
      <c r="N568" s="1298"/>
      <c r="O568" s="1298"/>
      <c r="P568" s="1298"/>
      <c r="Q568" s="1298"/>
      <c r="R568" s="1298"/>
      <c r="T568" s="61" t="s">
        <v>460</v>
      </c>
      <c r="U568" t="s">
        <v>90</v>
      </c>
      <c r="Z568" s="1298" t="str">
        <f>C549</f>
        <v xml:space="preserve">FHLB AHP </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2535</v>
      </c>
      <c r="H569" s="1091"/>
      <c r="I569" s="1091"/>
      <c r="J569" s="1091"/>
      <c r="K569" s="1091"/>
      <c r="L569" s="1091"/>
      <c r="M569" s="1091"/>
      <c r="N569" s="1091"/>
      <c r="O569" s="1091"/>
      <c r="P569" s="1091"/>
      <c r="Q569" s="1091"/>
      <c r="R569" s="1091"/>
      <c r="T569" s="4"/>
      <c r="U569" t="s">
        <v>397</v>
      </c>
      <c r="Z569" s="1091" t="s">
        <v>2548</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2362</v>
      </c>
      <c r="H570" s="1092"/>
      <c r="I570" s="1092"/>
      <c r="J570" s="1092"/>
      <c r="K570" s="1092"/>
      <c r="L570" s="1092"/>
      <c r="M570" s="1092"/>
      <c r="N570" s="1092"/>
      <c r="O570" s="1092"/>
      <c r="P570" s="1092"/>
      <c r="Q570" s="1092"/>
      <c r="R570" s="1092"/>
      <c r="T570" s="4"/>
      <c r="U570" t="s">
        <v>459</v>
      </c>
      <c r="Z570" s="1092" t="s">
        <v>122</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2536</v>
      </c>
      <c r="H571" s="1092"/>
      <c r="I571" s="1092"/>
      <c r="J571" s="1092"/>
      <c r="K571" s="1092"/>
      <c r="L571" s="1092"/>
      <c r="M571" s="1092"/>
      <c r="N571" s="1092"/>
      <c r="O571" s="1092"/>
      <c r="P571" s="1092"/>
      <c r="Q571" s="1092"/>
      <c r="R571" s="1092"/>
      <c r="T571" s="4"/>
      <c r="U571" t="s">
        <v>874</v>
      </c>
      <c r="Z571" s="1092" t="s">
        <v>2549</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26" t="s">
        <v>2537</v>
      </c>
      <c r="H572" s="1116"/>
      <c r="I572" s="1116"/>
      <c r="J572" s="1116"/>
      <c r="K572" s="1116"/>
      <c r="L572" s="1116"/>
      <c r="O572" s="42" t="s">
        <v>859</v>
      </c>
      <c r="P572" s="1287"/>
      <c r="Q572" s="1287"/>
      <c r="R572" s="1287"/>
      <c r="T572" s="4"/>
      <c r="U572" t="s">
        <v>686</v>
      </c>
      <c r="Z572" s="1116" t="s">
        <v>2550</v>
      </c>
      <c r="AA572" s="1116"/>
      <c r="AB572" s="1116"/>
      <c r="AC572" s="1116"/>
      <c r="AD572" s="1116"/>
      <c r="AE572" s="1116"/>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2538</v>
      </c>
      <c r="I573" s="1091"/>
      <c r="J573" s="1091"/>
      <c r="K573" s="1091"/>
      <c r="L573" s="1091"/>
      <c r="M573" s="1091"/>
      <c r="N573" s="1091"/>
      <c r="O573" s="1091"/>
      <c r="P573" s="1091"/>
      <c r="Q573" s="1091"/>
      <c r="R573" s="1091"/>
      <c r="T573" s="4"/>
      <c r="U573" t="s">
        <v>875</v>
      </c>
      <c r="AA573" s="1091" t="s">
        <v>2547</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8" t="str">
        <f>C550</f>
        <v>City of Stockton Fee Waiver</v>
      </c>
      <c r="H576" s="1298"/>
      <c r="I576" s="1298"/>
      <c r="J576" s="1298"/>
      <c r="K576" s="1298"/>
      <c r="L576" s="1298"/>
      <c r="M576" s="1298"/>
      <c r="N576" s="1298"/>
      <c r="O576" s="1298"/>
      <c r="P576" s="1298"/>
      <c r="Q576" s="1298"/>
      <c r="R576" s="1298"/>
      <c r="T576" s="61" t="s">
        <v>463</v>
      </c>
      <c r="U576" t="s">
        <v>90</v>
      </c>
      <c r="Z576" s="1298" t="str">
        <f>C551</f>
        <v xml:space="preserve">GP Equity </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t="s">
        <v>2539</v>
      </c>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t="s">
        <v>2362</v>
      </c>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t="s">
        <v>2540</v>
      </c>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6" t="s">
        <v>2541</v>
      </c>
      <c r="H580" s="1116"/>
      <c r="I580" s="1116"/>
      <c r="J580" s="1116"/>
      <c r="K580" s="1116"/>
      <c r="L580" s="1116"/>
      <c r="O580" s="42" t="s">
        <v>859</v>
      </c>
      <c r="P580" s="1287"/>
      <c r="Q580" s="1287"/>
      <c r="R580" s="1287"/>
      <c r="T580" s="4"/>
      <c r="U580" t="s">
        <v>686</v>
      </c>
      <c r="Z580" s="1116"/>
      <c r="AA580" s="1116"/>
      <c r="AB580" s="1116"/>
      <c r="AC580" s="1116"/>
      <c r="AD580" s="1116"/>
      <c r="AE580" s="1116"/>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t="s">
        <v>2542</v>
      </c>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116</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8" t="str">
        <f>C552</f>
        <v xml:space="preserve">LP Equity </v>
      </c>
      <c r="H584" s="1298"/>
      <c r="I584" s="1298"/>
      <c r="J584" s="1298"/>
      <c r="K584" s="1298"/>
      <c r="L584" s="1298"/>
      <c r="M584" s="1298"/>
      <c r="N584" s="1298"/>
      <c r="O584" s="1298"/>
      <c r="P584" s="1298"/>
      <c r="Q584" s="1298"/>
      <c r="R584" s="1298"/>
      <c r="T584" s="61" t="s">
        <v>779</v>
      </c>
      <c r="U584" t="s">
        <v>90</v>
      </c>
      <c r="Z584" s="1298" t="str">
        <f>C553</f>
        <v xml:space="preserve">Solar Equity </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6"/>
      <c r="H588" s="1116"/>
      <c r="I588" s="1116"/>
      <c r="J588" s="1116"/>
      <c r="K588" s="1116"/>
      <c r="L588" s="1116"/>
      <c r="M588"/>
      <c r="N588"/>
      <c r="O588" s="42" t="s">
        <v>859</v>
      </c>
      <c r="P588" s="1287"/>
      <c r="Q588" s="1287"/>
      <c r="R588" s="1287"/>
      <c r="S588"/>
      <c r="T588" s="4"/>
      <c r="U588" t="s">
        <v>686</v>
      </c>
      <c r="V588"/>
      <c r="W588"/>
      <c r="X588"/>
      <c r="Y588"/>
      <c r="Z588" s="1116"/>
      <c r="AA588" s="1116"/>
      <c r="AB588" s="1116"/>
      <c r="AC588" s="1116"/>
      <c r="AD588" s="1116"/>
      <c r="AE588" s="1116"/>
      <c r="AF588"/>
      <c r="AG588"/>
      <c r="AH588" s="42" t="s">
        <v>859</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1">IF(B692="SRO/Studio",G692,0)</f>
        <v>0</v>
      </c>
      <c r="BO588" s="1246"/>
      <c r="BP588" s="1246"/>
      <c r="BQ588" s="1246"/>
      <c r="BR588" s="1247"/>
      <c r="BS588" s="1245">
        <f t="shared" ref="BS588:BS612" si="2">IF(B692="1 Bedroom",G692,0)</f>
        <v>45</v>
      </c>
      <c r="BT588" s="1246"/>
      <c r="BU588" s="1246"/>
      <c r="BV588" s="1246"/>
      <c r="BW588" s="1248"/>
      <c r="BX588" s="1245">
        <f t="shared" ref="BX588:BX612" si="3">IF(B692="2 Bedrooms",G692,0)</f>
        <v>0</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09">
        <f t="shared" ref="CM588:CM612" si="6">IF(B692="5 Bedrooms",G692,0)</f>
        <v>0</v>
      </c>
      <c r="CN588" s="1510"/>
      <c r="CO588" s="1510"/>
      <c r="CP588" s="1510"/>
      <c r="CQ588" s="1247"/>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45</v>
      </c>
      <c r="BL589" s="1248"/>
      <c r="BN589" s="1245">
        <f t="shared" si="1"/>
        <v>0</v>
      </c>
      <c r="BO589" s="1246"/>
      <c r="BP589" s="1246"/>
      <c r="BQ589" s="1246"/>
      <c r="BR589" s="1247"/>
      <c r="BS589" s="1245">
        <f t="shared" si="2"/>
        <v>35</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6">
        <f>IF(AND(B692="SRO/Studio",AH692&lt;=0.3),G692,0)</f>
        <v>0</v>
      </c>
      <c r="CT589" s="1507"/>
      <c r="CU589" s="1507"/>
      <c r="CV589" s="1507"/>
      <c r="CW589" s="1508"/>
      <c r="CX589" s="1506">
        <f>IF(AND(B692="1 Bedroom",AH692&lt;=0.3),G692,0)</f>
        <v>45</v>
      </c>
      <c r="CY589" s="1507"/>
      <c r="CZ589" s="1507"/>
      <c r="DA589" s="1507"/>
      <c r="DB589" s="1508"/>
      <c r="DC589" s="1506">
        <f>IF(AND(B692="2 Bedrooms",AH692&lt;=0.3),G692,0)</f>
        <v>0</v>
      </c>
      <c r="DD589" s="1507"/>
      <c r="DE589" s="1507"/>
      <c r="DF589" s="1507"/>
      <c r="DG589" s="1508"/>
      <c r="DH589" s="1506">
        <f>IF(AND(B692="3 Bedrooms",AH692&lt;=0.3),G692,0)</f>
        <v>0</v>
      </c>
      <c r="DI589" s="1507"/>
      <c r="DJ589" s="1507"/>
      <c r="DK589" s="1507"/>
      <c r="DL589" s="1508"/>
      <c r="DM589" s="1506">
        <f>IF(AND(B692="4 Bedrooms",AH692&lt;=0.3),G692,0)</f>
        <v>0</v>
      </c>
      <c r="DN589" s="1507"/>
      <c r="DO589" s="1507"/>
      <c r="DP589" s="1507"/>
      <c r="DQ589" s="1508"/>
      <c r="DR589" s="1506">
        <f>IF(AND(B692="5 Bedrooms",AH692&lt;=0.3),G692,0)</f>
        <v>0</v>
      </c>
      <c r="DS589" s="1507"/>
      <c r="DT589" s="1507"/>
      <c r="DU589" s="1507"/>
      <c r="DV589" s="1508"/>
    </row>
    <row r="590" spans="1:126" s="5" customFormat="1" ht="12.95"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9">
        <f t="shared" ref="BE590:BE613" si="9">IF(AND(AH693&lt;=0.5,AH693&gt;=0.36),1,0)</f>
        <v>1</v>
      </c>
      <c r="BF590" s="1250"/>
      <c r="BG590" s="1245">
        <f t="shared" si="7"/>
        <v>35</v>
      </c>
      <c r="BH590" s="1248"/>
      <c r="BI590" s="1249">
        <f t="shared" ref="BI590:BI613" si="10">IF(AND(AH693&lt;=0.35,AH693&gt;0),1,0)</f>
        <v>0</v>
      </c>
      <c r="BJ590" s="1250"/>
      <c r="BK590" s="1245">
        <f t="shared" si="8"/>
        <v>0</v>
      </c>
      <c r="BL590" s="1248"/>
      <c r="BN590" s="1245">
        <f t="shared" si="1"/>
        <v>0</v>
      </c>
      <c r="BO590" s="1246"/>
      <c r="BP590" s="1246"/>
      <c r="BQ590" s="1246"/>
      <c r="BR590" s="1247"/>
      <c r="BS590" s="1245">
        <f t="shared" si="2"/>
        <v>12</v>
      </c>
      <c r="BT590" s="1246"/>
      <c r="BU590" s="1246"/>
      <c r="BV590" s="1246"/>
      <c r="BW590" s="1248"/>
      <c r="BX590" s="1245">
        <f t="shared" si="3"/>
        <v>0</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6">
        <f t="shared" ref="CS590:CS613" si="11">IF(AND(B693="SRO/Studio",AH693&lt;=0.3),G693,0)</f>
        <v>0</v>
      </c>
      <c r="CT590" s="1507"/>
      <c r="CU590" s="1507"/>
      <c r="CV590" s="1507"/>
      <c r="CW590" s="1508"/>
      <c r="CX590" s="1506">
        <f t="shared" ref="CX590:CX613" si="12">IF(AND(B693="1 Bedroom",AH693&lt;=0.3),G693,0)</f>
        <v>0</v>
      </c>
      <c r="CY590" s="1507"/>
      <c r="CZ590" s="1507"/>
      <c r="DA590" s="1507"/>
      <c r="DB590" s="1508"/>
      <c r="DC590" s="1506">
        <f t="shared" ref="DC590:DC613" si="13">IF(AND(B693="2 Bedrooms",AH693&lt;=0.3),G693,0)</f>
        <v>0</v>
      </c>
      <c r="DD590" s="1507"/>
      <c r="DE590" s="1507"/>
      <c r="DF590" s="1507"/>
      <c r="DG590" s="1508"/>
      <c r="DH590" s="1506">
        <f t="shared" ref="DH590:DH613" si="14">IF(AND(B693="3 Bedrooms",AH693&lt;=0.3),G693,0)</f>
        <v>0</v>
      </c>
      <c r="DI590" s="1507"/>
      <c r="DJ590" s="1507"/>
      <c r="DK590" s="1507"/>
      <c r="DL590" s="1508"/>
      <c r="DM590" s="1506">
        <f t="shared" ref="DM590:DM613" si="15">IF(AND(B693="4 Bedrooms",AH693&lt;=0.3),G693,0)</f>
        <v>0</v>
      </c>
      <c r="DN590" s="1507"/>
      <c r="DO590" s="1507"/>
      <c r="DP590" s="1507"/>
      <c r="DQ590" s="1508"/>
      <c r="DR590" s="1506">
        <f t="shared" ref="DR590:DR613" si="16">IF(AND(B693="5 Bedrooms",AH693&lt;=0.3),G693,0)</f>
        <v>0</v>
      </c>
      <c r="DS590" s="1507"/>
      <c r="DT590" s="1507"/>
      <c r="DU590" s="1507"/>
      <c r="DV590" s="1508"/>
    </row>
    <row r="591" spans="1:126" ht="12.95" customHeight="1">
      <c r="AZ591" s="5" t="s">
        <v>818</v>
      </c>
      <c r="BA591" s="41"/>
      <c r="BB591" s="41"/>
      <c r="BC591" s="41"/>
      <c r="BD591" s="41"/>
      <c r="BE591" s="1249">
        <f t="shared" si="9"/>
        <v>0</v>
      </c>
      <c r="BF591" s="1250"/>
      <c r="BG591" s="1245">
        <f t="shared" si="7"/>
        <v>0</v>
      </c>
      <c r="BH591" s="1248"/>
      <c r="BI591" s="1249">
        <f t="shared" si="10"/>
        <v>0</v>
      </c>
      <c r="BJ591" s="1250"/>
      <c r="BK591" s="1245">
        <f t="shared" si="8"/>
        <v>0</v>
      </c>
      <c r="BL591" s="1248"/>
      <c r="BN591" s="1245">
        <f t="shared" si="1"/>
        <v>0</v>
      </c>
      <c r="BO591" s="1246"/>
      <c r="BP591" s="1246"/>
      <c r="BQ591" s="1246"/>
      <c r="BR591" s="1247"/>
      <c r="BS591" s="1245">
        <f t="shared" si="2"/>
        <v>0</v>
      </c>
      <c r="BT591" s="1246"/>
      <c r="BU591" s="1246"/>
      <c r="BV591" s="1246"/>
      <c r="BW591" s="1248"/>
      <c r="BX591" s="1245">
        <f t="shared" si="3"/>
        <v>15</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06">
        <f t="shared" si="11"/>
        <v>0</v>
      </c>
      <c r="CT591" s="1507"/>
      <c r="CU591" s="1507"/>
      <c r="CV591" s="1507"/>
      <c r="CW591" s="1508"/>
      <c r="CX591" s="1506">
        <f t="shared" si="12"/>
        <v>0</v>
      </c>
      <c r="CY591" s="1507"/>
      <c r="CZ591" s="1507"/>
      <c r="DA591" s="1507"/>
      <c r="DB591" s="1508"/>
      <c r="DC591" s="1506">
        <f t="shared" si="13"/>
        <v>0</v>
      </c>
      <c r="DD591" s="1507"/>
      <c r="DE591" s="1507"/>
      <c r="DF591" s="1507"/>
      <c r="DG591" s="1508"/>
      <c r="DH591" s="1506">
        <f t="shared" si="14"/>
        <v>0</v>
      </c>
      <c r="DI591" s="1507"/>
      <c r="DJ591" s="1507"/>
      <c r="DK591" s="1507"/>
      <c r="DL591" s="1508"/>
      <c r="DM591" s="1506">
        <f t="shared" si="15"/>
        <v>0</v>
      </c>
      <c r="DN591" s="1507"/>
      <c r="DO591" s="1507"/>
      <c r="DP591" s="1507"/>
      <c r="DQ591" s="1508"/>
      <c r="DR591" s="1506">
        <f t="shared" si="16"/>
        <v>0</v>
      </c>
      <c r="DS591" s="1507"/>
      <c r="DT591" s="1507"/>
      <c r="DU591" s="1507"/>
      <c r="DV591" s="1508"/>
    </row>
    <row r="592" spans="1:126" ht="12.95"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49">
        <f t="shared" si="9"/>
        <v>0</v>
      </c>
      <c r="BF592" s="1250"/>
      <c r="BG592" s="1245">
        <f t="shared" si="7"/>
        <v>0</v>
      </c>
      <c r="BH592" s="1248"/>
      <c r="BI592" s="1249">
        <f t="shared" si="10"/>
        <v>1</v>
      </c>
      <c r="BJ592" s="1250"/>
      <c r="BK592" s="1245">
        <f t="shared" si="8"/>
        <v>15</v>
      </c>
      <c r="BL592" s="1248"/>
      <c r="BN592" s="1245">
        <f t="shared" si="1"/>
        <v>0</v>
      </c>
      <c r="BO592" s="1246"/>
      <c r="BP592" s="1246"/>
      <c r="BQ592" s="1246"/>
      <c r="BR592" s="1247"/>
      <c r="BS592" s="1245">
        <f t="shared" si="2"/>
        <v>0</v>
      </c>
      <c r="BT592" s="1246"/>
      <c r="BU592" s="1246"/>
      <c r="BV592" s="1246"/>
      <c r="BW592" s="1248"/>
      <c r="BX592" s="1245">
        <f t="shared" si="3"/>
        <v>12</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6">
        <f t="shared" si="11"/>
        <v>0</v>
      </c>
      <c r="CT592" s="1507"/>
      <c r="CU592" s="1507"/>
      <c r="CV592" s="1507"/>
      <c r="CW592" s="1508"/>
      <c r="CX592" s="1506">
        <f t="shared" si="12"/>
        <v>0</v>
      </c>
      <c r="CY592" s="1507"/>
      <c r="CZ592" s="1507"/>
      <c r="DA592" s="1507"/>
      <c r="DB592" s="1508"/>
      <c r="DC592" s="1506">
        <f t="shared" si="13"/>
        <v>15</v>
      </c>
      <c r="DD592" s="1507"/>
      <c r="DE592" s="1507"/>
      <c r="DF592" s="1507"/>
      <c r="DG592" s="1508"/>
      <c r="DH592" s="1506">
        <f t="shared" si="14"/>
        <v>0</v>
      </c>
      <c r="DI592" s="1507"/>
      <c r="DJ592" s="1507"/>
      <c r="DK592" s="1507"/>
      <c r="DL592" s="1508"/>
      <c r="DM592" s="1506">
        <f t="shared" si="15"/>
        <v>0</v>
      </c>
      <c r="DN592" s="1507"/>
      <c r="DO592" s="1507"/>
      <c r="DP592" s="1507"/>
      <c r="DQ592" s="1508"/>
      <c r="DR592" s="1506">
        <f t="shared" si="16"/>
        <v>0</v>
      </c>
      <c r="DS592" s="1507"/>
      <c r="DT592" s="1507"/>
      <c r="DU592" s="1507"/>
      <c r="DV592" s="1508"/>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9"/>
        <v>1</v>
      </c>
      <c r="BF593" s="1250"/>
      <c r="BG593" s="1245">
        <f t="shared" si="7"/>
        <v>12</v>
      </c>
      <c r="BH593" s="1248"/>
      <c r="BI593" s="1249">
        <f t="shared" si="10"/>
        <v>0</v>
      </c>
      <c r="BJ593" s="1250"/>
      <c r="BK593" s="1245">
        <f t="shared" si="8"/>
        <v>0</v>
      </c>
      <c r="BL593" s="1248"/>
      <c r="BN593" s="1245">
        <f t="shared" si="1"/>
        <v>0</v>
      </c>
      <c r="BO593" s="1246"/>
      <c r="BP593" s="1246"/>
      <c r="BQ593" s="1246"/>
      <c r="BR593" s="1247"/>
      <c r="BS593" s="1245">
        <f t="shared" si="2"/>
        <v>0</v>
      </c>
      <c r="BT593" s="1246"/>
      <c r="BU593" s="1246"/>
      <c r="BV593" s="1246"/>
      <c r="BW593" s="1248"/>
      <c r="BX593" s="1245">
        <f t="shared" si="3"/>
        <v>0</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6">
        <f t="shared" si="11"/>
        <v>0</v>
      </c>
      <c r="CT593" s="1507"/>
      <c r="CU593" s="1507"/>
      <c r="CV593" s="1507"/>
      <c r="CW593" s="1508"/>
      <c r="CX593" s="1506">
        <f t="shared" si="12"/>
        <v>0</v>
      </c>
      <c r="CY593" s="1507"/>
      <c r="CZ593" s="1507"/>
      <c r="DA593" s="1507"/>
      <c r="DB593" s="1508"/>
      <c r="DC593" s="1506">
        <f t="shared" si="13"/>
        <v>0</v>
      </c>
      <c r="DD593" s="1507"/>
      <c r="DE593" s="1507"/>
      <c r="DF593" s="1507"/>
      <c r="DG593" s="1508"/>
      <c r="DH593" s="1506">
        <f t="shared" si="14"/>
        <v>0</v>
      </c>
      <c r="DI593" s="1507"/>
      <c r="DJ593" s="1507"/>
      <c r="DK593" s="1507"/>
      <c r="DL593" s="1508"/>
      <c r="DM593" s="1506">
        <f t="shared" si="15"/>
        <v>0</v>
      </c>
      <c r="DN593" s="1507"/>
      <c r="DO593" s="1507"/>
      <c r="DP593" s="1507"/>
      <c r="DQ593" s="1508"/>
      <c r="DR593" s="1506">
        <f t="shared" si="16"/>
        <v>0</v>
      </c>
      <c r="DS593" s="1507"/>
      <c r="DT593" s="1507"/>
      <c r="DU593" s="1507"/>
      <c r="DV593" s="1508"/>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9">
        <f t="shared" si="9"/>
        <v>0</v>
      </c>
      <c r="BF594" s="1250"/>
      <c r="BG594" s="1245">
        <f t="shared" si="7"/>
        <v>0</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6">
        <f t="shared" si="11"/>
        <v>0</v>
      </c>
      <c r="CT594" s="1507"/>
      <c r="CU594" s="1507"/>
      <c r="CV594" s="1507"/>
      <c r="CW594" s="1508"/>
      <c r="CX594" s="1506">
        <f t="shared" si="12"/>
        <v>0</v>
      </c>
      <c r="CY594" s="1507"/>
      <c r="CZ594" s="1507"/>
      <c r="DA594" s="1507"/>
      <c r="DB594" s="1508"/>
      <c r="DC594" s="1506">
        <f t="shared" si="13"/>
        <v>0</v>
      </c>
      <c r="DD594" s="1507"/>
      <c r="DE594" s="1507"/>
      <c r="DF594" s="1507"/>
      <c r="DG594" s="1508"/>
      <c r="DH594" s="1506">
        <f t="shared" si="14"/>
        <v>0</v>
      </c>
      <c r="DI594" s="1507"/>
      <c r="DJ594" s="1507"/>
      <c r="DK594" s="1507"/>
      <c r="DL594" s="1508"/>
      <c r="DM594" s="1506">
        <f t="shared" si="15"/>
        <v>0</v>
      </c>
      <c r="DN594" s="1507"/>
      <c r="DO594" s="1507"/>
      <c r="DP594" s="1507"/>
      <c r="DQ594" s="1508"/>
      <c r="DR594" s="1506">
        <f t="shared" si="16"/>
        <v>0</v>
      </c>
      <c r="DS594" s="1507"/>
      <c r="DT594" s="1507"/>
      <c r="DU594" s="1507"/>
      <c r="DV594" s="1508"/>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6">
        <f t="shared" si="11"/>
        <v>0</v>
      </c>
      <c r="CT595" s="1507"/>
      <c r="CU595" s="1507"/>
      <c r="CV595" s="1507"/>
      <c r="CW595" s="1508"/>
      <c r="CX595" s="1506">
        <f t="shared" si="12"/>
        <v>0</v>
      </c>
      <c r="CY595" s="1507"/>
      <c r="CZ595" s="1507"/>
      <c r="DA595" s="1507"/>
      <c r="DB595" s="1508"/>
      <c r="DC595" s="1506">
        <f t="shared" si="13"/>
        <v>0</v>
      </c>
      <c r="DD595" s="1507"/>
      <c r="DE595" s="1507"/>
      <c r="DF595" s="1507"/>
      <c r="DG595" s="1508"/>
      <c r="DH595" s="1506">
        <f t="shared" si="14"/>
        <v>0</v>
      </c>
      <c r="DI595" s="1507"/>
      <c r="DJ595" s="1507"/>
      <c r="DK595" s="1507"/>
      <c r="DL595" s="1508"/>
      <c r="DM595" s="1506">
        <f t="shared" si="15"/>
        <v>0</v>
      </c>
      <c r="DN595" s="1507"/>
      <c r="DO595" s="1507"/>
      <c r="DP595" s="1507"/>
      <c r="DQ595" s="1508"/>
      <c r="DR595" s="1506">
        <f t="shared" si="16"/>
        <v>0</v>
      </c>
      <c r="DS595" s="1507"/>
      <c r="DT595" s="1507"/>
      <c r="DU595" s="1507"/>
      <c r="DV595" s="1508"/>
    </row>
    <row r="596" spans="1:126" ht="12.95" customHeight="1">
      <c r="A596" s="4"/>
      <c r="B596" t="s">
        <v>686</v>
      </c>
      <c r="G596" s="1116"/>
      <c r="H596" s="1116"/>
      <c r="I596" s="1116"/>
      <c r="J596" s="1116"/>
      <c r="K596" s="1116"/>
      <c r="L596" s="1116"/>
      <c r="O596" s="42" t="s">
        <v>859</v>
      </c>
      <c r="P596" s="1287"/>
      <c r="Q596" s="1287"/>
      <c r="R596" s="1287"/>
      <c r="T596" s="4"/>
      <c r="U596" t="s">
        <v>686</v>
      </c>
      <c r="Z596" s="1116"/>
      <c r="AA596" s="1116"/>
      <c r="AB596" s="1116"/>
      <c r="AC596" s="1116"/>
      <c r="AD596" s="1116"/>
      <c r="AE596" s="1116"/>
      <c r="AH596" s="42" t="s">
        <v>859</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6">
        <f t="shared" si="11"/>
        <v>0</v>
      </c>
      <c r="CT596" s="1507"/>
      <c r="CU596" s="1507"/>
      <c r="CV596" s="1507"/>
      <c r="CW596" s="1508"/>
      <c r="CX596" s="1506">
        <f t="shared" si="12"/>
        <v>0</v>
      </c>
      <c r="CY596" s="1507"/>
      <c r="CZ596" s="1507"/>
      <c r="DA596" s="1507"/>
      <c r="DB596" s="1508"/>
      <c r="DC596" s="1506">
        <f t="shared" si="13"/>
        <v>0</v>
      </c>
      <c r="DD596" s="1507"/>
      <c r="DE596" s="1507"/>
      <c r="DF596" s="1507"/>
      <c r="DG596" s="1508"/>
      <c r="DH596" s="1506">
        <f t="shared" si="14"/>
        <v>0</v>
      </c>
      <c r="DI596" s="1507"/>
      <c r="DJ596" s="1507"/>
      <c r="DK596" s="1507"/>
      <c r="DL596" s="1508"/>
      <c r="DM596" s="1506">
        <f t="shared" si="15"/>
        <v>0</v>
      </c>
      <c r="DN596" s="1507"/>
      <c r="DO596" s="1507"/>
      <c r="DP596" s="1507"/>
      <c r="DQ596" s="1508"/>
      <c r="DR596" s="1506">
        <f t="shared" si="16"/>
        <v>0</v>
      </c>
      <c r="DS596" s="1507"/>
      <c r="DT596" s="1507"/>
      <c r="DU596" s="1507"/>
      <c r="DV596" s="1508"/>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6">
        <f t="shared" si="11"/>
        <v>0</v>
      </c>
      <c r="CT597" s="1507"/>
      <c r="CU597" s="1507"/>
      <c r="CV597" s="1507"/>
      <c r="CW597" s="1508"/>
      <c r="CX597" s="1506">
        <f t="shared" si="12"/>
        <v>0</v>
      </c>
      <c r="CY597" s="1507"/>
      <c r="CZ597" s="1507"/>
      <c r="DA597" s="1507"/>
      <c r="DB597" s="1508"/>
      <c r="DC597" s="1506">
        <f t="shared" si="13"/>
        <v>0</v>
      </c>
      <c r="DD597" s="1507"/>
      <c r="DE597" s="1507"/>
      <c r="DF597" s="1507"/>
      <c r="DG597" s="1508"/>
      <c r="DH597" s="1506">
        <f t="shared" si="14"/>
        <v>0</v>
      </c>
      <c r="DI597" s="1507"/>
      <c r="DJ597" s="1507"/>
      <c r="DK597" s="1507"/>
      <c r="DL597" s="1508"/>
      <c r="DM597" s="1506">
        <f t="shared" si="15"/>
        <v>0</v>
      </c>
      <c r="DN597" s="1507"/>
      <c r="DO597" s="1507"/>
      <c r="DP597" s="1507"/>
      <c r="DQ597" s="1508"/>
      <c r="DR597" s="1506">
        <f t="shared" si="16"/>
        <v>0</v>
      </c>
      <c r="DS597" s="1507"/>
      <c r="DT597" s="1507"/>
      <c r="DU597" s="1507"/>
      <c r="DV597" s="1508"/>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6">
        <f t="shared" si="11"/>
        <v>0</v>
      </c>
      <c r="CT598" s="1507"/>
      <c r="CU598" s="1507"/>
      <c r="CV598" s="1507"/>
      <c r="CW598" s="1508"/>
      <c r="CX598" s="1506">
        <f t="shared" si="12"/>
        <v>0</v>
      </c>
      <c r="CY598" s="1507"/>
      <c r="CZ598" s="1507"/>
      <c r="DA598" s="1507"/>
      <c r="DB598" s="1508"/>
      <c r="DC598" s="1506">
        <f t="shared" si="13"/>
        <v>0</v>
      </c>
      <c r="DD598" s="1507"/>
      <c r="DE598" s="1507"/>
      <c r="DF598" s="1507"/>
      <c r="DG598" s="1508"/>
      <c r="DH598" s="1506">
        <f t="shared" si="14"/>
        <v>0</v>
      </c>
      <c r="DI598" s="1507"/>
      <c r="DJ598" s="1507"/>
      <c r="DK598" s="1507"/>
      <c r="DL598" s="1508"/>
      <c r="DM598" s="1506">
        <f t="shared" si="15"/>
        <v>0</v>
      </c>
      <c r="DN598" s="1507"/>
      <c r="DO598" s="1507"/>
      <c r="DP598" s="1507"/>
      <c r="DQ598" s="1508"/>
      <c r="DR598" s="1506">
        <f t="shared" si="16"/>
        <v>0</v>
      </c>
      <c r="DS598" s="1507"/>
      <c r="DT598" s="1507"/>
      <c r="DU598" s="1507"/>
      <c r="DV598" s="1508"/>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6">
        <f t="shared" si="11"/>
        <v>0</v>
      </c>
      <c r="CT599" s="1507"/>
      <c r="CU599" s="1507"/>
      <c r="CV599" s="1507"/>
      <c r="CW599" s="1508"/>
      <c r="CX599" s="1506">
        <f t="shared" si="12"/>
        <v>0</v>
      </c>
      <c r="CY599" s="1507"/>
      <c r="CZ599" s="1507"/>
      <c r="DA599" s="1507"/>
      <c r="DB599" s="1508"/>
      <c r="DC599" s="1506">
        <f t="shared" si="13"/>
        <v>0</v>
      </c>
      <c r="DD599" s="1507"/>
      <c r="DE599" s="1507"/>
      <c r="DF599" s="1507"/>
      <c r="DG599" s="1508"/>
      <c r="DH599" s="1506">
        <f t="shared" si="14"/>
        <v>0</v>
      </c>
      <c r="DI599" s="1507"/>
      <c r="DJ599" s="1507"/>
      <c r="DK599" s="1507"/>
      <c r="DL599" s="1508"/>
      <c r="DM599" s="1506">
        <f t="shared" si="15"/>
        <v>0</v>
      </c>
      <c r="DN599" s="1507"/>
      <c r="DO599" s="1507"/>
      <c r="DP599" s="1507"/>
      <c r="DQ599" s="1508"/>
      <c r="DR599" s="1506">
        <f t="shared" si="16"/>
        <v>0</v>
      </c>
      <c r="DS599" s="1507"/>
      <c r="DT599" s="1507"/>
      <c r="DU599" s="1507"/>
      <c r="DV599" s="1508"/>
    </row>
    <row r="600" spans="1:126" ht="12.95"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6">
        <f t="shared" si="11"/>
        <v>0</v>
      </c>
      <c r="CT600" s="1507"/>
      <c r="CU600" s="1507"/>
      <c r="CV600" s="1507"/>
      <c r="CW600" s="1508"/>
      <c r="CX600" s="1506">
        <f t="shared" si="12"/>
        <v>0</v>
      </c>
      <c r="CY600" s="1507"/>
      <c r="CZ600" s="1507"/>
      <c r="DA600" s="1507"/>
      <c r="DB600" s="1508"/>
      <c r="DC600" s="1506">
        <f t="shared" si="13"/>
        <v>0</v>
      </c>
      <c r="DD600" s="1507"/>
      <c r="DE600" s="1507"/>
      <c r="DF600" s="1507"/>
      <c r="DG600" s="1508"/>
      <c r="DH600" s="1506">
        <f t="shared" si="14"/>
        <v>0</v>
      </c>
      <c r="DI600" s="1507"/>
      <c r="DJ600" s="1507"/>
      <c r="DK600" s="1507"/>
      <c r="DL600" s="1508"/>
      <c r="DM600" s="1506">
        <f t="shared" si="15"/>
        <v>0</v>
      </c>
      <c r="DN600" s="1507"/>
      <c r="DO600" s="1507"/>
      <c r="DP600" s="1507"/>
      <c r="DQ600" s="1508"/>
      <c r="DR600" s="1506">
        <f t="shared" si="16"/>
        <v>0</v>
      </c>
      <c r="DS600" s="1507"/>
      <c r="DT600" s="1507"/>
      <c r="DU600" s="1507"/>
      <c r="DV600" s="1508"/>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6">
        <f t="shared" si="11"/>
        <v>0</v>
      </c>
      <c r="CT601" s="1507"/>
      <c r="CU601" s="1507"/>
      <c r="CV601" s="1507"/>
      <c r="CW601" s="1508"/>
      <c r="CX601" s="1506">
        <f t="shared" si="12"/>
        <v>0</v>
      </c>
      <c r="CY601" s="1507"/>
      <c r="CZ601" s="1507"/>
      <c r="DA601" s="1507"/>
      <c r="DB601" s="1508"/>
      <c r="DC601" s="1506">
        <f t="shared" si="13"/>
        <v>0</v>
      </c>
      <c r="DD601" s="1507"/>
      <c r="DE601" s="1507"/>
      <c r="DF601" s="1507"/>
      <c r="DG601" s="1508"/>
      <c r="DH601" s="1506">
        <f t="shared" si="14"/>
        <v>0</v>
      </c>
      <c r="DI601" s="1507"/>
      <c r="DJ601" s="1507"/>
      <c r="DK601" s="1507"/>
      <c r="DL601" s="1508"/>
      <c r="DM601" s="1506">
        <f t="shared" si="15"/>
        <v>0</v>
      </c>
      <c r="DN601" s="1507"/>
      <c r="DO601" s="1507"/>
      <c r="DP601" s="1507"/>
      <c r="DQ601" s="1508"/>
      <c r="DR601" s="1506">
        <f t="shared" si="16"/>
        <v>0</v>
      </c>
      <c r="DS601" s="1507"/>
      <c r="DT601" s="1507"/>
      <c r="DU601" s="1507"/>
      <c r="DV601" s="1508"/>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6">
        <f t="shared" si="11"/>
        <v>0</v>
      </c>
      <c r="CT602" s="1507"/>
      <c r="CU602" s="1507"/>
      <c r="CV602" s="1507"/>
      <c r="CW602" s="1508"/>
      <c r="CX602" s="1506">
        <f t="shared" si="12"/>
        <v>0</v>
      </c>
      <c r="CY602" s="1507"/>
      <c r="CZ602" s="1507"/>
      <c r="DA602" s="1507"/>
      <c r="DB602" s="1508"/>
      <c r="DC602" s="1506">
        <f t="shared" si="13"/>
        <v>0</v>
      </c>
      <c r="DD602" s="1507"/>
      <c r="DE602" s="1507"/>
      <c r="DF602" s="1507"/>
      <c r="DG602" s="1508"/>
      <c r="DH602" s="1506">
        <f t="shared" si="14"/>
        <v>0</v>
      </c>
      <c r="DI602" s="1507"/>
      <c r="DJ602" s="1507"/>
      <c r="DK602" s="1507"/>
      <c r="DL602" s="1508"/>
      <c r="DM602" s="1506">
        <f t="shared" si="15"/>
        <v>0</v>
      </c>
      <c r="DN602" s="1507"/>
      <c r="DO602" s="1507"/>
      <c r="DP602" s="1507"/>
      <c r="DQ602" s="1508"/>
      <c r="DR602" s="1506">
        <f t="shared" si="16"/>
        <v>0</v>
      </c>
      <c r="DS602" s="1507"/>
      <c r="DT602" s="1507"/>
      <c r="DU602" s="1507"/>
      <c r="DV602" s="1508"/>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6">
        <f t="shared" si="11"/>
        <v>0</v>
      </c>
      <c r="CT603" s="1507"/>
      <c r="CU603" s="1507"/>
      <c r="CV603" s="1507"/>
      <c r="CW603" s="1508"/>
      <c r="CX603" s="1506">
        <f t="shared" si="12"/>
        <v>0</v>
      </c>
      <c r="CY603" s="1507"/>
      <c r="CZ603" s="1507"/>
      <c r="DA603" s="1507"/>
      <c r="DB603" s="1508"/>
      <c r="DC603" s="1506">
        <f t="shared" si="13"/>
        <v>0</v>
      </c>
      <c r="DD603" s="1507"/>
      <c r="DE603" s="1507"/>
      <c r="DF603" s="1507"/>
      <c r="DG603" s="1508"/>
      <c r="DH603" s="1506">
        <f t="shared" si="14"/>
        <v>0</v>
      </c>
      <c r="DI603" s="1507"/>
      <c r="DJ603" s="1507"/>
      <c r="DK603" s="1507"/>
      <c r="DL603" s="1508"/>
      <c r="DM603" s="1506">
        <f t="shared" si="15"/>
        <v>0</v>
      </c>
      <c r="DN603" s="1507"/>
      <c r="DO603" s="1507"/>
      <c r="DP603" s="1507"/>
      <c r="DQ603" s="1508"/>
      <c r="DR603" s="1506">
        <f t="shared" si="16"/>
        <v>0</v>
      </c>
      <c r="DS603" s="1507"/>
      <c r="DT603" s="1507"/>
      <c r="DU603" s="1507"/>
      <c r="DV603" s="1508"/>
    </row>
    <row r="604" spans="1:126" ht="12.95" customHeight="1">
      <c r="B604" t="s">
        <v>686</v>
      </c>
      <c r="G604" s="1116"/>
      <c r="H604" s="1116"/>
      <c r="I604" s="1116"/>
      <c r="J604" s="1116"/>
      <c r="K604" s="1116"/>
      <c r="L604" s="1116"/>
      <c r="O604" s="42" t="s">
        <v>859</v>
      </c>
      <c r="P604" s="1287"/>
      <c r="Q604" s="1287"/>
      <c r="R604" s="1287"/>
      <c r="U604" t="s">
        <v>686</v>
      </c>
      <c r="Z604" s="1116"/>
      <c r="AA604" s="1116"/>
      <c r="AB604" s="1116"/>
      <c r="AC604" s="1116"/>
      <c r="AD604" s="1116"/>
      <c r="AE604" s="1116"/>
      <c r="AH604" s="42" t="s">
        <v>859</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6">
        <f t="shared" si="11"/>
        <v>0</v>
      </c>
      <c r="CT604" s="1507"/>
      <c r="CU604" s="1507"/>
      <c r="CV604" s="1507"/>
      <c r="CW604" s="1508"/>
      <c r="CX604" s="1506">
        <f t="shared" si="12"/>
        <v>0</v>
      </c>
      <c r="CY604" s="1507"/>
      <c r="CZ604" s="1507"/>
      <c r="DA604" s="1507"/>
      <c r="DB604" s="1508"/>
      <c r="DC604" s="1506">
        <f t="shared" si="13"/>
        <v>0</v>
      </c>
      <c r="DD604" s="1507"/>
      <c r="DE604" s="1507"/>
      <c r="DF604" s="1507"/>
      <c r="DG604" s="1508"/>
      <c r="DH604" s="1506">
        <f t="shared" si="14"/>
        <v>0</v>
      </c>
      <c r="DI604" s="1507"/>
      <c r="DJ604" s="1507"/>
      <c r="DK604" s="1507"/>
      <c r="DL604" s="1508"/>
      <c r="DM604" s="1506">
        <f t="shared" si="15"/>
        <v>0</v>
      </c>
      <c r="DN604" s="1507"/>
      <c r="DO604" s="1507"/>
      <c r="DP604" s="1507"/>
      <c r="DQ604" s="1508"/>
      <c r="DR604" s="1506">
        <f t="shared" si="16"/>
        <v>0</v>
      </c>
      <c r="DS604" s="1507"/>
      <c r="DT604" s="1507"/>
      <c r="DU604" s="1507"/>
      <c r="DV604" s="1508"/>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6">
        <f t="shared" si="11"/>
        <v>0</v>
      </c>
      <c r="CT605" s="1507"/>
      <c r="CU605" s="1507"/>
      <c r="CV605" s="1507"/>
      <c r="CW605" s="1508"/>
      <c r="CX605" s="1506">
        <f t="shared" si="12"/>
        <v>0</v>
      </c>
      <c r="CY605" s="1507"/>
      <c r="CZ605" s="1507"/>
      <c r="DA605" s="1507"/>
      <c r="DB605" s="1508"/>
      <c r="DC605" s="1506">
        <f t="shared" si="13"/>
        <v>0</v>
      </c>
      <c r="DD605" s="1507"/>
      <c r="DE605" s="1507"/>
      <c r="DF605" s="1507"/>
      <c r="DG605" s="1508"/>
      <c r="DH605" s="1506">
        <f t="shared" si="14"/>
        <v>0</v>
      </c>
      <c r="DI605" s="1507"/>
      <c r="DJ605" s="1507"/>
      <c r="DK605" s="1507"/>
      <c r="DL605" s="1508"/>
      <c r="DM605" s="1506">
        <f t="shared" si="15"/>
        <v>0</v>
      </c>
      <c r="DN605" s="1507"/>
      <c r="DO605" s="1507"/>
      <c r="DP605" s="1507"/>
      <c r="DQ605" s="1508"/>
      <c r="DR605" s="1506">
        <f t="shared" si="16"/>
        <v>0</v>
      </c>
      <c r="DS605" s="1507"/>
      <c r="DT605" s="1507"/>
      <c r="DU605" s="1507"/>
      <c r="DV605" s="1508"/>
    </row>
    <row r="606" spans="1:126" ht="12.95" customHeight="1">
      <c r="B606" t="s">
        <v>877</v>
      </c>
      <c r="N606" s="1117" t="s">
        <v>511</v>
      </c>
      <c r="O606" s="1117"/>
      <c r="U606" t="s">
        <v>877</v>
      </c>
      <c r="AG606" s="1117" t="s">
        <v>511</v>
      </c>
      <c r="AH606" s="1117"/>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6">
        <f t="shared" si="11"/>
        <v>0</v>
      </c>
      <c r="CT606" s="1507"/>
      <c r="CU606" s="1507"/>
      <c r="CV606" s="1507"/>
      <c r="CW606" s="1508"/>
      <c r="CX606" s="1506">
        <f t="shared" si="12"/>
        <v>0</v>
      </c>
      <c r="CY606" s="1507"/>
      <c r="CZ606" s="1507"/>
      <c r="DA606" s="1507"/>
      <c r="DB606" s="1508"/>
      <c r="DC606" s="1506">
        <f t="shared" si="13"/>
        <v>0</v>
      </c>
      <c r="DD606" s="1507"/>
      <c r="DE606" s="1507"/>
      <c r="DF606" s="1507"/>
      <c r="DG606" s="1508"/>
      <c r="DH606" s="1506">
        <f t="shared" si="14"/>
        <v>0</v>
      </c>
      <c r="DI606" s="1507"/>
      <c r="DJ606" s="1507"/>
      <c r="DK606" s="1507"/>
      <c r="DL606" s="1508"/>
      <c r="DM606" s="1506">
        <f t="shared" si="15"/>
        <v>0</v>
      </c>
      <c r="DN606" s="1507"/>
      <c r="DO606" s="1507"/>
      <c r="DP606" s="1507"/>
      <c r="DQ606" s="1508"/>
      <c r="DR606" s="1506">
        <f t="shared" si="16"/>
        <v>0</v>
      </c>
      <c r="DS606" s="1507"/>
      <c r="DT606" s="1507"/>
      <c r="DU606" s="1507"/>
      <c r="DV606" s="1508"/>
    </row>
    <row r="607" spans="1:126" ht="12.95"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6">
        <f t="shared" si="11"/>
        <v>0</v>
      </c>
      <c r="CT607" s="1507"/>
      <c r="CU607" s="1507"/>
      <c r="CV607" s="1507"/>
      <c r="CW607" s="1508"/>
      <c r="CX607" s="1506">
        <f t="shared" si="12"/>
        <v>0</v>
      </c>
      <c r="CY607" s="1507"/>
      <c r="CZ607" s="1507"/>
      <c r="DA607" s="1507"/>
      <c r="DB607" s="1508"/>
      <c r="DC607" s="1506">
        <f t="shared" si="13"/>
        <v>0</v>
      </c>
      <c r="DD607" s="1507"/>
      <c r="DE607" s="1507"/>
      <c r="DF607" s="1507"/>
      <c r="DG607" s="1508"/>
      <c r="DH607" s="1506">
        <f t="shared" si="14"/>
        <v>0</v>
      </c>
      <c r="DI607" s="1507"/>
      <c r="DJ607" s="1507"/>
      <c r="DK607" s="1507"/>
      <c r="DL607" s="1508"/>
      <c r="DM607" s="1506">
        <f t="shared" si="15"/>
        <v>0</v>
      </c>
      <c r="DN607" s="1507"/>
      <c r="DO607" s="1507"/>
      <c r="DP607" s="1507"/>
      <c r="DQ607" s="1508"/>
      <c r="DR607" s="1506">
        <f t="shared" si="16"/>
        <v>0</v>
      </c>
      <c r="DS607" s="1507"/>
      <c r="DT607" s="1507"/>
      <c r="DU607" s="1507"/>
      <c r="DV607" s="1508"/>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6">
        <f t="shared" si="11"/>
        <v>0</v>
      </c>
      <c r="CT608" s="1507"/>
      <c r="CU608" s="1507"/>
      <c r="CV608" s="1507"/>
      <c r="CW608" s="1508"/>
      <c r="CX608" s="1506">
        <f t="shared" si="12"/>
        <v>0</v>
      </c>
      <c r="CY608" s="1507"/>
      <c r="CZ608" s="1507"/>
      <c r="DA608" s="1507"/>
      <c r="DB608" s="1508"/>
      <c r="DC608" s="1506">
        <f t="shared" si="13"/>
        <v>0</v>
      </c>
      <c r="DD608" s="1507"/>
      <c r="DE608" s="1507"/>
      <c r="DF608" s="1507"/>
      <c r="DG608" s="1508"/>
      <c r="DH608" s="1506">
        <f t="shared" si="14"/>
        <v>0</v>
      </c>
      <c r="DI608" s="1507"/>
      <c r="DJ608" s="1507"/>
      <c r="DK608" s="1507"/>
      <c r="DL608" s="1508"/>
      <c r="DM608" s="1506">
        <f t="shared" si="15"/>
        <v>0</v>
      </c>
      <c r="DN608" s="1507"/>
      <c r="DO608" s="1507"/>
      <c r="DP608" s="1507"/>
      <c r="DQ608" s="1508"/>
      <c r="DR608" s="1506">
        <f t="shared" si="16"/>
        <v>0</v>
      </c>
      <c r="DS608" s="1507"/>
      <c r="DT608" s="1507"/>
      <c r="DU608" s="1507"/>
      <c r="DV608" s="1508"/>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6">
        <f t="shared" si="11"/>
        <v>0</v>
      </c>
      <c r="CT609" s="1507"/>
      <c r="CU609" s="1507"/>
      <c r="CV609" s="1507"/>
      <c r="CW609" s="1508"/>
      <c r="CX609" s="1506">
        <f t="shared" si="12"/>
        <v>0</v>
      </c>
      <c r="CY609" s="1507"/>
      <c r="CZ609" s="1507"/>
      <c r="DA609" s="1507"/>
      <c r="DB609" s="1508"/>
      <c r="DC609" s="1506">
        <f t="shared" si="13"/>
        <v>0</v>
      </c>
      <c r="DD609" s="1507"/>
      <c r="DE609" s="1507"/>
      <c r="DF609" s="1507"/>
      <c r="DG609" s="1508"/>
      <c r="DH609" s="1506">
        <f t="shared" si="14"/>
        <v>0</v>
      </c>
      <c r="DI609" s="1507"/>
      <c r="DJ609" s="1507"/>
      <c r="DK609" s="1507"/>
      <c r="DL609" s="1508"/>
      <c r="DM609" s="1506">
        <f t="shared" si="15"/>
        <v>0</v>
      </c>
      <c r="DN609" s="1507"/>
      <c r="DO609" s="1507"/>
      <c r="DP609" s="1507"/>
      <c r="DQ609" s="1508"/>
      <c r="DR609" s="1506">
        <f t="shared" si="16"/>
        <v>0</v>
      </c>
      <c r="DS609" s="1507"/>
      <c r="DT609" s="1507"/>
      <c r="DU609" s="1507"/>
      <c r="DV609" s="1508"/>
    </row>
    <row r="610" spans="1:126" ht="12.95"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6">
        <f t="shared" si="11"/>
        <v>0</v>
      </c>
      <c r="CT610" s="1507"/>
      <c r="CU610" s="1507"/>
      <c r="CV610" s="1507"/>
      <c r="CW610" s="1508"/>
      <c r="CX610" s="1506">
        <f t="shared" si="12"/>
        <v>0</v>
      </c>
      <c r="CY610" s="1507"/>
      <c r="CZ610" s="1507"/>
      <c r="DA610" s="1507"/>
      <c r="DB610" s="1508"/>
      <c r="DC610" s="1506">
        <f t="shared" si="13"/>
        <v>0</v>
      </c>
      <c r="DD610" s="1507"/>
      <c r="DE610" s="1507"/>
      <c r="DF610" s="1507"/>
      <c r="DG610" s="1508"/>
      <c r="DH610" s="1506">
        <f t="shared" si="14"/>
        <v>0</v>
      </c>
      <c r="DI610" s="1507"/>
      <c r="DJ610" s="1507"/>
      <c r="DK610" s="1507"/>
      <c r="DL610" s="1508"/>
      <c r="DM610" s="1506">
        <f t="shared" si="15"/>
        <v>0</v>
      </c>
      <c r="DN610" s="1507"/>
      <c r="DO610" s="1507"/>
      <c r="DP610" s="1507"/>
      <c r="DQ610" s="1508"/>
      <c r="DR610" s="1506">
        <f t="shared" si="16"/>
        <v>0</v>
      </c>
      <c r="DS610" s="1507"/>
      <c r="DT610" s="1507"/>
      <c r="DU610" s="1507"/>
      <c r="DV610" s="1508"/>
    </row>
    <row r="611" spans="1:126" ht="12.95" customHeight="1">
      <c r="A611" s="3" t="s">
        <v>689</v>
      </c>
      <c r="B611" s="3"/>
      <c r="C611" s="3" t="s">
        <v>878</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6">
        <f t="shared" si="11"/>
        <v>0</v>
      </c>
      <c r="CT611" s="1507"/>
      <c r="CU611" s="1507"/>
      <c r="CV611" s="1507"/>
      <c r="CW611" s="1508"/>
      <c r="CX611" s="1506">
        <f t="shared" si="12"/>
        <v>0</v>
      </c>
      <c r="CY611" s="1507"/>
      <c r="CZ611" s="1507"/>
      <c r="DA611" s="1507"/>
      <c r="DB611" s="1508"/>
      <c r="DC611" s="1506">
        <f t="shared" si="13"/>
        <v>0</v>
      </c>
      <c r="DD611" s="1507"/>
      <c r="DE611" s="1507"/>
      <c r="DF611" s="1507"/>
      <c r="DG611" s="1508"/>
      <c r="DH611" s="1506">
        <f t="shared" si="14"/>
        <v>0</v>
      </c>
      <c r="DI611" s="1507"/>
      <c r="DJ611" s="1507"/>
      <c r="DK611" s="1507"/>
      <c r="DL611" s="1508"/>
      <c r="DM611" s="1506">
        <f t="shared" si="15"/>
        <v>0</v>
      </c>
      <c r="DN611" s="1507"/>
      <c r="DO611" s="1507"/>
      <c r="DP611" s="1507"/>
      <c r="DQ611" s="1508"/>
      <c r="DR611" s="1506">
        <f t="shared" si="16"/>
        <v>0</v>
      </c>
      <c r="DS611" s="1507"/>
      <c r="DT611" s="1507"/>
      <c r="DU611" s="1507"/>
      <c r="DV611" s="1508"/>
    </row>
    <row r="612" spans="1:126" ht="12.95"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6">
        <f t="shared" si="11"/>
        <v>0</v>
      </c>
      <c r="CT612" s="1507"/>
      <c r="CU612" s="1507"/>
      <c r="CV612" s="1507"/>
      <c r="CW612" s="1508"/>
      <c r="CX612" s="1506">
        <f t="shared" si="12"/>
        <v>0</v>
      </c>
      <c r="CY612" s="1507"/>
      <c r="CZ612" s="1507"/>
      <c r="DA612" s="1507"/>
      <c r="DB612" s="1508"/>
      <c r="DC612" s="1506">
        <f t="shared" si="13"/>
        <v>0</v>
      </c>
      <c r="DD612" s="1507"/>
      <c r="DE612" s="1507"/>
      <c r="DF612" s="1507"/>
      <c r="DG612" s="1508"/>
      <c r="DH612" s="1506">
        <f t="shared" si="14"/>
        <v>0</v>
      </c>
      <c r="DI612" s="1507"/>
      <c r="DJ612" s="1507"/>
      <c r="DK612" s="1507"/>
      <c r="DL612" s="1508"/>
      <c r="DM612" s="1506">
        <f t="shared" si="15"/>
        <v>0</v>
      </c>
      <c r="DN612" s="1507"/>
      <c r="DO612" s="1507"/>
      <c r="DP612" s="1507"/>
      <c r="DQ612" s="1508"/>
      <c r="DR612" s="1506">
        <f t="shared" si="16"/>
        <v>0</v>
      </c>
      <c r="DS612" s="1507"/>
      <c r="DT612" s="1507"/>
      <c r="DU612" s="1507"/>
      <c r="DV612" s="1508"/>
    </row>
    <row r="613" spans="1:126" ht="12.95" customHeight="1">
      <c r="C613" s="3" t="s">
        <v>2253</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0</v>
      </c>
      <c r="BO613" s="1315"/>
      <c r="BP613" s="1315"/>
      <c r="BQ613" s="1315"/>
      <c r="BR613" s="1250"/>
      <c r="BS613" s="1249">
        <f>SUM(BS588:BW612)</f>
        <v>92</v>
      </c>
      <c r="BT613" s="1315"/>
      <c r="BU613" s="1315"/>
      <c r="BV613" s="1315"/>
      <c r="BW613" s="1250"/>
      <c r="BX613" s="1249">
        <f>SUM(BX588:CB612)</f>
        <v>27</v>
      </c>
      <c r="BY613" s="1315"/>
      <c r="BZ613" s="1315"/>
      <c r="CA613" s="1315"/>
      <c r="CB613" s="1250"/>
      <c r="CC613" s="1249">
        <f>SUM(CC588:CG612)</f>
        <v>0</v>
      </c>
      <c r="CD613" s="1315"/>
      <c r="CE613" s="1315"/>
      <c r="CF613" s="1315"/>
      <c r="CG613" s="1250"/>
      <c r="CH613" s="1249">
        <f>SUM(CH588:CL612)</f>
        <v>0</v>
      </c>
      <c r="CI613" s="1315"/>
      <c r="CJ613" s="1315"/>
      <c r="CK613" s="1315"/>
      <c r="CL613" s="1250"/>
      <c r="CM613" s="1249">
        <f>SUM(CM588:CQ612)</f>
        <v>0</v>
      </c>
      <c r="CN613" s="1315"/>
      <c r="CO613" s="1315"/>
      <c r="CP613" s="1315"/>
      <c r="CQ613" s="1250"/>
      <c r="CS613" s="1506">
        <f t="shared" si="11"/>
        <v>0</v>
      </c>
      <c r="CT613" s="1507"/>
      <c r="CU613" s="1507"/>
      <c r="CV613" s="1507"/>
      <c r="CW613" s="1508"/>
      <c r="CX613" s="1506">
        <f t="shared" si="12"/>
        <v>0</v>
      </c>
      <c r="CY613" s="1507"/>
      <c r="CZ613" s="1507"/>
      <c r="DA613" s="1507"/>
      <c r="DB613" s="1508"/>
      <c r="DC613" s="1506">
        <f t="shared" si="13"/>
        <v>0</v>
      </c>
      <c r="DD613" s="1507"/>
      <c r="DE613" s="1507"/>
      <c r="DF613" s="1507"/>
      <c r="DG613" s="1508"/>
      <c r="DH613" s="1506">
        <f t="shared" si="14"/>
        <v>0</v>
      </c>
      <c r="DI613" s="1507"/>
      <c r="DJ613" s="1507"/>
      <c r="DK613" s="1507"/>
      <c r="DL613" s="1508"/>
      <c r="DM613" s="1506">
        <f t="shared" si="15"/>
        <v>0</v>
      </c>
      <c r="DN613" s="1507"/>
      <c r="DO613" s="1507"/>
      <c r="DP613" s="1507"/>
      <c r="DQ613" s="1508"/>
      <c r="DR613" s="1506">
        <f t="shared" si="16"/>
        <v>0</v>
      </c>
      <c r="DS613" s="1507"/>
      <c r="DT613" s="1507"/>
      <c r="DU613" s="1507"/>
      <c r="DV613" s="1508"/>
    </row>
    <row r="614" spans="1:126" ht="12.95" customHeight="1" thickBot="1">
      <c r="B614" s="859"/>
      <c r="C614" s="3"/>
      <c r="AZ614" s="41"/>
      <c r="BA614" s="41"/>
      <c r="BB614" s="41"/>
      <c r="BC614" s="41"/>
      <c r="BD614" s="41"/>
      <c r="BE614" s="41"/>
      <c r="BF614" s="41"/>
      <c r="BG614" s="1249">
        <f>SUM(BG589:BH613)</f>
        <v>47</v>
      </c>
      <c r="BH614" s="1250"/>
      <c r="BI614" s="41"/>
      <c r="BJ614" s="41"/>
      <c r="BK614" s="1249">
        <f>SUM(BK589:BL613)</f>
        <v>60</v>
      </c>
      <c r="BL614" s="1250"/>
      <c r="BN614" s="41" t="s">
        <v>1800</v>
      </c>
      <c r="BO614" s="41"/>
      <c r="BP614" s="41"/>
      <c r="BQ614" s="41"/>
      <c r="BR614" s="480">
        <f>BN613*1</f>
        <v>0</v>
      </c>
      <c r="BS614" s="41"/>
      <c r="BT614" s="41"/>
      <c r="BU614" s="41"/>
      <c r="BV614" s="41"/>
      <c r="BW614" s="480">
        <f>BS613*1</f>
        <v>92</v>
      </c>
      <c r="BX614" s="41"/>
      <c r="BY614" s="41"/>
      <c r="BZ614" s="41"/>
      <c r="CA614" s="41"/>
      <c r="CB614" s="480">
        <f>BX613*2</f>
        <v>54</v>
      </c>
      <c r="CC614" s="41"/>
      <c r="CD614" s="41"/>
      <c r="CE614" s="41"/>
      <c r="CF614" s="41"/>
      <c r="CG614" s="480">
        <f>CC613*3</f>
        <v>0</v>
      </c>
      <c r="CH614" s="41"/>
      <c r="CI614" s="41"/>
      <c r="CJ614" s="41"/>
      <c r="CK614" s="41"/>
      <c r="CL614" s="480">
        <f>CH613*4</f>
        <v>0</v>
      </c>
      <c r="CM614" s="41"/>
      <c r="CN614" s="41"/>
      <c r="CO614" s="41"/>
      <c r="CP614" s="41"/>
      <c r="CQ614" s="479">
        <f>CM613*5</f>
        <v>0</v>
      </c>
      <c r="CS614" s="1249">
        <f>SUM(CS589:CW613)</f>
        <v>0</v>
      </c>
      <c r="CT614" s="1315"/>
      <c r="CU614" s="1315"/>
      <c r="CV614" s="1315"/>
      <c r="CW614" s="1250"/>
      <c r="CX614" s="1249">
        <f>SUM(CX589:DB613)</f>
        <v>45</v>
      </c>
      <c r="CY614" s="1315"/>
      <c r="CZ614" s="1315"/>
      <c r="DA614" s="1315"/>
      <c r="DB614" s="1250"/>
      <c r="DC614" s="1249">
        <f>SUM(DC589:DG613)</f>
        <v>15</v>
      </c>
      <c r="DD614" s="1315"/>
      <c r="DE614" s="1315"/>
      <c r="DF614" s="1315"/>
      <c r="DG614" s="1250"/>
      <c r="DH614" s="1249">
        <f>SUM(DH589:DL613)</f>
        <v>0</v>
      </c>
      <c r="DI614" s="1315"/>
      <c r="DJ614" s="1315"/>
      <c r="DK614" s="1315"/>
      <c r="DL614" s="1250"/>
      <c r="DM614" s="1249">
        <f>SUM(DM589:DQ613)</f>
        <v>0</v>
      </c>
      <c r="DN614" s="1315"/>
      <c r="DO614" s="1315"/>
      <c r="DP614" s="1315"/>
      <c r="DQ614" s="1250"/>
      <c r="DR614" s="1249">
        <f>SUM(DR589:DV613)</f>
        <v>0</v>
      </c>
      <c r="DS614" s="1315"/>
      <c r="DT614" s="1315"/>
      <c r="DU614" s="1315"/>
      <c r="DV614" s="1250"/>
    </row>
    <row r="615" spans="1:126" ht="12.95" customHeight="1" thickBot="1">
      <c r="B615" s="1100" t="s">
        <v>2322</v>
      </c>
      <c r="C615" s="1101"/>
      <c r="D615" s="1101"/>
      <c r="E615" s="1101"/>
      <c r="F615" s="1101"/>
      <c r="G615" s="1101"/>
      <c r="H615" s="1101"/>
      <c r="I615" s="1101"/>
      <c r="J615" s="1101"/>
      <c r="K615" s="1101"/>
      <c r="L615" s="1101"/>
      <c r="M615" s="1127" t="s">
        <v>2296</v>
      </c>
      <c r="N615" s="1127"/>
      <c r="O615" s="1127"/>
      <c r="P615" s="1127"/>
      <c r="Q615" s="1077" t="s">
        <v>2326</v>
      </c>
      <c r="R615" s="1078"/>
      <c r="S615" s="1079"/>
      <c r="T615" s="1077" t="s">
        <v>2325</v>
      </c>
      <c r="U615" s="1078"/>
      <c r="V615" s="1079"/>
      <c r="W615" s="1107" t="s">
        <v>776</v>
      </c>
      <c r="X615" s="1107"/>
      <c r="Y615" s="1108"/>
      <c r="Z615" s="1127" t="s">
        <v>2323</v>
      </c>
      <c r="AA615" s="1127"/>
      <c r="AB615" s="1127"/>
      <c r="AC615" s="1068" t="s">
        <v>2090</v>
      </c>
      <c r="AD615" s="1069"/>
      <c r="AE615" s="1070"/>
      <c r="AF615" s="1077" t="s">
        <v>2254</v>
      </c>
      <c r="AG615" s="1078"/>
      <c r="AH615" s="1078"/>
      <c r="AI615" s="1078"/>
      <c r="AJ615" s="1079"/>
      <c r="AK615" s="1128" t="s">
        <v>2255</v>
      </c>
      <c r="AL615" s="1129"/>
      <c r="AM615" s="1129"/>
      <c r="AN615" s="1130"/>
      <c r="AO615" s="1127" t="s">
        <v>777</v>
      </c>
      <c r="AP615" s="1127"/>
      <c r="AQ615" s="1127"/>
      <c r="AR615" s="1127"/>
      <c r="AS615" s="11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146</v>
      </c>
      <c r="CR615" s="41"/>
      <c r="CS615" s="41"/>
    </row>
    <row r="616" spans="1:126" ht="12.95" customHeight="1">
      <c r="B616" s="1102"/>
      <c r="C616" s="1103"/>
      <c r="D616" s="1103"/>
      <c r="E616" s="1103"/>
      <c r="F616" s="1103"/>
      <c r="G616" s="1103"/>
      <c r="H616" s="1103"/>
      <c r="I616" s="1103"/>
      <c r="J616" s="1103"/>
      <c r="K616" s="1103"/>
      <c r="L616" s="1103"/>
      <c r="M616" s="1127"/>
      <c r="N616" s="1127"/>
      <c r="O616" s="1127"/>
      <c r="P616" s="1127"/>
      <c r="Q616" s="1080"/>
      <c r="R616" s="1081"/>
      <c r="S616" s="1082"/>
      <c r="T616" s="1080"/>
      <c r="U616" s="1081"/>
      <c r="V616" s="1082"/>
      <c r="W616" s="1109"/>
      <c r="X616" s="1109"/>
      <c r="Y616" s="1110"/>
      <c r="Z616" s="1127"/>
      <c r="AA616" s="1127"/>
      <c r="AB616" s="1127"/>
      <c r="AC616" s="1071"/>
      <c r="AD616" s="1072"/>
      <c r="AE616" s="1073"/>
      <c r="AF616" s="1080"/>
      <c r="AG616" s="1081"/>
      <c r="AH616" s="1081"/>
      <c r="AI616" s="1081"/>
      <c r="AJ616" s="1082"/>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09">
        <f>IF(J738="5 Bedrooms",O738,0)</f>
        <v>0</v>
      </c>
      <c r="CN616" s="1510"/>
      <c r="CO616" s="1510"/>
      <c r="CP616" s="1510"/>
      <c r="CQ616" s="1247"/>
      <c r="CR616" s="41"/>
      <c r="CS616" s="41"/>
    </row>
    <row r="617" spans="1:126" ht="12.95" customHeight="1">
      <c r="B617" s="1104"/>
      <c r="C617" s="1105"/>
      <c r="D617" s="1105"/>
      <c r="E617" s="1105"/>
      <c r="F617" s="1105"/>
      <c r="G617" s="1105"/>
      <c r="H617" s="1105"/>
      <c r="I617" s="1105"/>
      <c r="J617" s="1105"/>
      <c r="K617" s="1105"/>
      <c r="L617" s="1105"/>
      <c r="M617" s="1127"/>
      <c r="N617" s="1127"/>
      <c r="O617" s="1127"/>
      <c r="P617" s="1127"/>
      <c r="Q617" s="1083"/>
      <c r="R617" s="1084"/>
      <c r="S617" s="1085"/>
      <c r="T617" s="1083"/>
      <c r="U617" s="1084"/>
      <c r="V617" s="1085"/>
      <c r="W617" s="1111"/>
      <c r="X617" s="1111"/>
      <c r="Y617" s="1112"/>
      <c r="Z617" s="1127"/>
      <c r="AA617" s="1127"/>
      <c r="AB617" s="1127"/>
      <c r="AC617" s="1074"/>
      <c r="AD617" s="1075"/>
      <c r="AE617" s="1076"/>
      <c r="AF617" s="1083"/>
      <c r="AG617" s="1084"/>
      <c r="AH617" s="1084"/>
      <c r="AI617" s="1084"/>
      <c r="AJ617" s="1085"/>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09">
        <f>IF(J739="5 Bedrooms",O739,0)</f>
        <v>0</v>
      </c>
      <c r="CN617" s="1510"/>
      <c r="CO617" s="1510"/>
      <c r="CP617" s="1510"/>
      <c r="CQ617" s="1247"/>
      <c r="CR617" s="41"/>
      <c r="CS617" s="41"/>
    </row>
    <row r="618" spans="1:126" ht="12.95" customHeight="1">
      <c r="B618" s="57" t="s">
        <v>944</v>
      </c>
      <c r="C618" s="1090" t="s">
        <v>2510</v>
      </c>
      <c r="D618" s="1090"/>
      <c r="E618" s="1090"/>
      <c r="F618" s="1090"/>
      <c r="G618" s="1090"/>
      <c r="H618" s="1090"/>
      <c r="I618" s="1090"/>
      <c r="J618" s="1090"/>
      <c r="K618" s="1090"/>
      <c r="L618" s="1090"/>
      <c r="M618" s="1113" t="s">
        <v>2306</v>
      </c>
      <c r="N618" s="1113"/>
      <c r="O618" s="1113"/>
      <c r="P618" s="1113"/>
      <c r="Q618" s="1062">
        <f>55*12</f>
        <v>660</v>
      </c>
      <c r="R618" s="1063"/>
      <c r="S618" s="1064"/>
      <c r="T618" s="1059"/>
      <c r="U618" s="1060"/>
      <c r="V618" s="1061"/>
      <c r="W618" s="1086">
        <v>0.03</v>
      </c>
      <c r="X618" s="1087"/>
      <c r="Y618" s="1088"/>
      <c r="Z618" s="1387" t="s">
        <v>826</v>
      </c>
      <c r="AA618" s="1388"/>
      <c r="AB618" s="1389"/>
      <c r="AC618" s="1056">
        <v>1</v>
      </c>
      <c r="AD618" s="1057"/>
      <c r="AE618" s="1058"/>
      <c r="AF618" s="1065">
        <f>+[4]EVERYTHING!$AB$38</f>
        <v>72410.335200000001</v>
      </c>
      <c r="AG618" s="1066"/>
      <c r="AH618" s="1066"/>
      <c r="AI618" s="1066"/>
      <c r="AJ618" s="1067"/>
      <c r="AK618" s="1123"/>
      <c r="AL618" s="1124"/>
      <c r="AM618" s="1124"/>
      <c r="AN618" s="1125"/>
      <c r="AO618" s="1199">
        <f>+[4]EVERYTHING!$E$8</f>
        <v>17240556</v>
      </c>
      <c r="AP618" s="1199"/>
      <c r="AQ618" s="1199"/>
      <c r="AR618" s="1199"/>
      <c r="AS618" s="1199"/>
      <c r="AT618" s="966" t="str">
        <f t="shared" ref="AT618:AT629" si="17">IF(AND(NOT(C617=""),C618="",NOT(C619="")),"!","")</f>
        <v/>
      </c>
      <c r="AU618" s="43"/>
      <c r="AV618" s="43"/>
      <c r="AW618" s="43"/>
      <c r="AX618" s="43"/>
      <c r="AY618" s="43"/>
      <c r="BA618" s="41" t="s">
        <v>2077</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09">
        <f>IF(J740="5 Bedrooms",O740,0)</f>
        <v>0</v>
      </c>
      <c r="CN618" s="1510"/>
      <c r="CO618" s="1510"/>
      <c r="CP618" s="1510"/>
      <c r="CQ618" s="1247"/>
      <c r="CR618" s="41"/>
      <c r="CS618" s="41"/>
    </row>
    <row r="619" spans="1:126" ht="12.95" customHeight="1">
      <c r="B619" s="58" t="s">
        <v>945</v>
      </c>
      <c r="C619" s="1090" t="s">
        <v>2511</v>
      </c>
      <c r="D619" s="1090"/>
      <c r="E619" s="1090"/>
      <c r="F619" s="1090"/>
      <c r="G619" s="1090"/>
      <c r="H619" s="1090"/>
      <c r="I619" s="1090"/>
      <c r="J619" s="1090"/>
      <c r="K619" s="1090"/>
      <c r="L619" s="1090"/>
      <c r="M619" s="1113" t="s">
        <v>2305</v>
      </c>
      <c r="N619" s="1113"/>
      <c r="O619" s="1113"/>
      <c r="P619" s="1113"/>
      <c r="Q619" s="1062">
        <f>+Q618</f>
        <v>660</v>
      </c>
      <c r="R619" s="1063"/>
      <c r="S619" s="1064"/>
      <c r="T619" s="1059"/>
      <c r="U619" s="1060"/>
      <c r="V619" s="1061"/>
      <c r="W619" s="1086">
        <v>0</v>
      </c>
      <c r="X619" s="1087"/>
      <c r="Y619" s="1088"/>
      <c r="Z619" s="1387" t="s">
        <v>826</v>
      </c>
      <c r="AA619" s="1388"/>
      <c r="AB619" s="1389"/>
      <c r="AC619" s="1056"/>
      <c r="AD619" s="1057"/>
      <c r="AE619" s="1058"/>
      <c r="AF619" s="1065"/>
      <c r="AG619" s="1066"/>
      <c r="AH619" s="1066"/>
      <c r="AI619" s="1066"/>
      <c r="AJ619" s="1067"/>
      <c r="AK619" s="1123"/>
      <c r="AL619" s="1124"/>
      <c r="AM619" s="1124"/>
      <c r="AN619" s="1125"/>
      <c r="AO619" s="1199">
        <f>+[4]EVERYTHING!$E$11</f>
        <v>15000</v>
      </c>
      <c r="AP619" s="1199"/>
      <c r="AQ619" s="1199"/>
      <c r="AR619" s="1199"/>
      <c r="AS619" s="1199"/>
      <c r="AT619" s="966" t="str">
        <f t="shared" si="17"/>
        <v/>
      </c>
      <c r="AU619" s="43"/>
      <c r="AV619" s="43"/>
      <c r="AW619" s="43"/>
      <c r="AX619" s="43"/>
      <c r="AY619" s="43"/>
      <c r="BA619" s="41" t="s">
        <v>827</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09">
        <f>IF(J741="5 Bedrooms",O741,0)</f>
        <v>0</v>
      </c>
      <c r="CN619" s="1510"/>
      <c r="CO619" s="1510"/>
      <c r="CP619" s="1510"/>
      <c r="CQ619" s="1247"/>
      <c r="CR619" s="41"/>
      <c r="CS619" s="41"/>
    </row>
    <row r="620" spans="1:126" ht="12.95" customHeight="1">
      <c r="B620" s="58" t="s">
        <v>951</v>
      </c>
      <c r="C620" s="1090" t="s">
        <v>2509</v>
      </c>
      <c r="D620" s="1090"/>
      <c r="E620" s="1090"/>
      <c r="F620" s="1090"/>
      <c r="G620" s="1090"/>
      <c r="H620" s="1090"/>
      <c r="I620" s="1090"/>
      <c r="J620" s="1090"/>
      <c r="K620" s="1090"/>
      <c r="L620" s="1090"/>
      <c r="M620" s="1113" t="s">
        <v>2308</v>
      </c>
      <c r="N620" s="1113"/>
      <c r="O620" s="1113"/>
      <c r="P620" s="1113"/>
      <c r="Q620" s="1062">
        <f>+Q619</f>
        <v>660</v>
      </c>
      <c r="R620" s="1063"/>
      <c r="S620" s="1064"/>
      <c r="T620" s="1059"/>
      <c r="U620" s="1060"/>
      <c r="V620" s="1061"/>
      <c r="W620" s="1086">
        <v>0</v>
      </c>
      <c r="X620" s="1087"/>
      <c r="Y620" s="1088"/>
      <c r="Z620" s="1387" t="s">
        <v>827</v>
      </c>
      <c r="AA620" s="1388"/>
      <c r="AB620" s="1389"/>
      <c r="AC620" s="1056">
        <v>2</v>
      </c>
      <c r="AD620" s="1057"/>
      <c r="AE620" s="1058"/>
      <c r="AF620" s="1065"/>
      <c r="AG620" s="1066"/>
      <c r="AH620" s="1066"/>
      <c r="AI620" s="1066"/>
      <c r="AJ620" s="1067"/>
      <c r="AK620" s="1123"/>
      <c r="AL620" s="1124"/>
      <c r="AM620" s="1124"/>
      <c r="AN620" s="1125"/>
      <c r="AO620" s="1199">
        <f>+[4]EVERYTHING!$E$7</f>
        <v>2538787</v>
      </c>
      <c r="AP620" s="1199"/>
      <c r="AQ620" s="1199"/>
      <c r="AR620" s="1199"/>
      <c r="AS620" s="1199"/>
      <c r="AT620" s="966" t="str">
        <f t="shared" si="17"/>
        <v/>
      </c>
      <c r="AU620" s="43"/>
      <c r="AV620" s="43"/>
      <c r="AW620" s="43"/>
      <c r="AX620" s="43"/>
      <c r="AY620" s="43"/>
      <c r="AZ620" s="43"/>
      <c r="BA620" s="41" t="s">
        <v>826</v>
      </c>
      <c r="BB620" s="43"/>
      <c r="BC620" s="43"/>
      <c r="BD620" s="43"/>
      <c r="BN620" s="1511">
        <f>SUM(BN616:BR619)</f>
        <v>0</v>
      </c>
      <c r="BO620" s="1512"/>
      <c r="BP620" s="1512"/>
      <c r="BQ620" s="1512"/>
      <c r="BR620" s="1513"/>
      <c r="BS620" s="1511">
        <f>SUM(BS616:BW619)</f>
        <v>0</v>
      </c>
      <c r="BT620" s="1512"/>
      <c r="BU620" s="1512"/>
      <c r="BV620" s="1512"/>
      <c r="BW620" s="1513"/>
      <c r="BX620" s="1511">
        <f>SUM(BX616:CB619)</f>
        <v>1</v>
      </c>
      <c r="BY620" s="1512"/>
      <c r="BZ620" s="1512"/>
      <c r="CA620" s="1512"/>
      <c r="CB620" s="1513"/>
      <c r="CC620" s="1511">
        <f>SUM(CC616:CG619)</f>
        <v>0</v>
      </c>
      <c r="CD620" s="1512"/>
      <c r="CE620" s="1512"/>
      <c r="CF620" s="1512"/>
      <c r="CG620" s="1513"/>
      <c r="CH620" s="1511">
        <f>SUM(CH616:CL619)</f>
        <v>0</v>
      </c>
      <c r="CI620" s="1512"/>
      <c r="CJ620" s="1512"/>
      <c r="CK620" s="1512"/>
      <c r="CL620" s="1513"/>
      <c r="CM620" s="1511">
        <f>SUM(CM616:CQ619)</f>
        <v>0</v>
      </c>
      <c r="CN620" s="1512"/>
      <c r="CO620" s="1512"/>
      <c r="CP620" s="1512"/>
      <c r="CQ620" s="1513"/>
      <c r="CS620" s="480">
        <f>BN620+BS620+BX620+CC620+CH620+CM620</f>
        <v>1</v>
      </c>
      <c r="CT620" s="63" t="s">
        <v>2081</v>
      </c>
      <c r="CU620" s="41"/>
    </row>
    <row r="621" spans="1:126" ht="12.95" customHeight="1">
      <c r="B621" s="58" t="s">
        <v>460</v>
      </c>
      <c r="C621" s="1090" t="s">
        <v>2365</v>
      </c>
      <c r="D621" s="1090"/>
      <c r="E621" s="1090"/>
      <c r="F621" s="1090"/>
      <c r="G621" s="1090"/>
      <c r="H621" s="1090"/>
      <c r="I621" s="1090"/>
      <c r="J621" s="1090"/>
      <c r="K621" s="1090"/>
      <c r="L621" s="1090"/>
      <c r="M621" s="1113" t="s">
        <v>2308</v>
      </c>
      <c r="N621" s="1113"/>
      <c r="O621" s="1113"/>
      <c r="P621" s="1113"/>
      <c r="Q621" s="1062">
        <f>+Q620</f>
        <v>660</v>
      </c>
      <c r="R621" s="1063"/>
      <c r="S621" s="1064"/>
      <c r="T621" s="1059"/>
      <c r="U621" s="1060"/>
      <c r="V621" s="1061"/>
      <c r="W621" s="1086">
        <v>0.03</v>
      </c>
      <c r="X621" s="1087"/>
      <c r="Y621" s="1088"/>
      <c r="Z621" s="1387" t="s">
        <v>826</v>
      </c>
      <c r="AA621" s="1388"/>
      <c r="AB621" s="1389"/>
      <c r="AC621" s="1056">
        <v>3</v>
      </c>
      <c r="AD621" s="1057"/>
      <c r="AE621" s="1058"/>
      <c r="AF621" s="1065"/>
      <c r="AG621" s="1066"/>
      <c r="AH621" s="1066"/>
      <c r="AI621" s="1066"/>
      <c r="AJ621" s="1067"/>
      <c r="AK621" s="1123"/>
      <c r="AL621" s="1124"/>
      <c r="AM621" s="1124"/>
      <c r="AN621" s="1125"/>
      <c r="AO621" s="1199">
        <f>+[4]EVERYTHING!$E$17+[4]EVERYTHING!$E$14</f>
        <v>1740000</v>
      </c>
      <c r="AP621" s="1199"/>
      <c r="AQ621" s="1199"/>
      <c r="AR621" s="1199"/>
      <c r="AS621" s="1199"/>
      <c r="AT621" s="966" t="str">
        <f t="shared" si="17"/>
        <v/>
      </c>
      <c r="AU621" s="43"/>
      <c r="AV621" s="43"/>
      <c r="AW621" s="43"/>
      <c r="AX621" s="43"/>
      <c r="AY621" s="43"/>
      <c r="AZ621" s="43"/>
      <c r="BA621" s="41" t="s">
        <v>2324</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t="s">
        <v>2504</v>
      </c>
      <c r="D622" s="1090"/>
      <c r="E622" s="1090"/>
      <c r="F622" s="1090"/>
      <c r="G622" s="1090"/>
      <c r="H622" s="1090"/>
      <c r="I622" s="1090"/>
      <c r="J622" s="1090"/>
      <c r="K622" s="1090"/>
      <c r="L622" s="1090"/>
      <c r="M622" s="1113" t="s">
        <v>2308</v>
      </c>
      <c r="N622" s="1113"/>
      <c r="O622" s="1113"/>
      <c r="P622" s="1113"/>
      <c r="Q622" s="1062">
        <f>15*12</f>
        <v>180</v>
      </c>
      <c r="R622" s="1063"/>
      <c r="S622" s="1064"/>
      <c r="T622" s="1059"/>
      <c r="U622" s="1060"/>
      <c r="V622" s="1061"/>
      <c r="W622" s="1086">
        <v>0</v>
      </c>
      <c r="X622" s="1087"/>
      <c r="Y622" s="1088"/>
      <c r="Z622" s="1387" t="s">
        <v>826</v>
      </c>
      <c r="AA622" s="1388"/>
      <c r="AB622" s="1389"/>
      <c r="AC622" s="1056">
        <v>4</v>
      </c>
      <c r="AD622" s="1057"/>
      <c r="AE622" s="1058"/>
      <c r="AF622" s="1065"/>
      <c r="AG622" s="1066"/>
      <c r="AH622" s="1066"/>
      <c r="AI622" s="1066"/>
      <c r="AJ622" s="1067"/>
      <c r="AK622" s="1123"/>
      <c r="AL622" s="1124"/>
      <c r="AM622" s="1124"/>
      <c r="AN622" s="1125"/>
      <c r="AO622" s="1199">
        <f>+[4]EVERYTHING!$E$12</f>
        <v>1250000</v>
      </c>
      <c r="AP622" s="1199"/>
      <c r="AQ622" s="1199"/>
      <c r="AR622" s="1199"/>
      <c r="AS622" s="1199"/>
      <c r="AT622" s="966" t="str">
        <f t="shared" si="17"/>
        <v/>
      </c>
      <c r="AU622" s="43"/>
      <c r="AV622" s="43"/>
      <c r="AW622" s="43"/>
      <c r="AX622" s="43"/>
      <c r="AY622" s="43"/>
      <c r="AZ622" s="43"/>
      <c r="BA622" s="41" t="s">
        <v>528</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2.95" customHeight="1">
      <c r="B623" s="58" t="s">
        <v>463</v>
      </c>
      <c r="C623" s="1090" t="s">
        <v>2512</v>
      </c>
      <c r="D623" s="1090"/>
      <c r="E623" s="1090"/>
      <c r="F623" s="1090"/>
      <c r="G623" s="1090"/>
      <c r="H623" s="1090"/>
      <c r="I623" s="1090"/>
      <c r="J623" s="1090"/>
      <c r="K623" s="1090"/>
      <c r="L623" s="1090"/>
      <c r="M623" s="1113" t="s">
        <v>2321</v>
      </c>
      <c r="N623" s="1113"/>
      <c r="O623" s="1113"/>
      <c r="P623" s="1113"/>
      <c r="Q623" s="1062"/>
      <c r="R623" s="1063"/>
      <c r="S623" s="1064"/>
      <c r="T623" s="1059"/>
      <c r="U623" s="1060"/>
      <c r="V623" s="1061"/>
      <c r="W623" s="1086"/>
      <c r="X623" s="1087"/>
      <c r="Y623" s="1088"/>
      <c r="Z623" s="1387" t="s">
        <v>827</v>
      </c>
      <c r="AA623" s="1388"/>
      <c r="AB623" s="1389"/>
      <c r="AC623" s="1056"/>
      <c r="AD623" s="1057"/>
      <c r="AE623" s="1058"/>
      <c r="AF623" s="1065"/>
      <c r="AG623" s="1066"/>
      <c r="AH623" s="1066"/>
      <c r="AI623" s="1066"/>
      <c r="AJ623" s="1067"/>
      <c r="AK623" s="1123"/>
      <c r="AL623" s="1124"/>
      <c r="AM623" s="1124"/>
      <c r="AN623" s="1125"/>
      <c r="AO623" s="1199">
        <f>+[4]EVERYTHING!$E$15</f>
        <v>1748736</v>
      </c>
      <c r="AP623" s="1199"/>
      <c r="AQ623" s="1199"/>
      <c r="AR623" s="1199"/>
      <c r="AS623" s="1199"/>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2.95" customHeight="1">
      <c r="B624" s="58" t="s">
        <v>778</v>
      </c>
      <c r="C624" s="1090" t="s">
        <v>2507</v>
      </c>
      <c r="D624" s="1090"/>
      <c r="E624" s="1090"/>
      <c r="F624" s="1090"/>
      <c r="G624" s="1090"/>
      <c r="H624" s="1090"/>
      <c r="I624" s="1090"/>
      <c r="J624" s="1090"/>
      <c r="K624" s="1090"/>
      <c r="L624" s="1090"/>
      <c r="M624" s="1113" t="s">
        <v>2302</v>
      </c>
      <c r="N624" s="1113"/>
      <c r="O624" s="1113"/>
      <c r="P624" s="1113"/>
      <c r="Q624" s="1062"/>
      <c r="R624" s="1063"/>
      <c r="S624" s="1064"/>
      <c r="T624" s="1059"/>
      <c r="U624" s="1060"/>
      <c r="V624" s="1061"/>
      <c r="W624" s="1086"/>
      <c r="X624" s="1087"/>
      <c r="Y624" s="1088"/>
      <c r="Z624" s="1387" t="s">
        <v>2077</v>
      </c>
      <c r="AA624" s="1388"/>
      <c r="AB624" s="1389"/>
      <c r="AC624" s="1056"/>
      <c r="AD624" s="1057"/>
      <c r="AE624" s="1058"/>
      <c r="AF624" s="1065"/>
      <c r="AG624" s="1066"/>
      <c r="AH624" s="1066"/>
      <c r="AI624" s="1066"/>
      <c r="AJ624" s="1067"/>
      <c r="AK624" s="1123"/>
      <c r="AL624" s="1124"/>
      <c r="AM624" s="1124"/>
      <c r="AN624" s="1125"/>
      <c r="AO624" s="1199">
        <f>+[4]EVERYTHING!$E$19</f>
        <v>1000</v>
      </c>
      <c r="AP624" s="1199"/>
      <c r="AQ624" s="1199"/>
      <c r="AR624" s="1199"/>
      <c r="AS624" s="1199"/>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2.95" customHeight="1">
      <c r="B625" s="58" t="s">
        <v>779</v>
      </c>
      <c r="C625" s="1090" t="s">
        <v>2513</v>
      </c>
      <c r="D625" s="1090"/>
      <c r="E625" s="1090"/>
      <c r="F625" s="1090"/>
      <c r="G625" s="1090"/>
      <c r="H625" s="1090"/>
      <c r="I625" s="1090"/>
      <c r="J625" s="1090"/>
      <c r="K625" s="1090"/>
      <c r="L625" s="1090"/>
      <c r="M625" s="1113" t="s">
        <v>2299</v>
      </c>
      <c r="N625" s="1113"/>
      <c r="O625" s="1113"/>
      <c r="P625" s="1113"/>
      <c r="Q625" s="1062"/>
      <c r="R625" s="1063"/>
      <c r="S625" s="1064"/>
      <c r="T625" s="1059"/>
      <c r="U625" s="1060"/>
      <c r="V625" s="1061"/>
      <c r="W625" s="1086"/>
      <c r="X625" s="1087"/>
      <c r="Y625" s="1088"/>
      <c r="Z625" s="1387" t="s">
        <v>2077</v>
      </c>
      <c r="AA625" s="1388"/>
      <c r="AB625" s="1389"/>
      <c r="AC625" s="1056">
        <v>5</v>
      </c>
      <c r="AD625" s="1057"/>
      <c r="AE625" s="1058"/>
      <c r="AF625" s="1065"/>
      <c r="AG625" s="1066"/>
      <c r="AH625" s="1066"/>
      <c r="AI625" s="1066"/>
      <c r="AJ625" s="1067"/>
      <c r="AK625" s="1123"/>
      <c r="AL625" s="1124"/>
      <c r="AM625" s="1124"/>
      <c r="AN625" s="1125"/>
      <c r="AO625" s="1199">
        <f>+[4]EVERYTHING!$E$18</f>
        <v>283174</v>
      </c>
      <c r="AP625" s="1199"/>
      <c r="AQ625" s="1199"/>
      <c r="AR625" s="1199"/>
      <c r="AS625" s="1199"/>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2.95" customHeight="1">
      <c r="B626" s="58" t="s">
        <v>577</v>
      </c>
      <c r="C626" s="1090" t="s">
        <v>2522</v>
      </c>
      <c r="D626" s="1090"/>
      <c r="E626" s="1090"/>
      <c r="F626" s="1090"/>
      <c r="G626" s="1090"/>
      <c r="H626" s="1090"/>
      <c r="I626" s="1090"/>
      <c r="J626" s="1090"/>
      <c r="K626" s="1090"/>
      <c r="L626" s="1090"/>
      <c r="M626" s="1113" t="s">
        <v>2304</v>
      </c>
      <c r="N626" s="1113"/>
      <c r="O626" s="1113"/>
      <c r="P626" s="1113"/>
      <c r="Q626" s="1062"/>
      <c r="R626" s="1063"/>
      <c r="S626" s="1064"/>
      <c r="T626" s="1059"/>
      <c r="U626" s="1060"/>
      <c r="V626" s="1061"/>
      <c r="W626" s="1086"/>
      <c r="X626" s="1087"/>
      <c r="Y626" s="1088"/>
      <c r="Z626" s="1387" t="s">
        <v>2077</v>
      </c>
      <c r="AA626" s="1388"/>
      <c r="AB626" s="1389"/>
      <c r="AC626" s="1056"/>
      <c r="AD626" s="1057"/>
      <c r="AE626" s="1058"/>
      <c r="AF626" s="1065"/>
      <c r="AG626" s="1066"/>
      <c r="AH626" s="1066"/>
      <c r="AI626" s="1066"/>
      <c r="AJ626" s="1067"/>
      <c r="AK626" s="1123"/>
      <c r="AL626" s="1124"/>
      <c r="AM626" s="1124"/>
      <c r="AN626" s="1125"/>
      <c r="AO626" s="1199">
        <f>+[4]EVERYTHING!$E$143</f>
        <v>345101.27695007226</v>
      </c>
      <c r="AP626" s="1199"/>
      <c r="AQ626" s="1199"/>
      <c r="AR626" s="1199"/>
      <c r="AS626" s="1199"/>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2.95"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7" t="s">
        <v>2077</v>
      </c>
      <c r="AA627" s="1388"/>
      <c r="AB627" s="1389"/>
      <c r="AC627" s="1056"/>
      <c r="AD627" s="1057"/>
      <c r="AE627" s="1058"/>
      <c r="AF627" s="1065"/>
      <c r="AG627" s="1066"/>
      <c r="AH627" s="1066"/>
      <c r="AI627" s="1066"/>
      <c r="AJ627" s="1067"/>
      <c r="AK627" s="1123"/>
      <c r="AL627" s="1124"/>
      <c r="AM627" s="1124"/>
      <c r="AN627" s="1125"/>
      <c r="AO627" s="1199"/>
      <c r="AP627" s="1199"/>
      <c r="AQ627" s="1199"/>
      <c r="AR627" s="1199"/>
      <c r="AS627" s="1199"/>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2.95"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7" t="s">
        <v>2077</v>
      </c>
      <c r="AA628" s="1388"/>
      <c r="AB628" s="1389"/>
      <c r="AC628" s="1056"/>
      <c r="AD628" s="1057"/>
      <c r="AE628" s="1058"/>
      <c r="AF628" s="1065"/>
      <c r="AG628" s="1066"/>
      <c r="AH628" s="1066"/>
      <c r="AI628" s="1066"/>
      <c r="AJ628" s="1067"/>
      <c r="AK628" s="1123"/>
      <c r="AL628" s="1124"/>
      <c r="AM628" s="1124"/>
      <c r="AN628" s="1125"/>
      <c r="AO628" s="1199"/>
      <c r="AP628" s="1199"/>
      <c r="AQ628" s="1199"/>
      <c r="AR628" s="1199"/>
      <c r="AS628" s="1199"/>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2.95"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7" t="s">
        <v>2077</v>
      </c>
      <c r="AA629" s="1388"/>
      <c r="AB629" s="1389"/>
      <c r="AC629" s="1056"/>
      <c r="AD629" s="1057"/>
      <c r="AE629" s="1058"/>
      <c r="AF629" s="1065"/>
      <c r="AG629" s="1066"/>
      <c r="AH629" s="1066"/>
      <c r="AI629" s="1066"/>
      <c r="AJ629" s="1067"/>
      <c r="AK629" s="1123"/>
      <c r="AL629" s="1124"/>
      <c r="AM629" s="1124"/>
      <c r="AN629" s="1125"/>
      <c r="AO629" s="1199"/>
      <c r="AP629" s="1199"/>
      <c r="AQ629" s="1199"/>
      <c r="AR629" s="1199"/>
      <c r="AS629" s="1199"/>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25162354.276950072</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f>+[4]EVERYTHING!$H$20</f>
        <v>35953739.523049928</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2.95" customHeight="1">
      <c r="B632" s="1385"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6"/>
      <c r="AO632" s="1155">
        <f>AO630+AO631</f>
        <v>61116093.799999997</v>
      </c>
      <c r="AP632" s="1156"/>
      <c r="AQ632" s="1156"/>
      <c r="AR632" s="1156"/>
      <c r="AS632" s="1157"/>
      <c r="AT632" s="43"/>
      <c r="AU632" s="43"/>
      <c r="AV632" s="43"/>
      <c r="AW632" s="43"/>
      <c r="AX632" s="43"/>
      <c r="AY632" s="43"/>
      <c r="AZ632" s="43"/>
      <c r="BN632" s="1511">
        <f>SUM(BN622:BR631)</f>
        <v>0</v>
      </c>
      <c r="BO632" s="1512"/>
      <c r="BP632" s="1512"/>
      <c r="BQ632" s="1512"/>
      <c r="BR632" s="1513"/>
      <c r="BS632" s="1511">
        <f>SUM(BS622:BW631)</f>
        <v>0</v>
      </c>
      <c r="BT632" s="1512"/>
      <c r="BU632" s="1512"/>
      <c r="BV632" s="1512"/>
      <c r="BW632" s="1513"/>
      <c r="BX632" s="1511">
        <f>SUM(BX622:CB631)</f>
        <v>0</v>
      </c>
      <c r="BY632" s="1512"/>
      <c r="BZ632" s="1512"/>
      <c r="CA632" s="1512"/>
      <c r="CB632" s="1513"/>
      <c r="CC632" s="1511">
        <f>SUM(CC622:CG631)</f>
        <v>0</v>
      </c>
      <c r="CD632" s="1512"/>
      <c r="CE632" s="1512"/>
      <c r="CF632" s="1512"/>
      <c r="CG632" s="1513"/>
      <c r="CH632" s="1511">
        <f>SUM(CH622:CL631)</f>
        <v>0</v>
      </c>
      <c r="CI632" s="1512"/>
      <c r="CJ632" s="1512"/>
      <c r="CK632" s="1512"/>
      <c r="CL632" s="1513"/>
      <c r="CM632" s="1511">
        <f>SUM(CM622:CQ631)</f>
        <v>0</v>
      </c>
      <c r="CN632" s="1512"/>
      <c r="CO632" s="1512"/>
      <c r="CP632" s="1512"/>
      <c r="CQ632" s="151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8" t="str">
        <f>C618</f>
        <v xml:space="preserve">HCD AHSC </v>
      </c>
      <c r="H634" s="1298"/>
      <c r="I634" s="1298"/>
      <c r="J634" s="1298"/>
      <c r="K634" s="1298"/>
      <c r="L634" s="1298"/>
      <c r="M634" s="1298"/>
      <c r="N634" s="1298"/>
      <c r="O634" s="1298"/>
      <c r="P634" s="1298"/>
      <c r="Q634" s="1298"/>
      <c r="R634" s="1298"/>
      <c r="S634" s="12"/>
      <c r="T634" s="61" t="s">
        <v>945</v>
      </c>
      <c r="U634" t="s">
        <v>90</v>
      </c>
      <c r="Z634" s="1298" t="str">
        <f>C619</f>
        <v xml:space="preserve">HCD AHSC Program </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1" t="s">
        <v>2543</v>
      </c>
      <c r="H635" s="1091"/>
      <c r="I635" s="1091"/>
      <c r="J635" s="1091"/>
      <c r="K635" s="1091"/>
      <c r="L635" s="1091"/>
      <c r="M635" s="1091"/>
      <c r="N635" s="1091"/>
      <c r="O635" s="1091"/>
      <c r="P635" s="1091"/>
      <c r="Q635" s="1091"/>
      <c r="R635" s="1091"/>
      <c r="S635" s="12"/>
      <c r="T635" s="4"/>
      <c r="U635" t="s">
        <v>397</v>
      </c>
      <c r="Z635" s="1091" t="s">
        <v>2543</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118</v>
      </c>
      <c r="H636" s="1091"/>
      <c r="I636" s="1091"/>
      <c r="J636" s="1091"/>
      <c r="K636" s="1091"/>
      <c r="L636" s="1091"/>
      <c r="M636" s="1091"/>
      <c r="N636" s="1091"/>
      <c r="O636" s="1091"/>
      <c r="P636" s="1091"/>
      <c r="Q636" s="1091"/>
      <c r="R636" s="1091"/>
      <c r="T636" s="4"/>
      <c r="U636" t="s">
        <v>459</v>
      </c>
      <c r="Z636" s="1092" t="s">
        <v>118</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146</v>
      </c>
      <c r="CR636" s="41"/>
      <c r="CS636" s="41"/>
    </row>
    <row r="637" spans="1:97" ht="12.95" customHeight="1">
      <c r="A637" s="4"/>
      <c r="B637" t="s">
        <v>874</v>
      </c>
      <c r="G637" s="1091" t="s">
        <v>2551</v>
      </c>
      <c r="H637" s="1091"/>
      <c r="I637" s="1091"/>
      <c r="J637" s="1091"/>
      <c r="K637" s="1091"/>
      <c r="L637" s="1091"/>
      <c r="M637" s="1091"/>
      <c r="N637" s="1091"/>
      <c r="O637" s="1091"/>
      <c r="P637" s="1091"/>
      <c r="Q637" s="1091"/>
      <c r="R637" s="1091"/>
      <c r="S637" s="12"/>
      <c r="T637" s="4"/>
      <c r="U637" t="s">
        <v>874</v>
      </c>
      <c r="Z637" s="1092" t="s">
        <v>2551</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6" t="s">
        <v>2552</v>
      </c>
      <c r="H638" s="1116"/>
      <c r="I638" s="1116"/>
      <c r="J638" s="1116"/>
      <c r="K638" s="1116"/>
      <c r="L638" s="1116"/>
      <c r="O638" s="42" t="s">
        <v>859</v>
      </c>
      <c r="P638" s="1287"/>
      <c r="Q638" s="1287"/>
      <c r="R638" s="1287"/>
      <c r="S638" s="14"/>
      <c r="T638" s="4"/>
      <c r="U638" t="s">
        <v>686</v>
      </c>
      <c r="Z638" s="1116" t="s">
        <v>2552</v>
      </c>
      <c r="AA638" s="1116"/>
      <c r="AB638" s="1116"/>
      <c r="AC638" s="1116"/>
      <c r="AD638" s="1116"/>
      <c r="AE638" s="1116"/>
      <c r="AH638" s="42" t="s">
        <v>859</v>
      </c>
      <c r="AI638" s="1287"/>
      <c r="AJ638" s="1287"/>
      <c r="AK638" s="1287"/>
      <c r="AM638" s="43"/>
      <c r="AN638" s="43"/>
      <c r="AO638" s="43"/>
      <c r="AP638" s="43"/>
      <c r="AQ638" s="43"/>
      <c r="AR638" s="43"/>
      <c r="AS638" s="43"/>
      <c r="AT638" s="43"/>
      <c r="AU638" s="43"/>
      <c r="AV638" s="43"/>
      <c r="AW638" s="43"/>
      <c r="AX638" s="43"/>
      <c r="AY638" s="43"/>
      <c r="AZ638" s="43"/>
      <c r="BN638" s="1511">
        <f>BN613+BN620+BN632</f>
        <v>0</v>
      </c>
      <c r="BO638" s="1512"/>
      <c r="BP638" s="1512"/>
      <c r="BQ638" s="1512"/>
      <c r="BR638" s="1513"/>
      <c r="BS638" s="1511">
        <f>BS613+BS620+BS632</f>
        <v>92</v>
      </c>
      <c r="BT638" s="1512"/>
      <c r="BU638" s="1512"/>
      <c r="BV638" s="1512"/>
      <c r="BW638" s="1513"/>
      <c r="BX638" s="1511">
        <f>BX613+BX620+BX632</f>
        <v>28</v>
      </c>
      <c r="BY638" s="1512"/>
      <c r="BZ638" s="1512"/>
      <c r="CA638" s="1512"/>
      <c r="CB638" s="1513"/>
      <c r="CC638" s="1511">
        <f>CC613+CC620+CC632</f>
        <v>0</v>
      </c>
      <c r="CD638" s="1512"/>
      <c r="CE638" s="1512"/>
      <c r="CF638" s="1512"/>
      <c r="CG638" s="1513"/>
      <c r="CH638" s="1511">
        <f>CH613+CH620+CH632</f>
        <v>0</v>
      </c>
      <c r="CI638" s="1512"/>
      <c r="CJ638" s="1512"/>
      <c r="CK638" s="1512"/>
      <c r="CL638" s="1513"/>
      <c r="CM638" s="1249">
        <f>CM632+CM620+CM613</f>
        <v>0</v>
      </c>
      <c r="CN638" s="1315"/>
      <c r="CO638" s="1315"/>
      <c r="CP638" s="1315"/>
      <c r="CQ638" s="1250"/>
      <c r="CR638" s="41"/>
      <c r="CS638" s="41"/>
    </row>
    <row r="639" spans="1:97" ht="12.95" customHeight="1">
      <c r="A639" s="4"/>
      <c r="B639" t="s">
        <v>875</v>
      </c>
      <c r="H639" s="1091" t="s">
        <v>2538</v>
      </c>
      <c r="I639" s="1091"/>
      <c r="J639" s="1091"/>
      <c r="K639" s="1091"/>
      <c r="L639" s="1091"/>
      <c r="M639" s="1091"/>
      <c r="N639" s="1091"/>
      <c r="O639" s="1091"/>
      <c r="P639" s="1091"/>
      <c r="Q639" s="1091"/>
      <c r="R639" s="1091"/>
      <c r="S639" s="12"/>
      <c r="T639" s="4"/>
      <c r="U639" t="s">
        <v>875</v>
      </c>
      <c r="AA639" s="1091" t="s">
        <v>2538</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7" t="s">
        <v>116</v>
      </c>
      <c r="O640" s="1117"/>
      <c r="T640" s="4"/>
      <c r="U640" t="s">
        <v>877</v>
      </c>
      <c r="AG640" s="1117" t="s">
        <v>116</v>
      </c>
      <c r="AH640" s="1117"/>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8" t="str">
        <f>C620</f>
        <v xml:space="preserve">HCD IIG </v>
      </c>
      <c r="H642" s="1298"/>
      <c r="I642" s="1298"/>
      <c r="J642" s="1298"/>
      <c r="K642" s="1298"/>
      <c r="L642" s="1298"/>
      <c r="M642" s="1298"/>
      <c r="N642" s="1298"/>
      <c r="O642" s="1298"/>
      <c r="P642" s="1298"/>
      <c r="Q642" s="1298"/>
      <c r="R642" s="1298"/>
      <c r="T642" s="61" t="s">
        <v>460</v>
      </c>
      <c r="U642" t="s">
        <v>90</v>
      </c>
      <c r="Z642" s="1298" t="str">
        <f>C621</f>
        <v>City of Stockton</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520" t="s">
        <v>2553</v>
      </c>
      <c r="H643" s="1091"/>
      <c r="I643" s="1091"/>
      <c r="J643" s="1091"/>
      <c r="K643" s="1091"/>
      <c r="L643" s="1091"/>
      <c r="M643" s="1091"/>
      <c r="N643" s="1091"/>
      <c r="O643" s="1091"/>
      <c r="P643" s="1091"/>
      <c r="Q643" s="1091"/>
      <c r="R643" s="1091"/>
      <c r="T643" s="4"/>
      <c r="U643" t="s">
        <v>397</v>
      </c>
      <c r="Z643" s="1091" t="s">
        <v>2535</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t="s">
        <v>118</v>
      </c>
      <c r="H644" s="1092"/>
      <c r="I644" s="1092"/>
      <c r="J644" s="1092"/>
      <c r="K644" s="1092"/>
      <c r="L644" s="1092"/>
      <c r="M644" s="1092"/>
      <c r="N644" s="1092"/>
      <c r="O644" s="1092"/>
      <c r="P644" s="1092"/>
      <c r="Q644" s="1092"/>
      <c r="R644" s="1092"/>
      <c r="T644" s="4"/>
      <c r="U644" t="s">
        <v>459</v>
      </c>
      <c r="Z644" s="1092" t="s">
        <v>2362</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t="s">
        <v>2545</v>
      </c>
      <c r="H645" s="1092"/>
      <c r="I645" s="1092"/>
      <c r="J645" s="1092"/>
      <c r="K645" s="1092"/>
      <c r="L645" s="1092"/>
      <c r="M645" s="1092"/>
      <c r="N645" s="1092"/>
      <c r="O645" s="1092"/>
      <c r="P645" s="1092"/>
      <c r="Q645" s="1092"/>
      <c r="R645" s="1092"/>
      <c r="T645" s="4"/>
      <c r="U645" t="s">
        <v>874</v>
      </c>
      <c r="Z645" s="1092" t="s">
        <v>2536</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6" t="s">
        <v>2546</v>
      </c>
      <c r="H646" s="1116"/>
      <c r="I646" s="1116"/>
      <c r="J646" s="1116"/>
      <c r="K646" s="1116"/>
      <c r="L646" s="1116"/>
      <c r="O646" s="42" t="s">
        <v>859</v>
      </c>
      <c r="P646" s="1287"/>
      <c r="Q646" s="1287"/>
      <c r="R646" s="1287"/>
      <c r="T646" s="4"/>
      <c r="U646" t="s">
        <v>686</v>
      </c>
      <c r="Z646" s="1116" t="s">
        <v>2537</v>
      </c>
      <c r="AA646" s="1116"/>
      <c r="AB646" s="1116"/>
      <c r="AC646" s="1116"/>
      <c r="AD646" s="1116"/>
      <c r="AE646" s="1116"/>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1" t="s">
        <v>2547</v>
      </c>
      <c r="I647" s="1091"/>
      <c r="J647" s="1091"/>
      <c r="K647" s="1091"/>
      <c r="L647" s="1091"/>
      <c r="M647" s="1091"/>
      <c r="N647" s="1091"/>
      <c r="O647" s="1091"/>
      <c r="P647" s="1091"/>
      <c r="Q647" s="1091"/>
      <c r="R647" s="1091"/>
      <c r="T647" s="4"/>
      <c r="U647" t="s">
        <v>875</v>
      </c>
      <c r="AA647" s="1091" t="s">
        <v>2538</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7" t="s">
        <v>116</v>
      </c>
      <c r="O648" s="1117"/>
      <c r="T648" s="4"/>
      <c r="U648" t="s">
        <v>877</v>
      </c>
      <c r="AG648" s="1117" t="s">
        <v>116</v>
      </c>
      <c r="AH648" s="1117"/>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8" t="str">
        <f>C622</f>
        <v xml:space="preserve">FHLB AHP </v>
      </c>
      <c r="H650" s="1298"/>
      <c r="I650" s="1298"/>
      <c r="J650" s="1298"/>
      <c r="K650" s="1298"/>
      <c r="L650" s="1298"/>
      <c r="M650" s="1298"/>
      <c r="N650" s="1298"/>
      <c r="O650" s="1298"/>
      <c r="P650" s="1298"/>
      <c r="Q650" s="1298"/>
      <c r="R650" s="1298"/>
      <c r="T650" s="61" t="s">
        <v>463</v>
      </c>
      <c r="U650" t="s">
        <v>90</v>
      </c>
      <c r="Z650" s="1298" t="str">
        <f>C623</f>
        <v xml:space="preserve">City of Stockton Fee Waiver </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t="s">
        <v>2548</v>
      </c>
      <c r="H651" s="1091"/>
      <c r="I651" s="1091"/>
      <c r="J651" s="1091"/>
      <c r="K651" s="1091"/>
      <c r="L651" s="1091"/>
      <c r="M651" s="1091"/>
      <c r="N651" s="1091"/>
      <c r="O651" s="1091"/>
      <c r="P651" s="1091"/>
      <c r="Q651" s="1091"/>
      <c r="R651" s="1091"/>
      <c r="T651" s="4"/>
      <c r="U651" t="s">
        <v>397</v>
      </c>
      <c r="Z651" s="1091" t="s">
        <v>2555</v>
      </c>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t="s">
        <v>122</v>
      </c>
      <c r="H652" s="1091"/>
      <c r="I652" s="1091"/>
      <c r="J652" s="1091"/>
      <c r="K652" s="1091"/>
      <c r="L652" s="1091"/>
      <c r="M652" s="1091"/>
      <c r="N652" s="1091"/>
      <c r="O652" s="1091"/>
      <c r="P652" s="1091"/>
      <c r="Q652" s="1091"/>
      <c r="R652" s="1091"/>
      <c r="T652" s="4"/>
      <c r="U652" t="s">
        <v>459</v>
      </c>
      <c r="Z652" s="1092" t="s">
        <v>2362</v>
      </c>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t="s">
        <v>2549</v>
      </c>
      <c r="H653" s="1091"/>
      <c r="I653" s="1091"/>
      <c r="J653" s="1091"/>
      <c r="K653" s="1091"/>
      <c r="L653" s="1091"/>
      <c r="M653" s="1091"/>
      <c r="N653" s="1091"/>
      <c r="O653" s="1091"/>
      <c r="P653" s="1091"/>
      <c r="Q653" s="1091"/>
      <c r="R653" s="1091"/>
      <c r="T653" s="4"/>
      <c r="U653" t="s">
        <v>874</v>
      </c>
      <c r="Z653" s="1092" t="s">
        <v>2540</v>
      </c>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26" t="s">
        <v>2554</v>
      </c>
      <c r="H654" s="1116"/>
      <c r="I654" s="1116"/>
      <c r="J654" s="1116"/>
      <c r="K654" s="1116"/>
      <c r="L654" s="1116"/>
      <c r="O654" s="42" t="s">
        <v>859</v>
      </c>
      <c r="P654" s="1287"/>
      <c r="Q654" s="1287"/>
      <c r="R654" s="1287"/>
      <c r="T654" s="4"/>
      <c r="U654" t="s">
        <v>686</v>
      </c>
      <c r="Z654" s="1116" t="s">
        <v>2541</v>
      </c>
      <c r="AA654" s="1116"/>
      <c r="AB654" s="1116"/>
      <c r="AC654" s="1116"/>
      <c r="AD654" s="1116"/>
      <c r="AE654" s="1116"/>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t="s">
        <v>2547</v>
      </c>
      <c r="I655" s="1091"/>
      <c r="J655" s="1091"/>
      <c r="K655" s="1091"/>
      <c r="L655" s="1091"/>
      <c r="M655" s="1091"/>
      <c r="N655" s="1091"/>
      <c r="O655" s="1091"/>
      <c r="P655" s="1091"/>
      <c r="Q655" s="1091"/>
      <c r="R655" s="1091"/>
      <c r="T655" s="4"/>
      <c r="U655" t="s">
        <v>875</v>
      </c>
      <c r="AA655" s="1091" t="s">
        <v>2542</v>
      </c>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7" t="s">
        <v>116</v>
      </c>
      <c r="O656" s="1117"/>
      <c r="T656" s="4"/>
      <c r="U656" t="s">
        <v>877</v>
      </c>
      <c r="AG656" s="1117" t="s">
        <v>116</v>
      </c>
      <c r="AH656" s="111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8" t="str">
        <f>C624</f>
        <v xml:space="preserve">GP Equity </v>
      </c>
      <c r="H658" s="1298"/>
      <c r="I658" s="1298"/>
      <c r="J658" s="1298"/>
      <c r="K658" s="1298"/>
      <c r="L658" s="1298"/>
      <c r="M658" s="1298"/>
      <c r="N658" s="1298"/>
      <c r="O658" s="1298"/>
      <c r="P658" s="1298"/>
      <c r="Q658" s="1298"/>
      <c r="R658" s="1298"/>
      <c r="T658" s="61" t="s">
        <v>779</v>
      </c>
      <c r="U658" t="s">
        <v>90</v>
      </c>
      <c r="Z658" s="1298" t="str">
        <f>C625</f>
        <v xml:space="preserve">Deferred Developer Fee </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6"/>
      <c r="H662" s="1116"/>
      <c r="I662" s="1116"/>
      <c r="J662" s="1116"/>
      <c r="K662" s="1116"/>
      <c r="L662" s="1116"/>
      <c r="O662" s="42" t="s">
        <v>859</v>
      </c>
      <c r="P662" s="1287"/>
      <c r="Q662" s="1287"/>
      <c r="R662" s="1287"/>
      <c r="T662" s="4"/>
      <c r="U662" t="s">
        <v>686</v>
      </c>
      <c r="Z662" s="1116"/>
      <c r="AA662" s="1116"/>
      <c r="AB662" s="1116"/>
      <c r="AC662" s="1116"/>
      <c r="AD662" s="1116"/>
      <c r="AE662" s="1116"/>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7" t="s">
        <v>511</v>
      </c>
      <c r="O664" s="1117"/>
      <c r="T664" s="4"/>
      <c r="U664" t="s">
        <v>877</v>
      </c>
      <c r="AG664" s="1117" t="s">
        <v>511</v>
      </c>
      <c r="AH664" s="111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8" t="str">
        <f>C626</f>
        <v xml:space="preserve">Equity from PV Credit </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6"/>
      <c r="H670" s="1116"/>
      <c r="I670" s="1116"/>
      <c r="J670" s="1116"/>
      <c r="K670" s="1116"/>
      <c r="L670" s="1116"/>
      <c r="O670" s="42" t="s">
        <v>859</v>
      </c>
      <c r="P670" s="1287"/>
      <c r="Q670" s="1287"/>
      <c r="R670" s="1287"/>
      <c r="T670" s="4"/>
      <c r="U670" t="s">
        <v>686</v>
      </c>
      <c r="Z670" s="1116"/>
      <c r="AA670" s="1116"/>
      <c r="AB670" s="1116"/>
      <c r="AC670" s="1116"/>
      <c r="AD670" s="1116"/>
      <c r="AE670" s="1116"/>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7" t="s">
        <v>511</v>
      </c>
      <c r="O672" s="1117"/>
      <c r="T672" s="4"/>
      <c r="U672" t="s">
        <v>877</v>
      </c>
      <c r="AG672" s="1117" t="s">
        <v>511</v>
      </c>
      <c r="AH672" s="1117"/>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 t="shared" ref="BA675:BA699" si="24">IF($G692=0,"N/A",VLOOKUP($T$189,TC_Rent,(MATCH($B692,bedrooms,FALSE))))</f>
        <v>1552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si="24"/>
        <v>1552</v>
      </c>
      <c r="BB676" s="43"/>
      <c r="BC676" s="43"/>
      <c r="BD676" s="43"/>
      <c r="BE676" s="43"/>
      <c r="BF676" s="43"/>
      <c r="BG676" s="457">
        <f>G692</f>
        <v>45</v>
      </c>
      <c r="BH676" s="464">
        <f>BG676/$BG$701</f>
        <v>0.37815126050420167</v>
      </c>
      <c r="BI676" s="466">
        <f>IF(BH676=0," ",BH676*AH692)</f>
        <v>0.11344537815126049</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1552</v>
      </c>
      <c r="BB677" s="43"/>
      <c r="BC677" s="43"/>
      <c r="BD677" s="43"/>
      <c r="BE677" s="43"/>
      <c r="BF677" s="43"/>
      <c r="BG677" s="458">
        <f t="shared" ref="BG677:BG700" si="25">G693</f>
        <v>35</v>
      </c>
      <c r="BH677" s="464">
        <f t="shared" ref="BH677:BH700" si="26">BG677/$BG$701</f>
        <v>0.29411764705882354</v>
      </c>
      <c r="BI677" s="466">
        <f t="shared" ref="BI677:BI700" si="27">IF(BH677=0," ",BH677*AH693)</f>
        <v>0.14705882352941177</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6"/>
      <c r="H678" s="1116"/>
      <c r="I678" s="1116"/>
      <c r="J678" s="1116"/>
      <c r="K678" s="1116"/>
      <c r="L678" s="1116"/>
      <c r="O678" s="42" t="s">
        <v>859</v>
      </c>
      <c r="P678" s="1287"/>
      <c r="Q678" s="1287"/>
      <c r="R678" s="1287"/>
      <c r="U678" t="s">
        <v>686</v>
      </c>
      <c r="Z678" s="1116"/>
      <c r="AA678" s="1116"/>
      <c r="AB678" s="1116"/>
      <c r="AC678" s="1116"/>
      <c r="AD678" s="1116"/>
      <c r="AE678" s="1116"/>
      <c r="AH678" s="42" t="s">
        <v>859</v>
      </c>
      <c r="AI678" s="1287"/>
      <c r="AJ678" s="1287"/>
      <c r="AK678" s="1287"/>
      <c r="AM678" s="43"/>
      <c r="BA678" s="43">
        <f t="shared" si="24"/>
        <v>1864</v>
      </c>
      <c r="BB678" s="41"/>
      <c r="BC678" s="41"/>
      <c r="BD678" s="41"/>
      <c r="BE678" s="41"/>
      <c r="BF678" s="41"/>
      <c r="BG678" s="458">
        <f t="shared" si="25"/>
        <v>12</v>
      </c>
      <c r="BH678" s="464">
        <f t="shared" si="26"/>
        <v>0.10084033613445378</v>
      </c>
      <c r="BI678" s="466">
        <f t="shared" si="27"/>
        <v>6.0504201680672269E-2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1864</v>
      </c>
      <c r="BB679" s="41"/>
      <c r="BC679" s="41"/>
      <c r="BD679" s="41"/>
      <c r="BE679" s="41"/>
      <c r="BF679" s="41"/>
      <c r="BG679" s="458">
        <f t="shared" si="25"/>
        <v>15</v>
      </c>
      <c r="BH679" s="464">
        <f t="shared" si="26"/>
        <v>0.12605042016806722</v>
      </c>
      <c r="BI679" s="466">
        <f t="shared" si="27"/>
        <v>3.7815126050420166E-2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7" t="s">
        <v>511</v>
      </c>
      <c r="O680" s="1117"/>
      <c r="U680" t="s">
        <v>877</v>
      </c>
      <c r="AG680" s="1117" t="s">
        <v>511</v>
      </c>
      <c r="AH680" s="1117"/>
      <c r="AM680" s="41"/>
      <c r="BA680" s="43" t="str">
        <f t="shared" si="24"/>
        <v>N/A</v>
      </c>
      <c r="BB680" s="41"/>
      <c r="BC680" s="41"/>
      <c r="BD680" s="41"/>
      <c r="BE680" s="41"/>
      <c r="BF680" s="41"/>
      <c r="BG680" s="458">
        <f t="shared" si="25"/>
        <v>12</v>
      </c>
      <c r="BH680" s="464">
        <f t="shared" si="26"/>
        <v>0.10084033613445378</v>
      </c>
      <c r="BI680" s="466">
        <f t="shared" si="27"/>
        <v>5.0420168067226892E-2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5" t="s">
        <v>58</v>
      </c>
      <c r="C688" s="1256"/>
      <c r="D688" s="1256"/>
      <c r="E688" s="1256"/>
      <c r="F688" s="1257"/>
      <c r="G688" s="1255" t="s">
        <v>271</v>
      </c>
      <c r="H688" s="1256"/>
      <c r="I688" s="1256"/>
      <c r="J688" s="1257"/>
      <c r="K688" s="1514" t="s">
        <v>2093</v>
      </c>
      <c r="L688" s="1515"/>
      <c r="M688" s="1515"/>
      <c r="N688" s="1516"/>
      <c r="O688" s="1255" t="s">
        <v>625</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2094</v>
      </c>
      <c r="AI688" s="1256"/>
      <c r="AJ688" s="1256"/>
      <c r="AK688" s="1256"/>
      <c r="AL688" s="1257"/>
      <c r="AM688" s="1255" t="s">
        <v>2095</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8"/>
      <c r="C689" s="1259"/>
      <c r="D689" s="1259"/>
      <c r="E689" s="1259"/>
      <c r="F689" s="1260"/>
      <c r="G689" s="1258"/>
      <c r="H689" s="1259"/>
      <c r="I689" s="1259"/>
      <c r="J689" s="1260"/>
      <c r="K689" s="1517"/>
      <c r="L689" s="1518"/>
      <c r="M689" s="1518"/>
      <c r="N689" s="1519"/>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8"/>
      <c r="C690" s="1259"/>
      <c r="D690" s="1259"/>
      <c r="E690" s="1259"/>
      <c r="F690" s="1260"/>
      <c r="G690" s="1258"/>
      <c r="H690" s="1259"/>
      <c r="I690" s="1259"/>
      <c r="J690" s="1260"/>
      <c r="K690" s="1517"/>
      <c r="L690" s="1518"/>
      <c r="M690" s="1518"/>
      <c r="N690" s="1519"/>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1"/>
      <c r="C691" s="1262"/>
      <c r="D691" s="1262"/>
      <c r="E691" s="1262"/>
      <c r="F691" s="1263"/>
      <c r="G691" s="1261"/>
      <c r="H691" s="1262"/>
      <c r="I691" s="1262"/>
      <c r="J691" s="1263"/>
      <c r="K691" s="1517"/>
      <c r="L691" s="1518"/>
      <c r="M691" s="1518"/>
      <c r="N691" s="1519"/>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7" t="s">
        <v>471</v>
      </c>
      <c r="C692" s="1228"/>
      <c r="D692" s="1228"/>
      <c r="E692" s="1228"/>
      <c r="F692" s="1229"/>
      <c r="G692" s="1224">
        <f>+[4]EVERYTHING!$W$12</f>
        <v>45</v>
      </c>
      <c r="H692" s="1225"/>
      <c r="I692" s="1225"/>
      <c r="J692" s="1226"/>
      <c r="K692" s="1232">
        <v>569</v>
      </c>
      <c r="L692" s="1233"/>
      <c r="M692" s="1233"/>
      <c r="N692" s="1234"/>
      <c r="O692" s="1235">
        <f>+[4]EVERYTHING!$Z$12</f>
        <v>466</v>
      </c>
      <c r="P692" s="1236"/>
      <c r="Q692" s="1236"/>
      <c r="R692" s="1236"/>
      <c r="S692" s="1237"/>
      <c r="T692" s="1238">
        <f t="shared" ref="T692:T716" si="28">G692*O692</f>
        <v>20970</v>
      </c>
      <c r="U692" s="1239"/>
      <c r="V692" s="1239"/>
      <c r="W692" s="1239"/>
      <c r="X692" s="1240"/>
      <c r="Y692" s="1235">
        <v>0</v>
      </c>
      <c r="Z692" s="1236"/>
      <c r="AA692" s="1236"/>
      <c r="AB692" s="1237"/>
      <c r="AC692" s="1238">
        <f t="shared" ref="AC692:AC716" si="29">O692+Y692</f>
        <v>466</v>
      </c>
      <c r="AD692" s="1239"/>
      <c r="AE692" s="1239"/>
      <c r="AF692" s="1239"/>
      <c r="AG692" s="1240"/>
      <c r="AH692" s="1308">
        <f>+[4]EVERYTHING!$V$12</f>
        <v>0.3</v>
      </c>
      <c r="AI692" s="1309"/>
      <c r="AJ692" s="1309"/>
      <c r="AK692" s="1309"/>
      <c r="AL692" s="1310"/>
      <c r="AM692" s="1457">
        <f>IF($AH692&gt;0,($AC692/$BA675)," ")</f>
        <v>0.30025773195876287</v>
      </c>
      <c r="AN692" s="1458"/>
      <c r="AO692" s="145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7" t="s">
        <v>471</v>
      </c>
      <c r="C693" s="1228"/>
      <c r="D693" s="1228"/>
      <c r="E693" s="1228"/>
      <c r="F693" s="1229"/>
      <c r="G693" s="1224">
        <f>+[4]EVERYTHING!$W$14</f>
        <v>35</v>
      </c>
      <c r="H693" s="1225"/>
      <c r="I693" s="1225"/>
      <c r="J693" s="1226"/>
      <c r="K693" s="1232">
        <v>569</v>
      </c>
      <c r="L693" s="1233"/>
      <c r="M693" s="1233"/>
      <c r="N693" s="1234"/>
      <c r="O693" s="1235">
        <f>+[4]EVERYTHING!$Z$14</f>
        <v>776</v>
      </c>
      <c r="P693" s="1236"/>
      <c r="Q693" s="1236"/>
      <c r="R693" s="1236"/>
      <c r="S693" s="1237"/>
      <c r="T693" s="1238">
        <f t="shared" si="28"/>
        <v>27160</v>
      </c>
      <c r="U693" s="1239"/>
      <c r="V693" s="1239"/>
      <c r="W693" s="1239"/>
      <c r="X693" s="1240"/>
      <c r="Y693" s="1235">
        <v>0</v>
      </c>
      <c r="Z693" s="1236"/>
      <c r="AA693" s="1236"/>
      <c r="AB693" s="1237"/>
      <c r="AC693" s="1238">
        <f t="shared" si="29"/>
        <v>776</v>
      </c>
      <c r="AD693" s="1239"/>
      <c r="AE693" s="1239"/>
      <c r="AF693" s="1239"/>
      <c r="AG693" s="1240"/>
      <c r="AH693" s="1252">
        <f>+[4]EVERYTHING!$V$14</f>
        <v>0.5</v>
      </c>
      <c r="AI693" s="1253"/>
      <c r="AJ693" s="1253"/>
      <c r="AK693" s="1253"/>
      <c r="AL693" s="1254"/>
      <c r="AM693" s="1457">
        <f t="shared" ref="AM693:AM716" si="30">IF($AH693&gt;0,($AC693/$BA676), " ")</f>
        <v>0.5</v>
      </c>
      <c r="AN693" s="1458"/>
      <c r="AO693" s="145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7" t="s">
        <v>471</v>
      </c>
      <c r="C694" s="1228"/>
      <c r="D694" s="1228"/>
      <c r="E694" s="1228"/>
      <c r="F694" s="1229"/>
      <c r="G694" s="1224">
        <f>+[4]EVERYTHING!$W$15</f>
        <v>12</v>
      </c>
      <c r="H694" s="1225"/>
      <c r="I694" s="1225"/>
      <c r="J694" s="1226"/>
      <c r="K694" s="1232">
        <v>569</v>
      </c>
      <c r="L694" s="1233"/>
      <c r="M694" s="1233"/>
      <c r="N694" s="1234"/>
      <c r="O694" s="1235">
        <f>+[4]EVERYTHING!$Z$15</f>
        <v>931.19999999999993</v>
      </c>
      <c r="P694" s="1236"/>
      <c r="Q694" s="1236"/>
      <c r="R694" s="1236"/>
      <c r="S694" s="1237"/>
      <c r="T694" s="1238">
        <f t="shared" si="28"/>
        <v>11174.4</v>
      </c>
      <c r="U694" s="1239"/>
      <c r="V694" s="1239"/>
      <c r="W694" s="1239"/>
      <c r="X694" s="1240"/>
      <c r="Y694" s="1235">
        <v>0</v>
      </c>
      <c r="Z694" s="1236"/>
      <c r="AA694" s="1236"/>
      <c r="AB694" s="1237"/>
      <c r="AC694" s="1238">
        <f t="shared" si="29"/>
        <v>931.19999999999993</v>
      </c>
      <c r="AD694" s="1239"/>
      <c r="AE694" s="1239"/>
      <c r="AF694" s="1239"/>
      <c r="AG694" s="1240"/>
      <c r="AH694" s="1252">
        <f>+[4]EVERYTHING!$V$15</f>
        <v>0.6</v>
      </c>
      <c r="AI694" s="1253"/>
      <c r="AJ694" s="1253"/>
      <c r="AK694" s="1253"/>
      <c r="AL694" s="1254"/>
      <c r="AM694" s="1457">
        <f t="shared" si="30"/>
        <v>0.6</v>
      </c>
      <c r="AN694" s="1458"/>
      <c r="AO694" s="145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7" t="s">
        <v>817</v>
      </c>
      <c r="C695" s="1228"/>
      <c r="D695" s="1228"/>
      <c r="E695" s="1228"/>
      <c r="F695" s="1229"/>
      <c r="G695" s="1224">
        <f>+[4]EVERYTHING!$W$18</f>
        <v>15</v>
      </c>
      <c r="H695" s="1225"/>
      <c r="I695" s="1225"/>
      <c r="J695" s="1226"/>
      <c r="K695" s="1232">
        <v>800</v>
      </c>
      <c r="L695" s="1233"/>
      <c r="M695" s="1233"/>
      <c r="N695" s="1234"/>
      <c r="O695" s="1235">
        <f>+[4]EVERYTHING!$Z$18</f>
        <v>559</v>
      </c>
      <c r="P695" s="1236"/>
      <c r="Q695" s="1236"/>
      <c r="R695" s="1236"/>
      <c r="S695" s="1237"/>
      <c r="T695" s="1238">
        <f t="shared" si="28"/>
        <v>8385</v>
      </c>
      <c r="U695" s="1239"/>
      <c r="V695" s="1239"/>
      <c r="W695" s="1239"/>
      <c r="X695" s="1240"/>
      <c r="Y695" s="1235">
        <v>0</v>
      </c>
      <c r="Z695" s="1236"/>
      <c r="AA695" s="1236"/>
      <c r="AB695" s="1237"/>
      <c r="AC695" s="1238">
        <f t="shared" si="29"/>
        <v>559</v>
      </c>
      <c r="AD695" s="1239"/>
      <c r="AE695" s="1239"/>
      <c r="AF695" s="1239"/>
      <c r="AG695" s="1240"/>
      <c r="AH695" s="1252">
        <f>+[4]EVERYTHING!$V$18</f>
        <v>0.3</v>
      </c>
      <c r="AI695" s="1253"/>
      <c r="AJ695" s="1253"/>
      <c r="AK695" s="1253"/>
      <c r="AL695" s="1254"/>
      <c r="AM695" s="1457">
        <f t="shared" si="30"/>
        <v>0.29989270386266093</v>
      </c>
      <c r="AN695" s="1458"/>
      <c r="AO695" s="145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7" t="s">
        <v>817</v>
      </c>
      <c r="C696" s="1228"/>
      <c r="D696" s="1228"/>
      <c r="E696" s="1228"/>
      <c r="F696" s="1229"/>
      <c r="G696" s="1224">
        <f>+[4]EVERYTHING!$W$20</f>
        <v>12</v>
      </c>
      <c r="H696" s="1225"/>
      <c r="I696" s="1225"/>
      <c r="J696" s="1226"/>
      <c r="K696" s="1232">
        <v>800</v>
      </c>
      <c r="L696" s="1233"/>
      <c r="M696" s="1233"/>
      <c r="N696" s="1234"/>
      <c r="O696" s="1235">
        <f>+[4]EVERYTHING!$Z$20</f>
        <v>932</v>
      </c>
      <c r="P696" s="1236"/>
      <c r="Q696" s="1236"/>
      <c r="R696" s="1236"/>
      <c r="S696" s="1237"/>
      <c r="T696" s="1238">
        <f t="shared" si="28"/>
        <v>11184</v>
      </c>
      <c r="U696" s="1239"/>
      <c r="V696" s="1239"/>
      <c r="W696" s="1239"/>
      <c r="X696" s="1240"/>
      <c r="Y696" s="1235">
        <v>0</v>
      </c>
      <c r="Z696" s="1236"/>
      <c r="AA696" s="1236"/>
      <c r="AB696" s="1237"/>
      <c r="AC696" s="1238">
        <f t="shared" si="29"/>
        <v>932</v>
      </c>
      <c r="AD696" s="1239"/>
      <c r="AE696" s="1239"/>
      <c r="AF696" s="1239"/>
      <c r="AG696" s="1240"/>
      <c r="AH696" s="1252">
        <f>+[4]EVERYTHING!$V$20</f>
        <v>0.5</v>
      </c>
      <c r="AI696" s="1253"/>
      <c r="AJ696" s="1253"/>
      <c r="AK696" s="1253"/>
      <c r="AL696" s="1254"/>
      <c r="AM696" s="1457">
        <f t="shared" si="30"/>
        <v>0.5</v>
      </c>
      <c r="AN696" s="1458"/>
      <c r="AO696" s="145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7"/>
      <c r="C697" s="1228"/>
      <c r="D697" s="1228"/>
      <c r="E697" s="1228"/>
      <c r="F697" s="1229"/>
      <c r="G697" s="1224"/>
      <c r="H697" s="1225"/>
      <c r="I697" s="1225"/>
      <c r="J697" s="1226"/>
      <c r="K697" s="1232"/>
      <c r="L697" s="1233"/>
      <c r="M697" s="1233"/>
      <c r="N697" s="1234"/>
      <c r="O697" s="1235"/>
      <c r="P697" s="1236"/>
      <c r="Q697" s="1236"/>
      <c r="R697" s="1236"/>
      <c r="S697" s="1237"/>
      <c r="T697" s="1238">
        <f t="shared" si="28"/>
        <v>0</v>
      </c>
      <c r="U697" s="1239"/>
      <c r="V697" s="1239"/>
      <c r="W697" s="1239"/>
      <c r="X697" s="1240"/>
      <c r="Y697" s="1235"/>
      <c r="Z697" s="1236"/>
      <c r="AA697" s="1236"/>
      <c r="AB697" s="1237"/>
      <c r="AC697" s="1238">
        <f t="shared" si="29"/>
        <v>0</v>
      </c>
      <c r="AD697" s="1239"/>
      <c r="AE697" s="1239"/>
      <c r="AF697" s="1239"/>
      <c r="AG697" s="1240"/>
      <c r="AH697" s="1252"/>
      <c r="AI697" s="1253"/>
      <c r="AJ697" s="1253"/>
      <c r="AK697" s="1253"/>
      <c r="AL697" s="1254"/>
      <c r="AM697" s="1457" t="str">
        <f t="shared" si="30"/>
        <v xml:space="preserve"> </v>
      </c>
      <c r="AN697" s="1458"/>
      <c r="AO697" s="145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57" t="str">
        <f t="shared" si="30"/>
        <v xml:space="preserve"> </v>
      </c>
      <c r="AN698" s="1458"/>
      <c r="AO698" s="145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7" t="str">
        <f t="shared" si="30"/>
        <v xml:space="preserve"> </v>
      </c>
      <c r="AN699" s="1458"/>
      <c r="AO699" s="145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7" t="str">
        <f t="shared" si="30"/>
        <v xml:space="preserve"> </v>
      </c>
      <c r="AN700" s="1458"/>
      <c r="AO700" s="145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7" t="str">
        <f t="shared" si="30"/>
        <v xml:space="preserve"> </v>
      </c>
      <c r="AN701" s="1458"/>
      <c r="AO701" s="1459"/>
      <c r="BA701" s="41"/>
      <c r="BB701" s="41"/>
      <c r="BC701" s="41"/>
      <c r="BD701" s="41"/>
      <c r="BE701" s="42"/>
      <c r="BF701" s="62" t="s">
        <v>916</v>
      </c>
      <c r="BG701" s="467">
        <f>SUM(BG676:BG700)</f>
        <v>119</v>
      </c>
      <c r="BH701" s="468">
        <f>SUM(BH676:BH700)</f>
        <v>1</v>
      </c>
      <c r="BI701" s="468">
        <f>SUM(BI676:BI700)</f>
        <v>0.40924369747899153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7" t="str">
        <f t="shared" si="30"/>
        <v xml:space="preserve"> </v>
      </c>
      <c r="AN702" s="1458"/>
      <c r="AO702" s="145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7" t="str">
        <f t="shared" si="30"/>
        <v xml:space="preserve"> </v>
      </c>
      <c r="AN703" s="1458"/>
      <c r="AO703" s="1459"/>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7" t="str">
        <f t="shared" si="30"/>
        <v xml:space="preserve"> </v>
      </c>
      <c r="AN704" s="1458"/>
      <c r="AO704" s="1459"/>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7" t="str">
        <f t="shared" si="30"/>
        <v xml:space="preserve"> </v>
      </c>
      <c r="AN705" s="1458"/>
      <c r="AO705" s="1459"/>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7" t="str">
        <f t="shared" si="30"/>
        <v xml:space="preserve"> </v>
      </c>
      <c r="AN706" s="1458"/>
      <c r="AO706" s="1459"/>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7" t="str">
        <f t="shared" si="30"/>
        <v xml:space="preserve"> </v>
      </c>
      <c r="AN707" s="1458"/>
      <c r="AO707" s="1459"/>
      <c r="BA707" s="41"/>
      <c r="BB707" s="41"/>
      <c r="BC707" s="41"/>
      <c r="BD707" s="41"/>
      <c r="BE707" s="41"/>
      <c r="BF707" s="41"/>
      <c r="BG707" s="871">
        <f>G692</f>
        <v>45</v>
      </c>
      <c r="BH707" s="875">
        <f>BG707/$BG$732</f>
        <v>0.37815126050420167</v>
      </c>
      <c r="BI707" s="876">
        <f>IF(BH707=0," ",BH707*AM692)</f>
        <v>0.11354283981633889</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7" t="str">
        <f t="shared" si="30"/>
        <v xml:space="preserve"> </v>
      </c>
      <c r="AN708" s="1458"/>
      <c r="AO708" s="1459"/>
      <c r="BA708" s="41"/>
      <c r="BB708" s="41"/>
      <c r="BC708" s="41"/>
      <c r="BD708" s="41"/>
      <c r="BE708" s="41"/>
      <c r="BF708" s="41"/>
      <c r="BG708" s="871">
        <f t="shared" ref="BG708:BG731" si="31">G693</f>
        <v>35</v>
      </c>
      <c r="BH708" s="875">
        <f t="shared" ref="BH708:BH731" si="32">BG708/$BG$732</f>
        <v>0.29411764705882354</v>
      </c>
      <c r="BI708" s="876">
        <f t="shared" ref="BI708:BI731" si="33">IF(BH708=0," ",BH708*AM693)</f>
        <v>0.14705882352941177</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7" t="str">
        <f t="shared" si="30"/>
        <v xml:space="preserve"> </v>
      </c>
      <c r="AN709" s="1458"/>
      <c r="AO709" s="1459"/>
      <c r="BA709" s="43"/>
      <c r="BB709" s="43"/>
      <c r="BC709" s="43"/>
      <c r="BD709" s="43"/>
      <c r="BE709" s="43"/>
      <c r="BF709" s="43"/>
      <c r="BG709" s="871">
        <f t="shared" si="31"/>
        <v>12</v>
      </c>
      <c r="BH709" s="875">
        <f t="shared" si="32"/>
        <v>0.10084033613445378</v>
      </c>
      <c r="BI709" s="876">
        <f t="shared" si="33"/>
        <v>6.0504201680672269E-2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7" t="str">
        <f t="shared" si="30"/>
        <v xml:space="preserve"> </v>
      </c>
      <c r="AN710" s="1458"/>
      <c r="AO710" s="1459"/>
      <c r="BA710" s="43"/>
      <c r="BB710" s="43"/>
      <c r="BC710" s="43"/>
      <c r="BD710" s="43"/>
      <c r="BE710" s="43"/>
      <c r="BF710" s="43"/>
      <c r="BG710" s="871">
        <f t="shared" si="31"/>
        <v>15</v>
      </c>
      <c r="BH710" s="875">
        <f t="shared" si="32"/>
        <v>0.12605042016806722</v>
      </c>
      <c r="BI710" s="876">
        <f t="shared" si="33"/>
        <v>3.7801601327226167E-2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7" t="str">
        <f t="shared" si="30"/>
        <v xml:space="preserve"> </v>
      </c>
      <c r="AN711" s="1458"/>
      <c r="AO711" s="1459"/>
      <c r="BA711" s="43"/>
      <c r="BB711" s="43"/>
      <c r="BC711" s="43"/>
      <c r="BD711" s="43"/>
      <c r="BE711" s="43"/>
      <c r="BF711" s="43"/>
      <c r="BG711" s="871">
        <f t="shared" si="31"/>
        <v>12</v>
      </c>
      <c r="BH711" s="875">
        <f t="shared" si="32"/>
        <v>0.10084033613445378</v>
      </c>
      <c r="BI711" s="876">
        <f t="shared" si="33"/>
        <v>5.0420168067226892E-2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7" t="str">
        <f t="shared" si="30"/>
        <v xml:space="preserve"> </v>
      </c>
      <c r="AN712" s="1458"/>
      <c r="AO712" s="1459"/>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7" t="str">
        <f t="shared" si="30"/>
        <v xml:space="preserve"> </v>
      </c>
      <c r="AN713" s="1458"/>
      <c r="AO713" s="1459"/>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7" t="str">
        <f t="shared" si="30"/>
        <v xml:space="preserve"> </v>
      </c>
      <c r="AN714" s="1458"/>
      <c r="AO714" s="1459"/>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7" t="str">
        <f t="shared" si="30"/>
        <v xml:space="preserve"> </v>
      </c>
      <c r="AN715" s="1458"/>
      <c r="AO715" s="1459"/>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7" t="str">
        <f t="shared" si="30"/>
        <v xml:space="preserve"> </v>
      </c>
      <c r="AN716" s="1458"/>
      <c r="AO716" s="1459"/>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4">
        <f>SUM(G692:J716)</f>
        <v>119</v>
      </c>
      <c r="H717" s="1265"/>
      <c r="I717" s="1265"/>
      <c r="J717" s="1266"/>
      <c r="O717" s="441" t="s">
        <v>917</v>
      </c>
      <c r="P717" s="168"/>
      <c r="Q717" s="168"/>
      <c r="R717" s="168"/>
      <c r="S717" s="862"/>
      <c r="T717" s="1238">
        <f>SUM(T692:X716)</f>
        <v>78873.399999999994</v>
      </c>
      <c r="U717" s="1239"/>
      <c r="V717" s="1239"/>
      <c r="W717" s="1239"/>
      <c r="X717" s="1240"/>
      <c r="AC717" s="863" t="s">
        <v>1187</v>
      </c>
      <c r="AD717" s="864"/>
      <c r="AE717" s="864"/>
      <c r="AF717" s="864"/>
      <c r="AG717" s="865"/>
      <c r="AH717" s="1521">
        <f>BI701</f>
        <v>0.40924369747899153</v>
      </c>
      <c r="AI717" s="1522"/>
      <c r="AJ717" s="1522"/>
      <c r="AK717" s="1522"/>
      <c r="AL717" s="1523"/>
      <c r="AM717" s="1521">
        <f>BI732</f>
        <v>0.40932763442087594</v>
      </c>
      <c r="AN717" s="1522"/>
      <c r="AO717" s="1523"/>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3">
        <f>CQ615</f>
        <v>146</v>
      </c>
      <c r="P720" s="1243"/>
      <c r="Q720" s="1243"/>
      <c r="R720" s="1243"/>
      <c r="S720" s="944"/>
      <c r="T720" s="944"/>
      <c r="U720" s="270" t="s">
        <v>2164</v>
      </c>
      <c r="V720" s="942"/>
      <c r="W720" s="942"/>
      <c r="X720" s="942"/>
      <c r="Y720" s="943"/>
      <c r="Z720" s="943"/>
      <c r="AA720" s="943"/>
      <c r="AB720" s="943"/>
      <c r="AC720" s="942"/>
      <c r="AD720" s="942"/>
      <c r="AE720" s="942"/>
      <c r="AF720" s="942"/>
      <c r="AG720" s="1276">
        <v>75</v>
      </c>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7" t="s">
        <v>132</v>
      </c>
      <c r="AA722" s="1527"/>
      <c r="AB722" s="1527"/>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119</v>
      </c>
      <c r="BH732" s="873">
        <f>SUM(BH707:BH731)</f>
        <v>1</v>
      </c>
      <c r="BI732" s="873">
        <f>SUM(BI707:BI731)</f>
        <v>0.40932763442087594</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5" t="s">
        <v>58</v>
      </c>
      <c r="K734" s="1256"/>
      <c r="L734" s="1256"/>
      <c r="M734" s="1256"/>
      <c r="N734" s="1257"/>
      <c r="O734" s="1270" t="s">
        <v>271</v>
      </c>
      <c r="P734" s="1270"/>
      <c r="Q734" s="1270"/>
      <c r="R734" s="1270"/>
      <c r="S734" s="1270"/>
      <c r="T734" s="1514" t="s">
        <v>2093</v>
      </c>
      <c r="U734" s="1515"/>
      <c r="V734" s="1515"/>
      <c r="W734" s="1516"/>
      <c r="X734" s="1255" t="s">
        <v>625</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8"/>
      <c r="K735" s="1259"/>
      <c r="L735" s="1259"/>
      <c r="M735" s="1259"/>
      <c r="N735" s="1260"/>
      <c r="O735" s="1270"/>
      <c r="P735" s="1270"/>
      <c r="Q735" s="1270"/>
      <c r="R735" s="1270"/>
      <c r="S735" s="1270"/>
      <c r="T735" s="1517"/>
      <c r="U735" s="1518"/>
      <c r="V735" s="1518"/>
      <c r="W735" s="1519"/>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8"/>
      <c r="K736" s="1259"/>
      <c r="L736" s="1259"/>
      <c r="M736" s="1259"/>
      <c r="N736" s="1260"/>
      <c r="O736" s="1270"/>
      <c r="P736" s="1270"/>
      <c r="Q736" s="1270"/>
      <c r="R736" s="1270"/>
      <c r="S736" s="1270"/>
      <c r="T736" s="1517"/>
      <c r="U736" s="1518"/>
      <c r="V736" s="1518"/>
      <c r="W736" s="1519"/>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1"/>
      <c r="K737" s="1262"/>
      <c r="L737" s="1262"/>
      <c r="M737" s="1262"/>
      <c r="N737" s="1263"/>
      <c r="O737" s="1270"/>
      <c r="P737" s="1270"/>
      <c r="Q737" s="1270"/>
      <c r="R737" s="1270"/>
      <c r="S737" s="1270"/>
      <c r="T737" s="1524"/>
      <c r="U737" s="1525"/>
      <c r="V737" s="1525"/>
      <c r="W737" s="1526"/>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7" t="s">
        <v>817</v>
      </c>
      <c r="K738" s="1228"/>
      <c r="L738" s="1228"/>
      <c r="M738" s="1228"/>
      <c r="N738" s="1229"/>
      <c r="O738" s="1231">
        <v>1</v>
      </c>
      <c r="P738" s="1231"/>
      <c r="Q738" s="1231"/>
      <c r="R738" s="1231"/>
      <c r="S738" s="1231"/>
      <c r="T738" s="1232">
        <v>800</v>
      </c>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49">
        <f>SUM(O738:S741)</f>
        <v>1</v>
      </c>
      <c r="P742" s="1315"/>
      <c r="Q742" s="1315"/>
      <c r="R742" s="1315"/>
      <c r="S742" s="1250"/>
      <c r="X742" s="1096" t="s">
        <v>917</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9" t="s">
        <v>511</v>
      </c>
      <c r="K744" s="1119"/>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5" t="s">
        <v>58</v>
      </c>
      <c r="K748" s="1256"/>
      <c r="L748" s="1256"/>
      <c r="M748" s="1256"/>
      <c r="N748" s="1257"/>
      <c r="O748" s="1270" t="s">
        <v>271</v>
      </c>
      <c r="P748" s="1270"/>
      <c r="Q748" s="1270"/>
      <c r="R748" s="1270"/>
      <c r="S748" s="1270"/>
      <c r="T748" s="1514" t="s">
        <v>2093</v>
      </c>
      <c r="U748" s="1515"/>
      <c r="V748" s="1515"/>
      <c r="W748" s="1516"/>
      <c r="X748" s="1255" t="s">
        <v>625</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8"/>
      <c r="K749" s="1259"/>
      <c r="L749" s="1259"/>
      <c r="M749" s="1259"/>
      <c r="N749" s="1260"/>
      <c r="O749" s="1270"/>
      <c r="P749" s="1270"/>
      <c r="Q749" s="1270"/>
      <c r="R749" s="1270"/>
      <c r="S749" s="1270"/>
      <c r="T749" s="1517"/>
      <c r="U749" s="1518"/>
      <c r="V749" s="1518"/>
      <c r="W749" s="1519"/>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8"/>
      <c r="K750" s="1259"/>
      <c r="L750" s="1259"/>
      <c r="M750" s="1259"/>
      <c r="N750" s="1260"/>
      <c r="O750" s="1270"/>
      <c r="P750" s="1270"/>
      <c r="Q750" s="1270"/>
      <c r="R750" s="1270"/>
      <c r="S750" s="1270"/>
      <c r="T750" s="1517"/>
      <c r="U750" s="1518"/>
      <c r="V750" s="1518"/>
      <c r="W750" s="1519"/>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1"/>
      <c r="K751" s="1262"/>
      <c r="L751" s="1262"/>
      <c r="M751" s="1262"/>
      <c r="N751" s="1263"/>
      <c r="O751" s="1270"/>
      <c r="P751" s="1270"/>
      <c r="Q751" s="1270"/>
      <c r="R751" s="1270"/>
      <c r="S751" s="1270"/>
      <c r="T751" s="1524"/>
      <c r="U751" s="1525"/>
      <c r="V751" s="1525"/>
      <c r="W751" s="1526"/>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3">
        <f>SUM(O752:S761)</f>
        <v>0</v>
      </c>
      <c r="P762" s="1243"/>
      <c r="Q762" s="1243"/>
      <c r="R762" s="1243"/>
      <c r="S762" s="1243"/>
      <c r="X762" s="441" t="s">
        <v>917</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1">
        <f>T717+AC742+AC762</f>
        <v>78873.399999999994</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1">
        <f>(T717+AC742+AC762)*12</f>
        <v>946480.79999999993</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7">
        <f>+[4]EVERYTHING!$X$26</f>
        <v>60</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5">
        <v>20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6" t="s">
        <v>2527</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8">
        <f>'Subsidy Contract Calculation'!I30</f>
        <v>50000.399999999994</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49">
        <v>6240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6" t="s">
        <v>593</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5">
        <f>SUM(Z777:AE780)</f>
        <v>6240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5">
        <f>Z781+Y765+Z773</f>
        <v>1002721.2</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7" t="s">
        <v>919</v>
      </c>
      <c r="N787" s="1177"/>
      <c r="O787" s="1177"/>
      <c r="P787" s="1529"/>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8" t="s">
        <v>594</v>
      </c>
      <c r="AH787" s="1528"/>
      <c r="AI787" s="1528"/>
      <c r="AJ787" s="152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1"/>
      <c r="N788" s="1181"/>
      <c r="O788" s="1181"/>
      <c r="P788" s="1275"/>
      <c r="Q788" s="1230"/>
      <c r="R788" s="1230"/>
      <c r="S788" s="1230"/>
      <c r="T788" s="1230"/>
      <c r="U788" s="1230"/>
      <c r="V788" s="1230"/>
      <c r="W788" s="1230"/>
      <c r="X788" s="1230"/>
      <c r="Y788" s="1230"/>
      <c r="Z788" s="1230"/>
      <c r="AA788" s="1230"/>
      <c r="AB788" s="1230"/>
      <c r="AC788" s="1230"/>
      <c r="AD788" s="1230"/>
      <c r="AE788" s="1230"/>
      <c r="AF788" s="1230"/>
      <c r="AG788" s="1528"/>
      <c r="AH788" s="1528"/>
      <c r="AI788" s="1528"/>
      <c r="AJ788" s="152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8" t="s">
        <v>730</v>
      </c>
      <c r="D789" s="1298"/>
      <c r="E789" s="1298"/>
      <c r="F789" s="1298"/>
      <c r="G789" s="1298"/>
      <c r="H789" s="1298"/>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1" t="s">
        <v>731</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1" t="s">
        <v>828</v>
      </c>
      <c r="D793" s="1242"/>
      <c r="E793" s="1242"/>
      <c r="F793" s="1242"/>
      <c r="G793" s="1242"/>
      <c r="H793" s="1242"/>
      <c r="I793" s="66"/>
      <c r="J793" s="66"/>
      <c r="K793" s="66"/>
      <c r="L793" s="67"/>
      <c r="M793" s="1244"/>
      <c r="N793" s="1244"/>
      <c r="O793" s="1244"/>
      <c r="P793" s="1244"/>
      <c r="Q793" s="1244"/>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0" t="s">
        <v>987</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46" t="s">
        <v>593</v>
      </c>
      <c r="G795" s="1147"/>
      <c r="H795" s="1147"/>
      <c r="I795" s="1147"/>
      <c r="J795" s="1147"/>
      <c r="K795" s="1147"/>
      <c r="L795" s="1147"/>
      <c r="M795" s="1244"/>
      <c r="N795" s="1244"/>
      <c r="O795" s="1244"/>
      <c r="P795" s="1244"/>
      <c r="Q795" s="1244"/>
      <c r="R795" s="1244"/>
      <c r="S795" s="1244"/>
      <c r="T795" s="1244"/>
      <c r="U795" s="1244"/>
      <c r="V795" s="1244"/>
      <c r="W795" s="1244"/>
      <c r="X795" s="1244"/>
      <c r="Y795" s="1244"/>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4">
        <f>SUM(M789:P795)</f>
        <v>0</v>
      </c>
      <c r="N796" s="1314"/>
      <c r="O796" s="1314"/>
      <c r="P796" s="1314"/>
      <c r="Q796" s="1314">
        <f>SUM(Q789:T795)</f>
        <v>0</v>
      </c>
      <c r="R796" s="1314"/>
      <c r="S796" s="1314"/>
      <c r="T796" s="1314"/>
      <c r="U796" s="1314">
        <f>SUM(U789:X795)</f>
        <v>0</v>
      </c>
      <c r="V796" s="1314"/>
      <c r="W796" s="1314"/>
      <c r="X796" s="1314"/>
      <c r="Y796" s="1314">
        <f>SUM(Y789:AB795)</f>
        <v>0</v>
      </c>
      <c r="Z796" s="1314"/>
      <c r="AA796" s="1314"/>
      <c r="AB796" s="1314"/>
      <c r="AC796" s="1314">
        <f>SUM(AC789:AF795)</f>
        <v>0</v>
      </c>
      <c r="AD796" s="1314"/>
      <c r="AE796" s="1314"/>
      <c r="AF796" s="1314"/>
      <c r="AG796" s="1314">
        <f>SUM(AG789:AJ795)</f>
        <v>0</v>
      </c>
      <c r="AH796" s="1314"/>
      <c r="AI796" s="1314"/>
      <c r="AJ796" s="131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6" t="s">
        <v>2455</v>
      </c>
      <c r="D801" s="1537"/>
      <c r="E801" s="1537"/>
      <c r="F801" s="1537"/>
      <c r="G801" s="1537"/>
      <c r="H801" s="1537"/>
      <c r="I801" s="1537"/>
      <c r="J801" s="1537"/>
      <c r="K801" s="1537"/>
      <c r="L801" s="1537"/>
      <c r="M801" s="1537"/>
      <c r="N801" s="1537"/>
      <c r="O801" s="1537"/>
      <c r="P801" s="1537"/>
      <c r="Q801" s="1537"/>
      <c r="R801" s="1537"/>
      <c r="S801" s="1537"/>
      <c r="T801" s="1537"/>
      <c r="U801" s="1537"/>
      <c r="V801" s="1537"/>
      <c r="W801" s="1537"/>
      <c r="X801" s="1537"/>
      <c r="Y801" s="1537"/>
      <c r="Z801" s="1537"/>
      <c r="AA801" s="1537"/>
      <c r="AB801" s="1537"/>
      <c r="AC801" s="1537"/>
      <c r="AD801" s="1537"/>
      <c r="AE801" s="1537"/>
      <c r="AF801" s="1537"/>
      <c r="AG801" s="1537"/>
      <c r="AH801" s="1537"/>
      <c r="AI801" s="1537"/>
      <c r="AJ801" s="153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5" t="s">
        <v>393</v>
      </c>
      <c r="BB805" s="1186"/>
      <c r="BC805" s="41"/>
      <c r="BD805" s="41"/>
      <c r="BE805" s="41"/>
      <c r="BF805" s="21" t="s">
        <v>449</v>
      </c>
      <c r="BG805" s="21"/>
      <c r="BH805" s="21"/>
      <c r="BI805" s="21"/>
      <c r="BJ805" s="21"/>
      <c r="BK805" s="21"/>
      <c r="BL805" s="21"/>
      <c r="BM805" s="21"/>
      <c r="BN805" s="21"/>
      <c r="BO805" s="1182" t="str">
        <f>T189</f>
        <v>San Joaquin</v>
      </c>
      <c r="BP805" s="1183"/>
      <c r="BQ805" s="1183"/>
      <c r="BR805" s="1183"/>
      <c r="BS805" s="1183"/>
      <c r="BT805" s="1183"/>
      <c r="BU805" s="118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99">
        <v>5000</v>
      </c>
      <c r="X806" s="1199"/>
      <c r="Y806" s="1199"/>
      <c r="Z806" s="1199"/>
      <c r="AA806" s="1199"/>
      <c r="AB806" s="1199"/>
      <c r="AC806" s="119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99">
        <v>3400</v>
      </c>
      <c r="X807" s="1199"/>
      <c r="Y807" s="1199"/>
      <c r="Z807" s="1199"/>
      <c r="AA807" s="1199"/>
      <c r="AB807" s="1199"/>
      <c r="AC807" s="119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99">
        <v>28000</v>
      </c>
      <c r="X808" s="1199"/>
      <c r="Y808" s="1199"/>
      <c r="Z808" s="1199"/>
      <c r="AA808" s="1199"/>
      <c r="AB808" s="1199"/>
      <c r="AC808" s="119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99"/>
      <c r="X809" s="1199"/>
      <c r="Y809" s="1199"/>
      <c r="Z809" s="1199"/>
      <c r="AA809" s="1199"/>
      <c r="AB809" s="1199"/>
      <c r="AC809" s="1199"/>
      <c r="AD809"/>
      <c r="AE809"/>
      <c r="AF809"/>
      <c r="AG809"/>
      <c r="AH809"/>
      <c r="AI809"/>
      <c r="AJ809"/>
      <c r="AK809"/>
      <c r="AL809"/>
      <c r="AM809" s="38"/>
      <c r="AN809" s="38"/>
      <c r="BA809" s="75" t="s">
        <v>393</v>
      </c>
      <c r="BB809" s="39" t="s">
        <v>2336</v>
      </c>
      <c r="BC809" s="40"/>
      <c r="BD809" s="40"/>
      <c r="BE809" s="40"/>
      <c r="BF809" s="40"/>
      <c r="BG809" s="40"/>
      <c r="BI809" s="39" t="s">
        <v>2337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200" t="s">
        <v>2456</v>
      </c>
      <c r="N810" s="1147"/>
      <c r="O810" s="1147"/>
      <c r="P810" s="1147"/>
      <c r="Q810" s="1147"/>
      <c r="R810" s="1147"/>
      <c r="S810" s="1147"/>
      <c r="T810" s="1147"/>
      <c r="U810" s="1147"/>
      <c r="V810" s="1148"/>
      <c r="W810" s="1199">
        <v>19000</v>
      </c>
      <c r="X810" s="1199"/>
      <c r="Y810" s="1199"/>
      <c r="Z810" s="1199"/>
      <c r="AA810" s="1199"/>
      <c r="AB810" s="1199"/>
      <c r="AC810" s="119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5">
        <f>SUM(W806:AC810)</f>
        <v>55400</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9">
        <v>82000</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3">
        <v>25000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3">
        <v>31000</v>
      </c>
      <c r="X817" s="1223"/>
      <c r="Y817" s="1223"/>
      <c r="Z817" s="1223"/>
      <c r="AA817" s="1223"/>
      <c r="AB817" s="1223"/>
      <c r="AC817" s="1223"/>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3">
        <v>41677</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97677</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1">
        <v>55000</v>
      </c>
      <c r="X821" s="1532"/>
      <c r="Y821" s="1532"/>
      <c r="Z821" s="1532"/>
      <c r="AA821" s="1532"/>
      <c r="AB821" s="1532"/>
      <c r="AC821" s="15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1">
        <v>50000</v>
      </c>
      <c r="X823" s="1532"/>
      <c r="Y823" s="1532"/>
      <c r="Z823" s="1532"/>
      <c r="AA823" s="1532"/>
      <c r="AB823" s="1532"/>
      <c r="AC823" s="15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1"/>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200" t="s">
        <v>2457</v>
      </c>
      <c r="N825" s="1147"/>
      <c r="O825" s="1147"/>
      <c r="P825" s="1147"/>
      <c r="Q825" s="1147"/>
      <c r="R825" s="1147"/>
      <c r="S825" s="1147"/>
      <c r="T825" s="1147"/>
      <c r="U825" s="1147"/>
      <c r="V825" s="1148"/>
      <c r="W825" s="1531">
        <v>19000</v>
      </c>
      <c r="X825" s="1532"/>
      <c r="Y825" s="1532"/>
      <c r="Z825" s="1532"/>
      <c r="AA825" s="1532"/>
      <c r="AB825" s="1532"/>
      <c r="AC825" s="15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7">
        <f>SUM(W821:AC825)</f>
        <v>124000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1">
        <v>45000</v>
      </c>
      <c r="X827" s="1532"/>
      <c r="Y827" s="1532"/>
      <c r="Z827" s="1532"/>
      <c r="AA827" s="1532"/>
      <c r="AB827" s="1532"/>
      <c r="AC827" s="15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99">
        <v>7800</v>
      </c>
      <c r="X829" s="1199"/>
      <c r="Y829" s="1199"/>
      <c r="Z829" s="1199"/>
      <c r="AA829" s="1199"/>
      <c r="AB829" s="1199"/>
      <c r="AC829" s="119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99"/>
      <c r="X830" s="1199"/>
      <c r="Y830" s="1199"/>
      <c r="Z830" s="1199"/>
      <c r="AA830" s="1199"/>
      <c r="AB830" s="1199"/>
      <c r="AC830" s="119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99">
        <v>32000</v>
      </c>
      <c r="X831" s="1199"/>
      <c r="Y831" s="1199"/>
      <c r="Z831" s="1199"/>
      <c r="AA831" s="1199"/>
      <c r="AB831" s="1199"/>
      <c r="AC831" s="119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99">
        <v>7000</v>
      </c>
      <c r="X832" s="1199"/>
      <c r="Y832" s="1199"/>
      <c r="Z832" s="1199"/>
      <c r="AA832" s="1199"/>
      <c r="AB832" s="1199"/>
      <c r="AC832" s="119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99">
        <v>13000</v>
      </c>
      <c r="X833" s="1199"/>
      <c r="Y833" s="1199"/>
      <c r="Z833" s="1199"/>
      <c r="AA833" s="1199"/>
      <c r="AB833" s="1199"/>
      <c r="AC833" s="119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99">
        <v>65000</v>
      </c>
      <c r="X834" s="1199"/>
      <c r="Y834" s="1199"/>
      <c r="Z834" s="1199"/>
      <c r="AA834" s="1199"/>
      <c r="AB834" s="1199"/>
      <c r="AC834" s="119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200" t="s">
        <v>2458</v>
      </c>
      <c r="N835" s="1147"/>
      <c r="O835" s="1147"/>
      <c r="P835" s="1147"/>
      <c r="Q835" s="1147"/>
      <c r="R835" s="1147"/>
      <c r="S835" s="1147"/>
      <c r="T835" s="1147"/>
      <c r="U835" s="1147"/>
      <c r="V835" s="1148"/>
      <c r="W835" s="1199">
        <f>116000+6263</f>
        <v>122263</v>
      </c>
      <c r="X835" s="1199"/>
      <c r="Y835" s="1199"/>
      <c r="Z835" s="1199"/>
      <c r="AA835" s="1199"/>
      <c r="AB835" s="1199"/>
      <c r="AC835" s="119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1">
        <f>SUM(W829:AC835)</f>
        <v>247063</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6" t="s">
        <v>593</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6" t="s">
        <v>593</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6" t="s">
        <v>593</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6" t="s">
        <v>593</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6"/>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651140</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4">
        <f>O762+O742+G717</f>
        <v>120</v>
      </c>
      <c r="AD848" s="1545"/>
      <c r="AE848" s="1545"/>
      <c r="AF848" s="1545"/>
      <c r="AG848" s="1545"/>
      <c r="AH848" s="1546"/>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4">
        <f>IF(ISERROR((ROUNDDOWN(AC847/AC848,0))),0,(ROUNDDOWN(AC847/AC848,0)))</f>
        <v>5426</v>
      </c>
      <c r="AD849" s="1535"/>
      <c r="AE849" s="1535"/>
      <c r="AF849" s="1535"/>
      <c r="AG849" s="1535"/>
      <c r="AH849" s="153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8"/>
      <c r="AD850" s="1540"/>
      <c r="AE850" s="1540"/>
      <c r="AF850" s="1540"/>
      <c r="AG850" s="1540"/>
      <c r="AH850" s="1540"/>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1"/>
      <c r="AD851" s="1199"/>
      <c r="AE851" s="1199"/>
      <c r="AF851" s="1199"/>
      <c r="AG851" s="1199"/>
      <c r="AH851" s="119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v>85000</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9">
        <v>60000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49"/>
      <c r="AD854" s="1150"/>
      <c r="AE854" s="1150"/>
      <c r="AF854" s="1150"/>
      <c r="AG854" s="1150"/>
      <c r="AH854" s="115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9">
        <v>8500</v>
      </c>
      <c r="AD855" s="1150"/>
      <c r="AE855" s="1150"/>
      <c r="AF855" s="1150"/>
      <c r="AG855" s="1150"/>
      <c r="AH855" s="115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4"/>
      <c r="AD856" s="1199"/>
      <c r="AE856" s="1199"/>
      <c r="AF856" s="1199"/>
      <c r="AG856" s="1199"/>
      <c r="AH856" s="119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2" t="s">
        <v>1261</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199"/>
      <c r="AD857" s="1199"/>
      <c r="AE857" s="1199"/>
      <c r="AF857" s="1199"/>
      <c r="AG857" s="1199"/>
      <c r="AH857" s="119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2" t="s">
        <v>1261</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199"/>
      <c r="AD858" s="1199"/>
      <c r="AE858" s="1199"/>
      <c r="AF858" s="1199"/>
      <c r="AG858" s="1199"/>
      <c r="AH858" s="119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39"/>
      <c r="AD859" s="1539"/>
      <c r="AE859" s="1539"/>
      <c r="AF859" s="1539"/>
      <c r="AG859" s="1539"/>
      <c r="AH859" s="1539"/>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0"/>
      <c r="AO860" s="1530"/>
      <c r="AP860" s="1220"/>
      <c r="AQ860" s="1220"/>
      <c r="AR860" s="1220"/>
      <c r="AS860" s="122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5">
        <f>Z862-(Z863+Z864)</f>
        <v>0</v>
      </c>
      <c r="AA865" s="1156"/>
      <c r="AB865" s="1156"/>
      <c r="AC865" s="1156"/>
      <c r="AD865" s="1156"/>
      <c r="AE865" s="1157"/>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1" t="s">
        <v>1005</v>
      </c>
      <c r="G877" s="1542"/>
      <c r="H877" s="1542"/>
      <c r="I877" s="1542"/>
      <c r="J877" s="1542"/>
      <c r="K877" s="1542"/>
      <c r="L877" s="1542"/>
      <c r="M877" s="1542"/>
      <c r="N877" s="1542"/>
      <c r="O877" s="1542"/>
      <c r="P877" s="1542"/>
      <c r="Q877" s="1542"/>
      <c r="R877" s="1542"/>
      <c r="S877" s="1542"/>
      <c r="T877" s="1543"/>
      <c r="U877" s="1176" t="s">
        <v>367</v>
      </c>
      <c r="V877" s="1177"/>
      <c r="W877" s="1177"/>
      <c r="X877" s="1177"/>
      <c r="Y877" s="1177"/>
      <c r="Z877" s="117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8" t="s">
        <v>1086</v>
      </c>
      <c r="G878" s="1179"/>
      <c r="H878" s="1179"/>
      <c r="I878" s="1179"/>
      <c r="J878" s="1179"/>
      <c r="K878" s="1179"/>
      <c r="L878" s="1179"/>
      <c r="M878" s="1179"/>
      <c r="N878" s="1179"/>
      <c r="O878" s="1179"/>
      <c r="P878" s="1179"/>
      <c r="Q878" s="1179"/>
      <c r="R878" s="1179"/>
      <c r="S878" s="1179"/>
      <c r="T878" s="1274"/>
      <c r="U878" s="1178"/>
      <c r="V878" s="1179"/>
      <c r="W878" s="1179"/>
      <c r="X878" s="1179"/>
      <c r="Y878" s="1179"/>
      <c r="Z878" s="117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0"/>
      <c r="G879" s="1181"/>
      <c r="H879" s="1181"/>
      <c r="I879" s="1181"/>
      <c r="J879" s="1181"/>
      <c r="K879" s="1181"/>
      <c r="L879" s="1181"/>
      <c r="M879" s="1181"/>
      <c r="N879" s="1181"/>
      <c r="O879" s="1181"/>
      <c r="P879" s="1181"/>
      <c r="Q879" s="1181"/>
      <c r="R879" s="1181"/>
      <c r="S879" s="1181"/>
      <c r="T879" s="1275"/>
      <c r="U879" s="1180"/>
      <c r="V879" s="1181"/>
      <c r="W879" s="1181"/>
      <c r="X879" s="1181"/>
      <c r="Y879" s="1181"/>
      <c r="Z879" s="1181"/>
      <c r="AA879" s="198"/>
      <c r="AB879" s="1547" t="s">
        <v>60</v>
      </c>
      <c r="AC879" s="1547"/>
      <c r="AD879" s="1547"/>
      <c r="AE879" s="154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1" t="s">
        <v>116</v>
      </c>
      <c r="V880" s="1106"/>
      <c r="W880" s="1106"/>
      <c r="X880" s="1106"/>
      <c r="Y880" s="1106"/>
      <c r="Z880" s="1172"/>
      <c r="AA880" s="1197">
        <v>540000</v>
      </c>
      <c r="AB880" s="1138"/>
      <c r="AC880" s="1138"/>
      <c r="AD880" s="1138"/>
      <c r="AE880" s="1138"/>
      <c r="AF880" s="119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1" t="s">
        <v>132</v>
      </c>
      <c r="V881" s="1106"/>
      <c r="W881" s="1106"/>
      <c r="X881" s="1106"/>
      <c r="Y881" s="1106"/>
      <c r="Z881" s="1172"/>
      <c r="AA881" s="1197"/>
      <c r="AB881" s="1138"/>
      <c r="AC881" s="1138"/>
      <c r="AD881" s="1138"/>
      <c r="AE881" s="1138"/>
      <c r="AF881" s="119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1" t="s">
        <v>132</v>
      </c>
      <c r="V882" s="1106"/>
      <c r="W882" s="1106"/>
      <c r="X882" s="1106"/>
      <c r="Y882" s="1106"/>
      <c r="Z882" s="1172"/>
      <c r="AA882" s="1197"/>
      <c r="AB882" s="1138"/>
      <c r="AC882" s="1138"/>
      <c r="AD882" s="1138"/>
      <c r="AE882" s="1138"/>
      <c r="AF882" s="119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1" t="s">
        <v>132</v>
      </c>
      <c r="V883" s="1106"/>
      <c r="W883" s="1106"/>
      <c r="X883" s="1106"/>
      <c r="Y883" s="1106"/>
      <c r="Z883" s="1172"/>
      <c r="AA883" s="1197"/>
      <c r="AB883" s="1138"/>
      <c r="AC883" s="1138"/>
      <c r="AD883" s="1138"/>
      <c r="AE883" s="1138"/>
      <c r="AF883" s="119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1" t="s">
        <v>132</v>
      </c>
      <c r="V884" s="1106"/>
      <c r="W884" s="1106"/>
      <c r="X884" s="1106"/>
      <c r="Y884" s="1106"/>
      <c r="Z884" s="1172"/>
      <c r="AA884" s="1197"/>
      <c r="AB884" s="1138"/>
      <c r="AC884" s="1138"/>
      <c r="AD884" s="1138"/>
      <c r="AE884" s="1138"/>
      <c r="AF884" s="119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1" t="s">
        <v>132</v>
      </c>
      <c r="V885" s="1106"/>
      <c r="W885" s="1106"/>
      <c r="X885" s="1106"/>
      <c r="Y885" s="1106"/>
      <c r="Z885" s="1172"/>
      <c r="AA885" s="1197"/>
      <c r="AB885" s="1138"/>
      <c r="AC885" s="1138"/>
      <c r="AD885" s="1138"/>
      <c r="AE885" s="1138"/>
      <c r="AF885" s="119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1" t="s">
        <v>132</v>
      </c>
      <c r="V886" s="1106"/>
      <c r="W886" s="1106"/>
      <c r="X886" s="1106"/>
      <c r="Y886" s="1106"/>
      <c r="Z886" s="1172"/>
      <c r="AA886" s="1197"/>
      <c r="AB886" s="1138"/>
      <c r="AC886" s="1138"/>
      <c r="AD886" s="1138"/>
      <c r="AE886" s="1138"/>
      <c r="AF886" s="119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1" t="s">
        <v>132</v>
      </c>
      <c r="V887" s="1106"/>
      <c r="W887" s="1106"/>
      <c r="X887" s="1106"/>
      <c r="Y887" s="1106"/>
      <c r="Z887" s="1172"/>
      <c r="AA887" s="1197"/>
      <c r="AB887" s="1138"/>
      <c r="AC887" s="1138"/>
      <c r="AD887" s="1138"/>
      <c r="AE887" s="1138"/>
      <c r="AF887" s="119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1" t="s">
        <v>132</v>
      </c>
      <c r="V888" s="1106"/>
      <c r="W888" s="1106"/>
      <c r="X888" s="1106"/>
      <c r="Y888" s="1106"/>
      <c r="Z888" s="1172"/>
      <c r="AA888" s="1197"/>
      <c r="AB888" s="1138"/>
      <c r="AC888" s="1138"/>
      <c r="AD888" s="1138"/>
      <c r="AE888" s="1138"/>
      <c r="AF888" s="119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1" t="s">
        <v>132</v>
      </c>
      <c r="V889" s="1106"/>
      <c r="W889" s="1106"/>
      <c r="X889" s="1106"/>
      <c r="Y889" s="1106"/>
      <c r="Z889" s="1172"/>
      <c r="AA889" s="1197"/>
      <c r="AB889" s="1138"/>
      <c r="AC889" s="1138"/>
      <c r="AD889" s="1138"/>
      <c r="AE889" s="1138"/>
      <c r="AF889" s="119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1" t="s">
        <v>132</v>
      </c>
      <c r="V891" s="1106"/>
      <c r="W891" s="1106"/>
      <c r="X891" s="1106"/>
      <c r="Y891" s="1106"/>
      <c r="Z891" s="1172"/>
      <c r="AA891" s="1197"/>
      <c r="AB891" s="1138"/>
      <c r="AC891" s="1138"/>
      <c r="AD891" s="1138"/>
      <c r="AE891" s="1138"/>
      <c r="AF891" s="119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1" t="s">
        <v>132</v>
      </c>
      <c r="V892" s="1106"/>
      <c r="W892" s="1106"/>
      <c r="X892" s="1106"/>
      <c r="Y892" s="1106"/>
      <c r="Z892" s="1172"/>
      <c r="AA892" s="1197"/>
      <c r="AB892" s="1138"/>
      <c r="AC892" s="1138"/>
      <c r="AD892" s="1138"/>
      <c r="AE892" s="1138"/>
      <c r="AF892" s="119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1" t="s">
        <v>132</v>
      </c>
      <c r="V893" s="1106"/>
      <c r="W893" s="1106"/>
      <c r="X893" s="1106"/>
      <c r="Y893" s="1106"/>
      <c r="Z893" s="1172"/>
      <c r="AA893" s="1197"/>
      <c r="AB893" s="1138"/>
      <c r="AC893" s="1138"/>
      <c r="AD893" s="1138"/>
      <c r="AE893" s="1138"/>
      <c r="AF893" s="119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7" t="s">
        <v>511</v>
      </c>
      <c r="Q894" s="1106"/>
      <c r="R894" s="1106"/>
      <c r="S894" s="1106"/>
      <c r="T894" s="1172"/>
      <c r="U894" s="1171" t="s">
        <v>132</v>
      </c>
      <c r="V894" s="1106"/>
      <c r="W894" s="1106"/>
      <c r="X894" s="1106"/>
      <c r="Y894" s="1106"/>
      <c r="Z894" s="1172"/>
      <c r="AA894" s="1197"/>
      <c r="AB894" s="1138"/>
      <c r="AC894" s="1138"/>
      <c r="AD894" s="1138"/>
      <c r="AE894" s="1138"/>
      <c r="AF894" s="119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200" t="s">
        <v>2524</v>
      </c>
      <c r="J895" s="1201"/>
      <c r="K895" s="1201"/>
      <c r="L895" s="1201"/>
      <c r="M895" s="1201"/>
      <c r="N895" s="1201"/>
      <c r="O895" s="1201"/>
      <c r="P895" s="1201"/>
      <c r="Q895" s="1201"/>
      <c r="R895" s="1201"/>
      <c r="S895" s="1201"/>
      <c r="T895" s="1202"/>
      <c r="U895" s="1171" t="s">
        <v>116</v>
      </c>
      <c r="V895" s="1106"/>
      <c r="W895" s="1106"/>
      <c r="X895" s="1106"/>
      <c r="Y895" s="1106"/>
      <c r="Z895" s="1172"/>
      <c r="AA895" s="1197">
        <f>+[4]EVERYTHING!$E$7+[4]EVERYTHING!$E$8</f>
        <v>19779343</v>
      </c>
      <c r="AB895" s="1138"/>
      <c r="AC895" s="1138"/>
      <c r="AD895" s="1138"/>
      <c r="AE895" s="1138"/>
      <c r="AF895" s="119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200" t="s">
        <v>2525</v>
      </c>
      <c r="J896" s="1201"/>
      <c r="K896" s="1201"/>
      <c r="L896" s="1201"/>
      <c r="M896" s="1201"/>
      <c r="N896" s="1201"/>
      <c r="O896" s="1201"/>
      <c r="P896" s="1201"/>
      <c r="Q896" s="1201"/>
      <c r="R896" s="1201"/>
      <c r="S896" s="1201"/>
      <c r="T896" s="1202"/>
      <c r="U896" s="1171" t="s">
        <v>116</v>
      </c>
      <c r="V896" s="1106"/>
      <c r="W896" s="1106"/>
      <c r="X896" s="1106"/>
      <c r="Y896" s="1106"/>
      <c r="Z896" s="1172"/>
      <c r="AA896" s="1197">
        <v>1200000</v>
      </c>
      <c r="AB896" s="1138"/>
      <c r="AC896" s="1138"/>
      <c r="AD896" s="1138"/>
      <c r="AE896" s="1138"/>
      <c r="AF896" s="119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200" t="s">
        <v>2511</v>
      </c>
      <c r="J897" s="1201"/>
      <c r="K897" s="1201"/>
      <c r="L897" s="1201"/>
      <c r="M897" s="1201"/>
      <c r="N897" s="1201"/>
      <c r="O897" s="1201"/>
      <c r="P897" s="1201"/>
      <c r="Q897" s="1201"/>
      <c r="R897" s="1201"/>
      <c r="S897" s="1201"/>
      <c r="T897" s="1202"/>
      <c r="U897" s="1171" t="s">
        <v>511</v>
      </c>
      <c r="V897" s="1106"/>
      <c r="W897" s="1106"/>
      <c r="X897" s="1106"/>
      <c r="Y897" s="1106"/>
      <c r="Z897" s="1172"/>
      <c r="AA897" s="1197">
        <f>+[4]EVERYTHING!$E$11</f>
        <v>15000</v>
      </c>
      <c r="AB897" s="1138"/>
      <c r="AC897" s="1138"/>
      <c r="AD897" s="1138"/>
      <c r="AE897" s="1138"/>
      <c r="AF897" s="119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200" t="s">
        <v>2504</v>
      </c>
      <c r="J898" s="1201"/>
      <c r="K898" s="1201"/>
      <c r="L898" s="1201"/>
      <c r="M898" s="1201"/>
      <c r="N898" s="1201"/>
      <c r="O898" s="1201"/>
      <c r="P898" s="1201"/>
      <c r="Q898" s="1201"/>
      <c r="R898" s="1201"/>
      <c r="S898" s="1201"/>
      <c r="T898" s="1202"/>
      <c r="U898" s="1171" t="s">
        <v>116</v>
      </c>
      <c r="V898" s="1106"/>
      <c r="W898" s="1106"/>
      <c r="X898" s="1106"/>
      <c r="Y898" s="1106"/>
      <c r="Z898" s="1172"/>
      <c r="AA898" s="1197">
        <f>+[4]EVERYTHING!$E$12</f>
        <v>1250000</v>
      </c>
      <c r="AB898" s="1138"/>
      <c r="AC898" s="1138"/>
      <c r="AD898" s="1138"/>
      <c r="AE898" s="1138"/>
      <c r="AF898" s="119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209">
        <v>45040</v>
      </c>
      <c r="M903" s="1313"/>
      <c r="N903" s="1313"/>
      <c r="O903" s="1313"/>
      <c r="P903" s="1313"/>
      <c r="Q903" s="1313"/>
      <c r="R903" s="1313"/>
      <c r="S903" s="1351"/>
      <c r="U903" s="72" t="s">
        <v>868</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0" t="s">
        <v>2502</v>
      </c>
      <c r="M904" s="1313"/>
      <c r="N904" s="1313"/>
      <c r="O904" s="1313"/>
      <c r="P904" s="1313"/>
      <c r="Q904" s="1313"/>
      <c r="R904" s="1313"/>
      <c r="S904" s="1351"/>
      <c r="U904" s="72" t="s">
        <v>869</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7" t="s">
        <v>84</v>
      </c>
      <c r="M905" s="1348"/>
      <c r="N905" s="1348"/>
      <c r="O905" s="1348"/>
      <c r="P905" s="1348"/>
      <c r="Q905" s="1348"/>
      <c r="R905" s="1348"/>
      <c r="S905" s="1349"/>
      <c r="U905" s="72" t="s">
        <v>1155</v>
      </c>
      <c r="V905" s="9"/>
      <c r="W905" s="9"/>
      <c r="AE905" s="1173" t="s">
        <v>84</v>
      </c>
      <c r="AF905" s="1174"/>
      <c r="AG905" s="1174"/>
      <c r="AH905" s="1174"/>
      <c r="AI905" s="1174"/>
      <c r="AJ905" s="1174"/>
      <c r="AK905" s="1175"/>
      <c r="AL905" s="74"/>
      <c r="AM905" s="43"/>
      <c r="AN905" s="43"/>
      <c r="AO905" s="43"/>
      <c r="AP905" s="43"/>
      <c r="AQ905" s="43"/>
      <c r="AR905" s="43"/>
      <c r="AS905" s="43"/>
      <c r="AT905" s="43"/>
      <c r="AU905" s="43"/>
      <c r="AV905" s="43"/>
      <c r="AW905" s="38" t="s">
        <v>620</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6"/>
      <c r="M906" s="1207"/>
      <c r="N906" s="1207"/>
      <c r="O906" s="1207"/>
      <c r="P906" s="1207"/>
      <c r="Q906" s="1207"/>
      <c r="R906" s="1207"/>
      <c r="S906" s="1208"/>
      <c r="U906" s="72" t="s">
        <v>870</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39">
        <f>+[4]EVERYTHING!$X$26</f>
        <v>60</v>
      </c>
      <c r="M907" s="1340"/>
      <c r="N907" s="1340"/>
      <c r="O907" s="1340"/>
      <c r="P907" s="1340"/>
      <c r="Q907" s="1340"/>
      <c r="R907" s="1340"/>
      <c r="S907" s="1341"/>
      <c r="U907" s="72" t="s">
        <v>871</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621</v>
      </c>
      <c r="AX907" s="206">
        <v>7</v>
      </c>
      <c r="AY907" s="1318">
        <f>IF(AD948&gt;0,0.07,0)</f>
        <v>0</v>
      </c>
      <c r="AZ907" s="131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49" t="s">
        <v>2526</v>
      </c>
      <c r="M908" s="1150"/>
      <c r="N908" s="1150"/>
      <c r="O908" s="1150"/>
      <c r="P908" s="1150"/>
      <c r="Q908" s="1150"/>
      <c r="R908" s="1150"/>
      <c r="S908" s="1151"/>
      <c r="U908" s="72" t="s">
        <v>872</v>
      </c>
      <c r="V908" s="9"/>
      <c r="W908" s="9"/>
      <c r="X908" s="9"/>
      <c r="Y908" s="9"/>
      <c r="Z908" s="9"/>
      <c r="AA908" s="9"/>
      <c r="AB908" s="9"/>
      <c r="AC908" s="9"/>
      <c r="AD908" s="52"/>
      <c r="AE908" s="1197"/>
      <c r="AF908" s="1138"/>
      <c r="AG908" s="1138"/>
      <c r="AH908" s="1138"/>
      <c r="AI908" s="1138"/>
      <c r="AJ908" s="1138"/>
      <c r="AK908" s="1198"/>
      <c r="AL908" s="74"/>
      <c r="AM908" s="43"/>
      <c r="AN908" s="43"/>
      <c r="AO908" s="43"/>
      <c r="AP908" s="43"/>
      <c r="AQ908" s="43"/>
      <c r="AR908" s="43"/>
      <c r="AS908" s="43"/>
      <c r="AT908" s="43"/>
      <c r="AU908" s="43"/>
      <c r="AV908" s="43"/>
      <c r="AW908" s="38" t="s">
        <v>158</v>
      </c>
      <c r="AX908" s="206">
        <v>2</v>
      </c>
      <c r="AY908" s="1193">
        <f>IF(AD952&gt;0,0.02,0)</f>
        <v>0</v>
      </c>
      <c r="AZ908" s="1195"/>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49">
        <f>+[4]EVERYTHING!$E$86</f>
        <v>1000000</v>
      </c>
      <c r="M909" s="1150"/>
      <c r="N909" s="1150"/>
      <c r="O909" s="1150"/>
      <c r="P909" s="1150"/>
      <c r="Q909" s="1150"/>
      <c r="R909" s="1150"/>
      <c r="S909" s="1151"/>
      <c r="U909" s="72" t="s">
        <v>873</v>
      </c>
      <c r="V909" s="9"/>
      <c r="W909" s="9"/>
      <c r="X909" s="9"/>
      <c r="Y909" s="9"/>
      <c r="Z909" s="9"/>
      <c r="AA909" s="9"/>
      <c r="AB909" s="9"/>
      <c r="AC909" s="9"/>
      <c r="AD909" s="52"/>
      <c r="AE909" s="1197"/>
      <c r="AF909" s="1138"/>
      <c r="AG909" s="1138"/>
      <c r="AH909" s="1138"/>
      <c r="AI909" s="1138"/>
      <c r="AJ909" s="1138"/>
      <c r="AK909" s="1198"/>
      <c r="AL909" s="74"/>
      <c r="AM909" s="43"/>
      <c r="AN909" s="43"/>
      <c r="AO909" s="43"/>
      <c r="AP909" s="43"/>
      <c r="AQ909" s="43"/>
      <c r="AR909" s="43"/>
      <c r="AS909" s="43"/>
      <c r="AT909" s="43"/>
      <c r="AU909" s="43"/>
      <c r="AV909" s="43"/>
      <c r="AW909" s="38" t="s">
        <v>622</v>
      </c>
      <c r="AX909" s="206">
        <v>2</v>
      </c>
      <c r="AY909" s="1193">
        <f>IF(AD954&gt;0,0.02,0)</f>
        <v>0</v>
      </c>
      <c r="AZ909" s="1195"/>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9">
        <v>20</v>
      </c>
      <c r="M910" s="1340"/>
      <c r="N910" s="1340"/>
      <c r="O910" s="1340"/>
      <c r="P910" s="1340"/>
      <c r="Q910" s="1340"/>
      <c r="R910" s="1340"/>
      <c r="S910" s="1341"/>
      <c r="U910" s="214" t="s">
        <v>2071</v>
      </c>
      <c r="V910" s="9"/>
      <c r="W910" s="9"/>
      <c r="X910" s="9"/>
      <c r="Y910" s="9"/>
      <c r="Z910" s="9"/>
      <c r="AA910" s="9"/>
      <c r="AB910" s="9"/>
      <c r="AC910" s="9"/>
      <c r="AD910" s="52"/>
      <c r="AE910" s="1335"/>
      <c r="AF910" s="1336"/>
      <c r="AG910" s="1336"/>
      <c r="AH910" s="1336"/>
      <c r="AI910" s="1336"/>
      <c r="AJ910" s="1336"/>
      <c r="AK910" s="1337"/>
      <c r="AL910" s="74"/>
      <c r="AM910" s="43"/>
      <c r="AN910" s="43"/>
      <c r="AO910" s="43"/>
      <c r="AP910" s="43"/>
      <c r="AQ910" s="43"/>
      <c r="AR910" s="43"/>
      <c r="AS910" s="43"/>
      <c r="AT910" s="43"/>
      <c r="AU910" s="43"/>
      <c r="AV910" s="43"/>
      <c r="AW910" s="38" t="s">
        <v>623</v>
      </c>
      <c r="AX910" s="206">
        <v>10</v>
      </c>
      <c r="AY910" s="1325">
        <f>AY918</f>
        <v>9.0000000000000011E-2</v>
      </c>
      <c r="AZ910" s="132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3"/>
      <c r="AZ911" s="1195"/>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3">
        <f>IF(AD971&gt;0,0.1,0)</f>
        <v>0</v>
      </c>
      <c r="AZ913" s="1195"/>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5">
        <f>SUM(AY905:AY913)</f>
        <v>9.0000000000000011E-2</v>
      </c>
      <c r="AZ914" s="132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3"/>
      <c r="N915" s="1122"/>
      <c r="O915" s="1122"/>
      <c r="P915" s="1122"/>
      <c r="Q915" s="1122"/>
      <c r="R915" s="1122"/>
      <c r="S915" s="1154"/>
      <c r="T915" s="72" t="s">
        <v>994</v>
      </c>
      <c r="U915" s="9"/>
      <c r="V915" s="9"/>
      <c r="W915" s="9"/>
      <c r="X915" s="9"/>
      <c r="Y915" s="9"/>
      <c r="Z915" s="52"/>
      <c r="AA915" s="1153"/>
      <c r="AB915" s="1122"/>
      <c r="AC915" s="1122"/>
      <c r="AD915" s="1122"/>
      <c r="AE915" s="1122"/>
      <c r="AF915" s="1122"/>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3"/>
      <c r="N916" s="1122"/>
      <c r="O916" s="1122"/>
      <c r="P916" s="1122"/>
      <c r="Q916" s="1122"/>
      <c r="R916" s="1122"/>
      <c r="S916" s="1154"/>
      <c r="T916" s="72" t="s">
        <v>993</v>
      </c>
      <c r="U916" s="9"/>
      <c r="V916" s="9"/>
      <c r="W916" s="9"/>
      <c r="X916" s="9"/>
      <c r="Y916" s="9"/>
      <c r="Z916" s="52"/>
      <c r="AA916" s="1153"/>
      <c r="AB916" s="1122"/>
      <c r="AC916" s="1122"/>
      <c r="AD916" s="1122"/>
      <c r="AE916" s="1122"/>
      <c r="AF916" s="1122"/>
      <c r="AG916" s="1154"/>
      <c r="AL916" s="74"/>
      <c r="AM916" s="43"/>
      <c r="AN916" s="43"/>
      <c r="AO916" s="43"/>
      <c r="AP916" s="43"/>
      <c r="AQ916" s="43"/>
      <c r="AR916" s="43"/>
      <c r="AS916" s="43"/>
      <c r="AT916" s="43"/>
      <c r="AU916" s="43"/>
      <c r="AV916" s="43"/>
      <c r="AW916" s="38"/>
      <c r="AX916" s="38"/>
      <c r="AY916" s="1325">
        <f>SUM(AY905:AZ909)+AY913</f>
        <v>0</v>
      </c>
      <c r="AZ916" s="1326"/>
      <c r="BA916" s="1316">
        <v>0.39</v>
      </c>
      <c r="BB916" s="131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69" t="s">
        <v>132</v>
      </c>
      <c r="N917" s="1092"/>
      <c r="O917" s="1092"/>
      <c r="P917" s="1092"/>
      <c r="Q917" s="1092"/>
      <c r="R917" s="1092"/>
      <c r="S917" s="1170"/>
      <c r="T917" s="8" t="s">
        <v>597</v>
      </c>
      <c r="U917" s="9"/>
      <c r="V917" s="9"/>
      <c r="W917" s="9"/>
      <c r="X917" s="9"/>
      <c r="Y917" s="9"/>
      <c r="Z917" s="52"/>
      <c r="AA917" s="1153"/>
      <c r="AB917" s="1122"/>
      <c r="AC917" s="1122"/>
      <c r="AD917" s="1122"/>
      <c r="AE917" s="1122"/>
      <c r="AF917" s="1122"/>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3"/>
      <c r="N918" s="1122"/>
      <c r="O918" s="1122"/>
      <c r="P918" s="1122"/>
      <c r="Q918" s="1122"/>
      <c r="R918" s="1122"/>
      <c r="S918" s="1154"/>
      <c r="T918" s="8" t="s">
        <v>598</v>
      </c>
      <c r="U918" s="9"/>
      <c r="V918" s="9"/>
      <c r="W918" s="9"/>
      <c r="X918" s="9"/>
      <c r="Y918" s="9"/>
      <c r="Z918" s="52"/>
      <c r="AA918" s="1153"/>
      <c r="AB918" s="1122"/>
      <c r="AC918" s="1122"/>
      <c r="AD918" s="1122"/>
      <c r="AE918" s="1122"/>
      <c r="AF918" s="1122"/>
      <c r="AG918" s="1154"/>
      <c r="AL918" s="74"/>
      <c r="AM918" s="43"/>
      <c r="AN918" s="43"/>
      <c r="AO918" s="43"/>
      <c r="AP918" s="43"/>
      <c r="AQ918" s="43"/>
      <c r="AR918" s="43"/>
      <c r="AS918" s="43"/>
      <c r="AT918" s="43"/>
      <c r="AU918" s="43"/>
      <c r="AV918" s="43"/>
      <c r="AW918" s="43"/>
      <c r="AX918" s="43"/>
      <c r="AY918" s="355">
        <f>IF(SUM(BA931:BA939)&lt;=0.1,SUM(BA931:BA939),0.1)</f>
        <v>9.0000000000000011E-2</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3"/>
      <c r="N919" s="1122"/>
      <c r="O919" s="1122"/>
      <c r="P919" s="1122"/>
      <c r="Q919" s="1122"/>
      <c r="R919" s="1122"/>
      <c r="S919" s="1154"/>
      <c r="T919" s="8" t="s">
        <v>522</v>
      </c>
      <c r="U919" s="9"/>
      <c r="V919" s="9"/>
      <c r="W919" s="9"/>
      <c r="X919" s="9"/>
      <c r="Y919" s="9"/>
      <c r="Z919" s="52"/>
      <c r="AA919" s="1153"/>
      <c r="AB919" s="1122"/>
      <c r="AC919" s="1122"/>
      <c r="AD919" s="1122"/>
      <c r="AE919" s="1122"/>
      <c r="AF919" s="1122"/>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3" t="s">
        <v>84</v>
      </c>
      <c r="N920" s="1174"/>
      <c r="O920" s="1174"/>
      <c r="P920" s="1174"/>
      <c r="Q920" s="1174"/>
      <c r="R920" s="1174"/>
      <c r="S920" s="1175"/>
      <c r="T920" s="1332"/>
      <c r="U920" s="1333"/>
      <c r="V920" s="1333"/>
      <c r="W920" s="1333"/>
      <c r="X920" s="1333"/>
      <c r="Y920" s="1333"/>
      <c r="Z920" s="1334"/>
      <c r="AA920" s="1153"/>
      <c r="AB920" s="1122"/>
      <c r="AC920" s="1122"/>
      <c r="AD920" s="1122"/>
      <c r="AE920" s="1122"/>
      <c r="AF920" s="1122"/>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3"/>
      <c r="N921" s="1122"/>
      <c r="O921" s="1122"/>
      <c r="P921" s="1122"/>
      <c r="Q921" s="1122"/>
      <c r="R921" s="1122"/>
      <c r="S921" s="1154"/>
      <c r="T921" s="1332"/>
      <c r="U921" s="1333"/>
      <c r="V921" s="1333"/>
      <c r="W921" s="1333"/>
      <c r="X921" s="1333"/>
      <c r="Y921" s="1333"/>
      <c r="Z921" s="1334"/>
      <c r="AA921" s="1153"/>
      <c r="AB921" s="1122"/>
      <c r="AC921" s="1122"/>
      <c r="AD921" s="1122"/>
      <c r="AE921" s="1122"/>
      <c r="AF921" s="1122"/>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69" t="s">
        <v>511</v>
      </c>
      <c r="P922" s="1170"/>
      <c r="Q922" s="146"/>
      <c r="R922" s="146"/>
      <c r="S922" s="147"/>
      <c r="T922" s="6" t="s">
        <v>298</v>
      </c>
      <c r="U922" s="7"/>
      <c r="V922" s="7"/>
      <c r="W922" s="1327" t="s">
        <v>593</v>
      </c>
      <c r="X922" s="1328"/>
      <c r="Y922" s="1328"/>
      <c r="Z922" s="1328"/>
      <c r="AA922" s="1328"/>
      <c r="AB922" s="1328"/>
      <c r="AC922" s="1328"/>
      <c r="AD922" s="1328"/>
      <c r="AE922" s="1328"/>
      <c r="AF922" s="1328"/>
      <c r="AG922" s="132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8" t="s">
        <v>241</v>
      </c>
      <c r="G923" s="1298"/>
      <c r="H923" s="1298"/>
      <c r="I923" s="1298"/>
      <c r="J923" s="1298"/>
      <c r="K923" s="1298"/>
      <c r="L923" s="1298"/>
      <c r="M923" s="1153"/>
      <c r="N923" s="1122"/>
      <c r="O923" s="1122"/>
      <c r="P923" s="1122"/>
      <c r="Q923" s="1122"/>
      <c r="R923" s="1122"/>
      <c r="S923" s="1154"/>
      <c r="T923" s="53"/>
      <c r="U923" s="54"/>
      <c r="V923" s="54"/>
      <c r="W923" s="54"/>
      <c r="X923" s="54"/>
      <c r="Y923" s="54"/>
      <c r="Z923" s="226" t="s">
        <v>242</v>
      </c>
      <c r="AA923" s="1330"/>
      <c r="AB923" s="1295"/>
      <c r="AC923" s="1295"/>
      <c r="AD923" s="1295"/>
      <c r="AE923" s="1295"/>
      <c r="AF923" s="1295"/>
      <c r="AG923" s="133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3" t="s">
        <v>448</v>
      </c>
      <c r="E933" s="1194"/>
      <c r="F933" s="1194"/>
      <c r="G933" s="1194"/>
      <c r="H933" s="1194"/>
      <c r="I933" s="1194"/>
      <c r="J933" s="1194"/>
      <c r="K933" s="1194"/>
      <c r="L933" s="1194"/>
      <c r="M933" s="1194"/>
      <c r="N933" s="1194"/>
      <c r="O933" s="1194"/>
      <c r="P933" s="1194"/>
      <c r="Q933" s="1195"/>
      <c r="R933" s="1196">
        <f>IF(ISNA(IF($BA$805="4%",(INDEX($BC$819:$BG$876,MATCH($BO$805,$BB$819:$BB$876,0),MATCH(D933,$BC$817:$BG$817,0))),(INDEX($BJ$819:$BN$876,MATCH($BO$805,$BI$819:$BI$876,0),MATCH(D933,$BJ$817:$BN$817,0))))),0,IF($BA$805="4%",(INDEX($BC$819:$BG$876,MATCH($BO$805,$BB$819:$BB$876,0),MATCH(D933,$BC$817:$BG$817,0))),(INDEX($BJ$819:$BN$876,MATCH($BO$805,$BI$819:$BI$876,0),MATCH(D933,$BJ$817:$BN$817,0)))))</f>
        <v>307732</v>
      </c>
      <c r="S933" s="1196"/>
      <c r="T933" s="1196"/>
      <c r="U933" s="1196"/>
      <c r="V933" s="1196"/>
      <c r="W933" s="1196"/>
      <c r="X933" s="1196"/>
      <c r="Y933" s="1196"/>
      <c r="Z933" s="1196"/>
      <c r="AA933" s="1196"/>
      <c r="AB933" s="1319">
        <f>BN638</f>
        <v>0</v>
      </c>
      <c r="AC933" s="1320"/>
      <c r="AD933" s="1320"/>
      <c r="AE933" s="1320"/>
      <c r="AF933" s="1320"/>
      <c r="AG933" s="1320"/>
      <c r="AH933" s="1320"/>
      <c r="AI933" s="1321"/>
      <c r="AJ933" s="1322">
        <f>IF(ISERROR((R933*AB933)),0,(R933*AB933))</f>
        <v>0</v>
      </c>
      <c r="AK933" s="1323"/>
      <c r="AL933" s="1323"/>
      <c r="AM933" s="1323"/>
      <c r="AN933" s="1323"/>
      <c r="AO933" s="1323"/>
      <c r="AP933" s="1323"/>
      <c r="AQ933" s="132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3" t="s">
        <v>471</v>
      </c>
      <c r="E934" s="1194"/>
      <c r="F934" s="1194"/>
      <c r="G934" s="1194"/>
      <c r="H934" s="1194"/>
      <c r="I934" s="1194"/>
      <c r="J934" s="1194"/>
      <c r="K934" s="1194"/>
      <c r="L934" s="1194"/>
      <c r="M934" s="1194"/>
      <c r="N934" s="1194"/>
      <c r="O934" s="1194"/>
      <c r="P934" s="1194"/>
      <c r="Q934" s="1195"/>
      <c r="R934" s="1196">
        <f>IF(ISNA(IF($BA$805="4%",(INDEX($BC$819:$BG$876,MATCH($BO$805,$BB$819:$BB$876,0),MATCH(D934,$BC$817:$BG$817,0))),(INDEX($BJ$819:$BN$876,MATCH($BO$805,$BI$819:$BI$876,0),MATCH(D934,$BJ$817:$BN$817,0))))),0,IF($BA$805="4%",(INDEX($BC$819:$BG$876,MATCH($BO$805,$BB$819:$BB$876,0),MATCH(D934,$BC$817:$BG$817,0))),(INDEX($BJ$819:$BN$876,MATCH($BO$805,$BI$819:$BI$876,0),MATCH(D934,$BJ$817:$BN$817,0)))))</f>
        <v>354812</v>
      </c>
      <c r="S934" s="1196"/>
      <c r="T934" s="1196"/>
      <c r="U934" s="1196"/>
      <c r="V934" s="1196"/>
      <c r="W934" s="1196"/>
      <c r="X934" s="1196"/>
      <c r="Y934" s="1196"/>
      <c r="Z934" s="1196"/>
      <c r="AA934" s="1196"/>
      <c r="AB934" s="1319">
        <f>BS638</f>
        <v>92</v>
      </c>
      <c r="AC934" s="1320"/>
      <c r="AD934" s="1320"/>
      <c r="AE934" s="1320"/>
      <c r="AF934" s="1320"/>
      <c r="AG934" s="1320"/>
      <c r="AH934" s="1320"/>
      <c r="AI934" s="1321"/>
      <c r="AJ934" s="1322">
        <f>IF(ISERROR((R934*AB934)),0,(R934*AB934))</f>
        <v>32642704</v>
      </c>
      <c r="AK934" s="1323"/>
      <c r="AL934" s="1323"/>
      <c r="AM934" s="1323"/>
      <c r="AN934" s="1323"/>
      <c r="AO934" s="1323"/>
      <c r="AP934" s="1323"/>
      <c r="AQ934" s="132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3" t="s">
        <v>817</v>
      </c>
      <c r="E935" s="1194"/>
      <c r="F935" s="1194"/>
      <c r="G935" s="1194"/>
      <c r="H935" s="1194"/>
      <c r="I935" s="1194"/>
      <c r="J935" s="1194"/>
      <c r="K935" s="1194"/>
      <c r="L935" s="1194"/>
      <c r="M935" s="1194"/>
      <c r="N935" s="1194"/>
      <c r="O935" s="1194"/>
      <c r="P935" s="1194"/>
      <c r="Q935" s="1195"/>
      <c r="R935" s="1196">
        <f>IF(ISNA(IF($BA$805="4%",(INDEX($BC$819:$BG$876,MATCH($BO$805,$BB$819:$BB$876,0),MATCH(D935,$BC$817:$BG$817,0))),(INDEX($BJ$819:$BN$876,MATCH($BO$805,$BI$819:$BI$876,0),MATCH(D935,$BJ$817:$BN$817,0))))),0,IF($BA$805="4%",(INDEX($BC$819:$BG$876,MATCH($BO$805,$BB$819:$BB$876,0),MATCH(D935,$BC$817:$BG$817,0))),(INDEX($BJ$819:$BN$876,MATCH($BO$805,$BI$819:$BI$876,0),MATCH(D935,$BJ$817:$BN$817,0)))))</f>
        <v>428000</v>
      </c>
      <c r="S935" s="1196"/>
      <c r="T935" s="1196"/>
      <c r="U935" s="1196"/>
      <c r="V935" s="1196"/>
      <c r="W935" s="1196"/>
      <c r="X935" s="1196"/>
      <c r="Y935" s="1196"/>
      <c r="Z935" s="1196"/>
      <c r="AA935" s="1196"/>
      <c r="AB935" s="1319">
        <f>BX638</f>
        <v>28</v>
      </c>
      <c r="AC935" s="1320"/>
      <c r="AD935" s="1320"/>
      <c r="AE935" s="1320"/>
      <c r="AF935" s="1320"/>
      <c r="AG935" s="1320"/>
      <c r="AH935" s="1320"/>
      <c r="AI935" s="1321"/>
      <c r="AJ935" s="1322">
        <f>IF(ISERROR((R935*AB935)),0,(R935*AB935))</f>
        <v>11984000</v>
      </c>
      <c r="AK935" s="1323"/>
      <c r="AL935" s="1323"/>
      <c r="AM935" s="1323"/>
      <c r="AN935" s="1323"/>
      <c r="AO935" s="1323"/>
      <c r="AP935" s="1323"/>
      <c r="AQ935" s="132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3" t="s">
        <v>818</v>
      </c>
      <c r="E936" s="1194"/>
      <c r="F936" s="1194"/>
      <c r="G936" s="1194"/>
      <c r="H936" s="1194"/>
      <c r="I936" s="1194"/>
      <c r="J936" s="1194"/>
      <c r="K936" s="1194"/>
      <c r="L936" s="1194"/>
      <c r="M936" s="1194"/>
      <c r="N936" s="1194"/>
      <c r="O936" s="1194"/>
      <c r="P936" s="1194"/>
      <c r="Q936" s="1195"/>
      <c r="R936" s="1196">
        <f>IF(ISNA(IF($BA$805="4%",(INDEX($BC$819:$BG$876,MATCH($BO$805,$BB$819:$BB$876,0),MATCH(D936,$BC$817:$BG$817,0))),(INDEX($BJ$819:$BN$876,MATCH($BO$805,$BI$819:$BI$876,0),MATCH(D936,$BJ$817:$BN$817,0))))),0,IF($BA$805="4%",(INDEX($BC$819:$BG$876,MATCH($BO$805,$BB$819:$BB$876,0),MATCH(D936,$BC$817:$BG$817,0))),(INDEX($BJ$819:$BN$876,MATCH($BO$805,$BI$819:$BI$876,0),MATCH(D936,$BJ$817:$BN$817,0)))))</f>
        <v>547840</v>
      </c>
      <c r="S936" s="1196"/>
      <c r="T936" s="1196"/>
      <c r="U936" s="1196"/>
      <c r="V936" s="1196"/>
      <c r="W936" s="1196"/>
      <c r="X936" s="1196"/>
      <c r="Y936" s="1196"/>
      <c r="Z936" s="1196"/>
      <c r="AA936" s="1196"/>
      <c r="AB936" s="1319">
        <f>CC638</f>
        <v>0</v>
      </c>
      <c r="AC936" s="1320"/>
      <c r="AD936" s="1320"/>
      <c r="AE936" s="1320"/>
      <c r="AF936" s="1320"/>
      <c r="AG936" s="1320"/>
      <c r="AH936" s="1320"/>
      <c r="AI936" s="1321"/>
      <c r="AJ936" s="1322">
        <f>IF(ISERROR((R936*AB936)),0,(R936*AB936))</f>
        <v>0</v>
      </c>
      <c r="AK936" s="1323"/>
      <c r="AL936" s="1323"/>
      <c r="AM936" s="1323"/>
      <c r="AN936" s="1323"/>
      <c r="AO936" s="1323"/>
      <c r="AP936" s="1323"/>
      <c r="AQ936" s="132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3" t="s">
        <v>829</v>
      </c>
      <c r="E937" s="1194"/>
      <c r="F937" s="1194"/>
      <c r="G937" s="1194"/>
      <c r="H937" s="1194"/>
      <c r="I937" s="1194"/>
      <c r="J937" s="1194"/>
      <c r="K937" s="1194"/>
      <c r="L937" s="1194"/>
      <c r="M937" s="1194"/>
      <c r="N937" s="1194"/>
      <c r="O937" s="1194"/>
      <c r="P937" s="1194"/>
      <c r="Q937" s="1195"/>
      <c r="R937" s="1196">
        <f>IF(ISNA(IF($BA$805="4%",(INDEX($BC$819:$BG$876,MATCH($BO$805,$BB$819:$BB$876,0),MATCH(D937,$BC$817:$BG$817,0))),(INDEX($BJ$819:$BN$876,MATCH($BO$805,$BI$819:$BI$876,0),MATCH(D937,$BJ$817:$BN$817,0))))),0,IF($BA$805="4%",(INDEX($BC$819:$BG$876,MATCH($BO$805,$BB$819:$BB$876,0),MATCH(D937,$BC$817:$BG$817,0))),(INDEX($BJ$819:$BN$876,MATCH($BO$805,$BI$819:$BI$876,0),MATCH(D937,$BJ$817:$BN$817,0)))))</f>
        <v>610328</v>
      </c>
      <c r="S937" s="1196"/>
      <c r="T937" s="1196"/>
      <c r="U937" s="1196"/>
      <c r="V937" s="1196"/>
      <c r="W937" s="1196"/>
      <c r="X937" s="1196"/>
      <c r="Y937" s="1196"/>
      <c r="Z937" s="1196"/>
      <c r="AA937" s="1196"/>
      <c r="AB937" s="1319">
        <f>CM638+CH638</f>
        <v>0</v>
      </c>
      <c r="AC937" s="1320"/>
      <c r="AD937" s="1320"/>
      <c r="AE937" s="1320"/>
      <c r="AF937" s="1320"/>
      <c r="AG937" s="1320"/>
      <c r="AH937" s="1320"/>
      <c r="AI937" s="1321"/>
      <c r="AJ937" s="1322">
        <f>IF(ISERROR((R937*AB937)),0,(R937*AB937))</f>
        <v>0</v>
      </c>
      <c r="AK937" s="1323"/>
      <c r="AL937" s="1323"/>
      <c r="AM937" s="1323"/>
      <c r="AN937" s="1323"/>
      <c r="AO937" s="1323"/>
      <c r="AP937" s="1323"/>
      <c r="AQ937" s="132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6" t="s">
        <v>1004</v>
      </c>
      <c r="C938" s="1567"/>
      <c r="D938" s="1567"/>
      <c r="E938" s="1567"/>
      <c r="F938" s="1567"/>
      <c r="G938" s="1567"/>
      <c r="H938" s="1567"/>
      <c r="I938" s="1567"/>
      <c r="J938" s="1567"/>
      <c r="K938" s="1567"/>
      <c r="L938" s="1567"/>
      <c r="M938" s="1567"/>
      <c r="N938" s="1567"/>
      <c r="O938" s="1567"/>
      <c r="P938" s="1567"/>
      <c r="Q938" s="1567"/>
      <c r="R938" s="1567"/>
      <c r="S938" s="1567"/>
      <c r="T938" s="1567"/>
      <c r="U938" s="1567"/>
      <c r="V938" s="1567"/>
      <c r="W938" s="1567"/>
      <c r="X938" s="1567"/>
      <c r="Y938" s="1567"/>
      <c r="Z938" s="1567"/>
      <c r="AA938" s="1568"/>
      <c r="AB938" s="1319">
        <f>SUM(AB933:AI937)</f>
        <v>120</v>
      </c>
      <c r="AC938" s="1320"/>
      <c r="AD938" s="1320"/>
      <c r="AE938" s="1320"/>
      <c r="AF938" s="1320"/>
      <c r="AG938" s="1320"/>
      <c r="AH938" s="1320"/>
      <c r="AI938" s="1321"/>
      <c r="AJ938" s="1322"/>
      <c r="AK938" s="1323"/>
      <c r="AL938" s="1323"/>
      <c r="AM938" s="1323"/>
      <c r="AN938" s="1323"/>
      <c r="AO938" s="1323"/>
      <c r="AP938" s="1323"/>
      <c r="AQ938" s="1324"/>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69" t="s">
        <v>784</v>
      </c>
      <c r="C939" s="1570"/>
      <c r="D939" s="1570"/>
      <c r="E939" s="1570"/>
      <c r="F939" s="1570"/>
      <c r="G939" s="1570"/>
      <c r="H939" s="1570"/>
      <c r="I939" s="1570"/>
      <c r="J939" s="1570"/>
      <c r="K939" s="1570"/>
      <c r="L939" s="1570"/>
      <c r="M939" s="1570"/>
      <c r="N939" s="1570"/>
      <c r="O939" s="1570"/>
      <c r="P939" s="1570"/>
      <c r="Q939" s="1570"/>
      <c r="R939" s="1570"/>
      <c r="S939" s="1570"/>
      <c r="T939" s="1570"/>
      <c r="U939" s="1570"/>
      <c r="V939" s="1570"/>
      <c r="W939" s="1570"/>
      <c r="X939" s="1570"/>
      <c r="Y939" s="1570"/>
      <c r="Z939" s="1570"/>
      <c r="AA939" s="1570"/>
      <c r="AB939" s="1570"/>
      <c r="AC939" s="1570"/>
      <c r="AD939" s="1570"/>
      <c r="AE939" s="1570"/>
      <c r="AF939" s="1570"/>
      <c r="AG939" s="1570"/>
      <c r="AH939" s="1570"/>
      <c r="AI939" s="1571"/>
      <c r="AJ939" s="1322">
        <f>SUM(AJ933:AQ937)</f>
        <v>44626704</v>
      </c>
      <c r="AK939" s="1323"/>
      <c r="AL939" s="1323"/>
      <c r="AM939" s="1323"/>
      <c r="AN939" s="1323"/>
      <c r="AO939" s="1323"/>
      <c r="AP939" s="1323"/>
      <c r="AQ939" s="132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2"/>
      <c r="C940" s="1573"/>
      <c r="D940" s="1573"/>
      <c r="E940" s="1573"/>
      <c r="F940" s="1573"/>
      <c r="G940" s="1573"/>
      <c r="H940" s="1573"/>
      <c r="I940" s="1573"/>
      <c r="J940" s="1573"/>
      <c r="K940" s="1573"/>
      <c r="L940" s="1573"/>
      <c r="M940" s="1573"/>
      <c r="N940" s="1573"/>
      <c r="O940" s="1573"/>
      <c r="P940" s="1573"/>
      <c r="Q940" s="1573"/>
      <c r="R940" s="1573"/>
      <c r="S940" s="1573"/>
      <c r="T940" s="1573"/>
      <c r="U940" s="1573"/>
      <c r="V940" s="1573"/>
      <c r="W940" s="1573"/>
      <c r="X940" s="1573"/>
      <c r="Y940" s="1573"/>
      <c r="Z940" s="1573"/>
      <c r="AA940" s="1573"/>
      <c r="AB940" s="1573"/>
      <c r="AC940" s="1573"/>
      <c r="AD940" s="1573"/>
      <c r="AE940" s="1574"/>
      <c r="AF940" s="1575" t="s">
        <v>508</v>
      </c>
      <c r="AG940" s="1576"/>
      <c r="AH940" s="1576"/>
      <c r="AI940" s="1577"/>
      <c r="AJ940" s="1572"/>
      <c r="AK940" s="1573"/>
      <c r="AL940" s="1573"/>
      <c r="AM940" s="1573"/>
      <c r="AN940" s="1573"/>
      <c r="AO940" s="1573"/>
      <c r="AP940" s="1573"/>
      <c r="AQ940" s="157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79" t="s">
        <v>1985</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4" t="s">
        <v>116</v>
      </c>
      <c r="AH941" s="1565"/>
      <c r="AI941" s="85"/>
      <c r="AJ941" s="1356">
        <f>ROUND(IF(AND(AG941="yes",D943&lt;&gt;""),AJ939*0.2,0),0)</f>
        <v>8925341</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7" t="s">
        <v>2097</v>
      </c>
      <c r="E942" s="1188"/>
      <c r="F942" s="1188"/>
      <c r="G942" s="1188"/>
      <c r="H942" s="1188"/>
      <c r="I942" s="1188"/>
      <c r="J942" s="1188"/>
      <c r="K942" s="1188"/>
      <c r="L942" s="1188"/>
      <c r="M942" s="1188"/>
      <c r="N942" s="1188"/>
      <c r="O942" s="1188"/>
      <c r="P942" s="1188"/>
      <c r="Q942" s="1188"/>
      <c r="R942" s="1188"/>
      <c r="S942" s="1188"/>
      <c r="T942" s="1188"/>
      <c r="U942" s="1188"/>
      <c r="V942" s="1188"/>
      <c r="W942" s="1188"/>
      <c r="X942" s="1188"/>
      <c r="Y942" s="1188"/>
      <c r="Z942" s="1188"/>
      <c r="AA942" s="1188"/>
      <c r="AB942" s="1188"/>
      <c r="AC942" s="1188"/>
      <c r="AD942" s="1188"/>
      <c r="AE942" s="1189"/>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1" t="s">
        <v>2459</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2" t="s">
        <v>2098</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3"/>
      <c r="AF944" s="82"/>
      <c r="AG944" s="1354" t="s">
        <v>511</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7" t="s">
        <v>1986</v>
      </c>
      <c r="E945" s="1188"/>
      <c r="F945" s="1188"/>
      <c r="G945" s="1188"/>
      <c r="H945" s="1188"/>
      <c r="I945" s="1188"/>
      <c r="J945" s="1188"/>
      <c r="K945" s="1188"/>
      <c r="L945" s="1188"/>
      <c r="M945" s="1188"/>
      <c r="N945" s="1188"/>
      <c r="O945" s="1188"/>
      <c r="P945" s="1188"/>
      <c r="Q945" s="1188"/>
      <c r="R945" s="1188"/>
      <c r="S945" s="1188"/>
      <c r="T945" s="1188"/>
      <c r="U945" s="1188"/>
      <c r="V945" s="1188"/>
      <c r="W945" s="1188"/>
      <c r="X945" s="1188"/>
      <c r="Y945" s="1188"/>
      <c r="Z945" s="1188"/>
      <c r="AA945" s="1188"/>
      <c r="AB945" s="1188"/>
      <c r="AC945" s="1188"/>
      <c r="AD945" s="1188"/>
      <c r="AE945" s="1189"/>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7"/>
      <c r="E946" s="1188"/>
      <c r="F946" s="1188"/>
      <c r="G946" s="1188"/>
      <c r="H946" s="1188"/>
      <c r="I946" s="1188"/>
      <c r="J946" s="1188"/>
      <c r="K946" s="1188"/>
      <c r="L946" s="1188"/>
      <c r="M946" s="1188"/>
      <c r="N946" s="1188"/>
      <c r="O946" s="1188"/>
      <c r="P946" s="1188"/>
      <c r="Q946" s="1188"/>
      <c r="R946" s="1188"/>
      <c r="S946" s="1188"/>
      <c r="T946" s="1188"/>
      <c r="U946" s="1188"/>
      <c r="V946" s="1188"/>
      <c r="W946" s="1188"/>
      <c r="X946" s="1188"/>
      <c r="Y946" s="1188"/>
      <c r="Z946" s="1188"/>
      <c r="AA946" s="1188"/>
      <c r="AB946" s="1188"/>
      <c r="AC946" s="1188"/>
      <c r="AD946" s="1188"/>
      <c r="AE946" s="1189"/>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7"/>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9"/>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7"/>
      <c r="E948" s="1188"/>
      <c r="F948" s="1188"/>
      <c r="G948" s="1188"/>
      <c r="H948" s="1188"/>
      <c r="I948" s="1188"/>
      <c r="J948" s="1188"/>
      <c r="K948" s="1188"/>
      <c r="L948" s="1188"/>
      <c r="M948" s="1188"/>
      <c r="N948" s="1188"/>
      <c r="O948" s="1188"/>
      <c r="P948" s="1188"/>
      <c r="Q948" s="1188"/>
      <c r="R948" s="1188"/>
      <c r="S948" s="1188"/>
      <c r="T948" s="1188"/>
      <c r="U948" s="1188"/>
      <c r="V948" s="1188"/>
      <c r="W948" s="1188"/>
      <c r="X948" s="1188"/>
      <c r="Y948" s="1188"/>
      <c r="Z948" s="1188"/>
      <c r="AA948" s="1188"/>
      <c r="AB948" s="1188"/>
      <c r="AC948" s="1188"/>
      <c r="AD948" s="1188"/>
      <c r="AE948" s="1189"/>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0"/>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2"/>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2" t="s">
        <v>2099</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3"/>
      <c r="AF950" s="84"/>
      <c r="AG950" s="1354" t="s">
        <v>511</v>
      </c>
      <c r="AH950" s="1355"/>
      <c r="AI950" s="85"/>
      <c r="AJ950" s="1356">
        <f>ROUND(IF(AG950="yes",AJ939*0.1,0),0)</f>
        <v>0</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5" t="s">
        <v>2100</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2" t="s">
        <v>1987</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3"/>
      <c r="AF954" s="82"/>
      <c r="AG954" s="1354" t="s">
        <v>511</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8" t="s">
        <v>1988</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2" t="s">
        <v>1989</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3"/>
      <c r="AF956" s="82"/>
      <c r="AG956" s="1354" t="s">
        <v>511</v>
      </c>
      <c r="AH956" s="1355"/>
      <c r="AI956" s="82"/>
      <c r="AJ956" s="1356">
        <f>ROUND(IF(AG956="yes",AJ939*0.02,0),0)</f>
        <v>0</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5" t="s">
        <v>1990</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79" t="s">
        <v>1991</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511</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5" t="s">
        <v>2101</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5" t="s">
        <v>1992</v>
      </c>
      <c r="E963" s="1556"/>
      <c r="F963" s="1556"/>
      <c r="G963" s="1556"/>
      <c r="H963" s="1556"/>
      <c r="I963" s="1556"/>
      <c r="J963" s="1556"/>
      <c r="K963" s="1556"/>
      <c r="L963" s="1556"/>
      <c r="M963" s="1556"/>
      <c r="N963" s="1556"/>
      <c r="O963" s="1556"/>
      <c r="P963" s="1556"/>
      <c r="Q963" s="1556"/>
      <c r="R963" s="1556"/>
      <c r="S963" s="1556"/>
      <c r="T963" s="1556"/>
      <c r="U963" s="1556"/>
      <c r="V963" s="1556"/>
      <c r="W963" s="1556"/>
      <c r="X963" s="1556"/>
      <c r="Y963" s="1556"/>
      <c r="Z963" s="1556"/>
      <c r="AA963" s="1556"/>
      <c r="AB963" s="1556"/>
      <c r="AC963" s="1556"/>
      <c r="AD963" s="1556"/>
      <c r="AE963" s="1557"/>
      <c r="AF963" s="82"/>
      <c r="AG963" s="1354" t="s">
        <v>511</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8"/>
      <c r="E964" s="1559"/>
      <c r="F964" s="1559"/>
      <c r="G964" s="1559"/>
      <c r="H964" s="1559"/>
      <c r="I964" s="1559"/>
      <c r="J964" s="1559"/>
      <c r="K964" s="1559"/>
      <c r="L964" s="1559"/>
      <c r="M964" s="1559"/>
      <c r="N964" s="1559"/>
      <c r="O964" s="1559"/>
      <c r="P964" s="1559"/>
      <c r="Q964" s="1559"/>
      <c r="R964" s="1559"/>
      <c r="S964" s="1559"/>
      <c r="T964" s="1559"/>
      <c r="U964" s="1559"/>
      <c r="V964" s="1559"/>
      <c r="W964" s="1559"/>
      <c r="X964" s="1559"/>
      <c r="Y964" s="1559"/>
      <c r="Z964" s="1559"/>
      <c r="AA964" s="1559"/>
      <c r="AB964" s="1559"/>
      <c r="AC964" s="1559"/>
      <c r="AD964" s="1559"/>
      <c r="AE964" s="1560"/>
      <c r="AF964" s="1162" t="str">
        <f>IF(AG963="yes","Please Select Type and Enter Amount:","")</f>
        <v/>
      </c>
      <c r="AG964" s="1163"/>
      <c r="AH964" s="1163"/>
      <c r="AI964" s="1164"/>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5" t="s">
        <v>1993</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2"/>
      <c r="AG965" s="1163"/>
      <c r="AH965" s="1163"/>
      <c r="AI965" s="1164"/>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65"/>
      <c r="AG966" s="1165"/>
      <c r="AH966" s="1165"/>
      <c r="AI966" s="1165"/>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1" t="s">
        <v>132</v>
      </c>
      <c r="K967" s="1562"/>
      <c r="L967" s="1562"/>
      <c r="M967" s="1562"/>
      <c r="N967" s="1562"/>
      <c r="O967" s="1562"/>
      <c r="P967" s="1562"/>
      <c r="Q967" s="1562"/>
      <c r="R967" s="1562"/>
      <c r="S967" s="1562"/>
      <c r="T967" s="1562"/>
      <c r="U967" s="1562"/>
      <c r="V967" s="1562"/>
      <c r="W967" s="1562"/>
      <c r="X967" s="1562"/>
      <c r="Y967" s="1562"/>
      <c r="Z967" s="1562"/>
      <c r="AA967" s="1562"/>
      <c r="AB967" s="1562"/>
      <c r="AC967" s="1562"/>
      <c r="AD967" s="1562"/>
      <c r="AE967" s="1563"/>
      <c r="AF967" s="1165"/>
      <c r="AG967" s="1165"/>
      <c r="AH967" s="1165"/>
      <c r="AI967" s="1165"/>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2" t="s">
        <v>1994</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3"/>
      <c r="AF968" s="82"/>
      <c r="AG968" s="1354" t="s">
        <v>116</v>
      </c>
      <c r="AH968" s="1355"/>
      <c r="AI968" s="85"/>
      <c r="AJ968" s="1356">
        <f>ROUND(IF(AG968="Yes",AF970,0),0)</f>
        <v>1528111</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5" t="s">
        <v>2102</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66" t="str">
        <f>IF(AG968="yes","Please Enter Amount:","")</f>
        <v>Please Enter Amount:</v>
      </c>
      <c r="AG969" s="1167"/>
      <c r="AH969" s="1167"/>
      <c r="AI969" s="1168"/>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65">
        <f>+[4]EVERYTHING!$H$95</f>
        <v>1528111</v>
      </c>
      <c r="AG970" s="1165"/>
      <c r="AH970" s="1165"/>
      <c r="AI970" s="1165"/>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65"/>
      <c r="AG971" s="1165"/>
      <c r="AH971" s="1165"/>
      <c r="AI971" s="1165"/>
      <c r="AJ971" s="1359"/>
      <c r="AK971" s="1360"/>
      <c r="AL971" s="1360"/>
      <c r="AM971" s="1360"/>
      <c r="AN971" s="1360"/>
      <c r="AO971" s="1360"/>
      <c r="AP971" s="1360"/>
      <c r="AQ971" s="1361"/>
    </row>
    <row r="972" spans="1:97" ht="12.95" customHeight="1">
      <c r="A972" s="21"/>
      <c r="B972" s="82"/>
      <c r="C972" s="570" t="s">
        <v>609</v>
      </c>
      <c r="D972" s="1379" t="s">
        <v>1995</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116</v>
      </c>
      <c r="AH972" s="1355"/>
      <c r="AI972" s="85"/>
      <c r="AJ972" s="1356">
        <f>ROUND(IF(AG972="yes",(AJ939*0.1),0),0)</f>
        <v>4462670</v>
      </c>
      <c r="AK972" s="1357"/>
      <c r="AL972" s="1357"/>
      <c r="AM972" s="1357"/>
      <c r="AN972" s="1357"/>
      <c r="AO972" s="1357"/>
      <c r="AP972" s="1357"/>
      <c r="AQ972" s="1358"/>
    </row>
    <row r="973" spans="1:97" ht="12.95" customHeight="1">
      <c r="A973" s="21"/>
      <c r="B973" s="79"/>
      <c r="C973" s="571"/>
      <c r="D973" s="1365" t="s">
        <v>1996</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2.9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2.95" customHeight="1">
      <c r="A975" s="569"/>
      <c r="B975" s="79"/>
      <c r="C975" s="570" t="s">
        <v>612</v>
      </c>
      <c r="D975" s="1352" t="s">
        <v>2103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3"/>
      <c r="AF975" s="82"/>
      <c r="AG975" s="1354" t="s">
        <v>511</v>
      </c>
      <c r="AH975" s="1355"/>
      <c r="AI975" s="85"/>
      <c r="AJ975" s="1356">
        <f>ROUND(IF(AG975="yes",(AJ939*0.15),0),0)</f>
        <v>0</v>
      </c>
      <c r="AK975" s="1357"/>
      <c r="AL975" s="1357"/>
      <c r="AM975" s="1357"/>
      <c r="AN975" s="1357"/>
      <c r="AO975" s="1357"/>
      <c r="AP975" s="1357"/>
      <c r="AQ975" s="1358"/>
    </row>
    <row r="976" spans="1:97" ht="12.95" customHeight="1">
      <c r="A976" s="569"/>
      <c r="B976" s="79"/>
      <c r="C976" s="571"/>
      <c r="D976" s="1550"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1"/>
      <c r="AF976" s="891"/>
      <c r="AG976" s="892"/>
      <c r="AH976" s="892"/>
      <c r="AI976" s="893"/>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0"/>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1"/>
      <c r="AF977" s="891"/>
      <c r="AG977" s="892"/>
      <c r="AH977" s="892"/>
      <c r="AI977" s="89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2"/>
      <c r="E978" s="1553"/>
      <c r="F978" s="1553"/>
      <c r="G978" s="1553"/>
      <c r="H978" s="1553"/>
      <c r="I978" s="1553"/>
      <c r="J978" s="1553"/>
      <c r="K978" s="1553"/>
      <c r="L978" s="1553"/>
      <c r="M978" s="1553"/>
      <c r="N978" s="1553"/>
      <c r="O978" s="1553"/>
      <c r="P978" s="1553"/>
      <c r="Q978" s="1553"/>
      <c r="R978" s="1553"/>
      <c r="S978" s="1553"/>
      <c r="T978" s="1553"/>
      <c r="U978" s="1553"/>
      <c r="V978" s="1553"/>
      <c r="W978" s="1553"/>
      <c r="X978" s="1553"/>
      <c r="Y978" s="1553"/>
      <c r="Z978" s="1553"/>
      <c r="AA978" s="1553"/>
      <c r="AB978" s="1553"/>
      <c r="AC978" s="1553"/>
      <c r="AD978" s="1553"/>
      <c r="AE978" s="1554"/>
      <c r="AF978" s="894"/>
      <c r="AG978" s="895"/>
      <c r="AH978" s="895"/>
      <c r="AI978" s="896"/>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79" t="s">
        <v>2105</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48" t="s">
        <v>511</v>
      </c>
      <c r="AH979" s="1549"/>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0"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1"/>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0"/>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1"/>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0"/>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1"/>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2"/>
      <c r="E983" s="1553"/>
      <c r="F983" s="1553"/>
      <c r="G983" s="1553"/>
      <c r="H983" s="1553"/>
      <c r="I983" s="1553"/>
      <c r="J983" s="1553"/>
      <c r="K983" s="1553"/>
      <c r="L983" s="1553"/>
      <c r="M983" s="1553"/>
      <c r="N983" s="1553"/>
      <c r="O983" s="1553"/>
      <c r="P983" s="1553"/>
      <c r="Q983" s="1553"/>
      <c r="R983" s="1553"/>
      <c r="S983" s="1553"/>
      <c r="T983" s="1553"/>
      <c r="U983" s="1553"/>
      <c r="V983" s="1553"/>
      <c r="W983" s="1553"/>
      <c r="X983" s="1553"/>
      <c r="Y983" s="1553"/>
      <c r="Z983" s="1553"/>
      <c r="AA983" s="1553"/>
      <c r="AB983" s="1553"/>
      <c r="AC983" s="1553"/>
      <c r="AD983" s="1553"/>
      <c r="AE983" s="1554"/>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2" t="s">
        <v>1997</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3"/>
      <c r="AF984" s="82"/>
      <c r="AG984" s="1354" t="s">
        <v>511</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5" t="s">
        <v>2355</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4" t="s">
        <v>785</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59542826</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55454837.060142279</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0.93134371989905684</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5" t="s">
        <v>1033</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7" t="s">
        <v>116</v>
      </c>
      <c r="B1004" s="1117"/>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7" t="s">
        <v>116</v>
      </c>
      <c r="B1010" s="1117"/>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7" t="s">
        <v>132</v>
      </c>
      <c r="B1016" s="1117"/>
      <c r="C1016" s="12">
        <v>3</v>
      </c>
      <c r="D1016" s="976" t="s">
        <v>2347</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7" t="s">
        <v>132</v>
      </c>
      <c r="B1023" s="1117"/>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7" t="s">
        <v>132</v>
      </c>
      <c r="B1026" s="1117"/>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7" t="s">
        <v>132</v>
      </c>
      <c r="B1031" s="1117"/>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7" t="s">
        <v>132</v>
      </c>
      <c r="B1034" s="1117"/>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7" t="s">
        <v>116</v>
      </c>
      <c r="B1038" s="1117"/>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3" t="s">
        <v>132</v>
      </c>
      <c r="B1042" s="1143"/>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2mRVG6tfSIm3ozIZCB5cClppO6DRGkq4jfSoaDdvkYKTDHLLIDQZn1I+6ltokpo4Ib9ROmz4wNWGeg7X3xVUaw==" saltValue="y4TfCC6WPDysGiRw9P3Rf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workbookViewId="0">
      <selection activeCell="G25" sqref="G25"/>
    </sheetView>
  </sheetViews>
  <sheetFormatPr defaultColWidth="8.855468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8" t="s">
        <v>195</v>
      </c>
      <c r="G1" s="1579"/>
      <c r="H1" s="1579"/>
      <c r="I1" s="1579"/>
      <c r="J1" s="1579"/>
      <c r="K1" s="1579"/>
      <c r="L1" s="1579"/>
      <c r="M1" s="1579"/>
      <c r="N1" s="1579"/>
      <c r="O1" s="1579"/>
      <c r="P1" s="1579"/>
      <c r="Q1" s="1579"/>
      <c r="R1" s="1580"/>
      <c r="S1" s="202"/>
      <c r="T1" s="201"/>
      <c r="U1" s="203"/>
    </row>
    <row r="2" spans="1:21" s="232" customFormat="1" ht="60" customHeight="1">
      <c r="A2" s="231"/>
      <c r="B2" s="232" t="s">
        <v>836</v>
      </c>
      <c r="C2" s="232" t="s">
        <v>538</v>
      </c>
      <c r="D2" s="232" t="s">
        <v>537</v>
      </c>
      <c r="E2" s="232" t="s">
        <v>837</v>
      </c>
      <c r="F2" s="233" t="str">
        <f>Application!B618&amp;Application!C618</f>
        <v xml:space="preserve">1)HCD AHSC </v>
      </c>
      <c r="G2" s="233" t="str">
        <f>Application!B619&amp;Application!C619</f>
        <v xml:space="preserve">2)HCD AHSC Program </v>
      </c>
      <c r="H2" s="233" t="str">
        <f>Application!B620&amp;Application!C620</f>
        <v xml:space="preserve">3)HCD IIG </v>
      </c>
      <c r="I2" s="233" t="str">
        <f>Application!B621&amp;Application!C621</f>
        <v>4)City of Stockton</v>
      </c>
      <c r="J2" s="233" t="str">
        <f>Application!B622&amp;Application!C622</f>
        <v xml:space="preserve">5)FHLB AHP </v>
      </c>
      <c r="K2" s="233" t="str">
        <f>Application!B623&amp;Application!C623</f>
        <v xml:space="preserve">6)City of Stockton Fee Waiver </v>
      </c>
      <c r="L2" s="233" t="str">
        <f>Application!B624&amp;Application!C624</f>
        <v xml:space="preserve">7)GP Equity </v>
      </c>
      <c r="M2" s="233" t="str">
        <f>Application!B625&amp;Application!C625</f>
        <v xml:space="preserve">8)Deferred Developer Fee </v>
      </c>
      <c r="N2" s="233" t="str">
        <f>Application!B626&amp;Application!C626</f>
        <v xml:space="preserve">9)Equity from PV Credit </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574352</v>
      </c>
      <c r="C4" s="241">
        <f>+[4]EVERYTHING!$E$32</f>
        <v>574352</v>
      </c>
      <c r="D4" s="241"/>
      <c r="E4" s="241">
        <f>+C4</f>
        <v>574352</v>
      </c>
      <c r="F4" s="241"/>
      <c r="G4" s="241"/>
      <c r="H4" s="241"/>
      <c r="I4" s="241"/>
      <c r="J4" s="241"/>
      <c r="K4" s="241"/>
      <c r="L4" s="241"/>
      <c r="M4" s="241"/>
      <c r="N4" s="241"/>
      <c r="O4" s="241"/>
      <c r="P4" s="241"/>
      <c r="Q4" s="241"/>
      <c r="R4" s="241">
        <f>C4</f>
        <v>574352</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20000</v>
      </c>
      <c r="C6" s="241">
        <f>+[4]EVERYTHING!$E$35</f>
        <v>20000</v>
      </c>
      <c r="D6" s="241"/>
      <c r="E6" s="241">
        <f>+C6</f>
        <v>20000</v>
      </c>
      <c r="F6" s="241"/>
      <c r="G6" s="241"/>
      <c r="H6" s="241"/>
      <c r="I6" s="241"/>
      <c r="J6" s="241"/>
      <c r="K6" s="241"/>
      <c r="L6" s="241"/>
      <c r="M6" s="241"/>
      <c r="N6" s="241"/>
      <c r="O6" s="241"/>
      <c r="P6" s="241"/>
      <c r="Q6" s="241"/>
      <c r="R6" s="241">
        <f>SUM(E6:Q6)</f>
        <v>20000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594352</v>
      </c>
      <c r="C8" s="240">
        <f t="shared" ref="C8:R8" si="0">SUM(C4:C7)</f>
        <v>594352</v>
      </c>
      <c r="D8" s="240">
        <f t="shared" si="0"/>
        <v>0</v>
      </c>
      <c r="E8" s="240">
        <f t="shared" si="0"/>
        <v>594352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594352</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594352</v>
      </c>
      <c r="C12" s="240">
        <f t="shared" si="2"/>
        <v>594352</v>
      </c>
      <c r="D12" s="240">
        <f t="shared" si="2"/>
        <v>0</v>
      </c>
      <c r="E12" s="240">
        <f t="shared" si="2"/>
        <v>594352</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594352</v>
      </c>
      <c r="S12" s="242"/>
      <c r="T12" s="242"/>
      <c r="U12" s="237"/>
    </row>
    <row r="13" spans="1:21" s="238" customFormat="1">
      <c r="A13" s="469" t="s">
        <v>1157</v>
      </c>
      <c r="B13" s="240">
        <f>SUM(C13+D13)</f>
        <v>20000</v>
      </c>
      <c r="C13" s="241">
        <f>+[4]EVERYTHING!$E$34</f>
        <v>20000</v>
      </c>
      <c r="D13" s="241"/>
      <c r="E13" s="241">
        <f>+C13</f>
        <v>20000</v>
      </c>
      <c r="F13" s="241"/>
      <c r="G13" s="241"/>
      <c r="H13" s="241"/>
      <c r="I13" s="241"/>
      <c r="J13" s="241"/>
      <c r="K13" s="241"/>
      <c r="L13" s="241"/>
      <c r="M13" s="241"/>
      <c r="N13" s="241"/>
      <c r="O13" s="241"/>
      <c r="P13" s="241"/>
      <c r="Q13" s="241"/>
      <c r="R13" s="241">
        <f>SUM(E13:Q13)</f>
        <v>20000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3349712</v>
      </c>
      <c r="C29" s="241">
        <f>+[4]EVERYTHING!$E$49</f>
        <v>3349712</v>
      </c>
      <c r="D29" s="241"/>
      <c r="E29" s="241">
        <f>+C29-SUM(F29:Q29)</f>
        <v>810925</v>
      </c>
      <c r="F29" s="241"/>
      <c r="G29" s="241"/>
      <c r="H29" s="241">
        <f>+[4]EVERYTHING!$E$7</f>
        <v>2538787</v>
      </c>
      <c r="I29" s="241"/>
      <c r="J29" s="241"/>
      <c r="K29" s="241"/>
      <c r="L29" s="241"/>
      <c r="M29" s="241"/>
      <c r="N29" s="241"/>
      <c r="O29" s="241"/>
      <c r="P29" s="241"/>
      <c r="Q29" s="241"/>
      <c r="R29" s="241">
        <f t="shared" ref="R29:R37" si="7">SUM(E29:Q29)</f>
        <v>3349712</v>
      </c>
      <c r="S29" s="241">
        <f>+R29</f>
        <v>3349712</v>
      </c>
      <c r="T29" s="241"/>
      <c r="U29" s="237"/>
    </row>
    <row r="30" spans="1:21" s="238" customFormat="1">
      <c r="A30" s="239" t="s">
        <v>955</v>
      </c>
      <c r="B30" s="240">
        <f t="shared" si="6"/>
        <v>33718389</v>
      </c>
      <c r="C30" s="241">
        <f>+[4]EVERYTHING!$E$52</f>
        <v>33718389</v>
      </c>
      <c r="D30" s="241"/>
      <c r="E30" s="241">
        <f t="shared" ref="E30:E37" si="8">+C30-SUM(F30:Q30)</f>
        <v>13141731.723049928</v>
      </c>
      <c r="F30" s="241">
        <f>+[4]EVERYTHING!$E$8</f>
        <v>17240556</v>
      </c>
      <c r="G30" s="241"/>
      <c r="H30" s="241"/>
      <c r="I30" s="241">
        <f>+[4]EVERYTHING!$E$17</f>
        <v>1200000</v>
      </c>
      <c r="J30" s="241">
        <f>+[4]EVERYTHING!$E$14</f>
        <v>540000</v>
      </c>
      <c r="K30" s="241">
        <f>+[4]EVERYTHING!$E$12</f>
        <v>1250000</v>
      </c>
      <c r="L30" s="241"/>
      <c r="M30" s="241">
        <f>+[4]EVERYTHING!$E$19</f>
        <v>1000</v>
      </c>
      <c r="N30" s="241"/>
      <c r="O30" s="241">
        <f>+[4]EVERYTHING!$E$143</f>
        <v>345101.27695007226</v>
      </c>
      <c r="P30" s="241"/>
      <c r="Q30" s="241"/>
      <c r="R30" s="241">
        <f t="shared" si="7"/>
        <v>33718389</v>
      </c>
      <c r="S30" s="241">
        <f t="shared" ref="S30:S37" si="9">+R30</f>
        <v>33718389</v>
      </c>
      <c r="T30" s="241"/>
      <c r="U30" s="237"/>
    </row>
    <row r="31" spans="1:21" s="238" customFormat="1">
      <c r="A31" s="239" t="s">
        <v>956</v>
      </c>
      <c r="B31" s="240">
        <f t="shared" si="6"/>
        <v>2040000</v>
      </c>
      <c r="C31" s="241">
        <f>+[4]EVERYTHING!$E$55</f>
        <v>2040000</v>
      </c>
      <c r="D31" s="241"/>
      <c r="E31" s="241">
        <f t="shared" si="8"/>
        <v>2040000</v>
      </c>
      <c r="F31" s="241"/>
      <c r="G31" s="241"/>
      <c r="H31" s="241"/>
      <c r="I31" s="241"/>
      <c r="J31" s="241"/>
      <c r="K31" s="241"/>
      <c r="L31" s="241"/>
      <c r="M31" s="241"/>
      <c r="N31" s="241"/>
      <c r="O31" s="241"/>
      <c r="P31" s="241"/>
      <c r="Q31" s="241"/>
      <c r="R31" s="241">
        <f t="shared" si="7"/>
        <v>2040000</v>
      </c>
      <c r="S31" s="241">
        <f t="shared" si="9"/>
        <v>2040000</v>
      </c>
      <c r="T31" s="241"/>
      <c r="U31" s="237"/>
    </row>
    <row r="32" spans="1:21" s="238" customFormat="1">
      <c r="A32" s="239" t="s">
        <v>957</v>
      </c>
      <c r="B32" s="240">
        <f t="shared" si="6"/>
        <v>1132491.5</v>
      </c>
      <c r="C32" s="241">
        <f>+[4]EVERYTHING!$E$57/2</f>
        <v>1132491.5</v>
      </c>
      <c r="D32" s="241"/>
      <c r="E32" s="241">
        <f t="shared" si="8"/>
        <v>1132491.5</v>
      </c>
      <c r="F32" s="241"/>
      <c r="G32" s="241"/>
      <c r="H32" s="241"/>
      <c r="I32" s="241"/>
      <c r="J32" s="241"/>
      <c r="K32" s="241"/>
      <c r="L32" s="241"/>
      <c r="M32" s="241"/>
      <c r="N32" s="241"/>
      <c r="O32" s="241"/>
      <c r="P32" s="241"/>
      <c r="Q32" s="241"/>
      <c r="R32" s="241">
        <f t="shared" si="7"/>
        <v>1132491.5</v>
      </c>
      <c r="S32" s="241">
        <f t="shared" si="9"/>
        <v>1132491.5</v>
      </c>
      <c r="T32" s="241"/>
      <c r="U32" s="237"/>
    </row>
    <row r="33" spans="1:21" s="238" customFormat="1">
      <c r="A33" s="239" t="s">
        <v>958</v>
      </c>
      <c r="B33" s="240">
        <f t="shared" si="6"/>
        <v>1132491.5</v>
      </c>
      <c r="C33" s="241">
        <f>+C32</f>
        <v>1132491.5</v>
      </c>
      <c r="D33" s="241"/>
      <c r="E33" s="241">
        <f t="shared" si="8"/>
        <v>1132491.5</v>
      </c>
      <c r="F33" s="241"/>
      <c r="G33" s="241"/>
      <c r="H33" s="241"/>
      <c r="I33" s="241"/>
      <c r="J33" s="241"/>
      <c r="K33" s="241"/>
      <c r="L33" s="241"/>
      <c r="M33" s="241"/>
      <c r="N33" s="241"/>
      <c r="O33" s="241"/>
      <c r="P33" s="241"/>
      <c r="Q33" s="241"/>
      <c r="R33" s="241">
        <f t="shared" si="7"/>
        <v>1132491.5</v>
      </c>
      <c r="S33" s="241">
        <f t="shared" si="9"/>
        <v>1132491.5</v>
      </c>
      <c r="T33" s="241"/>
      <c r="U33" s="237"/>
    </row>
    <row r="34" spans="1:21" s="238" customFormat="1">
      <c r="A34" s="239" t="s">
        <v>959</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960</v>
      </c>
      <c r="B35" s="240">
        <f t="shared" si="6"/>
        <v>1141552</v>
      </c>
      <c r="C35" s="241">
        <f>+[4]EVERYTHING!$E$56</f>
        <v>1141552</v>
      </c>
      <c r="D35" s="241"/>
      <c r="E35" s="241">
        <f t="shared" si="8"/>
        <v>1141552</v>
      </c>
      <c r="F35" s="241"/>
      <c r="G35" s="241"/>
      <c r="H35" s="241"/>
      <c r="I35" s="241"/>
      <c r="J35" s="241"/>
      <c r="K35" s="241"/>
      <c r="L35" s="241"/>
      <c r="M35" s="241"/>
      <c r="N35" s="241"/>
      <c r="O35" s="241"/>
      <c r="P35" s="241"/>
      <c r="Q35" s="241"/>
      <c r="R35" s="241">
        <f t="shared" si="7"/>
        <v>1141552</v>
      </c>
      <c r="S35" s="241">
        <f t="shared" si="9"/>
        <v>1141552</v>
      </c>
      <c r="T35" s="241"/>
      <c r="U35" s="237"/>
    </row>
    <row r="36" spans="1:21" s="238" customFormat="1">
      <c r="A36" s="250" t="s">
        <v>2052</v>
      </c>
      <c r="B36" s="240">
        <f t="shared" si="6"/>
        <v>80000</v>
      </c>
      <c r="C36" s="241">
        <f>+[4]EVERYTHING!$E$102</f>
        <v>80000</v>
      </c>
      <c r="D36" s="241"/>
      <c r="E36" s="241">
        <f t="shared" si="8"/>
        <v>80000</v>
      </c>
      <c r="F36" s="241"/>
      <c r="G36" s="241"/>
      <c r="H36" s="241"/>
      <c r="I36" s="241"/>
      <c r="J36" s="241"/>
      <c r="K36" s="241"/>
      <c r="L36" s="241"/>
      <c r="M36" s="241"/>
      <c r="N36" s="241"/>
      <c r="O36" s="241"/>
      <c r="P36" s="241"/>
      <c r="Q36" s="241"/>
      <c r="R36" s="241">
        <f t="shared" si="7"/>
        <v>80000</v>
      </c>
      <c r="S36" s="241">
        <f t="shared" si="9"/>
        <v>80000</v>
      </c>
      <c r="T36" s="241"/>
      <c r="U36" s="237"/>
    </row>
    <row r="37" spans="1:21" s="238" customFormat="1">
      <c r="A37" s="246" t="s">
        <v>2514</v>
      </c>
      <c r="B37" s="240">
        <f t="shared" si="6"/>
        <v>1000000</v>
      </c>
      <c r="C37" s="241">
        <f>+[4]EVERYTHING!$E$54</f>
        <v>1000000</v>
      </c>
      <c r="D37" s="241"/>
      <c r="E37" s="241">
        <f t="shared" si="8"/>
        <v>1000000</v>
      </c>
      <c r="F37" s="241"/>
      <c r="G37" s="241"/>
      <c r="H37" s="241"/>
      <c r="I37" s="241"/>
      <c r="J37" s="241"/>
      <c r="K37" s="241"/>
      <c r="L37" s="241"/>
      <c r="M37" s="241"/>
      <c r="N37" s="241"/>
      <c r="O37" s="241"/>
      <c r="P37" s="241"/>
      <c r="Q37" s="241"/>
      <c r="R37" s="241">
        <f t="shared" si="7"/>
        <v>1000000</v>
      </c>
      <c r="S37" s="241">
        <f t="shared" si="9"/>
        <v>1000000</v>
      </c>
      <c r="T37" s="241"/>
      <c r="U37" s="237"/>
    </row>
    <row r="38" spans="1:21" s="238" customFormat="1">
      <c r="A38" s="243" t="s">
        <v>963</v>
      </c>
      <c r="B38" s="240">
        <f t="shared" si="6"/>
        <v>43594636</v>
      </c>
      <c r="C38" s="240">
        <f>SUM(C29:C37)</f>
        <v>43594636</v>
      </c>
      <c r="D38" s="240">
        <f>SUM(D29:D37)</f>
        <v>0</v>
      </c>
      <c r="E38" s="240">
        <f>SUM(E29:E37)</f>
        <v>20479191.723049928</v>
      </c>
      <c r="F38" s="240">
        <f t="shared" ref="F38:T38" si="10">SUM(F29:F37)</f>
        <v>17240556</v>
      </c>
      <c r="G38" s="240">
        <f t="shared" si="10"/>
        <v>0</v>
      </c>
      <c r="H38" s="240">
        <f t="shared" si="10"/>
        <v>2538787</v>
      </c>
      <c r="I38" s="240">
        <f t="shared" si="10"/>
        <v>1200000</v>
      </c>
      <c r="J38" s="240">
        <f t="shared" si="10"/>
        <v>540000</v>
      </c>
      <c r="K38" s="240">
        <f t="shared" si="10"/>
        <v>1250000</v>
      </c>
      <c r="L38" s="240">
        <f t="shared" si="10"/>
        <v>0</v>
      </c>
      <c r="M38" s="240">
        <f t="shared" si="10"/>
        <v>1000</v>
      </c>
      <c r="N38" s="240">
        <f t="shared" si="10"/>
        <v>0</v>
      </c>
      <c r="O38" s="240">
        <f t="shared" si="10"/>
        <v>345101.27695007226</v>
      </c>
      <c r="P38" s="240">
        <f t="shared" si="10"/>
        <v>0</v>
      </c>
      <c r="Q38" s="240">
        <f t="shared" si="10"/>
        <v>0</v>
      </c>
      <c r="R38" s="240">
        <f t="shared" si="10"/>
        <v>43594636</v>
      </c>
      <c r="S38" s="244">
        <f t="shared" si="10"/>
        <v>43594636</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1218549</v>
      </c>
      <c r="C40" s="241">
        <f>+[4]EVERYTHING!$E$60</f>
        <v>1218549</v>
      </c>
      <c r="D40" s="241"/>
      <c r="E40" s="241">
        <f>+C40</f>
        <v>1218549</v>
      </c>
      <c r="F40" s="241"/>
      <c r="G40" s="241"/>
      <c r="H40" s="241"/>
      <c r="I40" s="241"/>
      <c r="J40" s="241"/>
      <c r="K40" s="241"/>
      <c r="L40" s="241"/>
      <c r="M40" s="241"/>
      <c r="N40" s="241"/>
      <c r="O40" s="241"/>
      <c r="P40" s="241"/>
      <c r="Q40" s="241"/>
      <c r="R40" s="241">
        <f>SUM(E40:Q40)</f>
        <v>1218549</v>
      </c>
      <c r="S40" s="241">
        <f>+R40</f>
        <v>1218549</v>
      </c>
      <c r="T40" s="241"/>
      <c r="U40" s="237"/>
    </row>
    <row r="41" spans="1:21" s="238" customFormat="1">
      <c r="A41" s="239" t="s">
        <v>966</v>
      </c>
      <c r="B41" s="240">
        <f>SUM(C41+D41)</f>
        <v>308580</v>
      </c>
      <c r="C41" s="241">
        <f>+[4]EVERYTHING!$E$61</f>
        <v>308580</v>
      </c>
      <c r="D41" s="241"/>
      <c r="E41" s="241">
        <f>+C41</f>
        <v>308580</v>
      </c>
      <c r="F41" s="241"/>
      <c r="G41" s="241"/>
      <c r="H41" s="241"/>
      <c r="I41" s="241"/>
      <c r="J41" s="241"/>
      <c r="K41" s="241"/>
      <c r="L41" s="241"/>
      <c r="M41" s="241"/>
      <c r="N41" s="241"/>
      <c r="O41" s="241"/>
      <c r="P41" s="241"/>
      <c r="Q41" s="241"/>
      <c r="R41" s="241">
        <f>SUM(E41:Q41)</f>
        <v>308580</v>
      </c>
      <c r="S41" s="241">
        <f>+R41</f>
        <v>308580</v>
      </c>
      <c r="T41" s="241"/>
      <c r="U41" s="237"/>
    </row>
    <row r="42" spans="1:21" s="238" customFormat="1">
      <c r="A42" s="243" t="s">
        <v>967</v>
      </c>
      <c r="B42" s="240">
        <f>SUM(C42:D42)</f>
        <v>1527129</v>
      </c>
      <c r="C42" s="240">
        <f>SUM(C39:C41)</f>
        <v>1527129</v>
      </c>
      <c r="D42" s="240">
        <f>SUM(D39:D41)</f>
        <v>0</v>
      </c>
      <c r="E42" s="240">
        <f t="shared" ref="E42:T42" si="11">SUM(E40:E41)</f>
        <v>1527129</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1527129</v>
      </c>
      <c r="S42" s="244">
        <f t="shared" si="11"/>
        <v>1527129</v>
      </c>
      <c r="T42" s="244">
        <f t="shared" si="11"/>
        <v>0</v>
      </c>
      <c r="U42" s="237"/>
    </row>
    <row r="43" spans="1:21" s="238" customFormat="1">
      <c r="A43" s="243" t="s">
        <v>968</v>
      </c>
      <c r="B43" s="240">
        <f>SUM(C43:D43)</f>
        <v>170000</v>
      </c>
      <c r="C43" s="241">
        <f>+[4]EVERYTHING!$E$63</f>
        <v>170000</v>
      </c>
      <c r="D43" s="241"/>
      <c r="E43" s="241">
        <f>+C43</f>
        <v>170000</v>
      </c>
      <c r="F43" s="241">
        <v>0</v>
      </c>
      <c r="G43" s="241"/>
      <c r="H43" s="241"/>
      <c r="I43" s="241"/>
      <c r="J43" s="241"/>
      <c r="K43" s="241"/>
      <c r="L43" s="241"/>
      <c r="M43" s="241"/>
      <c r="N43" s="241"/>
      <c r="O43" s="241"/>
      <c r="P43" s="241"/>
      <c r="Q43" s="241"/>
      <c r="R43" s="241">
        <f>SUM(E43:Q43)</f>
        <v>170000</v>
      </c>
      <c r="S43" s="241">
        <f>+R43</f>
        <v>170000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2">SUM(C45+D45)</f>
        <v>4077963</v>
      </c>
      <c r="C45" s="241">
        <f>+[4]EVERYTHING!$E$65</f>
        <v>4077963</v>
      </c>
      <c r="D45" s="241"/>
      <c r="E45" s="241">
        <f>+C45</f>
        <v>4077963</v>
      </c>
      <c r="F45" s="241"/>
      <c r="G45" s="241"/>
      <c r="H45" s="241"/>
      <c r="I45" s="241"/>
      <c r="J45" s="241"/>
      <c r="K45" s="241"/>
      <c r="L45" s="241"/>
      <c r="M45" s="241"/>
      <c r="N45" s="241"/>
      <c r="O45" s="241"/>
      <c r="P45" s="241"/>
      <c r="Q45" s="241"/>
      <c r="R45" s="241">
        <f t="shared" ref="R45:R52" si="13">SUM(E45:Q45)</f>
        <v>4077963</v>
      </c>
      <c r="S45" s="241">
        <f>+[4]EVERYTHING!$H$65</f>
        <v>2539109.2601422821</v>
      </c>
      <c r="T45" s="241"/>
      <c r="U45" s="237"/>
    </row>
    <row r="46" spans="1:21" s="238" customFormat="1">
      <c r="A46" s="239" t="s">
        <v>971</v>
      </c>
      <c r="B46" s="240">
        <f t="shared" si="12"/>
        <v>355120</v>
      </c>
      <c r="C46" s="241">
        <f>+[4]EVERYTHING!$E$67</f>
        <v>355120</v>
      </c>
      <c r="D46" s="241"/>
      <c r="E46" s="241">
        <f t="shared" ref="E46:E52" si="14">+C46</f>
        <v>355120</v>
      </c>
      <c r="F46" s="241"/>
      <c r="G46" s="241"/>
      <c r="H46" s="241"/>
      <c r="I46" s="241"/>
      <c r="J46" s="241"/>
      <c r="K46" s="241"/>
      <c r="L46" s="241"/>
      <c r="M46" s="241"/>
      <c r="N46" s="241"/>
      <c r="O46" s="241"/>
      <c r="P46" s="241"/>
      <c r="Q46" s="241"/>
      <c r="R46" s="241">
        <f t="shared" si="13"/>
        <v>355120</v>
      </c>
      <c r="S46" s="241">
        <f>+R46</f>
        <v>355120</v>
      </c>
      <c r="T46" s="241"/>
      <c r="U46" s="237"/>
    </row>
    <row r="47" spans="1:21" s="238" customFormat="1" ht="12" customHeight="1">
      <c r="A47" s="239" t="s">
        <v>972</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f t="shared" ref="S47:S52" si="15">+R47</f>
        <v>0</v>
      </c>
      <c r="T47" s="241"/>
      <c r="U47" s="237"/>
    </row>
    <row r="48" spans="1:21" s="238" customFormat="1">
      <c r="A48" s="239" t="s">
        <v>973</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c r="A49" s="239" t="s">
        <v>976</v>
      </c>
      <c r="B49" s="240">
        <f t="shared" si="12"/>
        <v>50000</v>
      </c>
      <c r="C49" s="241">
        <f>+[4]EVERYTHING!$E$70</f>
        <v>50000</v>
      </c>
      <c r="D49" s="241"/>
      <c r="E49" s="241">
        <f t="shared" si="14"/>
        <v>50000</v>
      </c>
      <c r="F49" s="241"/>
      <c r="G49" s="241"/>
      <c r="H49" s="241"/>
      <c r="I49" s="241"/>
      <c r="J49" s="241"/>
      <c r="K49" s="241"/>
      <c r="L49" s="241"/>
      <c r="M49" s="241"/>
      <c r="N49" s="241"/>
      <c r="O49" s="241"/>
      <c r="P49" s="241"/>
      <c r="Q49" s="241"/>
      <c r="R49" s="241">
        <f t="shared" si="13"/>
        <v>50000</v>
      </c>
      <c r="S49" s="241">
        <f t="shared" si="15"/>
        <v>50000</v>
      </c>
      <c r="T49" s="241"/>
      <c r="U49" s="237"/>
    </row>
    <row r="50" spans="1:21" s="238" customFormat="1">
      <c r="A50" s="239" t="s">
        <v>974</v>
      </c>
      <c r="B50" s="240">
        <f t="shared" si="12"/>
        <v>30000</v>
      </c>
      <c r="C50" s="241">
        <f>+[4]EVERYTHING!$E$68</f>
        <v>30000</v>
      </c>
      <c r="D50" s="241"/>
      <c r="E50" s="241">
        <f t="shared" si="14"/>
        <v>30000</v>
      </c>
      <c r="F50" s="241"/>
      <c r="G50" s="241"/>
      <c r="H50" s="241"/>
      <c r="I50" s="241"/>
      <c r="J50" s="241"/>
      <c r="K50" s="241"/>
      <c r="L50" s="241"/>
      <c r="M50" s="241"/>
      <c r="N50" s="241"/>
      <c r="O50" s="241"/>
      <c r="P50" s="241"/>
      <c r="Q50" s="241"/>
      <c r="R50" s="241">
        <f t="shared" si="13"/>
        <v>30000</v>
      </c>
      <c r="S50" s="241">
        <f t="shared" si="15"/>
        <v>30000</v>
      </c>
      <c r="T50" s="241"/>
      <c r="U50" s="237"/>
    </row>
    <row r="51" spans="1:21" s="238" customFormat="1">
      <c r="A51" s="239" t="s">
        <v>975</v>
      </c>
      <c r="B51" s="240">
        <f t="shared" si="12"/>
        <v>200000</v>
      </c>
      <c r="C51" s="241">
        <f>+[4]EVERYTHING!$E$69</f>
        <v>200000</v>
      </c>
      <c r="D51" s="241"/>
      <c r="E51" s="241">
        <f t="shared" si="14"/>
        <v>200000</v>
      </c>
      <c r="F51" s="241"/>
      <c r="G51" s="241"/>
      <c r="H51" s="241"/>
      <c r="I51" s="241"/>
      <c r="J51" s="241"/>
      <c r="K51" s="241"/>
      <c r="L51" s="241"/>
      <c r="M51" s="241"/>
      <c r="N51" s="241"/>
      <c r="O51" s="241"/>
      <c r="P51" s="241"/>
      <c r="Q51" s="241"/>
      <c r="R51" s="241">
        <f t="shared" si="13"/>
        <v>200000</v>
      </c>
      <c r="S51" s="241">
        <f t="shared" si="15"/>
        <v>200000</v>
      </c>
      <c r="T51" s="241"/>
      <c r="U51" s="237"/>
    </row>
    <row r="52" spans="1:21" s="238" customFormat="1">
      <c r="A52" s="246" t="s">
        <v>2515</v>
      </c>
      <c r="B52" s="240">
        <f t="shared" si="12"/>
        <v>20000</v>
      </c>
      <c r="C52" s="241">
        <f>+[4]EVERYTHING!$E$71</f>
        <v>20000</v>
      </c>
      <c r="D52" s="241"/>
      <c r="E52" s="241">
        <f t="shared" si="14"/>
        <v>20000</v>
      </c>
      <c r="F52" s="241"/>
      <c r="G52" s="241"/>
      <c r="H52" s="241"/>
      <c r="I52" s="241"/>
      <c r="J52" s="241"/>
      <c r="K52" s="241"/>
      <c r="L52" s="241"/>
      <c r="M52" s="241"/>
      <c r="N52" s="241"/>
      <c r="O52" s="241"/>
      <c r="P52" s="241"/>
      <c r="Q52" s="241"/>
      <c r="R52" s="241">
        <f t="shared" si="13"/>
        <v>20000</v>
      </c>
      <c r="S52" s="241">
        <f t="shared" si="15"/>
        <v>20000</v>
      </c>
      <c r="T52" s="241"/>
      <c r="U52" s="237"/>
    </row>
    <row r="53" spans="1:21" s="248" customFormat="1">
      <c r="A53" s="243" t="s">
        <v>977</v>
      </c>
      <c r="B53" s="244">
        <f>SUM(C53:D53)</f>
        <v>4733083</v>
      </c>
      <c r="C53" s="244">
        <f t="shared" ref="C53:T53" si="16">SUM(C45:C52)</f>
        <v>4733083</v>
      </c>
      <c r="D53" s="244">
        <f t="shared" si="16"/>
        <v>0</v>
      </c>
      <c r="E53" s="244">
        <f t="shared" si="16"/>
        <v>4733083</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4733083</v>
      </c>
      <c r="S53" s="244">
        <f t="shared" si="16"/>
        <v>3194229.2601422821</v>
      </c>
      <c r="T53" s="244">
        <f t="shared" si="16"/>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7">SUM(C55+D55)</f>
        <v>0</v>
      </c>
      <c r="C55" s="241"/>
      <c r="D55" s="241"/>
      <c r="E55" s="241">
        <f>+C55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972</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976</v>
      </c>
      <c r="B57" s="240">
        <f t="shared" si="17"/>
        <v>10000</v>
      </c>
      <c r="C57" s="241">
        <f>+[4]EVERYTHING!$E$76</f>
        <v>10000</v>
      </c>
      <c r="D57" s="241"/>
      <c r="E57" s="241">
        <f t="shared" si="19"/>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974</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975</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c r="A60" s="246" t="s">
        <v>2516</v>
      </c>
      <c r="B60" s="240">
        <f t="shared" si="17"/>
        <v>10000</v>
      </c>
      <c r="C60" s="241">
        <f>+[4]EVERYTHING!$E$77</f>
        <v>10000</v>
      </c>
      <c r="D60" s="241"/>
      <c r="E60" s="241">
        <f t="shared" si="19"/>
        <v>10000</v>
      </c>
      <c r="F60" s="241"/>
      <c r="G60" s="241"/>
      <c r="H60" s="241"/>
      <c r="I60" s="241"/>
      <c r="J60" s="241"/>
      <c r="K60" s="241"/>
      <c r="L60" s="241"/>
      <c r="M60" s="241"/>
      <c r="N60" s="241"/>
      <c r="O60" s="241"/>
      <c r="P60" s="241"/>
      <c r="Q60" s="241"/>
      <c r="R60" s="241">
        <f t="shared" si="18"/>
        <v>10000</v>
      </c>
      <c r="S60" s="242"/>
      <c r="T60" s="242"/>
      <c r="U60" s="237"/>
    </row>
    <row r="61" spans="1:21" s="238" customFormat="1" ht="14.1" customHeight="1">
      <c r="A61" s="243" t="s">
        <v>529</v>
      </c>
      <c r="B61" s="240">
        <f>SUM(C61:D61)</f>
        <v>20000</v>
      </c>
      <c r="C61" s="240">
        <f t="shared" ref="C61:R61" si="20">SUM(C55:C60)</f>
        <v>20000</v>
      </c>
      <c r="D61" s="240">
        <f t="shared" si="20"/>
        <v>0</v>
      </c>
      <c r="E61" s="240">
        <f t="shared" si="20"/>
        <v>20000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20000</v>
      </c>
      <c r="S61" s="242"/>
      <c r="T61" s="242"/>
      <c r="U61" s="237"/>
    </row>
    <row r="62" spans="1:21" s="238" customFormat="1">
      <c r="A62" s="249" t="s">
        <v>530</v>
      </c>
      <c r="B62" s="240">
        <f>SUM(C62:D62)</f>
        <v>50659200</v>
      </c>
      <c r="C62" s="240">
        <f t="shared" ref="C62:R62" si="21">SUM(C8+C11+C13+C14+C15+C26+C27+C38+C42+C43+C53+C61)</f>
        <v>50659200</v>
      </c>
      <c r="D62" s="240">
        <f t="shared" si="21"/>
        <v>0</v>
      </c>
      <c r="E62" s="240">
        <f t="shared" si="21"/>
        <v>27543755.723049928</v>
      </c>
      <c r="F62" s="240">
        <f t="shared" si="21"/>
        <v>17240556</v>
      </c>
      <c r="G62" s="240">
        <f t="shared" si="21"/>
        <v>0</v>
      </c>
      <c r="H62" s="240">
        <f t="shared" si="21"/>
        <v>2538787</v>
      </c>
      <c r="I62" s="240">
        <f t="shared" si="21"/>
        <v>1200000</v>
      </c>
      <c r="J62" s="240">
        <f t="shared" si="21"/>
        <v>540000</v>
      </c>
      <c r="K62" s="240">
        <f t="shared" si="21"/>
        <v>1250000</v>
      </c>
      <c r="L62" s="240">
        <f t="shared" si="21"/>
        <v>0</v>
      </c>
      <c r="M62" s="240">
        <f t="shared" si="21"/>
        <v>1000</v>
      </c>
      <c r="N62" s="240">
        <f t="shared" si="21"/>
        <v>0</v>
      </c>
      <c r="O62" s="240">
        <f t="shared" si="21"/>
        <v>345101.27695007226</v>
      </c>
      <c r="P62" s="240">
        <f t="shared" si="21"/>
        <v>0</v>
      </c>
      <c r="Q62" s="240">
        <f t="shared" si="21"/>
        <v>0</v>
      </c>
      <c r="R62" s="240">
        <f t="shared" si="21"/>
        <v>50659200</v>
      </c>
      <c r="S62" s="240">
        <f>SUM(S10+S13+S14+S15+S26+S27+S38+S42+S43+S53)</f>
        <v>48485994.260142282</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55000</v>
      </c>
      <c r="C64" s="241">
        <f>+[4]EVERYTHING!$E$80</f>
        <v>55000</v>
      </c>
      <c r="D64" s="241"/>
      <c r="E64" s="241">
        <f>+C64</f>
        <v>55000</v>
      </c>
      <c r="F64" s="241"/>
      <c r="G64" s="241"/>
      <c r="H64" s="241"/>
      <c r="I64" s="241"/>
      <c r="J64" s="241"/>
      <c r="K64" s="241"/>
      <c r="L64" s="241"/>
      <c r="M64" s="241"/>
      <c r="N64" s="241"/>
      <c r="O64" s="241"/>
      <c r="P64" s="241"/>
      <c r="Q64" s="241"/>
      <c r="R64" s="241">
        <f>SUM(E64:Q64)</f>
        <v>55000</v>
      </c>
      <c r="S64" s="241">
        <f>+R64</f>
        <v>55000</v>
      </c>
      <c r="T64" s="241"/>
      <c r="U64" s="237"/>
    </row>
    <row r="65" spans="1:21" s="238" customFormat="1" ht="24">
      <c r="A65" s="239" t="s">
        <v>2054</v>
      </c>
      <c r="B65" s="240">
        <f>SUM(C65+D65)</f>
        <v>0</v>
      </c>
      <c r="C65" s="241"/>
      <c r="D65" s="241"/>
      <c r="E65" s="241">
        <f t="shared" ref="E65:E68" si="22">+C65</f>
        <v>0</v>
      </c>
      <c r="F65" s="241"/>
      <c r="G65" s="241"/>
      <c r="H65" s="241"/>
      <c r="I65" s="241"/>
      <c r="J65" s="241"/>
      <c r="K65" s="241"/>
      <c r="L65" s="241"/>
      <c r="M65" s="241"/>
      <c r="N65" s="241"/>
      <c r="O65" s="241"/>
      <c r="P65" s="241"/>
      <c r="Q65" s="241"/>
      <c r="R65" s="241">
        <f>SUM(E65:Q65)</f>
        <v>0</v>
      </c>
      <c r="S65" s="241">
        <f t="shared" ref="S65:S68" si="23">+R65</f>
        <v>0</v>
      </c>
      <c r="T65" s="241"/>
      <c r="U65" s="237"/>
    </row>
    <row r="66" spans="1:21" s="238" customFormat="1" ht="24">
      <c r="A66" s="239" t="s">
        <v>2055</v>
      </c>
      <c r="B66" s="240">
        <f>SUM(C66+D66)</f>
        <v>0</v>
      </c>
      <c r="C66" s="241"/>
      <c r="D66" s="241"/>
      <c r="E66" s="241">
        <f t="shared" si="22"/>
        <v>0</v>
      </c>
      <c r="F66" s="241"/>
      <c r="G66" s="241"/>
      <c r="H66" s="241"/>
      <c r="I66" s="241"/>
      <c r="J66" s="241"/>
      <c r="K66" s="241"/>
      <c r="L66" s="241"/>
      <c r="M66" s="241"/>
      <c r="N66" s="241"/>
      <c r="O66" s="241"/>
      <c r="P66" s="241"/>
      <c r="Q66" s="241"/>
      <c r="R66" s="241">
        <f>SUM(E66:Q66)</f>
        <v>0</v>
      </c>
      <c r="S66" s="241">
        <f t="shared" si="23"/>
        <v>0</v>
      </c>
      <c r="T66" s="241"/>
      <c r="U66" s="237"/>
    </row>
    <row r="67" spans="1:21" s="238" customFormat="1">
      <c r="A67" s="239" t="s">
        <v>2056</v>
      </c>
      <c r="B67" s="240">
        <f>SUM(C67+D67)</f>
        <v>0</v>
      </c>
      <c r="C67" s="241"/>
      <c r="D67" s="241"/>
      <c r="E67" s="241">
        <f t="shared" si="22"/>
        <v>0</v>
      </c>
      <c r="F67" s="241"/>
      <c r="G67" s="241"/>
      <c r="H67" s="241"/>
      <c r="I67" s="241"/>
      <c r="J67" s="241"/>
      <c r="K67" s="241"/>
      <c r="L67" s="241"/>
      <c r="M67" s="241"/>
      <c r="N67" s="241"/>
      <c r="O67" s="241"/>
      <c r="P67" s="241"/>
      <c r="Q67" s="241"/>
      <c r="R67" s="241">
        <f>SUM(E67:Q67)</f>
        <v>0</v>
      </c>
      <c r="S67" s="241">
        <f t="shared" si="23"/>
        <v>0</v>
      </c>
      <c r="T67" s="241"/>
      <c r="U67" s="237"/>
    </row>
    <row r="68" spans="1:21" s="238" customFormat="1">
      <c r="A68" s="246" t="s">
        <v>2517</v>
      </c>
      <c r="B68" s="240">
        <f>SUM(C68+D68)</f>
        <v>200000</v>
      </c>
      <c r="C68" s="241">
        <f>+[4]EVERYTHING!$E$82</f>
        <v>200000</v>
      </c>
      <c r="D68" s="241"/>
      <c r="E68" s="241">
        <f t="shared" si="22"/>
        <v>200000</v>
      </c>
      <c r="F68" s="241"/>
      <c r="G68" s="241"/>
      <c r="H68" s="241"/>
      <c r="I68" s="241"/>
      <c r="J68" s="241"/>
      <c r="K68" s="241"/>
      <c r="L68" s="241"/>
      <c r="M68" s="241"/>
      <c r="N68" s="241"/>
      <c r="O68" s="241"/>
      <c r="P68" s="241"/>
      <c r="Q68" s="241"/>
      <c r="R68" s="241">
        <f>SUM(E68:Q68)</f>
        <v>200000</v>
      </c>
      <c r="S68" s="241">
        <f t="shared" si="23"/>
        <v>200000</v>
      </c>
      <c r="T68" s="241"/>
      <c r="U68" s="237"/>
    </row>
    <row r="69" spans="1:21" s="238" customFormat="1">
      <c r="A69" s="243" t="s">
        <v>2057</v>
      </c>
      <c r="B69" s="240">
        <f>SUM(C69:D69)</f>
        <v>255000</v>
      </c>
      <c r="C69" s="240">
        <f>SUM(C63:C68)</f>
        <v>255000</v>
      </c>
      <c r="D69" s="240">
        <f>SUM(D63:D68)</f>
        <v>0</v>
      </c>
      <c r="E69" s="240">
        <f t="shared" ref="E69:T69" si="24">SUM(E64:E68)</f>
        <v>255000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255000</v>
      </c>
      <c r="S69" s="244">
        <f t="shared" si="24"/>
        <v>255000</v>
      </c>
      <c r="T69" s="244">
        <f t="shared" si="24"/>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ref="E72:E75" si="25">+C72</f>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438525</v>
      </c>
      <c r="C74" s="241">
        <f>+[4]EVERYTHING!$E$85</f>
        <v>438525</v>
      </c>
      <c r="D74" s="241"/>
      <c r="E74" s="241">
        <f t="shared" si="25"/>
        <v>438525</v>
      </c>
      <c r="F74" s="241"/>
      <c r="G74" s="241"/>
      <c r="H74" s="241"/>
      <c r="I74" s="241"/>
      <c r="J74" s="241"/>
      <c r="K74" s="241"/>
      <c r="L74" s="241"/>
      <c r="M74" s="241"/>
      <c r="N74" s="241"/>
      <c r="O74" s="241"/>
      <c r="P74" s="241"/>
      <c r="Q74" s="241"/>
      <c r="R74" s="241">
        <f>SUM(E74:Q74)</f>
        <v>438525</v>
      </c>
      <c r="S74" s="242"/>
      <c r="T74" s="242"/>
      <c r="U74" s="237"/>
    </row>
    <row r="75" spans="1:21" s="238" customFormat="1">
      <c r="A75" s="246" t="s">
        <v>2518</v>
      </c>
      <c r="B75" s="240">
        <f>SUM(C75+D75)</f>
        <v>1000000</v>
      </c>
      <c r="C75" s="241">
        <f>+[4]EVERYTHING!$E$86</f>
        <v>1000000</v>
      </c>
      <c r="D75" s="241"/>
      <c r="E75" s="241">
        <f t="shared" si="25"/>
        <v>1000000</v>
      </c>
      <c r="F75" s="241"/>
      <c r="G75" s="241"/>
      <c r="H75" s="241"/>
      <c r="I75" s="241"/>
      <c r="J75" s="241"/>
      <c r="K75" s="241"/>
      <c r="L75" s="241"/>
      <c r="M75" s="241"/>
      <c r="N75" s="241"/>
      <c r="O75" s="241"/>
      <c r="P75" s="241"/>
      <c r="Q75" s="241"/>
      <c r="R75" s="241">
        <f>SUM(E75:Q75)</f>
        <v>1000000</v>
      </c>
      <c r="S75" s="242"/>
      <c r="T75" s="242"/>
      <c r="U75" s="237"/>
    </row>
    <row r="76" spans="1:21" s="238" customFormat="1">
      <c r="A76" s="243" t="s">
        <v>304</v>
      </c>
      <c r="B76" s="240">
        <f>SUM(C76:D76)</f>
        <v>1438525</v>
      </c>
      <c r="C76" s="240">
        <f t="shared" ref="C76:Q76" si="26">SUM(C71:C75)</f>
        <v>1438525</v>
      </c>
      <c r="D76" s="240">
        <f t="shared" si="26"/>
        <v>0</v>
      </c>
      <c r="E76" s="240">
        <f>SUM(E71:E75)</f>
        <v>1438525</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1438525</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2175731.8000000003</v>
      </c>
      <c r="C78" s="241">
        <f>+[4]EVERYTHING!$E$91</f>
        <v>2175731.8000000003</v>
      </c>
      <c r="D78" s="241"/>
      <c r="E78" s="241">
        <f>+C78</f>
        <v>2175731.8000000003</v>
      </c>
      <c r="F78" s="241"/>
      <c r="G78" s="241"/>
      <c r="H78" s="241"/>
      <c r="I78" s="241"/>
      <c r="J78" s="241"/>
      <c r="K78" s="241"/>
      <c r="L78" s="241"/>
      <c r="M78" s="241"/>
      <c r="N78" s="241"/>
      <c r="O78" s="241"/>
      <c r="P78" s="241"/>
      <c r="Q78" s="241"/>
      <c r="R78" s="241">
        <f>SUM(E78:Q78)</f>
        <v>2175731.8000000003</v>
      </c>
      <c r="S78" s="241">
        <f>+R78</f>
        <v>2175731.8000000003</v>
      </c>
      <c r="T78" s="241"/>
      <c r="U78" s="237"/>
    </row>
    <row r="79" spans="1:21" s="238" customFormat="1">
      <c r="A79" s="239" t="s">
        <v>569</v>
      </c>
      <c r="B79" s="240">
        <f>SUM(C79+D79)</f>
        <v>200000</v>
      </c>
      <c r="C79" s="241">
        <f>+[4]EVERYTHING!$E$106</f>
        <v>200000</v>
      </c>
      <c r="D79" s="241"/>
      <c r="E79" s="241">
        <f>+C79</f>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1819</v>
      </c>
      <c r="B80" s="240">
        <f>SUM(C80:D80)</f>
        <v>2375731.8000000003</v>
      </c>
      <c r="C80" s="681">
        <f>SUM(C78:C79)</f>
        <v>2375731.8000000003</v>
      </c>
      <c r="D80" s="681">
        <f t="shared" ref="D80:R80" si="27">SUM(D78:D79)</f>
        <v>0</v>
      </c>
      <c r="E80" s="681">
        <f t="shared" si="27"/>
        <v>2375731.8000000003</v>
      </c>
      <c r="F80" s="681">
        <f t="shared" si="27"/>
        <v>0</v>
      </c>
      <c r="G80" s="681">
        <f t="shared" si="27"/>
        <v>0</v>
      </c>
      <c r="H80" s="681">
        <f t="shared" si="27"/>
        <v>0</v>
      </c>
      <c r="I80" s="681">
        <f t="shared" si="27"/>
        <v>0</v>
      </c>
      <c r="J80" s="681">
        <f t="shared" si="27"/>
        <v>0</v>
      </c>
      <c r="K80" s="681">
        <f t="shared" si="27"/>
        <v>0</v>
      </c>
      <c r="L80" s="681">
        <f t="shared" si="27"/>
        <v>0</v>
      </c>
      <c r="M80" s="681">
        <f t="shared" si="27"/>
        <v>0</v>
      </c>
      <c r="N80" s="681">
        <f t="shared" si="27"/>
        <v>0</v>
      </c>
      <c r="O80" s="681">
        <f t="shared" si="27"/>
        <v>0</v>
      </c>
      <c r="P80" s="681">
        <f t="shared" si="27"/>
        <v>0</v>
      </c>
      <c r="Q80" s="681">
        <f t="shared" si="27"/>
        <v>0</v>
      </c>
      <c r="R80" s="681">
        <f t="shared" si="27"/>
        <v>2375731.8000000003</v>
      </c>
      <c r="S80" s="681">
        <f>SUM(S78:S79)</f>
        <v>2375731.8000000003</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2238</v>
      </c>
      <c r="B82" s="240">
        <f>SUM(C82+D82)</f>
        <v>150790</v>
      </c>
      <c r="C82" s="241">
        <f>+[4]EVERYTHING!$E$93</f>
        <v>150790</v>
      </c>
      <c r="D82" s="241"/>
      <c r="E82" s="241">
        <f>+C82-SUM(F82:Q82)</f>
        <v>150790</v>
      </c>
      <c r="F82" s="241"/>
      <c r="G82" s="241"/>
      <c r="H82" s="241"/>
      <c r="I82" s="241"/>
      <c r="J82" s="241"/>
      <c r="K82" s="241"/>
      <c r="L82" s="241"/>
      <c r="M82" s="241"/>
      <c r="N82" s="241"/>
      <c r="O82" s="241"/>
      <c r="P82" s="241"/>
      <c r="Q82" s="241"/>
      <c r="R82" s="241">
        <f>SUM(E82:Q82)</f>
        <v>150790</v>
      </c>
      <c r="S82" s="242"/>
      <c r="T82" s="242"/>
      <c r="U82" s="237"/>
    </row>
    <row r="83" spans="1:21" s="238" customFormat="1">
      <c r="A83" s="239" t="s">
        <v>547</v>
      </c>
      <c r="B83" s="240">
        <f t="shared" ref="B83:B93" si="28">SUM(C83+D83)</f>
        <v>45000</v>
      </c>
      <c r="C83" s="241">
        <f>+[4]EVERYTHING!$E$99</f>
        <v>45000</v>
      </c>
      <c r="D83" s="241"/>
      <c r="E83" s="241">
        <f t="shared" ref="E83:E94" si="29">+C83-SUM(F83:Q83)</f>
        <v>45000</v>
      </c>
      <c r="F83" s="241"/>
      <c r="G83" s="241"/>
      <c r="H83" s="241"/>
      <c r="I83" s="241"/>
      <c r="J83" s="241"/>
      <c r="K83" s="241"/>
      <c r="L83" s="241"/>
      <c r="M83" s="241"/>
      <c r="N83" s="241"/>
      <c r="O83" s="241"/>
      <c r="P83" s="241"/>
      <c r="Q83" s="241"/>
      <c r="R83" s="241">
        <f t="shared" ref="R83:R93" si="30">SUM(E83:Q83)</f>
        <v>45000</v>
      </c>
      <c r="S83" s="241">
        <f>+R83</f>
        <v>45000</v>
      </c>
      <c r="T83" s="241"/>
      <c r="U83" s="237"/>
    </row>
    <row r="84" spans="1:21" s="238" customFormat="1">
      <c r="A84" s="239" t="s">
        <v>548</v>
      </c>
      <c r="B84" s="240">
        <f t="shared" si="28"/>
        <v>3276847</v>
      </c>
      <c r="C84" s="241">
        <f>+[4]EVERYTHING!$E$95</f>
        <v>3276847</v>
      </c>
      <c r="D84" s="241"/>
      <c r="E84" s="241">
        <f t="shared" si="29"/>
        <v>1528111</v>
      </c>
      <c r="F84" s="241"/>
      <c r="G84" s="241"/>
      <c r="H84" s="241"/>
      <c r="I84" s="241"/>
      <c r="J84" s="241"/>
      <c r="K84" s="241"/>
      <c r="L84" s="241">
        <f>+[4]EVERYTHING!$E$15</f>
        <v>1748736</v>
      </c>
      <c r="M84" s="241"/>
      <c r="N84" s="241"/>
      <c r="O84" s="241"/>
      <c r="P84" s="241"/>
      <c r="Q84" s="241"/>
      <c r="R84" s="241">
        <f t="shared" si="30"/>
        <v>3276847</v>
      </c>
      <c r="S84" s="241">
        <f>+[4]EVERYTHING!$H$95</f>
        <v>1528111</v>
      </c>
      <c r="T84" s="241"/>
      <c r="U84" s="237"/>
    </row>
    <row r="85" spans="1:21" s="238" customFormat="1">
      <c r="A85" s="239" t="s">
        <v>549</v>
      </c>
      <c r="B85" s="240">
        <f t="shared" si="28"/>
        <v>300000</v>
      </c>
      <c r="C85" s="241">
        <f>+[4]EVERYTHING!$E$96</f>
        <v>300000</v>
      </c>
      <c r="D85" s="241"/>
      <c r="E85" s="241">
        <f t="shared" si="29"/>
        <v>300000</v>
      </c>
      <c r="F85" s="241"/>
      <c r="G85" s="241"/>
      <c r="H85" s="241"/>
      <c r="I85" s="241"/>
      <c r="J85" s="241"/>
      <c r="K85" s="241"/>
      <c r="L85" s="241"/>
      <c r="M85" s="241"/>
      <c r="N85" s="241"/>
      <c r="O85" s="241"/>
      <c r="P85" s="241"/>
      <c r="Q85" s="241"/>
      <c r="R85" s="241">
        <f t="shared" si="30"/>
        <v>300000</v>
      </c>
      <c r="S85" s="241">
        <f>+R85</f>
        <v>300000</v>
      </c>
      <c r="T85" s="241"/>
      <c r="U85" s="237"/>
    </row>
    <row r="86" spans="1:21" s="238" customFormat="1">
      <c r="A86" s="239" t="s">
        <v>550</v>
      </c>
      <c r="B86" s="240">
        <f t="shared" si="28"/>
        <v>0</v>
      </c>
      <c r="C86" s="241"/>
      <c r="D86" s="241"/>
      <c r="E86" s="241">
        <f t="shared" si="29"/>
        <v>0</v>
      </c>
      <c r="F86" s="241"/>
      <c r="G86" s="241"/>
      <c r="H86" s="241"/>
      <c r="I86" s="241"/>
      <c r="J86" s="241"/>
      <c r="K86" s="241"/>
      <c r="L86" s="241"/>
      <c r="M86" s="241"/>
      <c r="N86" s="241"/>
      <c r="O86" s="241"/>
      <c r="P86" s="241"/>
      <c r="Q86" s="241"/>
      <c r="R86" s="241">
        <f t="shared" si="30"/>
        <v>0</v>
      </c>
      <c r="S86" s="241"/>
      <c r="T86" s="241"/>
      <c r="U86" s="237"/>
    </row>
    <row r="87" spans="1:21" s="238" customFormat="1">
      <c r="A87" s="239" t="s">
        <v>551</v>
      </c>
      <c r="B87" s="240">
        <f t="shared" si="28"/>
        <v>120000</v>
      </c>
      <c r="C87" s="241">
        <f>+[4]EVERYTHING!$E$98</f>
        <v>120000</v>
      </c>
      <c r="D87" s="241"/>
      <c r="E87" s="241">
        <f t="shared" si="29"/>
        <v>120000</v>
      </c>
      <c r="F87" s="241"/>
      <c r="G87" s="241"/>
      <c r="H87" s="241"/>
      <c r="I87" s="241"/>
      <c r="J87" s="241"/>
      <c r="K87" s="241"/>
      <c r="L87" s="241"/>
      <c r="M87" s="241"/>
      <c r="N87" s="241"/>
      <c r="O87" s="241"/>
      <c r="P87" s="241"/>
      <c r="Q87" s="241"/>
      <c r="R87" s="241">
        <f t="shared" si="30"/>
        <v>120000</v>
      </c>
      <c r="S87" s="242"/>
      <c r="T87" s="242"/>
      <c r="U87" s="237"/>
    </row>
    <row r="88" spans="1:21" s="238" customFormat="1">
      <c r="A88" s="239" t="s">
        <v>552</v>
      </c>
      <c r="B88" s="240">
        <f t="shared" si="28"/>
        <v>60000</v>
      </c>
      <c r="C88" s="241">
        <f>+[4]EVERYTHING!$E$100</f>
        <v>60000</v>
      </c>
      <c r="D88" s="241"/>
      <c r="E88" s="241">
        <f t="shared" si="29"/>
        <v>60000</v>
      </c>
      <c r="F88" s="241"/>
      <c r="G88" s="241"/>
      <c r="H88" s="241"/>
      <c r="I88" s="241"/>
      <c r="J88" s="241"/>
      <c r="K88" s="241"/>
      <c r="L88" s="241"/>
      <c r="M88" s="241"/>
      <c r="N88" s="241"/>
      <c r="O88" s="241"/>
      <c r="P88" s="241"/>
      <c r="Q88" s="241"/>
      <c r="R88" s="241">
        <f t="shared" si="30"/>
        <v>60000</v>
      </c>
      <c r="S88" s="241">
        <f>+R88</f>
        <v>60000</v>
      </c>
      <c r="T88" s="241"/>
      <c r="U88" s="237"/>
    </row>
    <row r="89" spans="1:21" s="238" customFormat="1">
      <c r="A89" s="239" t="s">
        <v>553</v>
      </c>
      <c r="B89" s="240">
        <f t="shared" si="28"/>
        <v>15000</v>
      </c>
      <c r="C89" s="241">
        <f>+[4]EVERYTHING!$E$97</f>
        <v>15000</v>
      </c>
      <c r="D89" s="241"/>
      <c r="E89" s="241">
        <f t="shared" si="29"/>
        <v>0</v>
      </c>
      <c r="F89" s="241"/>
      <c r="G89" s="241">
        <f>+[4]EVERYTHING!$E$11</f>
        <v>15000</v>
      </c>
      <c r="H89" s="241"/>
      <c r="I89" s="241"/>
      <c r="J89" s="241"/>
      <c r="K89" s="241"/>
      <c r="L89" s="241"/>
      <c r="M89" s="241"/>
      <c r="N89" s="241"/>
      <c r="O89" s="241"/>
      <c r="P89" s="241"/>
      <c r="Q89" s="241"/>
      <c r="R89" s="241">
        <f t="shared" si="30"/>
        <v>15000</v>
      </c>
      <c r="S89" s="241"/>
      <c r="T89" s="241"/>
      <c r="U89" s="237"/>
    </row>
    <row r="90" spans="1:21" s="238" customFormat="1">
      <c r="A90" s="250" t="s">
        <v>1368</v>
      </c>
      <c r="B90" s="240">
        <f t="shared" si="28"/>
        <v>0</v>
      </c>
      <c r="C90" s="241"/>
      <c r="D90" s="241"/>
      <c r="E90" s="241">
        <f t="shared" si="29"/>
        <v>0</v>
      </c>
      <c r="F90" s="241"/>
      <c r="G90" s="241"/>
      <c r="H90" s="241"/>
      <c r="I90" s="241"/>
      <c r="J90" s="241"/>
      <c r="K90" s="241"/>
      <c r="L90" s="241"/>
      <c r="M90" s="241"/>
      <c r="N90" s="241"/>
      <c r="O90" s="241"/>
      <c r="P90" s="241"/>
      <c r="Q90" s="241"/>
      <c r="R90" s="241">
        <f t="shared" si="30"/>
        <v>0</v>
      </c>
      <c r="S90" s="241"/>
      <c r="T90" s="241"/>
      <c r="U90" s="237"/>
    </row>
    <row r="91" spans="1:21" s="238" customFormat="1">
      <c r="A91" s="250" t="s">
        <v>1817</v>
      </c>
      <c r="B91" s="240">
        <f t="shared" si="28"/>
        <v>10000</v>
      </c>
      <c r="C91" s="241">
        <f>+[4]EVERYTHING!$E$90</f>
        <v>10000</v>
      </c>
      <c r="D91" s="241"/>
      <c r="E91" s="241">
        <f t="shared" si="29"/>
        <v>10000</v>
      </c>
      <c r="F91" s="241"/>
      <c r="G91" s="241"/>
      <c r="H91" s="241"/>
      <c r="I91" s="241"/>
      <c r="J91" s="241"/>
      <c r="K91" s="241"/>
      <c r="L91" s="241"/>
      <c r="M91" s="241"/>
      <c r="N91" s="241"/>
      <c r="O91" s="241"/>
      <c r="P91" s="241"/>
      <c r="Q91" s="241"/>
      <c r="R91" s="241">
        <f t="shared" si="30"/>
        <v>10000</v>
      </c>
      <c r="S91" s="241">
        <f>+R91</f>
        <v>10000</v>
      </c>
      <c r="T91" s="241"/>
      <c r="U91" s="237"/>
    </row>
    <row r="92" spans="1:21" s="238" customFormat="1">
      <c r="A92" s="246" t="s">
        <v>2519</v>
      </c>
      <c r="B92" s="240">
        <f t="shared" si="28"/>
        <v>40000</v>
      </c>
      <c r="C92" s="241">
        <f>+[4]EVERYTHING!$E$101</f>
        <v>40000</v>
      </c>
      <c r="D92" s="241"/>
      <c r="E92" s="241">
        <f t="shared" si="29"/>
        <v>40000</v>
      </c>
      <c r="F92" s="241"/>
      <c r="G92" s="241"/>
      <c r="H92" s="241"/>
      <c r="I92" s="241"/>
      <c r="J92" s="241"/>
      <c r="K92" s="241"/>
      <c r="L92" s="241"/>
      <c r="M92" s="241"/>
      <c r="N92" s="241"/>
      <c r="O92" s="241"/>
      <c r="P92" s="241"/>
      <c r="Q92" s="241"/>
      <c r="R92" s="241">
        <f t="shared" si="30"/>
        <v>40000</v>
      </c>
      <c r="S92" s="241">
        <f>+R92</f>
        <v>40000</v>
      </c>
      <c r="T92" s="241"/>
      <c r="U92" s="237"/>
    </row>
    <row r="93" spans="1:21" s="238" customFormat="1" ht="36">
      <c r="A93" s="246" t="s">
        <v>2520</v>
      </c>
      <c r="B93" s="240">
        <f t="shared" si="28"/>
        <v>155000</v>
      </c>
      <c r="C93" s="241">
        <f>+[4]EVERYTHING!$E$94+[4]EVERYTHING!$E$103</f>
        <v>155000</v>
      </c>
      <c r="D93" s="241"/>
      <c r="E93" s="241">
        <f t="shared" si="29"/>
        <v>155000</v>
      </c>
      <c r="F93" s="241"/>
      <c r="G93" s="241"/>
      <c r="H93" s="241"/>
      <c r="I93" s="241"/>
      <c r="J93" s="241"/>
      <c r="K93" s="241"/>
      <c r="L93" s="241"/>
      <c r="M93" s="241"/>
      <c r="N93" s="241"/>
      <c r="O93" s="241"/>
      <c r="P93" s="241"/>
      <c r="Q93" s="241"/>
      <c r="R93" s="241">
        <f t="shared" si="30"/>
        <v>155000</v>
      </c>
      <c r="S93" s="241">
        <f>+R93</f>
        <v>155000</v>
      </c>
      <c r="T93" s="241"/>
      <c r="U93" s="237"/>
    </row>
    <row r="94" spans="1:21" s="238" customFormat="1">
      <c r="A94" s="246" t="s">
        <v>2521</v>
      </c>
      <c r="B94" s="240">
        <f>SUM(C94+D94)</f>
        <v>15000</v>
      </c>
      <c r="C94" s="241">
        <f>+[4]EVERYTHING!$E$104</f>
        <v>15000</v>
      </c>
      <c r="D94" s="241"/>
      <c r="E94" s="241">
        <f t="shared" si="29"/>
        <v>15000</v>
      </c>
      <c r="F94" s="241"/>
      <c r="G94" s="241"/>
      <c r="H94" s="241"/>
      <c r="I94" s="241"/>
      <c r="J94" s="241"/>
      <c r="K94" s="241"/>
      <c r="L94" s="241"/>
      <c r="M94" s="241"/>
      <c r="N94" s="241"/>
      <c r="O94" s="241"/>
      <c r="P94" s="241"/>
      <c r="Q94" s="241"/>
      <c r="R94" s="241">
        <f>SUM(E94:Q94)</f>
        <v>15000</v>
      </c>
      <c r="S94" s="241"/>
      <c r="T94" s="241"/>
      <c r="U94" s="237"/>
    </row>
    <row r="95" spans="1:21" s="238" customFormat="1">
      <c r="A95" s="243" t="s">
        <v>554</v>
      </c>
      <c r="B95" s="240">
        <f>SUM(C95:D95)</f>
        <v>4187637</v>
      </c>
      <c r="C95" s="240">
        <f t="shared" ref="C95:R95" si="31">SUM(C82:C94)</f>
        <v>4187637</v>
      </c>
      <c r="D95" s="240">
        <f t="shared" si="31"/>
        <v>0</v>
      </c>
      <c r="E95" s="240">
        <f t="shared" si="31"/>
        <v>2423901</v>
      </c>
      <c r="F95" s="240">
        <f t="shared" si="31"/>
        <v>0</v>
      </c>
      <c r="G95" s="240">
        <f t="shared" si="31"/>
        <v>15000</v>
      </c>
      <c r="H95" s="240">
        <f t="shared" si="31"/>
        <v>0</v>
      </c>
      <c r="I95" s="240">
        <f t="shared" si="31"/>
        <v>0</v>
      </c>
      <c r="J95" s="240">
        <f t="shared" si="31"/>
        <v>0</v>
      </c>
      <c r="K95" s="240">
        <f t="shared" si="31"/>
        <v>0</v>
      </c>
      <c r="L95" s="240">
        <f t="shared" si="31"/>
        <v>1748736</v>
      </c>
      <c r="M95" s="240">
        <f t="shared" si="31"/>
        <v>0</v>
      </c>
      <c r="N95" s="240">
        <f t="shared" si="31"/>
        <v>0</v>
      </c>
      <c r="O95" s="240">
        <f t="shared" si="31"/>
        <v>0</v>
      </c>
      <c r="P95" s="240">
        <f t="shared" si="31"/>
        <v>0</v>
      </c>
      <c r="Q95" s="240">
        <f t="shared" si="31"/>
        <v>0</v>
      </c>
      <c r="R95" s="240">
        <f t="shared" si="31"/>
        <v>4187637</v>
      </c>
      <c r="S95" s="244">
        <f>SUM(S83:S86,S88:S94)</f>
        <v>2138111</v>
      </c>
      <c r="T95" s="240">
        <f>SUM(T83:T86,T88:T94)</f>
        <v>0</v>
      </c>
      <c r="U95" s="237"/>
    </row>
    <row r="96" spans="1:21" s="238" customFormat="1">
      <c r="A96" s="243" t="s">
        <v>555</v>
      </c>
      <c r="B96" s="240">
        <f>SUM(C96:D96)</f>
        <v>58916093.799999997</v>
      </c>
      <c r="C96" s="240">
        <f t="shared" ref="C96:R96" si="32">SUM(C62+C69+C76+C80+C95)</f>
        <v>58916093.799999997</v>
      </c>
      <c r="D96" s="240">
        <f t="shared" si="32"/>
        <v>0</v>
      </c>
      <c r="E96" s="240">
        <f t="shared" si="32"/>
        <v>34036913.523049928</v>
      </c>
      <c r="F96" s="240">
        <f t="shared" si="32"/>
        <v>17240556</v>
      </c>
      <c r="G96" s="240">
        <f t="shared" si="32"/>
        <v>15000</v>
      </c>
      <c r="H96" s="240">
        <f t="shared" si="32"/>
        <v>2538787</v>
      </c>
      <c r="I96" s="240">
        <f t="shared" si="32"/>
        <v>1200000</v>
      </c>
      <c r="J96" s="240">
        <f t="shared" si="32"/>
        <v>540000</v>
      </c>
      <c r="K96" s="240">
        <f t="shared" si="32"/>
        <v>1250000</v>
      </c>
      <c r="L96" s="240">
        <f t="shared" si="32"/>
        <v>1748736</v>
      </c>
      <c r="M96" s="240">
        <f t="shared" si="32"/>
        <v>1000</v>
      </c>
      <c r="N96" s="240">
        <f t="shared" si="32"/>
        <v>0</v>
      </c>
      <c r="O96" s="240">
        <f t="shared" si="32"/>
        <v>345101.27695007226</v>
      </c>
      <c r="P96" s="240">
        <f t="shared" si="32"/>
        <v>0</v>
      </c>
      <c r="Q96" s="240">
        <f t="shared" si="32"/>
        <v>0</v>
      </c>
      <c r="R96" s="240">
        <f t="shared" si="32"/>
        <v>58916093.799999997</v>
      </c>
      <c r="S96" s="244">
        <f>SUM(+S62+S69+S80+S95)</f>
        <v>53254837.060142279</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2000000</v>
      </c>
      <c r="C98" s="241">
        <f>+[4]EVERYTHING!$E$110</f>
        <v>2000000</v>
      </c>
      <c r="D98" s="241"/>
      <c r="E98" s="241">
        <f>+C98-N98</f>
        <v>1716826</v>
      </c>
      <c r="F98" s="241"/>
      <c r="G98" s="241"/>
      <c r="H98" s="241"/>
      <c r="I98" s="241"/>
      <c r="J98" s="241"/>
      <c r="K98" s="241"/>
      <c r="L98" s="241"/>
      <c r="M98" s="241"/>
      <c r="N98" s="241">
        <f>+[4]EVERYTHING!$E$18</f>
        <v>283174</v>
      </c>
      <c r="O98" s="241"/>
      <c r="P98" s="241"/>
      <c r="Q98" s="241"/>
      <c r="R98" s="241">
        <f>SUM(E98:Q98)</f>
        <v>2000000</v>
      </c>
      <c r="S98" s="241">
        <f>+R98</f>
        <v>2000000</v>
      </c>
      <c r="T98" s="241"/>
      <c r="U98" s="237"/>
    </row>
    <row r="99" spans="1:21" s="238" customFormat="1">
      <c r="A99" s="239" t="s">
        <v>2058</v>
      </c>
      <c r="B99" s="240">
        <f>SUM(C99+D99)</f>
        <v>200000</v>
      </c>
      <c r="C99" s="241">
        <f>+[4]EVERYTHING!$E$111</f>
        <v>200000</v>
      </c>
      <c r="D99" s="241"/>
      <c r="E99" s="241">
        <f>+C99</f>
        <v>200000</v>
      </c>
      <c r="F99" s="241"/>
      <c r="G99" s="241"/>
      <c r="H99" s="241"/>
      <c r="I99" s="241"/>
      <c r="J99" s="241"/>
      <c r="K99" s="241"/>
      <c r="L99" s="241"/>
      <c r="M99" s="241"/>
      <c r="N99" s="241"/>
      <c r="O99" s="241"/>
      <c r="P99" s="241"/>
      <c r="Q99" s="241"/>
      <c r="R99" s="241">
        <f>SUM(E99:Q99)</f>
        <v>200000</v>
      </c>
      <c r="S99" s="241">
        <f>+R99</f>
        <v>200000</v>
      </c>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3">SUM(C98:C102)</f>
        <v>2200000</v>
      </c>
      <c r="D103" s="240">
        <f t="shared" si="33"/>
        <v>0</v>
      </c>
      <c r="E103" s="240">
        <f t="shared" si="33"/>
        <v>1916826</v>
      </c>
      <c r="F103" s="240">
        <f t="shared" si="33"/>
        <v>0</v>
      </c>
      <c r="G103" s="240">
        <f t="shared" si="33"/>
        <v>0</v>
      </c>
      <c r="H103" s="240">
        <f t="shared" si="33"/>
        <v>0</v>
      </c>
      <c r="I103" s="240">
        <f t="shared" si="33"/>
        <v>0</v>
      </c>
      <c r="J103" s="240">
        <f t="shared" si="33"/>
        <v>0</v>
      </c>
      <c r="K103" s="240">
        <f t="shared" si="33"/>
        <v>0</v>
      </c>
      <c r="L103" s="240">
        <f t="shared" si="33"/>
        <v>0</v>
      </c>
      <c r="M103" s="240">
        <f t="shared" si="33"/>
        <v>0</v>
      </c>
      <c r="N103" s="240">
        <f t="shared" si="33"/>
        <v>283174</v>
      </c>
      <c r="O103" s="240">
        <f t="shared" si="33"/>
        <v>0</v>
      </c>
      <c r="P103" s="240">
        <f t="shared" si="33"/>
        <v>0</v>
      </c>
      <c r="Q103" s="240">
        <f t="shared" si="33"/>
        <v>0</v>
      </c>
      <c r="R103" s="240">
        <f t="shared" si="33"/>
        <v>2200000</v>
      </c>
      <c r="S103" s="244">
        <f t="shared" si="33"/>
        <v>2200000</v>
      </c>
      <c r="T103" s="244">
        <f t="shared" si="33"/>
        <v>0</v>
      </c>
      <c r="U103" s="237"/>
    </row>
    <row r="104" spans="1:21" s="238" customFormat="1">
      <c r="A104" s="243" t="s">
        <v>1204</v>
      </c>
      <c r="B104" s="244">
        <f>SUM(C104:D104)</f>
        <v>61116093.799999997</v>
      </c>
      <c r="C104" s="244">
        <f t="shared" ref="C104:R104" si="34">SUM(C96+C103)</f>
        <v>61116093.799999997</v>
      </c>
      <c r="D104" s="244">
        <f t="shared" si="34"/>
        <v>0</v>
      </c>
      <c r="E104" s="244">
        <f t="shared" si="34"/>
        <v>35953739.523049928</v>
      </c>
      <c r="F104" s="244">
        <f t="shared" si="34"/>
        <v>17240556</v>
      </c>
      <c r="G104" s="244">
        <f t="shared" si="34"/>
        <v>15000</v>
      </c>
      <c r="H104" s="244">
        <f t="shared" si="34"/>
        <v>2538787</v>
      </c>
      <c r="I104" s="244">
        <f t="shared" si="34"/>
        <v>1200000</v>
      </c>
      <c r="J104" s="244">
        <f t="shared" si="34"/>
        <v>540000</v>
      </c>
      <c r="K104" s="244">
        <f t="shared" si="34"/>
        <v>1250000</v>
      </c>
      <c r="L104" s="244">
        <f t="shared" si="34"/>
        <v>1748736</v>
      </c>
      <c r="M104" s="244">
        <f t="shared" si="34"/>
        <v>1000</v>
      </c>
      <c r="N104" s="244">
        <f t="shared" si="34"/>
        <v>283174</v>
      </c>
      <c r="O104" s="244">
        <f t="shared" si="34"/>
        <v>345101.27695007226</v>
      </c>
      <c r="P104" s="244">
        <f t="shared" si="34"/>
        <v>0</v>
      </c>
      <c r="Q104" s="244">
        <f t="shared" si="34"/>
        <v>0</v>
      </c>
      <c r="R104" s="240">
        <f t="shared" si="34"/>
        <v>61116093.799999997</v>
      </c>
      <c r="S104" s="244">
        <f>S96+S103</f>
        <v>55454837.060142279</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55454837.060142279</v>
      </c>
      <c r="T106" s="244">
        <f>T104+T105</f>
        <v>0</v>
      </c>
      <c r="U106" s="256"/>
    </row>
    <row r="107" spans="1:21" s="258" customFormat="1">
      <c r="A107" s="257" t="s">
        <v>1154</v>
      </c>
      <c r="B107" s="252"/>
      <c r="C107" s="252"/>
      <c r="D107" s="252"/>
      <c r="E107" s="240">
        <f>Application!AO631</f>
        <v>35953739.523049928</v>
      </c>
      <c r="F107" s="240">
        <f>Application!AO618</f>
        <v>17240556</v>
      </c>
      <c r="G107" s="240">
        <f>Application!AO619</f>
        <v>15000</v>
      </c>
      <c r="H107" s="240">
        <f>Application!AO620</f>
        <v>2538787</v>
      </c>
      <c r="I107" s="240">
        <f>Application!AO621</f>
        <v>1740000</v>
      </c>
      <c r="J107" s="240">
        <f>Application!AO622</f>
        <v>1250000</v>
      </c>
      <c r="K107" s="240">
        <f>Application!AO623</f>
        <v>1748736</v>
      </c>
      <c r="L107" s="240">
        <f>Application!AO624</f>
        <v>1000</v>
      </c>
      <c r="M107" s="240">
        <f>Application!AO625</f>
        <v>283174</v>
      </c>
      <c r="N107" s="240">
        <f>Application!AO626</f>
        <v>345101.27695007226</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4" t="s">
        <v>1344</v>
      </c>
      <c r="E122" s="1584"/>
      <c r="F122" s="1584"/>
      <c r="U122" s="256"/>
    </row>
    <row r="123" spans="1:21" s="253" customFormat="1">
      <c r="A123" s="253" t="s">
        <v>1345</v>
      </c>
      <c r="B123" s="561"/>
      <c r="D123" s="1586" t="s">
        <v>1369</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1346</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1347</v>
      </c>
      <c r="B125" s="561"/>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528</v>
      </c>
      <c r="B129" s="561"/>
      <c r="C129" s="209"/>
      <c r="D129" s="1583" t="s">
        <v>1351</v>
      </c>
      <c r="E129" s="1583"/>
      <c r="F129" s="1583"/>
      <c r="G129" s="1583"/>
      <c r="H129" s="1583"/>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2"/>
      <c r="E131" s="1312"/>
      <c r="F131" s="1312"/>
      <c r="G131" s="1312"/>
      <c r="H131" s="1312"/>
      <c r="I131" s="209"/>
      <c r="J131" s="1312"/>
      <c r="K131" s="1312"/>
      <c r="L131" s="1312"/>
      <c r="M131" s="1312"/>
      <c r="N131" s="209"/>
      <c r="O131" s="209"/>
      <c r="P131" s="209"/>
      <c r="Q131" s="209"/>
      <c r="R131" s="209"/>
      <c r="S131" s="209"/>
      <c r="U131" s="256"/>
    </row>
    <row r="132" spans="1:21" s="253" customFormat="1" ht="12.75">
      <c r="A132" s="563"/>
      <c r="B132" s="209"/>
      <c r="C132" s="209"/>
      <c r="D132" s="1588" t="s">
        <v>1354</v>
      </c>
      <c r="E132" s="1588"/>
      <c r="F132" s="1588"/>
      <c r="G132" s="1588"/>
      <c r="H132" s="1588"/>
      <c r="I132" s="209"/>
      <c r="J132" s="1588" t="s">
        <v>1355</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2259</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1"/>
      <c r="C138" s="1581"/>
      <c r="D138" s="356"/>
      <c r="E138" s="1582"/>
      <c r="F138" s="1582"/>
      <c r="G138" s="209"/>
      <c r="H138" s="209"/>
      <c r="I138" s="209"/>
      <c r="J138" s="209"/>
      <c r="K138" s="209"/>
      <c r="L138" s="209"/>
      <c r="M138" s="209"/>
      <c r="N138" s="209"/>
      <c r="O138" s="209"/>
      <c r="P138" s="209"/>
      <c r="Q138" s="209"/>
      <c r="R138" s="209"/>
      <c r="S138" s="209"/>
    </row>
    <row r="139" spans="1:21" ht="12" customHeight="1">
      <c r="A139" s="1585" t="s">
        <v>1357</v>
      </c>
      <c r="B139" s="1585"/>
      <c r="C139" s="1585"/>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55" workbookViewId="0">
      <selection activeCell="AK74" sqref="AK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3"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 ",'Sources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 ",'Sources and Basis Breakdown'!J2)</f>
        <v>30% PVC for Acquisition
NON-DDA/
NON-QCT Building(s)</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55454837.060142279</v>
      </c>
      <c r="U11" s="1616"/>
      <c r="V11" s="1616"/>
      <c r="W11" s="1616"/>
      <c r="X11" s="1616"/>
      <c r="Y11" s="1615">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2.95" customHeight="1">
      <c r="B18" s="961"/>
      <c r="C18" s="1621" t="s">
        <v>1269</v>
      </c>
      <c r="D18" s="1621"/>
      <c r="E18" s="1621"/>
      <c r="F18" s="1621"/>
      <c r="G18" s="1621"/>
      <c r="H18" s="1621"/>
      <c r="I18" s="1621"/>
      <c r="J18" s="1621"/>
      <c r="K18" s="1621"/>
      <c r="L18" s="1621"/>
      <c r="M18" s="1621"/>
      <c r="N18" s="1621"/>
      <c r="O18" s="1621"/>
      <c r="P18" s="1621"/>
      <c r="Q18" s="1621"/>
      <c r="R18" s="1621"/>
      <c r="S18" s="1622"/>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2.95" customHeight="1">
      <c r="B19" s="498"/>
      <c r="C19" s="1621" t="s">
        <v>1269</v>
      </c>
      <c r="D19" s="1621"/>
      <c r="E19" s="1621"/>
      <c r="F19" s="1621"/>
      <c r="G19" s="1621"/>
      <c r="H19" s="1621"/>
      <c r="I19" s="1621"/>
      <c r="J19" s="1621"/>
      <c r="K19" s="1621"/>
      <c r="L19" s="1621"/>
      <c r="M19" s="1621"/>
      <c r="N19" s="1621"/>
      <c r="O19" s="1621"/>
      <c r="P19" s="1621"/>
      <c r="Q19" s="1621"/>
      <c r="R19" s="1621"/>
      <c r="S19" s="1622"/>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0</v>
      </c>
      <c r="U22" s="1631"/>
      <c r="V22" s="1631"/>
      <c r="W22" s="1631"/>
      <c r="X22" s="1631"/>
      <c r="Y22" s="1630">
        <f>(Y20+Y21)*-1</f>
        <v>0</v>
      </c>
      <c r="Z22" s="1631"/>
      <c r="AA22" s="1631"/>
      <c r="AB22" s="1631"/>
      <c r="AC22" s="1631"/>
      <c r="AD22" s="1630">
        <f>(AD20+AD21)*-1</f>
        <v>0</v>
      </c>
      <c r="AE22" s="1631"/>
      <c r="AF22" s="1631"/>
      <c r="AG22" s="1631"/>
      <c r="AH22" s="1631"/>
      <c r="AI22" s="1637">
        <f>(AI20+AI21)*-1</f>
        <v>0</v>
      </c>
      <c r="AJ22" s="1638"/>
      <c r="AK22" s="1638"/>
      <c r="AL22" s="1638"/>
      <c r="AM22" s="1630"/>
    </row>
    <row r="23" spans="1:39" ht="12.95" customHeight="1">
      <c r="B23" s="1096" t="s">
        <v>2001</v>
      </c>
      <c r="C23" s="1097"/>
      <c r="D23" s="1097"/>
      <c r="E23" s="1097"/>
      <c r="F23" s="1097"/>
      <c r="G23" s="1097"/>
      <c r="H23" s="1097"/>
      <c r="I23" s="1097"/>
      <c r="J23" s="1097"/>
      <c r="K23" s="1097"/>
      <c r="L23" s="1097"/>
      <c r="M23" s="1097"/>
      <c r="N23" s="1097"/>
      <c r="O23" s="1097"/>
      <c r="P23" s="1097"/>
      <c r="Q23" s="1097"/>
      <c r="R23" s="1097"/>
      <c r="S23" s="1099"/>
      <c r="T23" s="1595">
        <f>T11+T22</f>
        <v>55454837.060142279</v>
      </c>
      <c r="U23" s="1314"/>
      <c r="V23" s="1314"/>
      <c r="W23" s="1314"/>
      <c r="X23" s="1314"/>
      <c r="Y23" s="1595">
        <f>Y11+Y22</f>
        <v>0</v>
      </c>
      <c r="Z23" s="1314"/>
      <c r="AA23" s="1314"/>
      <c r="AB23" s="1314"/>
      <c r="AC23" s="1314"/>
      <c r="AD23" s="1595">
        <f>IF(AD11=AD21,0,AD11)</f>
        <v>0</v>
      </c>
      <c r="AE23" s="1314"/>
      <c r="AF23" s="1314"/>
      <c r="AG23" s="1314"/>
      <c r="AH23" s="1314"/>
      <c r="AI23" s="1595">
        <f>IF(AI11=AI21,0,AI11)</f>
        <v>0</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Application!AJ988</f>
        <v>59542826</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2003</v>
      </c>
      <c r="C25" s="1640"/>
      <c r="D25" s="1640"/>
      <c r="E25" s="1640"/>
      <c r="F25" s="1640"/>
      <c r="G25" s="1640"/>
      <c r="H25" s="1640"/>
      <c r="I25" s="1640"/>
      <c r="J25" s="1640"/>
      <c r="K25" s="1640"/>
      <c r="L25" s="1640"/>
      <c r="M25" s="1640"/>
      <c r="N25" s="1640"/>
      <c r="O25" s="1640"/>
      <c r="P25" s="1640"/>
      <c r="Q25" s="1640"/>
      <c r="R25" s="1640"/>
      <c r="S25" s="1641"/>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72091288.178184971</v>
      </c>
      <c r="U26" s="1607"/>
      <c r="V26" s="1607"/>
      <c r="W26" s="1607"/>
      <c r="X26" s="1607"/>
      <c r="Y26" s="1240">
        <f>Y23*Y25</f>
        <v>0</v>
      </c>
      <c r="Z26" s="1607"/>
      <c r="AA26" s="1607"/>
      <c r="AB26" s="1607"/>
      <c r="AC26" s="1607"/>
      <c r="AD26" s="1240">
        <f>AD23*AD25</f>
        <v>0</v>
      </c>
      <c r="AE26" s="1607"/>
      <c r="AF26" s="1607"/>
      <c r="AG26" s="1607"/>
      <c r="AH26" s="1607"/>
      <c r="AI26" s="1240">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72091288.178184971</v>
      </c>
      <c r="U28" s="1607"/>
      <c r="V28" s="1607"/>
      <c r="W28" s="1607"/>
      <c r="X28" s="1607"/>
      <c r="Y28" s="1240">
        <f>IF(ISERROR((Y26*Y27)),0,(Y26*Y27))</f>
        <v>0</v>
      </c>
      <c r="Z28" s="1607"/>
      <c r="AA28" s="1607"/>
      <c r="AB28" s="1607"/>
      <c r="AC28" s="1607"/>
      <c r="AD28" s="1240">
        <f>IF(ISERROR((AD26*AD27)),0,(AD26*AD27))</f>
        <v>0</v>
      </c>
      <c r="AE28" s="1607"/>
      <c r="AF28" s="1607"/>
      <c r="AG28" s="1607"/>
      <c r="AH28" s="1607"/>
      <c r="AI28" s="1240">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72091288.178184971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612" t="s">
        <v>2002</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5" customHeight="1">
      <c r="B31" s="1590" t="s">
        <v>2004</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30" t="s">
        <v>45</v>
      </c>
      <c r="AE35" s="1230"/>
      <c r="AF35" s="1230"/>
      <c r="AG35" s="1230"/>
      <c r="AH35" s="1230"/>
    </row>
    <row r="36" spans="1:44" ht="12.95" customHeight="1">
      <c r="B36" s="204"/>
      <c r="X36" s="71"/>
      <c r="Y36" s="1598"/>
      <c r="Z36" s="1598"/>
      <c r="AA36" s="1598"/>
      <c r="AB36" s="1598"/>
      <c r="AC36" s="1598"/>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72091288.178184971</v>
      </c>
      <c r="Z38" s="1314"/>
      <c r="AA38" s="1314"/>
      <c r="AB38" s="1314"/>
      <c r="AC38" s="1314"/>
      <c r="AD38" s="1314">
        <f>IF(T24&gt;=(T23+Y23+AD23+AI23),AD28+AI28,0)</f>
        <v>0</v>
      </c>
      <c r="AE38" s="1314"/>
      <c r="AF38" s="1314"/>
      <c r="AG38" s="1314"/>
      <c r="AH38" s="1314"/>
    </row>
    <row r="39" spans="1:44" ht="12.95"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4">
        <v>0.09</v>
      </c>
      <c r="Z39" s="1594"/>
      <c r="AA39" s="1594"/>
      <c r="AB39" s="1594"/>
      <c r="AC39" s="1594"/>
      <c r="AD39" s="1594">
        <v>0.04</v>
      </c>
      <c r="AE39" s="1594"/>
      <c r="AF39" s="1594"/>
      <c r="AG39" s="1594"/>
      <c r="AH39" s="1594"/>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6488216</v>
      </c>
      <c r="Z40" s="1314"/>
      <c r="AA40" s="1314"/>
      <c r="AB40" s="1314"/>
      <c r="AC40" s="1314"/>
      <c r="AD40" s="1595">
        <f>ROUND(AD38*AD39,0)</f>
        <v>0</v>
      </c>
      <c r="AE40" s="1314"/>
      <c r="AF40" s="1314"/>
      <c r="AG40" s="1314"/>
      <c r="AH40" s="1314"/>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IF(Application!Y211="No",'Basis &amp; Credits'!AR42,AR43)</f>
        <v>2500000</v>
      </c>
      <c r="Z41" s="1597"/>
      <c r="AA41" s="1597"/>
      <c r="AB41" s="1597"/>
      <c r="AC41" s="1597"/>
      <c r="AD41" s="1597"/>
      <c r="AE41" s="1597"/>
      <c r="AF41" s="1597"/>
      <c r="AG41" s="1597"/>
      <c r="AH41" s="1595"/>
    </row>
    <row r="42" spans="1:44" ht="12.95" customHeight="1">
      <c r="A42" s="3"/>
      <c r="B42" s="1606" t="s">
        <v>1896</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4000000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5">
        <f>'Sources and Uses Budget'!B104-(MAX(IF('Sources and Uses Budget'!B15="",0,'Sources and Uses Budget'!B15),IF(Application!AG387="",0,Application!AG387)))</f>
        <v>61116093.799999997</v>
      </c>
      <c r="AC46" s="1156"/>
      <c r="AD46" s="1156"/>
      <c r="AE46" s="1156"/>
      <c r="AF46" s="1157"/>
    </row>
    <row r="47" spans="1:44" ht="12.95" customHeight="1">
      <c r="D47" s="3" t="s">
        <v>878</v>
      </c>
      <c r="AB47" s="1155">
        <f>Application!AO630-MAX(IF('Sources and Uses Budget'!B15="",0,'Sources and Uses Budget'!B15),IF(Application!AG387="",0,Application!AG387))</f>
        <v>25162354.276950072</v>
      </c>
      <c r="AC47" s="1156"/>
      <c r="AD47" s="1156"/>
      <c r="AE47" s="1156"/>
      <c r="AF47" s="1157"/>
    </row>
    <row r="48" spans="1:44" ht="12.95" customHeight="1">
      <c r="D48" s="3" t="s">
        <v>403</v>
      </c>
      <c r="AB48" s="1155">
        <f>AB46-AB47</f>
        <v>35953739.523049921</v>
      </c>
      <c r="AC48" s="1156"/>
      <c r="AD48" s="1156"/>
      <c r="AE48" s="1156"/>
      <c r="AF48" s="1157"/>
    </row>
    <row r="49" spans="1:40" ht="12.95" customHeight="1">
      <c r="D49" s="3" t="s">
        <v>913</v>
      </c>
      <c r="AA49" s="34"/>
      <c r="AB49" s="1601">
        <v>0.90888022000000002</v>
      </c>
      <c r="AC49" s="1602"/>
      <c r="AD49" s="1602"/>
      <c r="AE49" s="1602"/>
      <c r="AF49" s="1603"/>
    </row>
    <row r="50" spans="1:40" s="324" customFormat="1" ht="12.95" customHeight="1">
      <c r="A50"/>
      <c r="B50"/>
      <c r="C50"/>
      <c r="D50"/>
      <c r="E50" s="1611" t="s">
        <v>2051</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39558281</v>
      </c>
      <c r="AC53" s="1156"/>
      <c r="AD53" s="1156"/>
      <c r="AE53" s="1156"/>
      <c r="AF53" s="1157"/>
    </row>
    <row r="54" spans="1:40" ht="12.95" customHeight="1">
      <c r="D54" s="3" t="s">
        <v>592</v>
      </c>
      <c r="AB54" s="1155">
        <f>(AB53/10)</f>
        <v>3955828.1</v>
      </c>
      <c r="AC54" s="1156"/>
      <c r="AD54" s="1156"/>
      <c r="AE54" s="1156"/>
      <c r="AF54" s="1157"/>
    </row>
    <row r="55" spans="1:40" ht="12.95" customHeight="1">
      <c r="D55" s="3" t="s">
        <v>362</v>
      </c>
      <c r="AB55" s="1608">
        <f>(IF((Y41&lt;AB54),Y41,AB54))</f>
        <v>2500000</v>
      </c>
      <c r="AC55" s="1609"/>
      <c r="AD55" s="1609"/>
      <c r="AE55" s="1609"/>
      <c r="AF55" s="1610"/>
    </row>
    <row r="56" spans="1:40" ht="12.95" customHeight="1">
      <c r="D56" s="3" t="s">
        <v>115</v>
      </c>
      <c r="AB56" s="1155">
        <f>ROUND((10*AB55*AB49),0)</f>
        <v>22722006</v>
      </c>
      <c r="AC56" s="1156"/>
      <c r="AD56" s="1156"/>
      <c r="AE56" s="1156"/>
      <c r="AF56" s="1157"/>
    </row>
    <row r="57" spans="1:40" ht="12.95" customHeight="1">
      <c r="D57" s="3"/>
      <c r="AB57" s="276"/>
      <c r="AC57" s="276"/>
      <c r="AD57" s="276"/>
      <c r="AE57" s="276"/>
      <c r="AF57" s="276"/>
    </row>
    <row r="58" spans="1:40" ht="12.95" customHeight="1">
      <c r="D58" s="3" t="s">
        <v>114</v>
      </c>
      <c r="AB58" s="1161">
        <f>AB48-AB56</f>
        <v>13231733.523049921</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55454837.060142279</v>
      </c>
      <c r="Z63" s="1604"/>
      <c r="AA63" s="1604"/>
      <c r="AB63" s="1604"/>
      <c r="AC63" s="1604"/>
      <c r="AD63" s="1314">
        <f>IF(AND(T25=1.3,Application!D214="At-Risk"),AI28,IF(Application!D214&lt;&gt;"At-Risk",0,AD28))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985</v>
      </c>
      <c r="Y67" s="1314">
        <f>ROUND(Y63*Y66,0)</f>
        <v>16636451</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1">
        <v>0.8</v>
      </c>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16539667</v>
      </c>
      <c r="AC75" s="1222"/>
      <c r="AD75" s="1222"/>
      <c r="AE75" s="1222"/>
      <c r="AF75" s="1222"/>
    </row>
    <row r="76" spans="1:34" ht="12.95" customHeight="1">
      <c r="C76" s="3"/>
      <c r="D76" s="3" t="s">
        <v>113</v>
      </c>
      <c r="AB76" s="1217">
        <f>IF((Y67+AD67&lt;AB75),Y67+AD67,AB75)</f>
        <v>16539667</v>
      </c>
      <c r="AC76" s="1218"/>
      <c r="AD76" s="1218"/>
      <c r="AE76" s="1218"/>
      <c r="AF76" s="1219"/>
    </row>
    <row r="77" spans="1:34" ht="12.95" customHeight="1">
      <c r="C77" s="3"/>
      <c r="D77" s="3" t="s">
        <v>986</v>
      </c>
      <c r="AB77" s="1599">
        <f>AB76*AB70</f>
        <v>13231733.600000001</v>
      </c>
      <c r="AC77" s="1599"/>
      <c r="AD77" s="1599"/>
      <c r="AE77" s="1599"/>
      <c r="AF77" s="1599"/>
    </row>
    <row r="78" spans="1:34" ht="12.95" customHeight="1">
      <c r="C78" s="3"/>
      <c r="D78" s="3"/>
      <c r="AB78" s="613"/>
      <c r="AC78" s="613"/>
      <c r="AD78" s="613"/>
      <c r="AE78" s="613"/>
      <c r="AF78" s="613"/>
    </row>
    <row r="79" spans="1:34" ht="12.95" customHeight="1">
      <c r="D79" s="3" t="s">
        <v>114</v>
      </c>
      <c r="AB79" s="1161">
        <f>AB48-(AB56+AB77)</f>
        <v>-7.6950080692768097E-2</v>
      </c>
      <c r="AC79" s="1161"/>
      <c r="AD79" s="1161"/>
      <c r="AE79" s="1161"/>
      <c r="AF79" s="1161"/>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1" workbookViewId="0">
      <selection activeCell="I65518" sqref="I65518"/>
    </sheetView>
  </sheetViews>
  <sheetFormatPr defaultColWidth="8.85546875" defaultRowHeight="12" zeroHeight="1"/>
  <cols>
    <col min="1" max="1" width="32.42578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1903</v>
      </c>
      <c r="B1" s="1646"/>
      <c r="C1" s="1646"/>
      <c r="D1" s="1646"/>
      <c r="E1" s="1646"/>
      <c r="F1" s="1646"/>
      <c r="G1" s="1646"/>
      <c r="H1" s="1646"/>
      <c r="I1" s="1646"/>
      <c r="J1" s="1647"/>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574352</v>
      </c>
      <c r="C4" s="600">
        <f>+B4</f>
        <v>574352</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20000</v>
      </c>
      <c r="C6" s="600">
        <f>+B6</f>
        <v>20000</v>
      </c>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594352</v>
      </c>
      <c r="C8" s="599">
        <f>SUM(C4:C7)</f>
        <v>594352</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594352</v>
      </c>
      <c r="C12" s="599">
        <f>SUM(C8+C11)</f>
        <v>594352</v>
      </c>
      <c r="D12" s="599">
        <f>SUM(D8+D11)</f>
        <v>0</v>
      </c>
      <c r="E12" s="601"/>
      <c r="F12" s="601"/>
      <c r="G12" s="601"/>
      <c r="H12" s="601"/>
      <c r="I12" s="601"/>
      <c r="J12" s="601"/>
      <c r="K12" s="594"/>
    </row>
    <row r="13" spans="1:11" s="253" customFormat="1">
      <c r="A13" s="469" t="s">
        <v>1157</v>
      </c>
      <c r="B13" s="599">
        <f>'Sources and Uses Budget'!C13</f>
        <v>20000</v>
      </c>
      <c r="C13" s="600">
        <f>+B13</f>
        <v>20000</v>
      </c>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3349712</v>
      </c>
      <c r="C28" s="600">
        <f>+B28</f>
        <v>3349712</v>
      </c>
      <c r="D28" s="600"/>
      <c r="E28" s="599">
        <f>'Sources and Uses Budget'!S29</f>
        <v>3349712</v>
      </c>
      <c r="F28" s="600">
        <f>+E28</f>
        <v>3349712</v>
      </c>
      <c r="G28" s="600"/>
      <c r="H28" s="599">
        <f>'Sources and Uses Budget'!T29</f>
        <v>0</v>
      </c>
      <c r="I28" s="600"/>
      <c r="J28" s="600"/>
      <c r="K28" s="594"/>
    </row>
    <row r="29" spans="1:11" s="253" customFormat="1">
      <c r="A29" s="239" t="s">
        <v>955</v>
      </c>
      <c r="B29" s="599">
        <f>'Sources and Uses Budget'!C30</f>
        <v>33718389</v>
      </c>
      <c r="C29" s="600">
        <f t="shared" ref="C29:C36" si="0">+B29</f>
        <v>33718389</v>
      </c>
      <c r="D29" s="600"/>
      <c r="E29" s="599">
        <f>'Sources and Uses Budget'!S30</f>
        <v>33718389</v>
      </c>
      <c r="F29" s="600">
        <f t="shared" ref="F29:F36" si="1">+E29</f>
        <v>33718389</v>
      </c>
      <c r="G29" s="600"/>
      <c r="H29" s="599">
        <f>'Sources and Uses Budget'!T30</f>
        <v>0</v>
      </c>
      <c r="I29" s="600"/>
      <c r="J29" s="600"/>
      <c r="K29" s="594"/>
    </row>
    <row r="30" spans="1:11" s="253" customFormat="1">
      <c r="A30" s="239" t="s">
        <v>956</v>
      </c>
      <c r="B30" s="599">
        <f>'Sources and Uses Budget'!C31</f>
        <v>2040000</v>
      </c>
      <c r="C30" s="600">
        <f t="shared" si="0"/>
        <v>2040000</v>
      </c>
      <c r="D30" s="600"/>
      <c r="E30" s="599">
        <f>'Sources and Uses Budget'!S31</f>
        <v>2040000</v>
      </c>
      <c r="F30" s="600">
        <f t="shared" si="1"/>
        <v>2040000</v>
      </c>
      <c r="G30" s="600"/>
      <c r="H30" s="599">
        <f>'Sources and Uses Budget'!T31</f>
        <v>0</v>
      </c>
      <c r="I30" s="600"/>
      <c r="J30" s="600"/>
      <c r="K30" s="594"/>
    </row>
    <row r="31" spans="1:11" s="253" customFormat="1">
      <c r="A31" s="239" t="s">
        <v>957</v>
      </c>
      <c r="B31" s="599">
        <f>'Sources and Uses Budget'!C32</f>
        <v>1132491.5</v>
      </c>
      <c r="C31" s="600">
        <f t="shared" si="0"/>
        <v>1132491.5</v>
      </c>
      <c r="D31" s="600"/>
      <c r="E31" s="599">
        <f>'Sources and Uses Budget'!S32</f>
        <v>1132491.5</v>
      </c>
      <c r="F31" s="600">
        <f t="shared" si="1"/>
        <v>1132491.5</v>
      </c>
      <c r="G31" s="600"/>
      <c r="H31" s="599">
        <f>'Sources and Uses Budget'!T32</f>
        <v>0</v>
      </c>
      <c r="I31" s="600"/>
      <c r="J31" s="600"/>
      <c r="K31" s="594"/>
    </row>
    <row r="32" spans="1:11" s="253" customFormat="1">
      <c r="A32" s="239" t="s">
        <v>958</v>
      </c>
      <c r="B32" s="599">
        <f>'Sources and Uses Budget'!C33</f>
        <v>1132491.5</v>
      </c>
      <c r="C32" s="600">
        <f t="shared" si="0"/>
        <v>1132491.5</v>
      </c>
      <c r="D32" s="600"/>
      <c r="E32" s="599">
        <f>'Sources and Uses Budget'!S33</f>
        <v>1132491.5</v>
      </c>
      <c r="F32" s="600">
        <f t="shared" si="1"/>
        <v>1132491.5</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1141552</v>
      </c>
      <c r="C34" s="600">
        <f t="shared" si="0"/>
        <v>1141552</v>
      </c>
      <c r="D34" s="600"/>
      <c r="E34" s="599">
        <f>'Sources and Uses Budget'!S35</f>
        <v>1141552</v>
      </c>
      <c r="F34" s="600">
        <f t="shared" si="1"/>
        <v>1141552</v>
      </c>
      <c r="G34" s="600"/>
      <c r="H34" s="599">
        <f>'Sources and Uses Budget'!T35</f>
        <v>0</v>
      </c>
      <c r="I34" s="600"/>
      <c r="J34" s="600"/>
      <c r="K34" s="594"/>
    </row>
    <row r="35" spans="1:11" s="253" customFormat="1">
      <c r="A35" s="239" t="str">
        <f>'Sources and Uses Budget'!$A36</f>
        <v>Third-party Construction Management</v>
      </c>
      <c r="B35" s="599">
        <f>'Sources and Uses Budget'!C36</f>
        <v>80000</v>
      </c>
      <c r="C35" s="600">
        <f t="shared" si="0"/>
        <v>80000</v>
      </c>
      <c r="D35" s="600"/>
      <c r="E35" s="599">
        <f>'Sources and Uses Budget'!S36</f>
        <v>80000</v>
      </c>
      <c r="F35" s="600">
        <f t="shared" si="1"/>
        <v>80000</v>
      </c>
      <c r="G35" s="600"/>
      <c r="H35" s="599">
        <f>'Sources and Uses Budget'!T36</f>
        <v>0</v>
      </c>
      <c r="I35" s="600"/>
      <c r="J35" s="600"/>
      <c r="K35" s="594"/>
    </row>
    <row r="36" spans="1:11" s="253" customFormat="1">
      <c r="A36" s="239" t="str">
        <f>'Sources and Uses Budget'!$A37</f>
        <v>Other: Solar Net Cost</v>
      </c>
      <c r="B36" s="599">
        <f>'Sources and Uses Budget'!C37</f>
        <v>1000000</v>
      </c>
      <c r="C36" s="600">
        <f t="shared" si="0"/>
        <v>1000000</v>
      </c>
      <c r="D36" s="600"/>
      <c r="E36" s="599">
        <f>'Sources and Uses Budget'!S37</f>
        <v>1000000</v>
      </c>
      <c r="F36" s="600">
        <f t="shared" si="1"/>
        <v>1000000</v>
      </c>
      <c r="G36" s="600"/>
      <c r="H36" s="599">
        <f>'Sources and Uses Budget'!T37</f>
        <v>0</v>
      </c>
      <c r="I36" s="600"/>
      <c r="J36" s="600"/>
      <c r="K36" s="594"/>
    </row>
    <row r="37" spans="1:11" s="253" customFormat="1">
      <c r="A37" s="243" t="s">
        <v>963</v>
      </c>
      <c r="B37" s="599">
        <f>'Sources and Uses Budget'!C38</f>
        <v>43594636</v>
      </c>
      <c r="C37" s="599">
        <f>SUM(C28:C36)</f>
        <v>43594636</v>
      </c>
      <c r="D37" s="599">
        <f>SUM(D28:D36)</f>
        <v>0</v>
      </c>
      <c r="E37" s="599">
        <f>'Sources and Uses Budget'!S38</f>
        <v>43594636</v>
      </c>
      <c r="F37" s="602">
        <f>SUM(F28:F36)</f>
        <v>43594636</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1218549</v>
      </c>
      <c r="C39" s="600">
        <f>+B39</f>
        <v>1218549</v>
      </c>
      <c r="D39" s="600"/>
      <c r="E39" s="599">
        <f>'Sources and Uses Budget'!S40</f>
        <v>1218549</v>
      </c>
      <c r="F39" s="600">
        <f>+E39</f>
        <v>1218549</v>
      </c>
      <c r="G39" s="600"/>
      <c r="H39" s="599">
        <f>'Sources and Uses Budget'!T40</f>
        <v>0</v>
      </c>
      <c r="I39" s="600"/>
      <c r="J39" s="600"/>
      <c r="K39" s="594"/>
    </row>
    <row r="40" spans="1:11" s="253" customFormat="1">
      <c r="A40" s="239" t="s">
        <v>966</v>
      </c>
      <c r="B40" s="599">
        <f>'Sources and Uses Budget'!C41</f>
        <v>308580</v>
      </c>
      <c r="C40" s="600">
        <f>+B40</f>
        <v>308580</v>
      </c>
      <c r="D40" s="600"/>
      <c r="E40" s="599">
        <f>'Sources and Uses Budget'!S41</f>
        <v>308580</v>
      </c>
      <c r="F40" s="600">
        <f>+E40</f>
        <v>308580</v>
      </c>
      <c r="G40" s="600"/>
      <c r="H40" s="599">
        <f>'Sources and Uses Budget'!T41</f>
        <v>0</v>
      </c>
      <c r="I40" s="600"/>
      <c r="J40" s="600"/>
      <c r="K40" s="594"/>
    </row>
    <row r="41" spans="1:11" s="253" customFormat="1">
      <c r="A41" s="243" t="s">
        <v>967</v>
      </c>
      <c r="B41" s="599">
        <f>'Sources and Uses Budget'!C42</f>
        <v>1527129</v>
      </c>
      <c r="C41" s="599">
        <f>SUM(C38:C40)</f>
        <v>1527129</v>
      </c>
      <c r="D41" s="599">
        <f>SUM(D38:D40)</f>
        <v>0</v>
      </c>
      <c r="E41" s="599">
        <f>'Sources and Uses Budget'!S42</f>
        <v>1527129</v>
      </c>
      <c r="F41" s="602">
        <f>SUM(F39:F40)</f>
        <v>1527129</v>
      </c>
      <c r="G41" s="602">
        <f>SUM(G39:G40)</f>
        <v>0</v>
      </c>
      <c r="H41" s="599">
        <f>'Sources and Uses Budget'!T42</f>
        <v>0</v>
      </c>
      <c r="I41" s="602">
        <f>SUM(I39:I40)</f>
        <v>0</v>
      </c>
      <c r="J41" s="602">
        <f>SUM(J39:J40)</f>
        <v>0</v>
      </c>
      <c r="K41" s="594"/>
    </row>
    <row r="42" spans="1:11" s="253" customFormat="1">
      <c r="A42" s="243" t="s">
        <v>968</v>
      </c>
      <c r="B42" s="599">
        <f>'Sources and Uses Budget'!C43</f>
        <v>170000</v>
      </c>
      <c r="C42" s="600">
        <f>+B42</f>
        <v>170000</v>
      </c>
      <c r="D42" s="600"/>
      <c r="E42" s="599">
        <f>'Sources and Uses Budget'!S43</f>
        <v>170000</v>
      </c>
      <c r="F42" s="600">
        <f>+E42</f>
        <v>170000</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4077963</v>
      </c>
      <c r="C44" s="600">
        <f>+B44</f>
        <v>4077963</v>
      </c>
      <c r="D44" s="600"/>
      <c r="E44" s="599">
        <f>'Sources and Uses Budget'!S45</f>
        <v>2539109.2601422821</v>
      </c>
      <c r="F44" s="600">
        <f>+E44</f>
        <v>2539109.2601422821</v>
      </c>
      <c r="G44" s="600"/>
      <c r="H44" s="599">
        <f>'Sources and Uses Budget'!T45</f>
        <v>0</v>
      </c>
      <c r="I44" s="600"/>
      <c r="J44" s="600"/>
      <c r="K44" s="594"/>
    </row>
    <row r="45" spans="1:11" s="253" customFormat="1">
      <c r="A45" s="239" t="s">
        <v>971</v>
      </c>
      <c r="B45" s="599">
        <f>'Sources and Uses Budget'!C46</f>
        <v>355120</v>
      </c>
      <c r="C45" s="600">
        <f t="shared" ref="C45:C51" si="2">+B45</f>
        <v>355120</v>
      </c>
      <c r="D45" s="600"/>
      <c r="E45" s="599">
        <f>'Sources and Uses Budget'!S46</f>
        <v>355120</v>
      </c>
      <c r="F45" s="600">
        <f t="shared" ref="F45:F51" si="3">+E45</f>
        <v>355120</v>
      </c>
      <c r="G45" s="600"/>
      <c r="H45" s="599">
        <f>'Sources and Uses Budget'!T46</f>
        <v>0</v>
      </c>
      <c r="I45" s="600"/>
      <c r="J45" s="600"/>
      <c r="K45" s="594"/>
    </row>
    <row r="46" spans="1:11" s="253" customFormat="1" ht="12" customHeight="1">
      <c r="A46" s="239" t="s">
        <v>972</v>
      </c>
      <c r="B46" s="599">
        <f>'Sources and Uses Budget'!C47</f>
        <v>0</v>
      </c>
      <c r="C46" s="600">
        <f t="shared" si="2"/>
        <v>0</v>
      </c>
      <c r="D46" s="600"/>
      <c r="E46" s="599">
        <f>'Sources and Uses Budget'!S47</f>
        <v>0</v>
      </c>
      <c r="F46" s="600">
        <f t="shared" si="3"/>
        <v>0</v>
      </c>
      <c r="G46" s="600"/>
      <c r="H46" s="599">
        <f>'Sources and Uses Budget'!T47</f>
        <v>0</v>
      </c>
      <c r="I46" s="600"/>
      <c r="J46" s="600"/>
      <c r="K46" s="594"/>
    </row>
    <row r="47" spans="1:11" s="253" customFormat="1">
      <c r="A47" s="239" t="s">
        <v>973</v>
      </c>
      <c r="B47" s="599">
        <f>'Sources and Uses Budget'!C48</f>
        <v>0</v>
      </c>
      <c r="C47" s="600">
        <f t="shared" si="2"/>
        <v>0</v>
      </c>
      <c r="D47" s="600"/>
      <c r="E47" s="599">
        <f>'Sources and Uses Budget'!S48</f>
        <v>0</v>
      </c>
      <c r="F47" s="600">
        <f t="shared" si="3"/>
        <v>0</v>
      </c>
      <c r="G47" s="600"/>
      <c r="H47" s="599">
        <f>'Sources and Uses Budget'!T48</f>
        <v>0</v>
      </c>
      <c r="I47" s="600"/>
      <c r="J47" s="600"/>
      <c r="K47" s="594"/>
    </row>
    <row r="48" spans="1:11" s="253" customFormat="1">
      <c r="A48" s="239" t="s">
        <v>976</v>
      </c>
      <c r="B48" s="599">
        <f>'Sources and Uses Budget'!C49</f>
        <v>50000</v>
      </c>
      <c r="C48" s="600">
        <f t="shared" si="2"/>
        <v>50000</v>
      </c>
      <c r="D48" s="600"/>
      <c r="E48" s="599">
        <f>'Sources and Uses Budget'!S49</f>
        <v>50000</v>
      </c>
      <c r="F48" s="600">
        <f t="shared" si="3"/>
        <v>50000</v>
      </c>
      <c r="G48" s="600"/>
      <c r="H48" s="599">
        <f>'Sources and Uses Budget'!T49</f>
        <v>0</v>
      </c>
      <c r="I48" s="600"/>
      <c r="J48" s="600"/>
      <c r="K48" s="594"/>
    </row>
    <row r="49" spans="1:11" s="253" customFormat="1">
      <c r="A49" s="239" t="s">
        <v>974</v>
      </c>
      <c r="B49" s="599">
        <f>'Sources and Uses Budget'!C50</f>
        <v>30000</v>
      </c>
      <c r="C49" s="600">
        <f t="shared" si="2"/>
        <v>30000</v>
      </c>
      <c r="D49" s="600"/>
      <c r="E49" s="599">
        <f>'Sources and Uses Budget'!S50</f>
        <v>30000</v>
      </c>
      <c r="F49" s="600">
        <f t="shared" si="3"/>
        <v>30000</v>
      </c>
      <c r="G49" s="600"/>
      <c r="H49" s="599">
        <f>'Sources and Uses Budget'!T50</f>
        <v>0</v>
      </c>
      <c r="I49" s="600"/>
      <c r="J49" s="600"/>
      <c r="K49" s="594"/>
    </row>
    <row r="50" spans="1:11" s="253" customFormat="1">
      <c r="A50" s="239" t="s">
        <v>975</v>
      </c>
      <c r="B50" s="599">
        <f>'Sources and Uses Budget'!C51</f>
        <v>200000</v>
      </c>
      <c r="C50" s="600">
        <f t="shared" si="2"/>
        <v>200000</v>
      </c>
      <c r="D50" s="600"/>
      <c r="E50" s="599">
        <f>'Sources and Uses Budget'!S51</f>
        <v>200000</v>
      </c>
      <c r="F50" s="600">
        <f t="shared" si="3"/>
        <v>200000</v>
      </c>
      <c r="G50" s="600"/>
      <c r="H50" s="599">
        <f>'Sources and Uses Budget'!T51</f>
        <v>0</v>
      </c>
      <c r="I50" s="600"/>
      <c r="J50" s="600"/>
      <c r="K50" s="594"/>
    </row>
    <row r="51" spans="1:11" s="253" customFormat="1">
      <c r="A51" s="239" t="str">
        <f>'Sources and Uses Budget'!$A52</f>
        <v>Other: Construction Loan Expenses</v>
      </c>
      <c r="B51" s="599">
        <f>'Sources and Uses Budget'!C52</f>
        <v>20000</v>
      </c>
      <c r="C51" s="600">
        <f t="shared" si="2"/>
        <v>20000</v>
      </c>
      <c r="D51" s="600"/>
      <c r="E51" s="599">
        <f>'Sources and Uses Budget'!S52</f>
        <v>20000</v>
      </c>
      <c r="F51" s="600">
        <f t="shared" si="3"/>
        <v>20000</v>
      </c>
      <c r="G51" s="600"/>
      <c r="H51" s="599">
        <f>'Sources and Uses Budget'!T52</f>
        <v>0</v>
      </c>
      <c r="I51" s="600"/>
      <c r="J51" s="600"/>
      <c r="K51" s="594"/>
    </row>
    <row r="52" spans="1:11" s="592" customFormat="1">
      <c r="A52" s="243" t="s">
        <v>977</v>
      </c>
      <c r="B52" s="599">
        <f>'Sources and Uses Budget'!C53</f>
        <v>4733083</v>
      </c>
      <c r="C52" s="602">
        <f>SUM(C44:C51)</f>
        <v>4733083</v>
      </c>
      <c r="D52" s="602">
        <f>SUM(D44:D51)</f>
        <v>0</v>
      </c>
      <c r="E52" s="599">
        <f>'Sources and Uses Budget'!S53</f>
        <v>3194229.2601422821</v>
      </c>
      <c r="F52" s="602">
        <f>SUM(F44:F51)</f>
        <v>3194229.2601422821</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10000</v>
      </c>
      <c r="C56" s="600">
        <f>+B56</f>
        <v>10000</v>
      </c>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Permanent Loan Legal</v>
      </c>
      <c r="B59" s="599">
        <f>'Sources and Uses Budget'!C60</f>
        <v>10000</v>
      </c>
      <c r="C59" s="600">
        <f>+B59</f>
        <v>10000</v>
      </c>
      <c r="D59" s="600"/>
      <c r="E59" s="601"/>
      <c r="F59" s="601"/>
      <c r="G59" s="601"/>
      <c r="H59" s="601"/>
      <c r="I59" s="601"/>
      <c r="J59" s="601"/>
      <c r="K59" s="594"/>
    </row>
    <row r="60" spans="1:11" s="253" customFormat="1" ht="14.1" customHeight="1">
      <c r="A60" s="243" t="s">
        <v>529</v>
      </c>
      <c r="B60" s="599">
        <f>'Sources and Uses Budget'!C61</f>
        <v>20000</v>
      </c>
      <c r="C60" s="599">
        <f>SUM(C54:C59)</f>
        <v>20000</v>
      </c>
      <c r="D60" s="599">
        <f>SUM(D54:D59)</f>
        <v>0</v>
      </c>
      <c r="E60" s="601"/>
      <c r="F60" s="601"/>
      <c r="G60" s="601"/>
      <c r="H60" s="601"/>
      <c r="I60" s="601"/>
      <c r="J60" s="601"/>
      <c r="K60" s="594"/>
    </row>
    <row r="61" spans="1:11" s="253" customFormat="1">
      <c r="A61" s="249" t="s">
        <v>530</v>
      </c>
      <c r="B61" s="599">
        <f>'Sources and Uses Budget'!C62</f>
        <v>50659200</v>
      </c>
      <c r="C61" s="599">
        <f>SUM(C8+C11+C13+C14+C15+C25+C26+C37+C41+C42+C52+C60)</f>
        <v>50659200</v>
      </c>
      <c r="D61" s="599">
        <f>SUM(D8+D11+D13+D14+D15+D25+D26+D37+D41+D42+D52+D60)</f>
        <v>0</v>
      </c>
      <c r="E61" s="599">
        <f>'Sources and Uses Budget'!S62</f>
        <v>48485994.260142282</v>
      </c>
      <c r="F61" s="599">
        <f>SUM(F10+F13+F14+F15+F25+F26+F37+F41+F42+F52)</f>
        <v>48485994.260142282</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55000</v>
      </c>
      <c r="C63" s="600">
        <f>+B63</f>
        <v>55000</v>
      </c>
      <c r="D63" s="600"/>
      <c r="E63" s="599">
        <f>'Sources and Uses Budget'!S64</f>
        <v>55000</v>
      </c>
      <c r="F63" s="600">
        <f>+E63</f>
        <v>55000</v>
      </c>
      <c r="G63" s="600"/>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Owner Legal</v>
      </c>
      <c r="B67" s="599">
        <f>'Sources and Uses Budget'!C68</f>
        <v>200000</v>
      </c>
      <c r="C67" s="600">
        <f>+B67</f>
        <v>200000</v>
      </c>
      <c r="D67" s="600"/>
      <c r="E67" s="599">
        <f>'Sources and Uses Budget'!S68</f>
        <v>200000</v>
      </c>
      <c r="F67" s="600">
        <f>+E67</f>
        <v>200000</v>
      </c>
      <c r="G67" s="600"/>
      <c r="H67" s="599">
        <f>'Sources and Uses Budget'!T68</f>
        <v>0</v>
      </c>
      <c r="I67" s="600"/>
      <c r="J67" s="600"/>
      <c r="K67" s="594"/>
    </row>
    <row r="68" spans="1:11" s="253" customFormat="1">
      <c r="A68" s="243" t="s">
        <v>2057</v>
      </c>
      <c r="B68" s="599">
        <f>'Sources and Uses Budget'!C69</f>
        <v>255000</v>
      </c>
      <c r="C68" s="599">
        <f>SUM(C62:C67)</f>
        <v>255000</v>
      </c>
      <c r="D68" s="599">
        <f>SUM(D62:D67)</f>
        <v>0</v>
      </c>
      <c r="E68" s="599">
        <f>'Sources and Uses Budget'!S69</f>
        <v>255000</v>
      </c>
      <c r="F68" s="602">
        <f>SUM(F63:F67)</f>
        <v>255000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438525</v>
      </c>
      <c r="C73" s="600">
        <f>+B73</f>
        <v>438525</v>
      </c>
      <c r="D73" s="600"/>
      <c r="E73" s="601"/>
      <c r="F73" s="601"/>
      <c r="G73" s="601"/>
      <c r="H73" s="601"/>
      <c r="I73" s="601"/>
      <c r="J73" s="601"/>
      <c r="K73" s="594"/>
    </row>
    <row r="74" spans="1:11" s="253" customFormat="1">
      <c r="A74" s="239" t="str">
        <f>'Sources and Uses Budget'!$A75</f>
        <v>Other: Operating Deficit Reserve</v>
      </c>
      <c r="B74" s="599">
        <f>'Sources and Uses Budget'!C75</f>
        <v>1000000</v>
      </c>
      <c r="C74" s="600">
        <f>+B74</f>
        <v>1000000</v>
      </c>
      <c r="D74" s="600"/>
      <c r="E74" s="601"/>
      <c r="F74" s="601"/>
      <c r="G74" s="601"/>
      <c r="H74" s="601"/>
      <c r="I74" s="601"/>
      <c r="J74" s="601"/>
      <c r="K74" s="594"/>
    </row>
    <row r="75" spans="1:11" s="253" customFormat="1">
      <c r="A75" s="243" t="s">
        <v>304</v>
      </c>
      <c r="B75" s="599">
        <f>'Sources and Uses Budget'!C76</f>
        <v>1438525</v>
      </c>
      <c r="C75" s="599">
        <f>SUM(C70:C74)</f>
        <v>1438525</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2175731.8000000003</v>
      </c>
      <c r="C77" s="600">
        <f>+B77</f>
        <v>2175731.8000000003</v>
      </c>
      <c r="D77" s="600"/>
      <c r="E77" s="599">
        <f>'Sources and Uses Budget'!S78</f>
        <v>2175731.8000000003</v>
      </c>
      <c r="F77" s="600">
        <f>+E77</f>
        <v>2175731.8000000003</v>
      </c>
      <c r="G77" s="600"/>
      <c r="H77" s="599">
        <f>'Sources and Uses Budget'!T78</f>
        <v>0</v>
      </c>
      <c r="I77" s="600"/>
      <c r="J77" s="600"/>
      <c r="K77" s="594"/>
    </row>
    <row r="78" spans="1:11" s="253" customFormat="1">
      <c r="A78" s="239" t="s">
        <v>569</v>
      </c>
      <c r="B78" s="599">
        <f>'Sources and Uses Budget'!C79</f>
        <v>200000</v>
      </c>
      <c r="C78" s="600">
        <f>+B78</f>
        <v>200000</v>
      </c>
      <c r="D78" s="600"/>
      <c r="E78" s="599">
        <f>'Sources and Uses Budget'!S79</f>
        <v>200000</v>
      </c>
      <c r="F78" s="600">
        <f>+E78</f>
        <v>200000</v>
      </c>
      <c r="G78" s="600"/>
      <c r="H78" s="599">
        <f>'Sources and Uses Budget'!T79</f>
        <v>0</v>
      </c>
      <c r="I78" s="600"/>
      <c r="J78" s="600"/>
      <c r="K78" s="594"/>
    </row>
    <row r="79" spans="1:11" s="253" customFormat="1">
      <c r="A79" s="243" t="s">
        <v>1819</v>
      </c>
      <c r="B79" s="599">
        <f>'Sources and Uses Budget'!C80</f>
        <v>2375731.8000000003</v>
      </c>
      <c r="C79" s="682">
        <f>SUM(C77:C78)</f>
        <v>2375731.8000000003</v>
      </c>
      <c r="D79" s="682">
        <f>SUM(D77:D78)</f>
        <v>0</v>
      </c>
      <c r="E79" s="599">
        <f>'Sources and Uses Budget'!S80</f>
        <v>2375731.8000000003</v>
      </c>
      <c r="F79" s="682">
        <f>SUM(F77:F78)</f>
        <v>2375731.8000000003</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2238</v>
      </c>
      <c r="B81" s="599">
        <f>'Sources and Uses Budget'!C82</f>
        <v>150790</v>
      </c>
      <c r="C81" s="600">
        <f>+B81</f>
        <v>150790</v>
      </c>
      <c r="D81" s="600"/>
      <c r="E81" s="601"/>
      <c r="F81" s="601"/>
      <c r="G81" s="601"/>
      <c r="H81" s="601"/>
      <c r="I81" s="601"/>
      <c r="J81" s="601"/>
      <c r="K81" s="594"/>
    </row>
    <row r="82" spans="1:11" s="253" customFormat="1">
      <c r="A82" s="239" t="s">
        <v>547</v>
      </c>
      <c r="B82" s="599">
        <f>'Sources and Uses Budget'!C83</f>
        <v>45000</v>
      </c>
      <c r="C82" s="600">
        <f t="shared" ref="C82:C93" si="4">+B82</f>
        <v>45000</v>
      </c>
      <c r="D82" s="600"/>
      <c r="E82" s="599">
        <f>'Sources and Uses Budget'!S83</f>
        <v>45000</v>
      </c>
      <c r="F82" s="600">
        <f>+E82</f>
        <v>45000</v>
      </c>
      <c r="G82" s="600"/>
      <c r="H82" s="599">
        <f>'Sources and Uses Budget'!T83</f>
        <v>0</v>
      </c>
      <c r="I82" s="600"/>
      <c r="J82" s="600"/>
      <c r="K82" s="594"/>
    </row>
    <row r="83" spans="1:11" s="253" customFormat="1">
      <c r="A83" s="239" t="s">
        <v>548</v>
      </c>
      <c r="B83" s="599">
        <f>'Sources and Uses Budget'!C84</f>
        <v>3276847</v>
      </c>
      <c r="C83" s="600">
        <f t="shared" si="4"/>
        <v>3276847</v>
      </c>
      <c r="D83" s="600"/>
      <c r="E83" s="599">
        <f>'Sources and Uses Budget'!S84</f>
        <v>1528111</v>
      </c>
      <c r="F83" s="600">
        <f t="shared" ref="F83:F85" si="5">+E83</f>
        <v>1528111</v>
      </c>
      <c r="G83" s="600"/>
      <c r="H83" s="599">
        <f>'Sources and Uses Budget'!T84</f>
        <v>0</v>
      </c>
      <c r="I83" s="600"/>
      <c r="J83" s="600"/>
      <c r="K83" s="594"/>
    </row>
    <row r="84" spans="1:11" s="253" customFormat="1">
      <c r="A84" s="239" t="s">
        <v>549</v>
      </c>
      <c r="B84" s="599">
        <f>'Sources and Uses Budget'!C85</f>
        <v>300000</v>
      </c>
      <c r="C84" s="600">
        <f t="shared" si="4"/>
        <v>300000</v>
      </c>
      <c r="D84" s="600"/>
      <c r="E84" s="599">
        <f>'Sources and Uses Budget'!S85</f>
        <v>300000</v>
      </c>
      <c r="F84" s="600">
        <f t="shared" si="5"/>
        <v>300000</v>
      </c>
      <c r="G84" s="600"/>
      <c r="H84" s="599">
        <f>'Sources and Uses Budget'!T85</f>
        <v>0</v>
      </c>
      <c r="I84" s="600"/>
      <c r="J84" s="600"/>
      <c r="K84" s="594"/>
    </row>
    <row r="85" spans="1:11" s="253" customFormat="1">
      <c r="A85" s="239" t="s">
        <v>550</v>
      </c>
      <c r="B85" s="599">
        <f>'Sources and Uses Budget'!C86</f>
        <v>0</v>
      </c>
      <c r="C85" s="600">
        <f t="shared" si="4"/>
        <v>0</v>
      </c>
      <c r="D85" s="600"/>
      <c r="E85" s="599">
        <f>'Sources and Uses Budget'!S86</f>
        <v>0</v>
      </c>
      <c r="F85" s="600">
        <f t="shared" si="5"/>
        <v>0</v>
      </c>
      <c r="G85" s="600"/>
      <c r="H85" s="599">
        <f>'Sources and Uses Budget'!T86</f>
        <v>0</v>
      </c>
      <c r="I85" s="600"/>
      <c r="J85" s="600"/>
      <c r="K85" s="594"/>
    </row>
    <row r="86" spans="1:11" s="253" customFormat="1">
      <c r="A86" s="239" t="s">
        <v>551</v>
      </c>
      <c r="B86" s="599">
        <f>'Sources and Uses Budget'!C87</f>
        <v>120000</v>
      </c>
      <c r="C86" s="600">
        <f t="shared" si="4"/>
        <v>120000</v>
      </c>
      <c r="D86" s="600"/>
      <c r="E86" s="601"/>
      <c r="F86" s="601"/>
      <c r="G86" s="601"/>
      <c r="H86" s="601"/>
      <c r="I86" s="601"/>
      <c r="J86" s="601"/>
      <c r="K86" s="594"/>
    </row>
    <row r="87" spans="1:11" s="253" customFormat="1">
      <c r="A87" s="239" t="s">
        <v>552</v>
      </c>
      <c r="B87" s="599">
        <f>'Sources and Uses Budget'!C88</f>
        <v>60000</v>
      </c>
      <c r="C87" s="600">
        <f t="shared" si="4"/>
        <v>60000</v>
      </c>
      <c r="D87" s="600"/>
      <c r="E87" s="599">
        <f>'Sources and Uses Budget'!S88</f>
        <v>60000</v>
      </c>
      <c r="F87" s="600">
        <f>+E87</f>
        <v>60000</v>
      </c>
      <c r="G87" s="600"/>
      <c r="H87" s="599">
        <f>'Sources and Uses Budget'!T88</f>
        <v>0</v>
      </c>
      <c r="I87" s="600"/>
      <c r="J87" s="600"/>
      <c r="K87" s="594"/>
    </row>
    <row r="88" spans="1:11" s="253" customFormat="1">
      <c r="A88" s="239" t="s">
        <v>553</v>
      </c>
      <c r="B88" s="599">
        <f>'Sources and Uses Budget'!C89</f>
        <v>15000</v>
      </c>
      <c r="C88" s="600">
        <f t="shared" si="4"/>
        <v>15000</v>
      </c>
      <c r="D88" s="600"/>
      <c r="E88" s="599">
        <f>'Sources and Uses Budget'!S89</f>
        <v>0</v>
      </c>
      <c r="F88" s="600">
        <f t="shared" ref="F88:F93" si="6">+E88</f>
        <v>0</v>
      </c>
      <c r="G88" s="600"/>
      <c r="H88" s="599">
        <f>'Sources and Uses Budget'!T89</f>
        <v>0</v>
      </c>
      <c r="I88" s="600"/>
      <c r="J88" s="600"/>
      <c r="K88" s="594"/>
    </row>
    <row r="89" spans="1:11" s="253" customFormat="1">
      <c r="A89" s="239" t="s">
        <v>1368</v>
      </c>
      <c r="B89" s="599">
        <f>'Sources and Uses Budget'!C90</f>
        <v>0</v>
      </c>
      <c r="C89" s="600">
        <f t="shared" si="4"/>
        <v>0</v>
      </c>
      <c r="D89" s="600"/>
      <c r="E89" s="599">
        <f>'Sources and Uses Budget'!S90</f>
        <v>0</v>
      </c>
      <c r="F89" s="600">
        <f t="shared" si="6"/>
        <v>0</v>
      </c>
      <c r="G89" s="600"/>
      <c r="H89" s="599">
        <f>'Sources and Uses Budget'!T90</f>
        <v>0</v>
      </c>
      <c r="I89" s="600"/>
      <c r="J89" s="600"/>
      <c r="K89" s="594"/>
    </row>
    <row r="90" spans="1:11" s="253" customFormat="1">
      <c r="A90" s="239" t="s">
        <v>1817</v>
      </c>
      <c r="B90" s="599">
        <f>'Sources and Uses Budget'!C91</f>
        <v>10000</v>
      </c>
      <c r="C90" s="600">
        <f t="shared" si="4"/>
        <v>10000</v>
      </c>
      <c r="D90" s="600"/>
      <c r="E90" s="599">
        <f>'Sources and Uses Budget'!S91</f>
        <v>10000</v>
      </c>
      <c r="F90" s="600">
        <f t="shared" si="6"/>
        <v>10000</v>
      </c>
      <c r="G90" s="600"/>
      <c r="H90" s="599">
        <f>'Sources and Uses Budget'!T91</f>
        <v>0</v>
      </c>
      <c r="I90" s="600"/>
      <c r="J90" s="600"/>
      <c r="K90" s="594"/>
    </row>
    <row r="91" spans="1:11" s="253" customFormat="1">
      <c r="A91" s="239" t="str">
        <f>'Sources and Uses Budget'!$A92</f>
        <v>Other: Prevailing Wage Monitoring</v>
      </c>
      <c r="B91" s="599">
        <f>'Sources and Uses Budget'!C92</f>
        <v>40000</v>
      </c>
      <c r="C91" s="600">
        <f t="shared" si="4"/>
        <v>40000</v>
      </c>
      <c r="D91" s="600"/>
      <c r="E91" s="599">
        <f>'Sources and Uses Budget'!S92</f>
        <v>40000</v>
      </c>
      <c r="F91" s="600">
        <f t="shared" si="6"/>
        <v>40000</v>
      </c>
      <c r="G91" s="600"/>
      <c r="H91" s="599">
        <f>'Sources and Uses Budget'!T92</f>
        <v>0</v>
      </c>
      <c r="I91" s="600"/>
      <c r="J91" s="600"/>
      <c r="K91" s="594"/>
    </row>
    <row r="92" spans="1:11" s="253" customFormat="1" ht="36">
      <c r="A92" s="239" t="str">
        <f>'Sources and Uses Budget'!$A93</f>
        <v>Other: Security/Testing/Inspections/Monitoring/Utility</v>
      </c>
      <c r="B92" s="599">
        <f>'Sources and Uses Budget'!C93</f>
        <v>155000</v>
      </c>
      <c r="C92" s="600">
        <f t="shared" si="4"/>
        <v>155000</v>
      </c>
      <c r="D92" s="600"/>
      <c r="E92" s="599">
        <f>'Sources and Uses Budget'!S93</f>
        <v>155000</v>
      </c>
      <c r="F92" s="600">
        <f t="shared" si="6"/>
        <v>155000</v>
      </c>
      <c r="G92" s="600"/>
      <c r="H92" s="599">
        <f>'Sources and Uses Budget'!T93</f>
        <v>0</v>
      </c>
      <c r="I92" s="600"/>
      <c r="J92" s="600"/>
      <c r="K92" s="594"/>
    </row>
    <row r="93" spans="1:11" s="253" customFormat="1">
      <c r="A93" s="239" t="str">
        <f>'Sources and Uses Budget'!$A94</f>
        <v xml:space="preserve">Other: PGM - Bus Passes </v>
      </c>
      <c r="B93" s="599">
        <f>'Sources and Uses Budget'!C94</f>
        <v>15000</v>
      </c>
      <c r="C93" s="600">
        <f t="shared" si="4"/>
        <v>15000</v>
      </c>
      <c r="D93" s="600"/>
      <c r="E93" s="599">
        <f>'Sources and Uses Budget'!S94</f>
        <v>0</v>
      </c>
      <c r="F93" s="600">
        <f t="shared" si="6"/>
        <v>0</v>
      </c>
      <c r="G93" s="600"/>
      <c r="H93" s="599">
        <f>'Sources and Uses Budget'!T94</f>
        <v>0</v>
      </c>
      <c r="I93" s="600"/>
      <c r="J93" s="600"/>
      <c r="K93" s="594"/>
    </row>
    <row r="94" spans="1:11" s="253" customFormat="1">
      <c r="A94" s="243" t="s">
        <v>554</v>
      </c>
      <c r="B94" s="599">
        <f>'Sources and Uses Budget'!C95</f>
        <v>4187637</v>
      </c>
      <c r="C94" s="599">
        <f>SUM(C81:C93)</f>
        <v>4187637</v>
      </c>
      <c r="D94" s="599">
        <f>SUM(D81:D93)</f>
        <v>0</v>
      </c>
      <c r="E94" s="599">
        <f>'Sources and Uses Budget'!S95</f>
        <v>2138111</v>
      </c>
      <c r="F94" s="602">
        <f>SUM(F82:F85,F87:F93)</f>
        <v>2138111</v>
      </c>
      <c r="G94" s="602">
        <f>SUM(G82:G85,G87:G93)</f>
        <v>0</v>
      </c>
      <c r="H94" s="599">
        <f>'Sources and Uses Budget'!T95</f>
        <v>0</v>
      </c>
      <c r="I94" s="599">
        <f>SUM(I82:I85,I87:I93)</f>
        <v>0</v>
      </c>
      <c r="J94" s="599">
        <f>SUM(J82:J85,J87:J93)</f>
        <v>0</v>
      </c>
      <c r="K94" s="594"/>
    </row>
    <row r="95" spans="1:11" s="253" customFormat="1">
      <c r="A95" s="243" t="s">
        <v>1419</v>
      </c>
      <c r="B95" s="599">
        <f>'Sources and Uses Budget'!C96</f>
        <v>58916093.799999997</v>
      </c>
      <c r="C95" s="599">
        <f>SUM(C61+C68+C75+C79+C94)</f>
        <v>58916093.799999997</v>
      </c>
      <c r="D95" s="599">
        <f>SUM(D61+D68+D75+D79+D94)</f>
        <v>0</v>
      </c>
      <c r="E95" s="599">
        <f>'Sources and Uses Budget'!S96</f>
        <v>53254837.060142279</v>
      </c>
      <c r="F95" s="602">
        <f>SUM(+F61+F68+F79+F94)</f>
        <v>53254837.060142279</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2000000</v>
      </c>
      <c r="C97" s="600">
        <f>+B97</f>
        <v>2000000</v>
      </c>
      <c r="D97" s="600"/>
      <c r="E97" s="599">
        <f>'Sources and Uses Budget'!S98</f>
        <v>2000000</v>
      </c>
      <c r="F97" s="600">
        <f>+E97</f>
        <v>2000000</v>
      </c>
      <c r="G97" s="600"/>
      <c r="H97" s="599">
        <f>'Sources and Uses Budget'!T98</f>
        <v>0</v>
      </c>
      <c r="I97" s="600"/>
      <c r="J97" s="600"/>
      <c r="K97" s="594"/>
    </row>
    <row r="98" spans="1:11" s="253" customFormat="1">
      <c r="A98" s="239" t="s">
        <v>2058</v>
      </c>
      <c r="B98" s="599">
        <f>'Sources and Uses Budget'!C99</f>
        <v>200000</v>
      </c>
      <c r="C98" s="600">
        <f>+B98</f>
        <v>200000</v>
      </c>
      <c r="D98" s="600"/>
      <c r="E98" s="599">
        <f>'Sources and Uses Budget'!S99</f>
        <v>200000</v>
      </c>
      <c r="F98" s="600">
        <f>+E98</f>
        <v>200000</v>
      </c>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61116093.799999997</v>
      </c>
      <c r="C103" s="602">
        <f>SUM(C95+C102)</f>
        <v>61116093.799999997</v>
      </c>
      <c r="D103" s="602">
        <f>SUM(D95+D102)</f>
        <v>0</v>
      </c>
      <c r="E103" s="599">
        <f>'Sources and Uses Budget'!S104</f>
        <v>55454837.060142279</v>
      </c>
      <c r="F103" s="602">
        <f>F95+F102</f>
        <v>55454837.060142279</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55454837.060142279</v>
      </c>
      <c r="F105" s="602">
        <f>F103+F104</f>
        <v>55454837.060142279</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94" zoomScale="150" zoomScaleNormal="150" workbookViewId="0">
      <selection activeCell="AK600" sqref="AK60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2" t="s">
        <v>389</v>
      </c>
      <c r="AF4" s="1682"/>
      <c r="AG4" s="1682"/>
      <c r="AH4" s="1682"/>
      <c r="AI4" s="1682"/>
      <c r="AJ4" s="1682"/>
      <c r="AK4" s="1682"/>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4" t="s">
        <v>895</v>
      </c>
      <c r="AG6" s="1684"/>
      <c r="AH6" s="1684"/>
      <c r="AI6" s="1684"/>
      <c r="AJ6" s="1684"/>
      <c r="AK6" s="1684"/>
      <c r="AL6" s="1684"/>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
        <v>2381</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8" t="s">
        <v>1295</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3" t="s">
        <v>132</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8" t="s">
        <v>1299</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3" t="s">
        <v>2339</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8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85"/>
      <c r="AP21" s="341"/>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8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8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8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29"/>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29"/>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29"/>
      <c r="AO29" s="365" t="s">
        <v>84</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65</v>
      </c>
      <c r="AG33" s="1684"/>
      <c r="AH33" s="1684"/>
      <c r="AI33" s="1684"/>
      <c r="AJ33" s="1684"/>
      <c r="AK33" s="1684"/>
      <c r="AL33" s="1684"/>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8" t="s">
        <v>1300</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3" t="s">
        <v>116</v>
      </c>
      <c r="AD37" s="1793"/>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1331</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
        <v>2434</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3" t="s">
        <v>1539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c r="AP49" s="4" t="s">
        <v>595</v>
      </c>
      <c r="AQ49" s="4">
        <v>10</v>
      </c>
    </row>
    <row r="50" spans="1:43"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c r="AP50" s="4" t="s">
        <v>651</v>
      </c>
      <c r="AQ50" s="4">
        <v>10</v>
      </c>
    </row>
    <row r="51" spans="1:43"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3"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3"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3"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3"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3" t="s">
        <v>2330</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3"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3" s="4" customFormat="1" ht="23.1" customHeight="1">
      <c r="A59" s="437"/>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2" t="s">
        <v>389</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700</v>
      </c>
      <c r="C66" s="1708"/>
      <c r="D66" s="1708"/>
      <c r="E66" s="1708"/>
      <c r="F66" s="1708"/>
      <c r="G66" s="1708"/>
      <c r="H66" s="1708"/>
      <c r="I66" s="1708"/>
      <c r="J66" s="1708"/>
      <c r="K66" s="1708"/>
      <c r="AF66" s="1684" t="s">
        <v>982</v>
      </c>
      <c r="AG66" s="1684"/>
      <c r="AH66" s="1684"/>
      <c r="AI66" s="1684"/>
      <c r="AJ66" s="1684"/>
      <c r="AK66" s="1684"/>
      <c r="AL66" s="1684"/>
      <c r="AN66" s="281"/>
      <c r="AP66" s="4" t="s">
        <v>132</v>
      </c>
    </row>
    <row r="67" spans="1:42" s="4" customFormat="1" ht="12.75" customHeight="1">
      <c r="B67" s="1792" t="s">
        <v>1372</v>
      </c>
      <c r="C67" s="1792"/>
      <c r="D67" s="1792"/>
      <c r="E67" s="1792"/>
      <c r="F67" s="1792"/>
      <c r="G67" s="1792"/>
      <c r="H67" s="1792"/>
      <c r="I67" s="1792"/>
      <c r="J67" s="1792"/>
      <c r="K67" s="1792"/>
      <c r="L67" s="1792"/>
      <c r="M67" s="1792"/>
      <c r="N67" s="1792"/>
      <c r="O67" s="1792"/>
      <c r="P67" s="1792"/>
      <c r="Q67" s="1792"/>
      <c r="R67" s="1792"/>
      <c r="S67" s="1792"/>
      <c r="T67" s="1708" t="s">
        <v>132</v>
      </c>
      <c r="U67" s="1708"/>
      <c r="V67" s="1708"/>
      <c r="W67" s="1708"/>
      <c r="X67" s="1708"/>
      <c r="Y67" s="1708"/>
      <c r="Z67" s="1708"/>
      <c r="AA67" s="1708"/>
      <c r="AB67" s="1708"/>
      <c r="AC67" s="1708"/>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5">
        <f>VLOOKUP($B$66,$AP$45:$AR$50,2,FALSE)</f>
        <v>10</v>
      </c>
      <c r="AL68" s="1246"/>
      <c r="AM68" s="1246"/>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1021</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3" t="s">
        <v>2240</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2"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2"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2"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2"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2"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4" t="s">
        <v>895</v>
      </c>
      <c r="AG90" s="1684"/>
      <c r="AH90" s="1684"/>
      <c r="AI90" s="1684"/>
      <c r="AJ90" s="1684"/>
      <c r="AK90" s="1684"/>
      <c r="AL90" s="1684"/>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62</v>
      </c>
      <c r="AG95" s="1684"/>
      <c r="AH95" s="1684"/>
      <c r="AI95" s="1684"/>
      <c r="AJ95" s="1684"/>
      <c r="AK95" s="1684"/>
      <c r="AL95" s="1684"/>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63</v>
      </c>
      <c r="AG100" s="1684"/>
      <c r="AH100" s="1684"/>
      <c r="AI100" s="1684"/>
      <c r="AJ100" s="1684"/>
      <c r="AK100" s="1684"/>
      <c r="AL100" s="1684"/>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64</v>
      </c>
      <c r="AG105" s="1684"/>
      <c r="AH105" s="1684"/>
      <c r="AI105" s="1684"/>
      <c r="AJ105" s="1684"/>
      <c r="AK105" s="1684"/>
      <c r="AL105" s="1684"/>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65</v>
      </c>
      <c r="AG109" s="1684"/>
      <c r="AH109" s="1684"/>
      <c r="AI109" s="1684"/>
      <c r="AJ109" s="1684"/>
      <c r="AK109" s="1684"/>
      <c r="AL109" s="1684"/>
      <c r="AN109" s="281"/>
      <c r="AO109" s="4" t="s">
        <v>2205</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2" t="s">
        <v>612</v>
      </c>
      <c r="I112" s="1672"/>
      <c r="J112" s="116"/>
      <c r="K112" s="116"/>
      <c r="L112" s="116"/>
      <c r="M112" s="116"/>
      <c r="O112" s="957" t="s">
        <v>2203</v>
      </c>
      <c r="T112" s="1796"/>
      <c r="U112" s="1796"/>
      <c r="V112" s="1796"/>
      <c r="W112" s="1796"/>
      <c r="X112" s="1796"/>
      <c r="Y112" s="1796"/>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132</v>
      </c>
      <c r="C120" s="1119"/>
      <c r="D120" s="49"/>
      <c r="E120" s="1673" t="s">
        <v>1848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4" t="s">
        <v>1921</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65</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3.1"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7" t="s">
        <v>132</v>
      </c>
      <c r="T133" s="1797"/>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111</v>
      </c>
      <c r="AG135" s="1684"/>
      <c r="AH135" s="1684"/>
      <c r="AI135" s="1684"/>
      <c r="AJ135" s="1684"/>
      <c r="AK135" s="1684"/>
      <c r="AL135" s="1684"/>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2" t="s">
        <v>612</v>
      </c>
      <c r="I137" s="1672"/>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65</v>
      </c>
      <c r="AG143" s="1684"/>
      <c r="AH143" s="1684"/>
      <c r="AI143" s="1684"/>
      <c r="AJ143" s="1684"/>
      <c r="AK143" s="1684"/>
      <c r="AL143" s="1684"/>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111</v>
      </c>
      <c r="AG146" s="1684"/>
      <c r="AH146" s="1684"/>
      <c r="AI146" s="1684"/>
      <c r="AJ146" s="1684"/>
      <c r="AK146" s="1684"/>
      <c r="AL146" s="1684"/>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2" t="s">
        <v>612</v>
      </c>
      <c r="I149" s="167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5">
        <f>VLOOKUP(H149,AT111:AU113,2,FALSE)</f>
        <v>3</v>
      </c>
      <c r="AK151" s="124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3" t="s">
        <v>782</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F156" s="1684" t="s">
        <v>63</v>
      </c>
      <c r="AG156" s="1684"/>
      <c r="AH156" s="1684"/>
      <c r="AI156" s="1684"/>
      <c r="AJ156" s="1684"/>
      <c r="AK156" s="1684"/>
      <c r="AL156" s="168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3" t="s">
        <v>1790</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F160" s="1684" t="s">
        <v>64</v>
      </c>
      <c r="AG160" s="1684"/>
      <c r="AH160" s="1684"/>
      <c r="AI160" s="1684"/>
      <c r="AJ160" s="1684"/>
      <c r="AK160" s="1684"/>
      <c r="AL160" s="168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3" t="s">
        <v>1791</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F164" s="1684" t="s">
        <v>65</v>
      </c>
      <c r="AG164" s="1684"/>
      <c r="AH164" s="1684"/>
      <c r="AI164" s="1684"/>
      <c r="AJ164" s="1684"/>
      <c r="AK164" s="1684"/>
      <c r="AL164" s="168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684"/>
      <c r="AF165" s="1684"/>
      <c r="AG165" s="1684"/>
      <c r="AH165" s="1684"/>
      <c r="AI165" s="1684"/>
      <c r="AJ165" s="1684"/>
      <c r="AK165" s="1684"/>
      <c r="AL165" s="108"/>
      <c r="AN165" s="281"/>
      <c r="AO165" s="4" t="s">
        <v>132</v>
      </c>
      <c r="AP165" s="486">
        <v>0</v>
      </c>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3" t="s">
        <v>1792</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F168" s="1684" t="s">
        <v>64</v>
      </c>
      <c r="AG168" s="1684"/>
      <c r="AH168" s="1684"/>
      <c r="AI168" s="1684"/>
      <c r="AJ168" s="1684"/>
      <c r="AK168" s="1684"/>
      <c r="AL168" s="168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108"/>
      <c r="AF169" s="108"/>
      <c r="AG169" s="108"/>
      <c r="AH169" s="108"/>
      <c r="AI169" s="108"/>
      <c r="AJ169" s="108"/>
      <c r="AK169" s="108"/>
      <c r="AL169" s="108"/>
      <c r="AM169" s="20"/>
      <c r="AN169" s="281"/>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3" t="s">
        <v>1793</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F172" s="1684" t="s">
        <v>65</v>
      </c>
      <c r="AG172" s="1684"/>
      <c r="AH172" s="1684"/>
      <c r="AI172" s="1684"/>
      <c r="AJ172" s="1684"/>
      <c r="AK172" s="1684"/>
      <c r="AL172" s="1684"/>
      <c r="AM172" s="20"/>
      <c r="AN172" s="281"/>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F173" s="5"/>
      <c r="AM173" s="20"/>
      <c r="AN173" s="281"/>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3" t="s">
        <v>1542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F176" s="1684" t="s">
        <v>111</v>
      </c>
      <c r="AG176" s="1684"/>
      <c r="AH176" s="1684"/>
      <c r="AI176" s="1684"/>
      <c r="AJ176" s="1684"/>
      <c r="AK176" s="1684"/>
      <c r="AL176" s="1684"/>
      <c r="AM176" s="20"/>
      <c r="AN176" s="281"/>
    </row>
    <row r="177" spans="1:42" s="4" customFormat="1" ht="23.1"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3" t="s">
        <v>1543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F179" s="1684" t="s">
        <v>339</v>
      </c>
      <c r="AG179" s="1684"/>
      <c r="AH179" s="1684"/>
      <c r="AI179" s="1684"/>
      <c r="AJ179" s="1684"/>
      <c r="AK179" s="1684"/>
      <c r="AL179" s="1684"/>
      <c r="AM179" s="20"/>
      <c r="AN179" s="281"/>
      <c r="AO179" s="26" t="s">
        <v>612</v>
      </c>
      <c r="AP179" s="4">
        <v>3</v>
      </c>
    </row>
    <row r="180" spans="1:42" s="4" customFormat="1" ht="23.1"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2" t="s">
        <v>932</v>
      </c>
      <c r="I182" s="167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5">
        <f>VLOOKUP($H$182,$AO$132:$AP$139,2,FALSE)</f>
        <v>3</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3" t="s">
        <v>2340</v>
      </c>
      <c r="F188" s="1673"/>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F188" s="1684" t="s">
        <v>65</v>
      </c>
      <c r="AG188" s="1684"/>
      <c r="AH188" s="1684"/>
      <c r="AI188" s="1684"/>
      <c r="AJ188" s="1684"/>
      <c r="AK188" s="1684"/>
      <c r="AL188" s="1684"/>
      <c r="AN188" s="281"/>
    </row>
    <row r="189" spans="1:42" s="4" customFormat="1" ht="12.75" customHeight="1">
      <c r="B189" s="5"/>
      <c r="C189" s="121"/>
      <c r="D189" s="26"/>
      <c r="E189" s="1673"/>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E189" s="19"/>
      <c r="AN189" s="281"/>
      <c r="AO189" s="1415"/>
      <c r="AP189" s="1415"/>
    </row>
    <row r="190" spans="1:42" s="4" customFormat="1" ht="12.75" customHeight="1">
      <c r="B190" s="5"/>
      <c r="C190" s="121"/>
      <c r="D190" s="26"/>
      <c r="E190" s="1673"/>
      <c r="F190" s="1673"/>
      <c r="G190" s="1673"/>
      <c r="H190" s="1673"/>
      <c r="I190" s="1673"/>
      <c r="J190" s="1673"/>
      <c r="K190" s="1673"/>
      <c r="L190" s="1673"/>
      <c r="M190" s="1673"/>
      <c r="N190" s="1673"/>
      <c r="O190" s="1673"/>
      <c r="P190" s="1673"/>
      <c r="Q190" s="1673"/>
      <c r="R190" s="1673"/>
      <c r="S190" s="1673"/>
      <c r="T190" s="1673"/>
      <c r="U190" s="1673"/>
      <c r="V190" s="1673"/>
      <c r="W190" s="1673"/>
      <c r="X190" s="1673"/>
      <c r="Y190" s="1673"/>
      <c r="Z190" s="1673"/>
      <c r="AA190" s="1673"/>
      <c r="AB190" s="1673"/>
      <c r="AE190" s="19"/>
      <c r="AF190" s="102"/>
      <c r="AG190" s="19"/>
      <c r="AH190" s="19"/>
      <c r="AI190" s="19"/>
      <c r="AJ190" s="19"/>
      <c r="AK190" s="19"/>
      <c r="AL190" s="19"/>
      <c r="AN190" s="281"/>
    </row>
    <row r="191" spans="1:42" s="4" customFormat="1" ht="11.25" customHeight="1">
      <c r="B191" s="5"/>
      <c r="C191" s="121"/>
      <c r="D191" s="26"/>
      <c r="E191" s="1673"/>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3" t="s">
        <v>2341</v>
      </c>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F193" s="1684" t="s">
        <v>111</v>
      </c>
      <c r="AG193" s="1684"/>
      <c r="AH193" s="1684"/>
      <c r="AI193" s="1684"/>
      <c r="AJ193" s="1684"/>
      <c r="AK193" s="1684"/>
      <c r="AL193" s="1684"/>
      <c r="AN193" s="281"/>
      <c r="AO193" s="26" t="s">
        <v>208</v>
      </c>
      <c r="AP193" s="4">
        <v>1</v>
      </c>
    </row>
    <row r="194" spans="1:42" s="4" customFormat="1" ht="12.75" customHeight="1">
      <c r="B194" s="5"/>
      <c r="C194" s="45"/>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D194" s="5"/>
      <c r="AE194" s="19"/>
      <c r="AN194" s="281"/>
    </row>
    <row r="195" spans="1:42" s="4" customFormat="1" ht="12.75" customHeight="1">
      <c r="B195" s="5"/>
      <c r="C195" s="45"/>
      <c r="E195" s="1673"/>
      <c r="F195" s="1673"/>
      <c r="G195" s="1673"/>
      <c r="H195" s="1673"/>
      <c r="I195" s="1673"/>
      <c r="J195" s="1673"/>
      <c r="K195" s="1673"/>
      <c r="L195" s="1673"/>
      <c r="M195" s="1673"/>
      <c r="N195" s="1673"/>
      <c r="O195" s="1673"/>
      <c r="P195" s="1673"/>
      <c r="Q195" s="1673"/>
      <c r="R195" s="1673"/>
      <c r="S195" s="1673"/>
      <c r="T195" s="1673"/>
      <c r="U195" s="1673"/>
      <c r="V195" s="1673"/>
      <c r="W195" s="1673"/>
      <c r="X195" s="1673"/>
      <c r="Y195" s="1673"/>
      <c r="Z195" s="1673"/>
      <c r="AA195" s="1673"/>
      <c r="AB195" s="1673"/>
      <c r="AD195" s="5"/>
      <c r="AE195" s="19"/>
      <c r="AN195" s="281"/>
    </row>
    <row r="196" spans="1:42" customFormat="1" ht="12.75" customHeight="1">
      <c r="A196" s="4"/>
      <c r="B196" s="5"/>
      <c r="C196" s="45"/>
      <c r="D196" s="4"/>
      <c r="E196" s="1673"/>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2050</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2" t="s">
        <v>132</v>
      </c>
      <c r="I201" s="167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2331</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8" t="s">
        <v>1307</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65</v>
      </c>
      <c r="AG207" s="1684"/>
      <c r="AH207" s="1684"/>
      <c r="AI207" s="1684"/>
      <c r="AJ207" s="1684"/>
      <c r="AK207" s="1684"/>
      <c r="AL207" s="1684"/>
      <c r="AM207" s="4"/>
      <c r="AN207" s="204"/>
      <c r="AP207" t="s">
        <v>106</v>
      </c>
    </row>
    <row r="208" spans="1:42" customFormat="1" ht="11.8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103</v>
      </c>
    </row>
    <row r="209" spans="1:52" customFormat="1" ht="14.1"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104</v>
      </c>
    </row>
    <row r="210" spans="1:52" customFormat="1" ht="14.1" customHeight="1">
      <c r="A210" s="4"/>
      <c r="B210" s="5"/>
      <c r="C210" s="45"/>
      <c r="D210" s="26" t="s">
        <v>208</v>
      </c>
      <c r="E210" s="1685" t="s">
        <v>1308</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111</v>
      </c>
      <c r="AG210" s="1684"/>
      <c r="AH210" s="1684"/>
      <c r="AI210" s="1684"/>
      <c r="AJ210" s="1684"/>
      <c r="AK210" s="1684"/>
      <c r="AL210" s="1684"/>
      <c r="AM210" s="4"/>
      <c r="AN210" s="688"/>
      <c r="AP210" s="48" t="s">
        <v>370</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612</v>
      </c>
      <c r="AQ212" s="4">
        <v>2</v>
      </c>
    </row>
    <row r="213" spans="1:52" customFormat="1" ht="14.1" customHeight="1">
      <c r="A213" s="4"/>
      <c r="B213" s="5"/>
      <c r="C213" s="115"/>
      <c r="D213" s="4" t="s">
        <v>157</v>
      </c>
      <c r="E213" s="116"/>
      <c r="F213" s="116"/>
      <c r="G213" s="116"/>
      <c r="H213" s="1672" t="s">
        <v>132</v>
      </c>
      <c r="I213" s="167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3" t="s">
        <v>1559</v>
      </c>
      <c r="F219" s="1673"/>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4"/>
      <c r="AD219" s="4"/>
      <c r="AF219" s="1684" t="s">
        <v>65</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3"/>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3" t="s">
        <v>923</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84" t="s">
        <v>111</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2" t="s">
        <v>208</v>
      </c>
      <c r="I225" s="167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2</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3" t="s">
        <v>1170</v>
      </c>
      <c r="F231" s="1673"/>
      <c r="G231" s="1673"/>
      <c r="H231" s="1673"/>
      <c r="I231" s="1673"/>
      <c r="J231" s="1673"/>
      <c r="K231" s="1673"/>
      <c r="L231" s="1673"/>
      <c r="M231" s="1673"/>
      <c r="N231" s="1673"/>
      <c r="O231" s="1673"/>
      <c r="P231" s="1673"/>
      <c r="Q231" s="1673"/>
      <c r="R231" s="1673"/>
      <c r="S231" s="1673"/>
      <c r="T231" s="1673"/>
      <c r="U231" s="1673"/>
      <c r="V231" s="1673"/>
      <c r="W231" s="1673"/>
      <c r="X231" s="1673"/>
      <c r="Y231" s="1673"/>
      <c r="Z231" s="1673"/>
      <c r="AA231" s="1673"/>
      <c r="AB231" s="1673"/>
      <c r="AC231" s="4"/>
      <c r="AD231" s="4"/>
      <c r="AF231" s="1684" t="s">
        <v>65</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3"/>
      <c r="F232" s="1673"/>
      <c r="G232" s="1673"/>
      <c r="H232" s="1673"/>
      <c r="I232" s="1673"/>
      <c r="J232" s="1673"/>
      <c r="K232" s="1673"/>
      <c r="L232" s="1673"/>
      <c r="M232" s="1673"/>
      <c r="N232" s="1673"/>
      <c r="O232" s="1673"/>
      <c r="P232" s="1673"/>
      <c r="Q232" s="1673"/>
      <c r="R232" s="1673"/>
      <c r="S232" s="1673"/>
      <c r="T232" s="1673"/>
      <c r="U232" s="1673"/>
      <c r="V232" s="1673"/>
      <c r="W232" s="1673"/>
      <c r="X232" s="1673"/>
      <c r="Y232" s="1673"/>
      <c r="Z232" s="1673"/>
      <c r="AA232" s="1673"/>
      <c r="AB232" s="1673"/>
      <c r="AC232" s="4"/>
      <c r="AD232" s="4"/>
      <c r="AL232" s="4"/>
      <c r="AM232" s="4"/>
      <c r="AN232" s="204"/>
    </row>
    <row r="233" spans="1:82" customFormat="1" ht="12.75" customHeight="1">
      <c r="A233" s="4"/>
      <c r="B233" s="5"/>
      <c r="C233" s="115"/>
      <c r="D233" s="26"/>
      <c r="E233" s="1673"/>
      <c r="F233" s="1673"/>
      <c r="G233" s="1673"/>
      <c r="H233" s="1673"/>
      <c r="I233" s="1673"/>
      <c r="J233" s="1673"/>
      <c r="K233" s="1673"/>
      <c r="L233" s="1673"/>
      <c r="M233" s="1673"/>
      <c r="N233" s="1673"/>
      <c r="O233" s="1673"/>
      <c r="P233" s="1673"/>
      <c r="Q233" s="1673"/>
      <c r="R233" s="1673"/>
      <c r="S233" s="1673"/>
      <c r="T233" s="1673"/>
      <c r="U233" s="1673"/>
      <c r="V233" s="1673"/>
      <c r="W233" s="1673"/>
      <c r="X233" s="1673"/>
      <c r="Y233" s="1673"/>
      <c r="Z233" s="1673"/>
      <c r="AA233" s="1673"/>
      <c r="AB233" s="1673"/>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3" t="s">
        <v>1171</v>
      </c>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344"/>
      <c r="AC235" s="4"/>
      <c r="AD235" s="4"/>
      <c r="AF235" s="1684" t="s">
        <v>111</v>
      </c>
      <c r="AG235" s="1684"/>
      <c r="AH235" s="1684"/>
      <c r="AI235" s="1684"/>
      <c r="AJ235" s="1684"/>
      <c r="AK235" s="1684"/>
      <c r="AL235" s="1684"/>
      <c r="AM235" s="4"/>
      <c r="AN235" s="204"/>
      <c r="AO235" s="38"/>
      <c r="AP235" s="21"/>
    </row>
    <row r="236" spans="1:82" customFormat="1">
      <c r="A236" s="4"/>
      <c r="B236" s="5"/>
      <c r="C236" s="45"/>
      <c r="D236" s="4"/>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3"/>
      <c r="F237" s="1673"/>
      <c r="G237" s="1673"/>
      <c r="H237" s="1673"/>
      <c r="I237" s="1673"/>
      <c r="J237" s="1673"/>
      <c r="K237" s="1673"/>
      <c r="L237" s="1673"/>
      <c r="M237" s="1673"/>
      <c r="N237" s="1673"/>
      <c r="O237" s="1673"/>
      <c r="P237" s="1673"/>
      <c r="Q237" s="1673"/>
      <c r="R237" s="1673"/>
      <c r="S237" s="1673"/>
      <c r="T237" s="1673"/>
      <c r="U237" s="1673"/>
      <c r="V237" s="1673"/>
      <c r="W237" s="1673"/>
      <c r="X237" s="1673"/>
      <c r="Y237" s="1673"/>
      <c r="Z237" s="1673"/>
      <c r="AA237" s="167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2" t="s">
        <v>208</v>
      </c>
      <c r="I239" s="167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3" t="s">
        <v>338</v>
      </c>
      <c r="F245" s="1673"/>
      <c r="G245" s="1673"/>
      <c r="H245" s="1673"/>
      <c r="I245" s="1673"/>
      <c r="J245" s="1673"/>
      <c r="K245" s="1673"/>
      <c r="L245" s="1673"/>
      <c r="M245" s="1673"/>
      <c r="N245" s="1673"/>
      <c r="O245" s="1673"/>
      <c r="P245" s="1673"/>
      <c r="Q245" s="1673"/>
      <c r="R245" s="1673"/>
      <c r="S245" s="1673"/>
      <c r="T245" s="1673"/>
      <c r="U245" s="1673"/>
      <c r="V245" s="1673"/>
      <c r="W245" s="1673"/>
      <c r="X245" s="1673"/>
      <c r="Y245" s="1673"/>
      <c r="Z245" s="1673"/>
      <c r="AA245" s="1673"/>
      <c r="AB245" s="1673"/>
      <c r="AC245" s="4"/>
      <c r="AD245" s="4"/>
      <c r="AF245" s="1684" t="s">
        <v>111</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3"/>
      <c r="F246" s="1673"/>
      <c r="G246" s="1673"/>
      <c r="H246" s="1673"/>
      <c r="I246" s="1673"/>
      <c r="J246" s="1673"/>
      <c r="K246" s="1673"/>
      <c r="L246" s="1673"/>
      <c r="M246" s="1673"/>
      <c r="N246" s="1673"/>
      <c r="O246" s="1673"/>
      <c r="P246" s="1673"/>
      <c r="Q246" s="1673"/>
      <c r="R246" s="1673"/>
      <c r="S246" s="1673"/>
      <c r="T246" s="1673"/>
      <c r="U246" s="1673"/>
      <c r="V246" s="1673"/>
      <c r="W246" s="1673"/>
      <c r="X246" s="1673"/>
      <c r="Y246" s="1673"/>
      <c r="Z246" s="1673"/>
      <c r="AA246" s="1673"/>
      <c r="AB246" s="1673"/>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3" t="s">
        <v>1309</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84" t="s">
        <v>339</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2" t="s">
        <v>208</v>
      </c>
      <c r="I251" s="167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1</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3" t="s">
        <v>2048</v>
      </c>
      <c r="F257" s="1673"/>
      <c r="G257" s="1673"/>
      <c r="H257" s="1673"/>
      <c r="I257" s="1673"/>
      <c r="J257" s="1673"/>
      <c r="K257" s="1673"/>
      <c r="L257" s="1673"/>
      <c r="M257" s="1673"/>
      <c r="N257" s="1673"/>
      <c r="O257" s="1673"/>
      <c r="P257" s="1673"/>
      <c r="Q257" s="1673"/>
      <c r="R257" s="1673"/>
      <c r="S257" s="1673"/>
      <c r="T257" s="1673"/>
      <c r="U257" s="1673"/>
      <c r="V257" s="1673"/>
      <c r="W257" s="1673"/>
      <c r="X257" s="1673"/>
      <c r="Y257" s="1673"/>
      <c r="Z257" s="1673"/>
      <c r="AA257" s="1673"/>
      <c r="AB257" s="1673"/>
      <c r="AC257" s="1673"/>
      <c r="AD257" s="1673"/>
      <c r="AF257" s="1684" t="s">
        <v>111</v>
      </c>
      <c r="AG257" s="1684"/>
      <c r="AH257" s="1684"/>
      <c r="AI257" s="1684"/>
      <c r="AJ257" s="1684"/>
      <c r="AK257" s="1684"/>
      <c r="AL257" s="1684"/>
      <c r="AM257" s="104"/>
      <c r="AN257" s="204"/>
    </row>
    <row r="258" spans="1:82" customFormat="1">
      <c r="A258" s="4"/>
      <c r="B258" s="102"/>
      <c r="C258" s="137"/>
      <c r="D258" s="26"/>
      <c r="E258" s="1673"/>
      <c r="F258" s="1673"/>
      <c r="G258" s="1673"/>
      <c r="H258" s="1673"/>
      <c r="I258" s="1673"/>
      <c r="J258" s="1673"/>
      <c r="K258" s="1673"/>
      <c r="L258" s="1673"/>
      <c r="M258" s="1673"/>
      <c r="N258" s="1673"/>
      <c r="O258" s="1673"/>
      <c r="P258" s="1673"/>
      <c r="Q258" s="1673"/>
      <c r="R258" s="1673"/>
      <c r="S258" s="1673"/>
      <c r="T258" s="1673"/>
      <c r="U258" s="1673"/>
      <c r="V258" s="1673"/>
      <c r="W258" s="1673"/>
      <c r="X258" s="1673"/>
      <c r="Y258" s="1673"/>
      <c r="Z258" s="1673"/>
      <c r="AA258" s="1673"/>
      <c r="AB258" s="1673"/>
      <c r="AC258" s="1673"/>
      <c r="AD258" s="1673"/>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3"/>
      <c r="F259" s="1673"/>
      <c r="G259" s="1673"/>
      <c r="H259" s="1673"/>
      <c r="I259" s="1673"/>
      <c r="J259" s="1673"/>
      <c r="K259" s="1673"/>
      <c r="L259" s="1673"/>
      <c r="M259" s="1673"/>
      <c r="N259" s="1673"/>
      <c r="O259" s="1673"/>
      <c r="P259" s="1673"/>
      <c r="Q259" s="1673"/>
      <c r="R259" s="1673"/>
      <c r="S259" s="1673"/>
      <c r="T259" s="1673"/>
      <c r="U259" s="1673"/>
      <c r="V259" s="1673"/>
      <c r="W259" s="1673"/>
      <c r="X259" s="1673"/>
      <c r="Y259" s="1673"/>
      <c r="Z259" s="1673"/>
      <c r="AA259" s="1673"/>
      <c r="AB259" s="1673"/>
      <c r="AC259" s="1673"/>
      <c r="AD259" s="1673"/>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1" t="s">
        <v>2049</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65</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2" t="s">
        <v>612</v>
      </c>
      <c r="I266" s="167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2</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3" t="s">
        <v>2343</v>
      </c>
      <c r="F272" s="1673"/>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3"/>
      <c r="AF272" s="1684" t="s">
        <v>1707</v>
      </c>
      <c r="AG272" s="1684"/>
      <c r="AH272" s="1684"/>
      <c r="AI272" s="1684"/>
      <c r="AJ272" s="1684"/>
      <c r="AK272" s="1684"/>
      <c r="AL272" s="1684"/>
      <c r="AM272" s="104"/>
      <c r="AN272" s="204"/>
      <c r="AO272" s="26" t="s">
        <v>116</v>
      </c>
      <c r="AP272" s="4">
        <v>8</v>
      </c>
      <c r="AT272" s="439"/>
      <c r="AU272" s="439"/>
      <c r="AV272" s="439"/>
      <c r="AW272" s="439"/>
      <c r="AX272" s="439"/>
      <c r="AY272" s="439"/>
      <c r="AZ272" s="439"/>
    </row>
    <row r="273" spans="1:82" customFormat="1">
      <c r="A273" s="4"/>
      <c r="B273" s="102"/>
      <c r="C273" s="137"/>
      <c r="D273" s="26"/>
      <c r="E273" s="1673"/>
      <c r="F273" s="1673"/>
      <c r="G273" s="1673"/>
      <c r="H273" s="1673"/>
      <c r="I273" s="1673"/>
      <c r="J273" s="1673"/>
      <c r="K273" s="1673"/>
      <c r="L273" s="1673"/>
      <c r="M273" s="1673"/>
      <c r="N273" s="1673"/>
      <c r="O273" s="1673"/>
      <c r="P273" s="1673"/>
      <c r="Q273" s="1673"/>
      <c r="R273" s="1673"/>
      <c r="S273" s="1673"/>
      <c r="T273" s="1673"/>
      <c r="U273" s="1673"/>
      <c r="V273" s="1673"/>
      <c r="W273" s="1673"/>
      <c r="X273" s="1673"/>
      <c r="Y273" s="1673"/>
      <c r="Z273" s="1673"/>
      <c r="AA273" s="1673"/>
      <c r="AB273" s="1673"/>
      <c r="AC273" s="1673"/>
      <c r="AD273" s="1673"/>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3"/>
      <c r="F274" s="1673"/>
      <c r="G274" s="1673"/>
      <c r="H274" s="1673"/>
      <c r="I274" s="1673"/>
      <c r="J274" s="1673"/>
      <c r="K274" s="1673"/>
      <c r="L274" s="1673"/>
      <c r="M274" s="1673"/>
      <c r="N274" s="1673"/>
      <c r="O274" s="1673"/>
      <c r="P274" s="1673"/>
      <c r="Q274" s="1673"/>
      <c r="R274" s="1673"/>
      <c r="S274" s="1673"/>
      <c r="T274" s="1673"/>
      <c r="U274" s="1673"/>
      <c r="V274" s="1673"/>
      <c r="W274" s="1673"/>
      <c r="X274" s="1673"/>
      <c r="Y274" s="1673"/>
      <c r="Z274" s="1673"/>
      <c r="AA274" s="1673"/>
      <c r="AB274" s="1673"/>
      <c r="AC274" s="1673"/>
      <c r="AD274" s="1673"/>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2" t="s">
        <v>132</v>
      </c>
      <c r="I276" s="167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23</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2460</v>
      </c>
      <c r="I284" s="1091"/>
      <c r="J284" s="1091"/>
      <c r="K284" s="1091"/>
      <c r="L284" s="1091"/>
      <c r="M284" s="1091"/>
      <c r="N284" s="1091"/>
      <c r="O284" s="1091"/>
      <c r="P284" s="1091"/>
      <c r="Q284" s="1091"/>
      <c r="R284" s="1091"/>
      <c r="S284"/>
      <c r="T284" s="41" t="s">
        <v>97</v>
      </c>
      <c r="U284"/>
      <c r="V284" s="41"/>
      <c r="W284" s="41"/>
      <c r="X284" s="41"/>
      <c r="Y284" s="41"/>
      <c r="Z284"/>
      <c r="AA284" s="1091" t="s">
        <v>2488</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2461</v>
      </c>
      <c r="I285" s="1092"/>
      <c r="J285" s="1092"/>
      <c r="K285" s="1092"/>
      <c r="L285" s="1092"/>
      <c r="M285" s="1092"/>
      <c r="N285" s="1092"/>
      <c r="O285" s="1092"/>
      <c r="P285" s="1092"/>
      <c r="Q285" s="1092"/>
      <c r="R285" s="1092"/>
      <c r="S285"/>
      <c r="T285" s="41" t="s">
        <v>735</v>
      </c>
      <c r="U285"/>
      <c r="V285" s="41"/>
      <c r="W285" s="41"/>
      <c r="X285" s="41"/>
      <c r="Y285" s="41"/>
      <c r="Z285"/>
      <c r="AA285" s="1092" t="s">
        <v>2489</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2462</v>
      </c>
      <c r="I286" s="1092"/>
      <c r="J286" s="1092"/>
      <c r="K286" s="1092"/>
      <c r="L286" s="1092"/>
      <c r="M286" s="1092"/>
      <c r="N286" s="1092"/>
      <c r="O286" s="1092"/>
      <c r="P286" s="1092"/>
      <c r="Q286" s="1092"/>
      <c r="R286" s="1092"/>
      <c r="S286"/>
      <c r="T286" s="41" t="s">
        <v>107</v>
      </c>
      <c r="U286"/>
      <c r="V286" s="41"/>
      <c r="W286" s="41"/>
      <c r="X286" s="41"/>
      <c r="Y286" s="41"/>
      <c r="Z286"/>
      <c r="AA286" s="1092" t="s">
        <v>2490</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2463</v>
      </c>
      <c r="I287" s="1092"/>
      <c r="J287" s="1092"/>
      <c r="K287" s="1092"/>
      <c r="L287" s="1092"/>
      <c r="M287" s="1092"/>
      <c r="N287" s="1092"/>
      <c r="O287" s="1092"/>
      <c r="P287" s="1092"/>
      <c r="Q287" s="1092"/>
      <c r="R287" s="1092"/>
      <c r="S287"/>
      <c r="T287" s="41" t="s">
        <v>399</v>
      </c>
      <c r="U287"/>
      <c r="V287" s="41"/>
      <c r="W287" s="41"/>
      <c r="X287" s="41"/>
      <c r="Y287" s="41"/>
      <c r="Z287"/>
      <c r="AA287" s="1092" t="s">
        <v>2491</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5" t="s">
        <v>2464</v>
      </c>
      <c r="I288" s="1115"/>
      <c r="J288" s="1115"/>
      <c r="K288" s="1115"/>
      <c r="L288" s="1115"/>
      <c r="M288" s="1115"/>
      <c r="N288" s="5" t="s">
        <v>859</v>
      </c>
      <c r="O288" s="5"/>
      <c r="P288" s="1118"/>
      <c r="Q288" s="1118"/>
      <c r="R288" s="1118"/>
      <c r="S288" s="41"/>
      <c r="T288" s="41" t="s">
        <v>400</v>
      </c>
      <c r="U288"/>
      <c r="V288" s="41"/>
      <c r="W288" s="41"/>
      <c r="X288" s="41"/>
      <c r="Y288" s="41"/>
      <c r="Z288"/>
      <c r="AA288" s="1115" t="s">
        <v>2492</v>
      </c>
      <c r="AB288" s="1115"/>
      <c r="AC288" s="1115"/>
      <c r="AD288" s="1115"/>
      <c r="AE288" s="1115"/>
      <c r="AF288" s="1115"/>
      <c r="AG288" s="5" t="s">
        <v>859</v>
      </c>
      <c r="AH288" s="5"/>
      <c r="AI288" s="1118"/>
      <c r="AJ288" s="1118"/>
      <c r="AK288" s="1118"/>
      <c r="AL288" s="10"/>
      <c r="AN288" s="281"/>
      <c r="AO288" s="211"/>
    </row>
    <row r="289" spans="1:41" s="4" customFormat="1" ht="12.75" customHeight="1">
      <c r="B289" s="41" t="s">
        <v>96</v>
      </c>
      <c r="C289" s="41"/>
      <c r="D289" s="41"/>
      <c r="E289" s="41"/>
      <c r="F289" s="41"/>
      <c r="G289" s="41"/>
      <c r="H289" s="1092" t="s">
        <v>99</v>
      </c>
      <c r="I289" s="1092"/>
      <c r="J289" s="1092"/>
      <c r="K289" s="1092"/>
      <c r="L289" s="1092"/>
      <c r="M289" s="1092"/>
      <c r="N289" s="1092"/>
      <c r="O289" s="1092"/>
      <c r="P289" s="1092"/>
      <c r="Q289" s="1092"/>
      <c r="R289" s="1092"/>
      <c r="S289" s="41"/>
      <c r="T289" s="41" t="s">
        <v>96</v>
      </c>
      <c r="U289"/>
      <c r="V289" s="41"/>
      <c r="W289" s="41"/>
      <c r="X289" s="41"/>
      <c r="Y289" s="41"/>
      <c r="Z289"/>
      <c r="AA289" s="1092" t="s">
        <v>369</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2465</v>
      </c>
      <c r="I290" s="1092"/>
      <c r="J290" s="1092"/>
      <c r="K290" s="1092"/>
      <c r="L290" s="1092"/>
      <c r="M290" s="1092"/>
      <c r="N290" s="1092"/>
      <c r="O290" s="1092"/>
      <c r="P290" s="1092"/>
      <c r="Q290" s="1092"/>
      <c r="R290" s="1092"/>
      <c r="S290" s="41"/>
      <c r="T290" s="41" t="s">
        <v>98</v>
      </c>
      <c r="U290"/>
      <c r="V290" s="41"/>
      <c r="W290" s="41"/>
      <c r="X290" s="41"/>
      <c r="Y290" s="41"/>
      <c r="Z290"/>
      <c r="AA290" s="1092" t="s">
        <v>2493</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4" t="s">
        <v>2466</v>
      </c>
      <c r="I291" s="1714"/>
      <c r="J291" s="1714"/>
      <c r="K291" s="1714"/>
      <c r="L291" s="1714"/>
      <c r="M291" s="1714"/>
      <c r="N291" s="1714"/>
      <c r="O291" s="1714"/>
      <c r="P291" s="1714"/>
      <c r="Q291" s="1714"/>
      <c r="R291" s="1714"/>
      <c r="S291" s="41"/>
      <c r="T291" s="41" t="s">
        <v>109</v>
      </c>
      <c r="U291" s="41"/>
      <c r="V291" s="41"/>
      <c r="W291" s="41"/>
      <c r="X291" s="41"/>
      <c r="Y291" s="41"/>
      <c r="Z291" s="12"/>
      <c r="AA291" s="1714" t="s">
        <v>2494</v>
      </c>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2467</v>
      </c>
      <c r="I293" s="1091"/>
      <c r="J293" s="1091"/>
      <c r="K293" s="1091"/>
      <c r="L293" s="1091"/>
      <c r="M293" s="1091"/>
      <c r="N293" s="1091"/>
      <c r="O293" s="1091"/>
      <c r="P293" s="1091"/>
      <c r="Q293" s="1091"/>
      <c r="R293" s="1091"/>
      <c r="S293"/>
      <c r="T293" s="41" t="s">
        <v>97</v>
      </c>
      <c r="U293"/>
      <c r="V293" s="41"/>
      <c r="W293" s="41"/>
      <c r="X293" s="41"/>
      <c r="Y293" s="41"/>
      <c r="Z293"/>
      <c r="AA293" s="1091" t="s">
        <v>2495</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2468</v>
      </c>
      <c r="I294" s="1092"/>
      <c r="J294" s="1092"/>
      <c r="K294" s="1092"/>
      <c r="L294" s="1092"/>
      <c r="M294" s="1092"/>
      <c r="N294" s="1092"/>
      <c r="O294" s="1092"/>
      <c r="P294" s="1092"/>
      <c r="Q294" s="1092"/>
      <c r="R294" s="1092"/>
      <c r="S294"/>
      <c r="T294" s="41" t="s">
        <v>735</v>
      </c>
      <c r="U294"/>
      <c r="V294" s="41"/>
      <c r="W294" s="41"/>
      <c r="X294" s="41"/>
      <c r="Y294" s="41"/>
      <c r="Z294"/>
      <c r="AA294" s="1092" t="s">
        <v>2496</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2462</v>
      </c>
      <c r="I295" s="1092"/>
      <c r="J295" s="1092"/>
      <c r="K295" s="1092"/>
      <c r="L295" s="1092"/>
      <c r="M295" s="1092"/>
      <c r="N295" s="1092"/>
      <c r="O295" s="1092"/>
      <c r="P295" s="1092"/>
      <c r="Q295" s="1092"/>
      <c r="R295" s="1092"/>
      <c r="S295"/>
      <c r="T295" s="41" t="s">
        <v>107</v>
      </c>
      <c r="U295"/>
      <c r="V295" s="41"/>
      <c r="W295" s="41"/>
      <c r="X295" s="41"/>
      <c r="Y295" s="41"/>
      <c r="Z295"/>
      <c r="AA295" s="1092" t="s">
        <v>2497</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2469</v>
      </c>
      <c r="I296" s="1092"/>
      <c r="J296" s="1092"/>
      <c r="K296" s="1092"/>
      <c r="L296" s="1092"/>
      <c r="M296" s="1092"/>
      <c r="N296" s="1092"/>
      <c r="O296" s="1092"/>
      <c r="P296" s="1092"/>
      <c r="Q296" s="1092"/>
      <c r="R296" s="1092"/>
      <c r="S296"/>
      <c r="T296" s="41" t="s">
        <v>399</v>
      </c>
      <c r="U296"/>
      <c r="V296" s="41"/>
      <c r="W296" s="41"/>
      <c r="X296" s="41"/>
      <c r="Y296" s="41"/>
      <c r="Z296"/>
      <c r="AA296" s="1092" t="s">
        <v>2475</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5" t="s">
        <v>2470</v>
      </c>
      <c r="I297" s="1115"/>
      <c r="J297" s="1115"/>
      <c r="K297" s="1115"/>
      <c r="L297" s="1115"/>
      <c r="M297" s="1115"/>
      <c r="N297" s="5" t="s">
        <v>859</v>
      </c>
      <c r="O297" s="5"/>
      <c r="P297" s="1118"/>
      <c r="Q297" s="1118"/>
      <c r="R297" s="1118"/>
      <c r="S297" s="41"/>
      <c r="T297" s="41" t="s">
        <v>400</v>
      </c>
      <c r="U297"/>
      <c r="V297" s="41"/>
      <c r="W297" s="41"/>
      <c r="X297" s="41"/>
      <c r="Y297" s="41"/>
      <c r="Z297"/>
      <c r="AA297" s="1115" t="s">
        <v>2498</v>
      </c>
      <c r="AB297" s="1115"/>
      <c r="AC297" s="1115"/>
      <c r="AD297" s="1115"/>
      <c r="AE297" s="1115"/>
      <c r="AF297" s="1115"/>
      <c r="AG297" s="5" t="s">
        <v>859</v>
      </c>
      <c r="AH297" s="5"/>
      <c r="AI297" s="1118"/>
      <c r="AJ297" s="1118"/>
      <c r="AK297" s="1118"/>
      <c r="AL297" s="10"/>
      <c r="AN297" s="281"/>
    </row>
    <row r="298" spans="1:41" s="4" customFormat="1" ht="12.75" customHeight="1">
      <c r="B298" s="41" t="s">
        <v>96</v>
      </c>
      <c r="C298" s="41"/>
      <c r="D298" s="41"/>
      <c r="E298" s="41"/>
      <c r="F298" s="41"/>
      <c r="G298" s="41"/>
      <c r="H298" s="1092" t="s">
        <v>106</v>
      </c>
      <c r="I298" s="1092"/>
      <c r="J298" s="1092"/>
      <c r="K298" s="1092"/>
      <c r="L298" s="1092"/>
      <c r="M298" s="1092"/>
      <c r="N298" s="1092"/>
      <c r="O298" s="1092"/>
      <c r="P298" s="1092"/>
      <c r="Q298" s="1092"/>
      <c r="R298" s="1092"/>
      <c r="S298" s="41"/>
      <c r="T298" s="41" t="s">
        <v>96</v>
      </c>
      <c r="U298"/>
      <c r="V298" s="41"/>
      <c r="W298" s="41"/>
      <c r="X298" s="41"/>
      <c r="Y298" s="41"/>
      <c r="Z298"/>
      <c r="AA298" s="1092" t="s">
        <v>103</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2471</v>
      </c>
      <c r="I299" s="1092"/>
      <c r="J299" s="1092"/>
      <c r="K299" s="1092"/>
      <c r="L299" s="1092"/>
      <c r="M299" s="1092"/>
      <c r="N299" s="1092"/>
      <c r="O299" s="1092"/>
      <c r="P299" s="1092"/>
      <c r="Q299" s="1092"/>
      <c r="R299" s="1092"/>
      <c r="S299" s="41"/>
      <c r="T299" s="41" t="s">
        <v>98</v>
      </c>
      <c r="U299"/>
      <c r="V299" s="41"/>
      <c r="W299" s="41"/>
      <c r="X299" s="41"/>
      <c r="Y299" s="41"/>
      <c r="Z299"/>
      <c r="AA299" s="1092" t="s">
        <v>2499</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4" t="s">
        <v>2472</v>
      </c>
      <c r="I300" s="1714"/>
      <c r="J300" s="1714"/>
      <c r="K300" s="1714"/>
      <c r="L300" s="1714"/>
      <c r="M300" s="1714"/>
      <c r="N300" s="1714"/>
      <c r="O300" s="1714"/>
      <c r="P300" s="1714"/>
      <c r="Q300" s="1714"/>
      <c r="R300" s="1714"/>
      <c r="S300" s="41"/>
      <c r="T300" s="41" t="s">
        <v>109</v>
      </c>
      <c r="U300" s="41"/>
      <c r="V300" s="41"/>
      <c r="W300" s="41"/>
      <c r="X300" s="41"/>
      <c r="Y300" s="41"/>
      <c r="Z300" s="12"/>
      <c r="AA300" s="1714" t="s">
        <v>2487</v>
      </c>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2473</v>
      </c>
      <c r="I302" s="1091"/>
      <c r="J302" s="1091"/>
      <c r="K302" s="1091"/>
      <c r="L302" s="1091"/>
      <c r="M302" s="1091"/>
      <c r="N302" s="1091"/>
      <c r="O302" s="1091"/>
      <c r="P302" s="1091"/>
      <c r="Q302" s="1091"/>
      <c r="R302" s="1091"/>
      <c r="S302"/>
      <c r="T302" s="41" t="s">
        <v>97</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2474</v>
      </c>
      <c r="I303" s="1092"/>
      <c r="J303" s="1092"/>
      <c r="K303" s="1092"/>
      <c r="L303" s="1092"/>
      <c r="M303" s="1092"/>
      <c r="N303" s="1092"/>
      <c r="O303" s="1092"/>
      <c r="P303" s="1092"/>
      <c r="Q303" s="1092"/>
      <c r="R303" s="1092"/>
      <c r="S303"/>
      <c r="T303" s="41" t="s">
        <v>735</v>
      </c>
      <c r="U303"/>
      <c r="V303" s="41"/>
      <c r="W303" s="41"/>
      <c r="X303" s="41"/>
      <c r="Y303" s="41"/>
      <c r="Z303"/>
      <c r="AA303" s="1092"/>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2462</v>
      </c>
      <c r="I304" s="1092"/>
      <c r="J304" s="1092"/>
      <c r="K304" s="1092"/>
      <c r="L304" s="1092"/>
      <c r="M304" s="1092"/>
      <c r="N304" s="1092"/>
      <c r="O304" s="1092"/>
      <c r="P304" s="1092"/>
      <c r="Q304" s="1092"/>
      <c r="R304" s="1092"/>
      <c r="S304"/>
      <c r="T304" s="41" t="s">
        <v>107</v>
      </c>
      <c r="U304"/>
      <c r="V304" s="41"/>
      <c r="W304" s="41"/>
      <c r="X304" s="41"/>
      <c r="Y304" s="41"/>
      <c r="Z304"/>
      <c r="AA304" s="1092"/>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2475</v>
      </c>
      <c r="I305" s="1092"/>
      <c r="J305" s="1092"/>
      <c r="K305" s="1092"/>
      <c r="L305" s="1092"/>
      <c r="M305" s="1092"/>
      <c r="N305" s="1092"/>
      <c r="O305" s="1092"/>
      <c r="P305" s="1092"/>
      <c r="Q305" s="1092"/>
      <c r="R305" s="1092"/>
      <c r="S305"/>
      <c r="T305" s="41" t="s">
        <v>399</v>
      </c>
      <c r="U305"/>
      <c r="V305" s="41"/>
      <c r="W305" s="41"/>
      <c r="X305" s="41"/>
      <c r="Y305" s="41"/>
      <c r="Z305"/>
      <c r="AA305" s="1092"/>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5" t="s">
        <v>2476</v>
      </c>
      <c r="I306" s="1115"/>
      <c r="J306" s="1115"/>
      <c r="K306" s="1115"/>
      <c r="L306" s="1115"/>
      <c r="M306" s="1115"/>
      <c r="N306" s="5" t="s">
        <v>859</v>
      </c>
      <c r="O306" s="5"/>
      <c r="P306" s="1118"/>
      <c r="Q306" s="1118"/>
      <c r="R306" s="1118"/>
      <c r="S306" s="41"/>
      <c r="T306" s="41" t="s">
        <v>400</v>
      </c>
      <c r="U306"/>
      <c r="V306" s="41"/>
      <c r="W306" s="41"/>
      <c r="X306" s="41"/>
      <c r="Y306" s="41"/>
      <c r="Z306"/>
      <c r="AA306" s="1115"/>
      <c r="AB306" s="1115"/>
      <c r="AC306" s="1115"/>
      <c r="AD306" s="1115"/>
      <c r="AE306" s="1115"/>
      <c r="AF306" s="1115"/>
      <c r="AG306" s="5" t="s">
        <v>859</v>
      </c>
      <c r="AH306" s="5"/>
      <c r="AI306" s="1118"/>
      <c r="AJ306" s="1118"/>
      <c r="AK306" s="1118"/>
      <c r="AL306" s="10"/>
      <c r="AN306" s="281"/>
    </row>
    <row r="307" spans="2:40" s="4" customFormat="1" ht="12.75" customHeight="1">
      <c r="B307" s="41" t="s">
        <v>96</v>
      </c>
      <c r="C307" s="41"/>
      <c r="D307" s="41"/>
      <c r="E307" s="41"/>
      <c r="F307" s="41"/>
      <c r="G307" s="41"/>
      <c r="H307" s="1092" t="s">
        <v>100</v>
      </c>
      <c r="I307" s="1092"/>
      <c r="J307" s="1092"/>
      <c r="K307" s="1092"/>
      <c r="L307" s="1092"/>
      <c r="M307" s="1092"/>
      <c r="N307" s="1092"/>
      <c r="O307" s="1092"/>
      <c r="P307" s="1092"/>
      <c r="Q307" s="1092"/>
      <c r="R307" s="1092"/>
      <c r="S307" s="41"/>
      <c r="T307" s="41" t="s">
        <v>96</v>
      </c>
      <c r="U307"/>
      <c r="V307" s="41"/>
      <c r="W307" s="41"/>
      <c r="X307" s="41"/>
      <c r="Y307" s="41"/>
      <c r="Z307"/>
      <c r="AA307" s="1092"/>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2477</v>
      </c>
      <c r="I308" s="1092"/>
      <c r="J308" s="1092"/>
      <c r="K308" s="1092"/>
      <c r="L308" s="1092"/>
      <c r="M308" s="1092"/>
      <c r="N308" s="1092"/>
      <c r="O308" s="1092"/>
      <c r="P308" s="1092"/>
      <c r="Q308" s="1092"/>
      <c r="R308" s="1092"/>
      <c r="S308" s="41"/>
      <c r="T308" s="41" t="s">
        <v>98</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4" t="s">
        <v>2466</v>
      </c>
      <c r="I309" s="1714"/>
      <c r="J309" s="1714"/>
      <c r="K309" s="1714"/>
      <c r="L309" s="1714"/>
      <c r="M309" s="1714"/>
      <c r="N309" s="1714"/>
      <c r="O309" s="1714"/>
      <c r="P309" s="1714"/>
      <c r="Q309" s="1714"/>
      <c r="R309" s="1714"/>
      <c r="S309" s="41"/>
      <c r="T309" s="41" t="s">
        <v>109</v>
      </c>
      <c r="U309" s="41"/>
      <c r="V309" s="41"/>
      <c r="W309" s="41"/>
      <c r="X309" s="41"/>
      <c r="Y309" s="41"/>
      <c r="Z309" s="12"/>
      <c r="AA309" s="1714"/>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t="s">
        <v>2478</v>
      </c>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t="s">
        <v>2479</v>
      </c>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t="s">
        <v>2462</v>
      </c>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t="s">
        <v>2475</v>
      </c>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5" t="s">
        <v>2476</v>
      </c>
      <c r="I315" s="1115"/>
      <c r="J315" s="1115"/>
      <c r="K315" s="1115"/>
      <c r="L315" s="1115"/>
      <c r="M315" s="1115"/>
      <c r="N315" s="5" t="s">
        <v>859</v>
      </c>
      <c r="O315" s="5"/>
      <c r="P315" s="1118"/>
      <c r="Q315" s="1118"/>
      <c r="R315" s="1118"/>
      <c r="S315" s="41"/>
      <c r="T315" s="41" t="s">
        <v>400</v>
      </c>
      <c r="U315"/>
      <c r="V315" s="41"/>
      <c r="W315" s="41"/>
      <c r="X315" s="41"/>
      <c r="Y315" s="41"/>
      <c r="Z315"/>
      <c r="AA315" s="1115"/>
      <c r="AB315" s="1115"/>
      <c r="AC315" s="1115"/>
      <c r="AD315" s="1115"/>
      <c r="AE315" s="1115"/>
      <c r="AF315" s="1115"/>
      <c r="AG315" s="5" t="s">
        <v>859</v>
      </c>
      <c r="AH315" s="5"/>
      <c r="AI315" s="1118"/>
      <c r="AJ315" s="1118"/>
      <c r="AK315" s="1118"/>
      <c r="AL315" s="10"/>
      <c r="AN315" s="281"/>
    </row>
    <row r="316" spans="2:40" s="4" customFormat="1" ht="12.75" customHeight="1">
      <c r="B316" s="41" t="s">
        <v>96</v>
      </c>
      <c r="C316" s="41"/>
      <c r="D316" s="41"/>
      <c r="E316" s="41"/>
      <c r="F316" s="41"/>
      <c r="G316" s="41"/>
      <c r="H316" s="1092" t="s">
        <v>101</v>
      </c>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t="s">
        <v>2480</v>
      </c>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4" t="s">
        <v>2481</v>
      </c>
      <c r="I318" s="1714"/>
      <c r="J318" s="1714"/>
      <c r="K318" s="1714"/>
      <c r="L318" s="1714"/>
      <c r="M318" s="1714"/>
      <c r="N318" s="1714"/>
      <c r="O318" s="1714"/>
      <c r="P318" s="1714"/>
      <c r="Q318" s="1714"/>
      <c r="R318" s="1714"/>
      <c r="S318" s="41"/>
      <c r="T318" s="41" t="s">
        <v>109</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t="s">
        <v>2482</v>
      </c>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t="s">
        <v>2483</v>
      </c>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t="s">
        <v>2484</v>
      </c>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t="s">
        <v>2463</v>
      </c>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5" t="s">
        <v>2485</v>
      </c>
      <c r="I324" s="1115"/>
      <c r="J324" s="1115"/>
      <c r="K324" s="1115"/>
      <c r="L324" s="1115"/>
      <c r="M324" s="1115"/>
      <c r="N324" s="5" t="s">
        <v>859</v>
      </c>
      <c r="O324" s="5"/>
      <c r="P324" s="1118"/>
      <c r="Q324" s="1118"/>
      <c r="R324" s="1118"/>
      <c r="S324" s="41"/>
      <c r="T324" s="41" t="s">
        <v>400</v>
      </c>
      <c r="U324"/>
      <c r="V324" s="41"/>
      <c r="W324" s="41"/>
      <c r="X324" s="41"/>
      <c r="Y324" s="41"/>
      <c r="Z324"/>
      <c r="AA324" s="1115"/>
      <c r="AB324" s="1115"/>
      <c r="AC324" s="1115"/>
      <c r="AD324" s="1115"/>
      <c r="AE324" s="1115"/>
      <c r="AF324" s="1115"/>
      <c r="AG324" s="5" t="s">
        <v>859</v>
      </c>
      <c r="AH324" s="5"/>
      <c r="AI324" s="1118"/>
      <c r="AJ324" s="1118"/>
      <c r="AK324" s="1118"/>
      <c r="AL324" s="41"/>
      <c r="AN324" s="281"/>
    </row>
    <row r="325" spans="1:76" s="4" customFormat="1" ht="12.75" customHeight="1">
      <c r="B325" s="41" t="s">
        <v>96</v>
      </c>
      <c r="C325" s="41"/>
      <c r="D325" s="41"/>
      <c r="E325" s="41"/>
      <c r="F325" s="41"/>
      <c r="G325" s="41"/>
      <c r="H325" s="1092" t="s">
        <v>104</v>
      </c>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t="s">
        <v>2486</v>
      </c>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4" t="s">
        <v>2487</v>
      </c>
      <c r="I327" s="1714"/>
      <c r="J327" s="1714"/>
      <c r="K327" s="1714"/>
      <c r="L327" s="1714"/>
      <c r="M327" s="1714"/>
      <c r="N327" s="1714"/>
      <c r="O327" s="1714"/>
      <c r="P327" s="1714"/>
      <c r="Q327" s="1714"/>
      <c r="R327" s="1714"/>
      <c r="S327" s="41"/>
      <c r="T327" s="41" t="s">
        <v>109</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2" t="s">
        <v>389</v>
      </c>
      <c r="AF330" s="1682"/>
      <c r="AG330" s="1682"/>
      <c r="AH330" s="1682"/>
      <c r="AI330" s="1682"/>
      <c r="AJ330" s="1682"/>
      <c r="AK330" s="1682"/>
      <c r="AL330" s="3"/>
      <c r="AM330" s="847"/>
      <c r="AN330" s="3"/>
    </row>
    <row r="331" spans="1:76" s="4" customFormat="1" ht="12.75" customHeight="1">
      <c r="A331" s="3"/>
      <c r="B331" s="5"/>
      <c r="C331" s="1715" t="s">
        <v>1922</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1923</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6"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1924</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1925</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3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944</v>
      </c>
      <c r="AP351" s="71">
        <f>IF(C376="Yes",5,0)</f>
        <v>0</v>
      </c>
      <c r="AS351" s="3" t="s">
        <v>1856</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945</v>
      </c>
      <c r="AP353" s="71">
        <f>IF(C386="Yes",5,0)</f>
        <v>0</v>
      </c>
      <c r="AS353" s="3" t="s">
        <v>1889</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951</v>
      </c>
      <c r="AP355" s="71">
        <f>IF(C396="Yes",7,0)</f>
        <v>0</v>
      </c>
    </row>
    <row r="356" spans="1:46" s="4" customFormat="1" ht="12.75" customHeight="1">
      <c r="A356" s="27"/>
      <c r="B356" s="26"/>
      <c r="C356" s="1715" t="s">
        <v>1926</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6"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1927</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646</v>
      </c>
      <c r="AP365" s="168">
        <f>SUM(AP351:AP364)</f>
        <v>0</v>
      </c>
      <c r="AQ365" s="1230">
        <f>IF(AP365&gt;0,AP365,0)</f>
        <v>0</v>
      </c>
      <c r="AR365" s="1230"/>
    </row>
    <row r="366" spans="1:46" s="4" customFormat="1" ht="12.6"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1">
        <f>Application!CQ636-U368</f>
        <v>71</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2">
        <f>Application!AG720</f>
        <v>75</v>
      </c>
      <c r="V368" s="1702"/>
      <c r="W368" s="1702"/>
      <c r="X368" s="170"/>
      <c r="Y368" s="170"/>
      <c r="Z368" s="170"/>
      <c r="AA368" s="172"/>
      <c r="AC368" s="277"/>
      <c r="AD368" s="277"/>
      <c r="AE368" s="27"/>
      <c r="AF368" s="27"/>
      <c r="AG368" s="27"/>
      <c r="AH368" s="27"/>
      <c r="AI368" s="27"/>
      <c r="AJ368" s="27"/>
      <c r="AK368" s="27"/>
      <c r="AL368" s="27"/>
      <c r="AM368" s="27"/>
      <c r="AN368" s="281"/>
      <c r="AO368" s="703" t="s">
        <v>779</v>
      </c>
      <c r="AP368" s="71">
        <f>IF(C441="Yes",5,0)</f>
        <v>5</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9" t="s">
        <v>1865</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3"/>
      <c r="G373" s="1673"/>
      <c r="H373" s="1673"/>
      <c r="I373" s="1673"/>
      <c r="J373" s="1673"/>
      <c r="K373" s="1673"/>
      <c r="L373" s="1673"/>
      <c r="M373" s="1673"/>
      <c r="N373" s="1673"/>
      <c r="O373" s="1673"/>
      <c r="P373" s="1673"/>
      <c r="Q373" s="1673"/>
      <c r="R373" s="1673"/>
      <c r="S373" s="1673"/>
      <c r="T373" s="1673"/>
      <c r="U373" s="1673"/>
      <c r="V373" s="1673"/>
      <c r="W373" s="1673"/>
      <c r="X373" s="1673"/>
      <c r="Y373" s="1673"/>
      <c r="Z373" s="1673"/>
      <c r="AA373" s="1673"/>
      <c r="AB373" s="1673"/>
      <c r="AC373" s="1673"/>
      <c r="AD373" s="1673"/>
      <c r="AE373" s="1673"/>
      <c r="AF373" s="1673"/>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3"/>
      <c r="G374" s="1673"/>
      <c r="H374" s="1673"/>
      <c r="I374" s="1673"/>
      <c r="J374" s="1673"/>
      <c r="K374" s="1673"/>
      <c r="L374" s="1673"/>
      <c r="M374" s="1673"/>
      <c r="N374" s="1673"/>
      <c r="O374" s="1673"/>
      <c r="P374" s="1673"/>
      <c r="Q374" s="1673"/>
      <c r="R374" s="1673"/>
      <c r="S374" s="1673"/>
      <c r="T374" s="1673"/>
      <c r="U374" s="1673"/>
      <c r="V374" s="1673"/>
      <c r="W374" s="1673"/>
      <c r="X374" s="1673"/>
      <c r="Y374" s="1673"/>
      <c r="Z374" s="1673"/>
      <c r="AA374" s="1673"/>
      <c r="AB374" s="1673"/>
      <c r="AC374" s="1673"/>
      <c r="AD374" s="1673"/>
      <c r="AE374" s="1673"/>
      <c r="AF374" s="1673"/>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3"/>
      <c r="G375" s="1673"/>
      <c r="H375" s="1673"/>
      <c r="I375" s="1673"/>
      <c r="J375" s="1673"/>
      <c r="K375" s="1673"/>
      <c r="L375" s="1673"/>
      <c r="M375" s="1673"/>
      <c r="N375" s="1673"/>
      <c r="O375" s="1673"/>
      <c r="P375" s="1673"/>
      <c r="Q375" s="1673"/>
      <c r="R375" s="1673"/>
      <c r="S375" s="1673"/>
      <c r="T375" s="1673"/>
      <c r="U375" s="1673"/>
      <c r="V375" s="1673"/>
      <c r="W375" s="1673"/>
      <c r="X375" s="1673"/>
      <c r="Y375" s="1673"/>
      <c r="Z375" s="1673"/>
      <c r="AA375" s="1673"/>
      <c r="AB375" s="1673"/>
      <c r="AC375" s="1673"/>
      <c r="AD375" s="1673"/>
      <c r="AE375" s="1673"/>
      <c r="AF375" s="1673"/>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132</v>
      </c>
      <c r="D376" s="1117"/>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3" t="s">
        <v>340</v>
      </c>
      <c r="AG376" s="1593"/>
      <c r="AH376" s="1593"/>
      <c r="AI376" s="1593"/>
      <c r="AJ376" s="1593"/>
      <c r="AK376" s="1593"/>
      <c r="AL376" s="1698"/>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230">
        <f>IF(AP378&gt;0,AP378,0)</f>
        <v>10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9" t="s">
        <v>1864</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3"/>
      <c r="G382" s="1673"/>
      <c r="H382" s="1673"/>
      <c r="I382" s="1673"/>
      <c r="J382" s="1673"/>
      <c r="K382" s="1673"/>
      <c r="L382" s="1673"/>
      <c r="M382" s="1673"/>
      <c r="N382" s="1673"/>
      <c r="O382" s="1673"/>
      <c r="P382" s="1673"/>
      <c r="Q382" s="1673"/>
      <c r="R382" s="1673"/>
      <c r="S382" s="1673"/>
      <c r="T382" s="1673"/>
      <c r="U382" s="1673"/>
      <c r="V382" s="1673"/>
      <c r="W382" s="1673"/>
      <c r="X382" s="1673"/>
      <c r="Y382" s="1673"/>
      <c r="Z382" s="1673"/>
      <c r="AA382" s="1673"/>
      <c r="AB382" s="1673"/>
      <c r="AC382" s="1673"/>
      <c r="AD382" s="1673"/>
      <c r="AE382" s="1673"/>
      <c r="AF382" s="1673"/>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1673"/>
      <c r="AD384" s="1673"/>
      <c r="AE384" s="1673"/>
      <c r="AF384" s="1673"/>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132</v>
      </c>
      <c r="D386" s="1117"/>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3" t="s">
        <v>340</v>
      </c>
      <c r="AG386" s="1593"/>
      <c r="AH386" s="1593"/>
      <c r="AI386" s="1593"/>
      <c r="AJ386" s="1593"/>
      <c r="AK386" s="1593"/>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3"/>
      <c r="AG388" s="1593"/>
      <c r="AH388" s="1593"/>
      <c r="AI388" s="1593"/>
      <c r="AJ388" s="1593"/>
      <c r="AK388" s="1593"/>
      <c r="AL388" s="159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0" t="s">
        <v>2047</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132</v>
      </c>
      <c r="D396" s="1117"/>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3" t="s">
        <v>1007</v>
      </c>
      <c r="AG396" s="1593"/>
      <c r="AH396" s="1593"/>
      <c r="AI396" s="1593"/>
      <c r="AJ396" s="1593"/>
      <c r="AK396" s="1593"/>
      <c r="AL396" s="1698"/>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132</v>
      </c>
      <c r="D398" s="1117"/>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3" t="s">
        <v>340</v>
      </c>
      <c r="AG398" s="1593"/>
      <c r="AH398" s="1593"/>
      <c r="AI398" s="1593"/>
      <c r="AJ398" s="1593"/>
      <c r="AK398" s="1593"/>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9" t="s">
        <v>1863</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3"/>
      <c r="G404" s="1673"/>
      <c r="H404" s="1673"/>
      <c r="I404" s="1673"/>
      <c r="J404" s="1673"/>
      <c r="K404" s="1673"/>
      <c r="L404" s="1673"/>
      <c r="M404" s="1673"/>
      <c r="N404" s="1673"/>
      <c r="O404" s="1673"/>
      <c r="P404" s="1673"/>
      <c r="Q404" s="1673"/>
      <c r="R404" s="1673"/>
      <c r="S404" s="1673"/>
      <c r="T404" s="1673"/>
      <c r="U404" s="1673"/>
      <c r="V404" s="1673"/>
      <c r="W404" s="1673"/>
      <c r="X404" s="1673"/>
      <c r="Y404" s="1673"/>
      <c r="Z404" s="1673"/>
      <c r="AA404" s="1673"/>
      <c r="AB404" s="1673"/>
      <c r="AC404" s="1673"/>
      <c r="AD404" s="1673"/>
      <c r="AE404" s="1673"/>
      <c r="AF404" s="1673"/>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3"/>
      <c r="G405" s="1673"/>
      <c r="H405" s="1673"/>
      <c r="I405" s="1673"/>
      <c r="J405" s="1673"/>
      <c r="K405" s="1673"/>
      <c r="L405" s="1673"/>
      <c r="M405" s="1673"/>
      <c r="N405" s="1673"/>
      <c r="O405" s="1673"/>
      <c r="P405" s="1673"/>
      <c r="Q405" s="1673"/>
      <c r="R405" s="1673"/>
      <c r="S405" s="1673"/>
      <c r="T405" s="1673"/>
      <c r="U405" s="1673"/>
      <c r="V405" s="1673"/>
      <c r="W405" s="1673"/>
      <c r="X405" s="1673"/>
      <c r="Y405" s="1673"/>
      <c r="Z405" s="1673"/>
      <c r="AA405" s="1673"/>
      <c r="AB405" s="1673"/>
      <c r="AC405" s="1673"/>
      <c r="AD405" s="1673"/>
      <c r="AE405" s="1673"/>
      <c r="AF405" s="1673"/>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132</v>
      </c>
      <c r="D406" s="1117"/>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3" t="s">
        <v>340</v>
      </c>
      <c r="AG406" s="1593"/>
      <c r="AH406" s="1593"/>
      <c r="AI406" s="1593"/>
      <c r="AJ406" s="1593"/>
      <c r="AK406" s="1593"/>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132</v>
      </c>
      <c r="D408" s="1117"/>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3" t="s">
        <v>1006</v>
      </c>
      <c r="AG408" s="1593"/>
      <c r="AH408" s="1593"/>
      <c r="AI408" s="1593"/>
      <c r="AJ408" s="1593"/>
      <c r="AK408" s="1593"/>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132</v>
      </c>
      <c r="D411" s="1117"/>
      <c r="E411" s="713" t="s">
        <v>204</v>
      </c>
      <c r="F411" s="1699" t="s">
        <v>1867</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3"/>
      <c r="G412" s="1673"/>
      <c r="H412" s="1673"/>
      <c r="I412" s="1673"/>
      <c r="J412" s="1673"/>
      <c r="K412" s="1673"/>
      <c r="L412" s="1673"/>
      <c r="M412" s="1673"/>
      <c r="N412" s="1673"/>
      <c r="O412" s="1673"/>
      <c r="P412" s="1673"/>
      <c r="Q412" s="1673"/>
      <c r="R412" s="1673"/>
      <c r="S412" s="1673"/>
      <c r="T412" s="1673"/>
      <c r="U412" s="1673"/>
      <c r="V412" s="1673"/>
      <c r="W412" s="1673"/>
      <c r="X412" s="1673"/>
      <c r="Y412" s="1673"/>
      <c r="Z412" s="1673"/>
      <c r="AA412" s="1673"/>
      <c r="AB412" s="1673"/>
      <c r="AC412" s="1673"/>
      <c r="AD412" s="1673"/>
      <c r="AE412" s="1673"/>
      <c r="AF412" s="1684" t="s">
        <v>340</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3"/>
      <c r="G413" s="1673"/>
      <c r="H413" s="1673"/>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9" t="s">
        <v>1869</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3"/>
      <c r="AG417" s="5"/>
      <c r="AH417" s="4"/>
      <c r="AI417" s="4"/>
      <c r="AJ417" s="4"/>
      <c r="AK417" s="4"/>
      <c r="AL417" s="720"/>
      <c r="AM417"/>
    </row>
    <row r="418" spans="1:60" s="4" customFormat="1" ht="12.75" customHeight="1">
      <c r="A418" s="5"/>
      <c r="B418" s="21"/>
      <c r="C418" s="719"/>
      <c r="D418" s="21"/>
      <c r="E418" s="194"/>
      <c r="F418" s="1673"/>
      <c r="G418" s="1673"/>
      <c r="H418" s="1673"/>
      <c r="I418" s="1673"/>
      <c r="J418" s="1673"/>
      <c r="K418" s="1673"/>
      <c r="L418" s="1673"/>
      <c r="M418" s="1673"/>
      <c r="N418" s="1673"/>
      <c r="O418" s="1673"/>
      <c r="P418" s="1673"/>
      <c r="Q418" s="1673"/>
      <c r="R418" s="1673"/>
      <c r="S418" s="1673"/>
      <c r="T418" s="1673"/>
      <c r="U418" s="1673"/>
      <c r="V418" s="1673"/>
      <c r="W418" s="1673"/>
      <c r="X418" s="1673"/>
      <c r="Y418" s="1673"/>
      <c r="Z418" s="1673"/>
      <c r="AA418" s="1673"/>
      <c r="AB418" s="1673"/>
      <c r="AC418" s="1673"/>
      <c r="AD418" s="1673"/>
      <c r="AE418" s="1673"/>
      <c r="AL418" s="720"/>
      <c r="AM418"/>
      <c r="AN418" s="281"/>
    </row>
    <row r="419" spans="1:60" s="4" customFormat="1" ht="12.75" customHeight="1">
      <c r="A419" s="5"/>
      <c r="B419" s="21"/>
      <c r="C419" s="722"/>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L419" s="720"/>
      <c r="AM419"/>
      <c r="AN419" s="281"/>
    </row>
    <row r="420" spans="1:60" s="4" customFormat="1" ht="12.75" customHeight="1">
      <c r="A420" s="5"/>
      <c r="B420" s="21"/>
      <c r="C420" s="1703" t="s">
        <v>132</v>
      </c>
      <c r="D420" s="1117"/>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340</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132</v>
      </c>
      <c r="D422" s="1117"/>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1006</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9" t="s">
        <v>1870</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3"/>
      <c r="AG427" s="5"/>
      <c r="AL427" s="720"/>
      <c r="AM427"/>
      <c r="AN427" s="281"/>
    </row>
    <row r="428" spans="1:60" s="4" customFormat="1" ht="12.6" customHeight="1">
      <c r="A428" s="5"/>
      <c r="B428" s="73"/>
      <c r="C428" s="737"/>
      <c r="D428" s="73"/>
      <c r="E428" s="194"/>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L428" s="720"/>
      <c r="AM428"/>
      <c r="AN428" s="281"/>
    </row>
    <row r="429" spans="1:60" s="4" customFormat="1" ht="12.75" customHeight="1">
      <c r="A429" s="5"/>
      <c r="B429" s="73"/>
      <c r="C429" s="1703" t="s">
        <v>116</v>
      </c>
      <c r="D429" s="1117"/>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340</v>
      </c>
      <c r="AG429" s="1684"/>
      <c r="AH429" s="1684"/>
      <c r="AI429" s="1684"/>
      <c r="AJ429" s="1684"/>
      <c r="AK429" s="1684"/>
      <c r="AL429" s="1709"/>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703</v>
      </c>
      <c r="F432" s="1699" t="s">
        <v>1871</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08"/>
      <c r="AG433" s="108"/>
      <c r="AH433" s="108"/>
      <c r="AI433" s="108"/>
      <c r="AJ433" s="108"/>
      <c r="AK433" s="108"/>
      <c r="AL433" s="802"/>
      <c r="AM433"/>
      <c r="AO433" s="4"/>
      <c r="AP433" s="4"/>
    </row>
    <row r="434" spans="1:49" s="4" customFormat="1" ht="12.75" customHeight="1">
      <c r="A434" s="5"/>
      <c r="B434" s="73"/>
      <c r="C434" s="737"/>
      <c r="D434" s="73"/>
      <c r="E434" s="194"/>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08"/>
      <c r="AG434" s="108"/>
      <c r="AH434" s="108"/>
      <c r="AI434" s="108"/>
      <c r="AJ434" s="108"/>
      <c r="AK434" s="108"/>
      <c r="AL434" s="802"/>
      <c r="AM434"/>
      <c r="AN434" s="281"/>
    </row>
    <row r="435" spans="1:49" s="4" customFormat="1" ht="12.75" customHeight="1">
      <c r="A435" s="5"/>
      <c r="B435" s="73"/>
      <c r="C435" s="738"/>
      <c r="D435" s="1"/>
      <c r="E435" s="225"/>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802"/>
      <c r="AM436"/>
      <c r="AN436" s="281"/>
    </row>
    <row r="437" spans="1:49" s="4" customFormat="1" ht="12.75" customHeight="1">
      <c r="A437" s="5"/>
      <c r="B437" s="73"/>
      <c r="C437" s="738"/>
      <c r="D437" s="1"/>
      <c r="E437" s="225"/>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802"/>
      <c r="AM437"/>
      <c r="AN437" s="281"/>
    </row>
    <row r="438" spans="1:49" s="4" customFormat="1" ht="12.75" customHeight="1">
      <c r="A438" s="5"/>
      <c r="B438" s="73"/>
      <c r="C438" s="738"/>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802"/>
      <c r="AM438"/>
      <c r="AN438" s="281"/>
    </row>
    <row r="439" spans="1:49" s="4" customFormat="1" ht="12.75" customHeight="1">
      <c r="A439" s="5"/>
      <c r="B439" s="73"/>
      <c r="C439" s="738"/>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802"/>
      <c r="AM439"/>
      <c r="AN439" s="281"/>
    </row>
    <row r="440" spans="1:49" s="4" customFormat="1" ht="17.25" customHeight="1">
      <c r="A440" s="5"/>
      <c r="B440" s="73"/>
      <c r="C440" s="738"/>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L440" s="720"/>
      <c r="AM440"/>
      <c r="AN440" s="281"/>
    </row>
    <row r="441" spans="1:49" s="4" customFormat="1" ht="12.75" customHeight="1">
      <c r="A441" s="5"/>
      <c r="B441" s="21"/>
      <c r="C441" s="1703" t="s">
        <v>116</v>
      </c>
      <c r="D441" s="1117"/>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340</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9" t="s">
        <v>1874</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8"/>
      <c r="AG445" s="18"/>
      <c r="AH445" s="18"/>
      <c r="AI445" s="18"/>
      <c r="AJ445" s="18"/>
      <c r="AK445" s="18"/>
      <c r="AL445" s="799"/>
      <c r="AM445"/>
      <c r="AN445" s="281"/>
    </row>
    <row r="446" spans="1:49" s="4" customFormat="1" ht="12.75" customHeight="1">
      <c r="A446" s="5"/>
      <c r="B446" s="73"/>
      <c r="C446" s="738"/>
      <c r="D446" s="1"/>
      <c r="E446" s="225"/>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8"/>
      <c r="AG446" s="18"/>
      <c r="AH446" s="18"/>
      <c r="AI446" s="18"/>
      <c r="AJ446" s="18"/>
      <c r="AK446" s="18"/>
      <c r="AL446" s="799"/>
      <c r="AM446"/>
      <c r="AN446" s="281"/>
    </row>
    <row r="447" spans="1:49" s="4" customFormat="1" ht="12.75" customHeight="1">
      <c r="A447" s="5"/>
      <c r="B447" s="73"/>
      <c r="C447" s="738"/>
      <c r="D447" s="1"/>
      <c r="E447" s="225"/>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3"/>
      <c r="AC447" s="1673"/>
      <c r="AD447" s="1673"/>
      <c r="AE447" s="1673"/>
      <c r="AL447" s="720"/>
      <c r="AM447"/>
      <c r="AN447" s="281"/>
    </row>
    <row r="448" spans="1:49" s="4" customFormat="1" ht="12.75" customHeight="1">
      <c r="A448" s="5"/>
      <c r="B448" s="73"/>
      <c r="C448" s="1703" t="s">
        <v>132</v>
      </c>
      <c r="D448" s="1117"/>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340</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132</v>
      </c>
      <c r="D452" s="1689"/>
      <c r="E452" s="713" t="s">
        <v>1011</v>
      </c>
      <c r="F452" s="1699" t="s">
        <v>1013</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340</v>
      </c>
      <c r="AG452" s="1704"/>
      <c r="AH452" s="1704"/>
      <c r="AI452" s="1704"/>
      <c r="AJ452" s="1704"/>
      <c r="AK452" s="1704"/>
      <c r="AL452" s="1705"/>
      <c r="AM452"/>
      <c r="AN452" s="689"/>
      <c r="AQ452" s="166"/>
    </row>
    <row r="453" spans="1:54" s="4" customFormat="1" ht="12.75" customHeight="1">
      <c r="A453" s="5"/>
      <c r="B453" s="73"/>
      <c r="C453" s="738"/>
      <c r="D453" s="1"/>
      <c r="E453" s="225"/>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3"/>
      <c r="AA453" s="1673"/>
      <c r="AB453" s="1673"/>
      <c r="AC453" s="1673"/>
      <c r="AD453" s="1673"/>
      <c r="AE453" s="1673"/>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8" t="s">
        <v>132</v>
      </c>
      <c r="D456" s="1689"/>
      <c r="E456" s="713" t="s">
        <v>1012</v>
      </c>
      <c r="F456" s="1699" t="s">
        <v>1911</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340</v>
      </c>
      <c r="AG456" s="1704"/>
      <c r="AH456" s="1704"/>
      <c r="AI456" s="1704"/>
      <c r="AJ456" s="1704"/>
      <c r="AK456" s="1704"/>
      <c r="AL456" s="1705"/>
      <c r="AM456"/>
      <c r="AN456" s="685"/>
      <c r="AO456" s="4" t="s">
        <v>1388</v>
      </c>
      <c r="AP456" s="4">
        <v>5</v>
      </c>
      <c r="AQ456" s="5"/>
    </row>
    <row r="457" spans="1:54" s="4" customFormat="1" ht="12.75" customHeight="1">
      <c r="A457" s="5"/>
      <c r="B457" s="21"/>
      <c r="C457" s="719"/>
      <c r="D457" s="21"/>
      <c r="E457" s="194"/>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3"/>
      <c r="AG457" s="5"/>
      <c r="AL457" s="720"/>
      <c r="AM457"/>
      <c r="AN457" s="685"/>
      <c r="AO457" s="4" t="s">
        <v>1384</v>
      </c>
      <c r="AP457" s="4">
        <v>5</v>
      </c>
    </row>
    <row r="458" spans="1:54" s="4" customFormat="1" ht="12.75" customHeight="1">
      <c r="A458" s="5"/>
      <c r="B458" s="21"/>
      <c r="C458" s="719"/>
      <c r="D458" s="21"/>
      <c r="E458" s="19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3"/>
      <c r="AG458" s="5"/>
      <c r="AL458" s="720"/>
      <c r="AM458"/>
      <c r="AN458" s="685"/>
      <c r="AO458" s="4" t="s">
        <v>1385</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9" t="s">
        <v>1912</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1673"/>
      <c r="AL462" s="720"/>
      <c r="AM462"/>
      <c r="AN462" s="281"/>
      <c r="AS462" s="346"/>
      <c r="AW462" s="346" t="s">
        <v>1019</v>
      </c>
      <c r="BA462" s="346" t="s">
        <v>1020</v>
      </c>
    </row>
    <row r="463" spans="1:54" s="4" customFormat="1" ht="12.75" customHeight="1">
      <c r="A463" s="5"/>
      <c r="B463" s="21"/>
      <c r="C463" s="722"/>
      <c r="F463" s="1673"/>
      <c r="G463" s="1673"/>
      <c r="H463" s="1673"/>
      <c r="I463" s="1673"/>
      <c r="J463" s="1673"/>
      <c r="K463" s="1673"/>
      <c r="L463" s="1673"/>
      <c r="M463" s="1673"/>
      <c r="N463" s="1673"/>
      <c r="O463" s="1673"/>
      <c r="P463" s="1673"/>
      <c r="Q463" s="1673"/>
      <c r="R463" s="1673"/>
      <c r="S463" s="1673"/>
      <c r="T463" s="1673"/>
      <c r="U463" s="1673"/>
      <c r="V463" s="1673"/>
      <c r="W463" s="1673"/>
      <c r="X463" s="1673"/>
      <c r="Y463" s="1673"/>
      <c r="Z463" s="1673"/>
      <c r="AA463" s="1673"/>
      <c r="AB463" s="1673"/>
      <c r="AC463" s="1673"/>
      <c r="AD463" s="1673"/>
      <c r="AE463" s="1673"/>
      <c r="AF463" s="1673"/>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3"/>
      <c r="G464" s="1673"/>
      <c r="H464" s="1673"/>
      <c r="I464" s="1673"/>
      <c r="J464" s="1673"/>
      <c r="K464" s="1673"/>
      <c r="L464" s="1673"/>
      <c r="M464" s="1673"/>
      <c r="N464" s="1673"/>
      <c r="O464" s="1673"/>
      <c r="P464" s="1673"/>
      <c r="Q464" s="1673"/>
      <c r="R464" s="1673"/>
      <c r="S464" s="1673"/>
      <c r="T464" s="1673"/>
      <c r="U464" s="1673"/>
      <c r="V464" s="1673"/>
      <c r="W464" s="1673"/>
      <c r="X464" s="1673"/>
      <c r="Y464" s="1673"/>
      <c r="Z464" s="1673"/>
      <c r="AA464" s="1673"/>
      <c r="AB464" s="1673"/>
      <c r="AC464" s="1673"/>
      <c r="AD464" s="1673"/>
      <c r="AE464" s="1673"/>
      <c r="AF464" s="1673"/>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3" t="s">
        <v>132</v>
      </c>
      <c r="D465" s="1117"/>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3" t="s">
        <v>340</v>
      </c>
      <c r="AG465" s="1593"/>
      <c r="AH465" s="1593"/>
      <c r="AI465" s="1593"/>
      <c r="AJ465" s="1593"/>
      <c r="AK465" s="1593"/>
      <c r="AL465" s="1698"/>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3" t="s">
        <v>1310</v>
      </c>
      <c r="AF474" s="1593"/>
      <c r="AG474" s="1593"/>
      <c r="AH474" s="1593"/>
      <c r="AI474" s="1593"/>
      <c r="AJ474" s="1593"/>
      <c r="AK474" s="159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6" t="s">
        <v>132</v>
      </c>
      <c r="D480" s="1707"/>
      <c r="E480" s="764" t="s">
        <v>206</v>
      </c>
      <c r="F480" s="1696" t="s">
        <v>1016</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1387</v>
      </c>
      <c r="AP481" s="4">
        <v>1</v>
      </c>
    </row>
    <row r="482" spans="1:49" s="4" customFormat="1" ht="12.75" hidden="1" customHeight="1">
      <c r="C482" s="742"/>
      <c r="D482" s="729"/>
      <c r="E482" s="743"/>
      <c r="F482" s="1708" t="s">
        <v>132</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8" t="s">
        <v>116</v>
      </c>
      <c r="D484" s="168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69" t="s">
        <v>132</v>
      </c>
      <c r="W500" s="1669"/>
      <c r="X500" s="1669"/>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1" t="s">
        <v>693</v>
      </c>
      <c r="AV501" s="1872"/>
      <c r="AW501" s="1872"/>
      <c r="AX501" s="1872"/>
      <c r="AY501" s="1872"/>
      <c r="AZ501" s="1872"/>
      <c r="BA501" s="1872"/>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1"/>
      <c r="AV502" s="1872"/>
      <c r="AW502" s="1872"/>
      <c r="AX502" s="1872"/>
      <c r="AY502" s="1872"/>
      <c r="AZ502" s="1872"/>
      <c r="BA502" s="1872"/>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132</v>
      </c>
      <c r="D503" s="1707"/>
      <c r="E503" s="757" t="s">
        <v>206</v>
      </c>
      <c r="F503" s="1696" t="s">
        <v>1016</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28" t="s">
        <v>1568</v>
      </c>
      <c r="AQ504" s="1129"/>
      <c r="AR504" s="1130"/>
      <c r="AS504" s="639">
        <v>80</v>
      </c>
      <c r="AT504" s="4">
        <v>0</v>
      </c>
      <c r="AU504" s="160">
        <v>10</v>
      </c>
      <c r="AV504" s="160">
        <v>25</v>
      </c>
      <c r="AW504" s="160">
        <v>37.5</v>
      </c>
      <c r="AX504" s="160">
        <v>35</v>
      </c>
      <c r="AY504" s="160">
        <v>37.5</v>
      </c>
      <c r="AZ504" s="160">
        <v>50</v>
      </c>
      <c r="BA504" s="160">
        <v>50</v>
      </c>
      <c r="BB504" s="21"/>
      <c r="BC504" s="21"/>
      <c r="BE504" s="1128" t="s">
        <v>1568</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132</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1018</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132</v>
      </c>
      <c r="D507" s="1707"/>
      <c r="E507" s="757" t="s">
        <v>321</v>
      </c>
      <c r="F507" s="1690" t="s">
        <v>1206</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132</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132</v>
      </c>
      <c r="D512" s="170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7"/>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4" t="s">
        <v>132</v>
      </c>
      <c r="H515" s="1874"/>
      <c r="I515" s="1874"/>
      <c r="J515" s="1874"/>
      <c r="K515" s="1874"/>
      <c r="L515" s="1874"/>
      <c r="M515" s="1874"/>
      <c r="N515" s="1874"/>
      <c r="O515" s="1874"/>
      <c r="P515" s="1874"/>
      <c r="Q515" s="1874"/>
      <c r="R515" s="1874"/>
      <c r="S515" s="1874"/>
      <c r="T515" s="1874"/>
      <c r="U515" s="1874"/>
      <c r="V515" s="1874"/>
      <c r="W515" s="1874"/>
      <c r="X515" s="1874"/>
      <c r="Y515" s="1874"/>
      <c r="Z515" s="1874"/>
      <c r="AA515" s="1874"/>
      <c r="AB515" s="1874"/>
      <c r="AC515" s="1874"/>
      <c r="AD515" s="1874"/>
      <c r="AE515" s="1874"/>
      <c r="AF515" s="1874"/>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5" t="s">
        <v>132</v>
      </c>
      <c r="D517" s="1876"/>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5" t="s">
        <v>132</v>
      </c>
      <c r="D521" s="1876"/>
      <c r="F521" s="510" t="s">
        <v>915</v>
      </c>
      <c r="G521" s="1673" t="s">
        <v>1027</v>
      </c>
      <c r="H521" s="1673"/>
      <c r="I521" s="1673"/>
      <c r="J521" s="1673"/>
      <c r="K521" s="1673"/>
      <c r="L521" s="1673"/>
      <c r="M521" s="1673"/>
      <c r="N521" s="1673"/>
      <c r="O521" s="1673"/>
      <c r="P521" s="1673"/>
      <c r="Q521" s="1673"/>
      <c r="R521" s="1673"/>
      <c r="S521" s="1673"/>
      <c r="T521" s="1673"/>
      <c r="U521" s="1673"/>
      <c r="V521" s="1673"/>
      <c r="W521" s="1673"/>
      <c r="X521" s="1673"/>
      <c r="Y521" s="1673"/>
      <c r="Z521" s="1673"/>
      <c r="AA521" s="1673"/>
      <c r="AB521" s="1673"/>
      <c r="AC521" s="1673"/>
      <c r="AD521" s="1673"/>
      <c r="AE521" s="1673"/>
      <c r="AF521" s="1673"/>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8">
        <f>BJ525</f>
        <v>119</v>
      </c>
      <c r="BE521" s="1868"/>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8">
        <f>SUM(E578:J586)</f>
        <v>119</v>
      </c>
      <c r="BE522" s="186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132</v>
      </c>
      <c r="D525" s="1117"/>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0">
        <f>Application!AG433</f>
        <v>119</v>
      </c>
      <c r="BK525" s="1861"/>
      <c r="BM525" s="1746"/>
      <c r="BN525" s="1747"/>
      <c r="BO525" s="1746"/>
      <c r="BP525" s="1747"/>
      <c r="BQ525" s="1756"/>
      <c r="BR525" s="1758"/>
      <c r="BS525" s="1756"/>
      <c r="BT525" s="1758"/>
      <c r="BU525" s="1746">
        <f>IF(T607&gt;0,1,0)</f>
        <v>1</v>
      </c>
      <c r="BV525" s="1747"/>
      <c r="BW525" s="1746">
        <f>IF(Y607&gt;=0.1,1,0)</f>
        <v>1</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76" t="s">
        <v>132</v>
      </c>
      <c r="G526" s="1476"/>
      <c r="H526" s="1476"/>
      <c r="I526" s="1476"/>
      <c r="J526" s="1476"/>
      <c r="K526" s="1476"/>
      <c r="L526" s="1476"/>
      <c r="M526" s="1476"/>
      <c r="N526" s="1476"/>
      <c r="O526" s="1476"/>
      <c r="P526" s="1476"/>
      <c r="Q526" s="1476"/>
      <c r="R526" s="1476"/>
      <c r="S526" s="1476"/>
      <c r="T526" s="1476"/>
      <c r="U526" s="1476"/>
      <c r="V526" s="1476"/>
      <c r="W526" s="1476"/>
      <c r="X526" s="1476"/>
      <c r="Y526" s="1476"/>
      <c r="Z526" s="1476"/>
      <c r="AA526" s="1476"/>
      <c r="AB526" s="1476"/>
      <c r="AC526" s="1476"/>
      <c r="AD526" s="1476"/>
      <c r="AE526" s="1476"/>
      <c r="AF526" s="1476"/>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0</v>
      </c>
      <c r="BR528" s="1747"/>
      <c r="BS528" s="1746">
        <f>SUM(BS523:BT527)</f>
        <v>0</v>
      </c>
      <c r="BT528" s="1747"/>
      <c r="BU528" s="1746">
        <f>SUM(BU523:BV527)</f>
        <v>1</v>
      </c>
      <c r="BV528" s="1747"/>
      <c r="BW528" s="1746">
        <f>SUM(BW523:BX527)</f>
        <v>1</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484</v>
      </c>
      <c r="AQ529" s="1866"/>
      <c r="AR529" s="1866"/>
      <c r="AS529" s="1866"/>
      <c r="AT529" s="1867"/>
      <c r="AU529" s="1865" t="s">
        <v>485</v>
      </c>
      <c r="AV529" s="1866"/>
      <c r="AW529" s="1866"/>
      <c r="AX529" s="1866"/>
      <c r="AY529" s="1867"/>
      <c r="BM529" s="1756">
        <f>SUM(BM528:BP528)</f>
        <v>0</v>
      </c>
      <c r="BN529" s="1757"/>
      <c r="BO529" s="1757"/>
      <c r="BP529" s="1758"/>
      <c r="BQ529" s="1756">
        <f>SUM(BQ528:BT528)</f>
        <v>0</v>
      </c>
      <c r="BR529" s="1757"/>
      <c r="BS529" s="1757"/>
      <c r="BT529" s="1758"/>
      <c r="BU529" s="1756">
        <f>SUM(BU528:BX528)</f>
        <v>2</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5</v>
      </c>
      <c r="AQ531" s="1863"/>
      <c r="AR531" s="1863"/>
      <c r="AS531" s="1863"/>
      <c r="AT531" s="1864"/>
      <c r="AU531" s="1862">
        <f>RANK(Y606,$Y$605:$AC$609,0)+COUNTIF($Y$605:$AC$609,Y606)-1</f>
        <v>5</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2</v>
      </c>
      <c r="AQ532" s="1863"/>
      <c r="AR532" s="1863"/>
      <c r="AS532" s="1863"/>
      <c r="AT532" s="1864"/>
      <c r="AU532" s="1862">
        <f>RANK(Y607,$Y$605:$AC$609,0)+COUNTIF($Y$605:$AC$609,Y607)-1</f>
        <v>1</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2</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6">
        <f>SUM(O605:S609)</f>
        <v>119</v>
      </c>
      <c r="AZ538" s="1747"/>
      <c r="CG538"/>
      <c r="CH538" s="1788" t="s">
        <v>812</v>
      </c>
      <c r="CI538" s="1515"/>
      <c r="CJ538" s="1515"/>
      <c r="CK538" s="151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6" t="str">
        <f>IF(AY538=BK565,"passed","failed")</f>
        <v>passed</v>
      </c>
      <c r="AT539" s="1748"/>
      <c r="AU539" s="1747"/>
      <c r="AV539" s="151"/>
      <c r="AW539" s="151"/>
      <c r="AX539" s="151"/>
      <c r="AY539" s="151"/>
      <c r="AZ539" s="152"/>
      <c r="CG539"/>
      <c r="CH539" s="1517"/>
      <c r="CI539" s="1518"/>
      <c r="CJ539" s="1518"/>
      <c r="CK539" s="1519"/>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390</v>
      </c>
      <c r="AF540" s="1682"/>
      <c r="AG540" s="1682"/>
      <c r="AH540" s="1682"/>
      <c r="AI540" s="1682"/>
      <c r="AJ540" s="1682"/>
      <c r="AK540" s="168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7"/>
      <c r="CI540" s="1518"/>
      <c r="CJ540" s="1518"/>
      <c r="CK540" s="1519"/>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193</v>
      </c>
      <c r="AH541" s="1684"/>
      <c r="AI541" s="1684"/>
      <c r="AJ541" s="1684"/>
      <c r="AK541" s="18"/>
      <c r="AL541" s="18"/>
      <c r="AM541" s="21"/>
      <c r="AN541" s="281"/>
      <c r="BE541" s="1756" t="s">
        <v>238</v>
      </c>
      <c r="BF541" s="1757"/>
      <c r="BG541" s="1757"/>
      <c r="BH541" s="1758"/>
      <c r="BI541" s="1756" t="s">
        <v>752</v>
      </c>
      <c r="BJ541" s="1757"/>
      <c r="BK541" s="1757"/>
      <c r="BL541" s="1758"/>
      <c r="BM541" s="1756" t="s">
        <v>753</v>
      </c>
      <c r="BN541" s="1757"/>
      <c r="BO541" s="1757"/>
      <c r="BP541" s="1758"/>
      <c r="BQ541" s="1756" t="s">
        <v>754</v>
      </c>
      <c r="BR541" s="1757"/>
      <c r="BS541" s="1757"/>
      <c r="BT541" s="1758"/>
      <c r="BU541" s="1756" t="s">
        <v>755</v>
      </c>
      <c r="BV541" s="1757"/>
      <c r="BW541" s="1757"/>
      <c r="BX541" s="1758"/>
      <c r="BY541" s="1756" t="s">
        <v>239</v>
      </c>
      <c r="BZ541" s="1757"/>
      <c r="CA541" s="1757"/>
      <c r="CB541" s="1758"/>
      <c r="CC541"/>
      <c r="CG541"/>
      <c r="CH541" s="1517"/>
      <c r="CI541" s="1518"/>
      <c r="CJ541" s="1518"/>
      <c r="CK541" s="1519"/>
    </row>
    <row r="542" spans="1:89" s="4" customFormat="1" ht="12.75" customHeight="1">
      <c r="A542" s="3"/>
      <c r="B542" s="1873" t="s">
        <v>1796</v>
      </c>
      <c r="C542" s="1873"/>
      <c r="D542" s="1873"/>
      <c r="E542" s="1873"/>
      <c r="F542" s="1873"/>
      <c r="G542" s="1873"/>
      <c r="H542" s="1873"/>
      <c r="I542" s="1873"/>
      <c r="J542" s="1873"/>
      <c r="K542" s="1873"/>
      <c r="L542" s="1873"/>
      <c r="M542" s="1873"/>
      <c r="N542" s="1873"/>
      <c r="O542" s="1873"/>
      <c r="P542" s="1873"/>
      <c r="Q542" s="1873"/>
      <c r="R542" s="1873"/>
      <c r="S542" s="1873"/>
      <c r="T542" s="1873"/>
      <c r="U542" s="1873"/>
      <c r="V542" s="1873"/>
      <c r="W542" s="1873"/>
      <c r="X542" s="1873"/>
      <c r="Y542" s="1873"/>
      <c r="Z542" s="1873"/>
      <c r="AA542" s="1873"/>
      <c r="AB542" s="1873"/>
      <c r="AC542" s="1873"/>
      <c r="AD542" s="1873"/>
      <c r="AE542" s="1873"/>
      <c r="AF542" s="1873"/>
      <c r="AG542" s="1873"/>
      <c r="AK542" s="21"/>
      <c r="AL542" s="21"/>
      <c r="AN542" s="281"/>
      <c r="AP542" s="446" t="s">
        <v>649</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4"/>
      <c r="CI542" s="1525"/>
      <c r="CJ542" s="1525"/>
      <c r="CK542" s="1526"/>
    </row>
    <row r="543" spans="1:89" s="4" customFormat="1" ht="12.75" customHeight="1">
      <c r="A543" s="20"/>
      <c r="B543" s="1873"/>
      <c r="C543" s="1873"/>
      <c r="D543" s="1873"/>
      <c r="E543" s="1873"/>
      <c r="F543" s="1873"/>
      <c r="G543" s="1873"/>
      <c r="H543" s="1873"/>
      <c r="I543" s="1873"/>
      <c r="J543" s="1873"/>
      <c r="K543" s="1873"/>
      <c r="L543" s="1873"/>
      <c r="M543" s="1873"/>
      <c r="N543" s="1873"/>
      <c r="O543" s="1873"/>
      <c r="P543" s="1873"/>
      <c r="Q543" s="1873"/>
      <c r="R543" s="1873"/>
      <c r="S543" s="1873"/>
      <c r="T543" s="1873"/>
      <c r="U543" s="1873"/>
      <c r="V543" s="1873"/>
      <c r="W543" s="1873"/>
      <c r="X543" s="1873"/>
      <c r="Y543" s="1873"/>
      <c r="Z543" s="1873"/>
      <c r="AA543" s="1873"/>
      <c r="AB543" s="1873"/>
      <c r="AC543" s="1873"/>
      <c r="AD543" s="1873"/>
      <c r="AE543" s="1873"/>
      <c r="AF543" s="1873"/>
      <c r="AG543" s="1873"/>
      <c r="AK543" s="163"/>
      <c r="AL543" s="163"/>
      <c r="AM543" s="163"/>
      <c r="AN543" s="281"/>
      <c r="AP543" s="449" t="s">
        <v>647</v>
      </c>
      <c r="AQ543" s="450"/>
      <c r="AR543" s="450"/>
      <c r="AS543" s="450"/>
      <c r="AT543" s="450"/>
      <c r="AU543" s="1778">
        <f>ROUNDUP(BK565*0.1,0)</f>
        <v>12</v>
      </c>
      <c r="AV543" s="1780"/>
      <c r="AW543" s="450"/>
      <c r="AX543" s="450">
        <f>AU543-AP545</f>
        <v>-48</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3"/>
      <c r="C544" s="1873"/>
      <c r="D544" s="1873"/>
      <c r="E544" s="1873"/>
      <c r="F544" s="1873"/>
      <c r="G544" s="1873"/>
      <c r="H544" s="1873"/>
      <c r="I544" s="1873"/>
      <c r="J544" s="1873"/>
      <c r="K544" s="1873"/>
      <c r="L544" s="1873"/>
      <c r="M544" s="1873"/>
      <c r="N544" s="1873"/>
      <c r="O544" s="1873"/>
      <c r="P544" s="1873"/>
      <c r="Q544" s="1873"/>
      <c r="R544" s="1873"/>
      <c r="S544" s="1873"/>
      <c r="T544" s="1873"/>
      <c r="U544" s="1873"/>
      <c r="V544" s="1873"/>
      <c r="W544" s="1873"/>
      <c r="X544" s="1873"/>
      <c r="Y544" s="1873"/>
      <c r="Z544" s="1873"/>
      <c r="AA544" s="1873"/>
      <c r="AB544" s="1873"/>
      <c r="AC544" s="1873"/>
      <c r="AD544" s="1873"/>
      <c r="AE544" s="1873"/>
      <c r="AF544" s="1873"/>
      <c r="AG544" s="1873"/>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3"/>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H545" s="162"/>
      <c r="AI545" s="162"/>
      <c r="AJ545" s="162"/>
      <c r="AK545" s="163"/>
      <c r="AL545" s="163"/>
      <c r="AM545" s="163"/>
      <c r="AN545" s="281"/>
      <c r="AP545" s="1845">
        <f>SUM(T605:X609)</f>
        <v>60</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62"/>
      <c r="AI546" s="162"/>
      <c r="AJ546" s="162"/>
      <c r="AK546" s="163"/>
      <c r="AL546" s="163"/>
      <c r="AM546" s="163"/>
      <c r="AN546" s="281"/>
      <c r="AP546" s="452"/>
      <c r="AQ546" s="453"/>
      <c r="AR546" s="453"/>
      <c r="AS546" s="453"/>
      <c r="AT546" s="454" t="s">
        <v>642</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7"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6" customHeight="1">
      <c r="B548" s="1759" t="s">
        <v>1569</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59" t="s">
        <v>1840</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642</v>
      </c>
      <c r="AU551" s="151"/>
      <c r="AV551" s="1746" t="str">
        <f>IF(BJ587&gt;0,"failed","passed")</f>
        <v>failed</v>
      </c>
      <c r="AW551" s="1748"/>
      <c r="AX551" s="1748"/>
      <c r="AY551" s="1747"/>
    </row>
    <row r="552" spans="2:89" s="4" customFormat="1" ht="12.6"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1570</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1839</v>
      </c>
      <c r="R556" s="1680"/>
      <c r="S556" s="1853" t="s">
        <v>218</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8"/>
      <c r="P557" s="1649"/>
      <c r="Q557" s="1677"/>
      <c r="R557" s="1678"/>
      <c r="S557" s="1760"/>
      <c r="T557" s="1760"/>
      <c r="U557" s="1678"/>
      <c r="V557" s="1678"/>
      <c r="W557" s="1678"/>
      <c r="X557" s="1678"/>
      <c r="Y557" s="1678"/>
      <c r="Z557" s="1678"/>
      <c r="AA557" s="1749"/>
      <c r="AB557" s="1749"/>
      <c r="AC557" s="1678"/>
      <c r="AD557" s="1678"/>
      <c r="AE557" s="1774"/>
      <c r="AF557" s="1775"/>
      <c r="AN557" s="281"/>
      <c r="AP557" s="144" t="s">
        <v>749</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8"/>
      <c r="P558" s="1649"/>
      <c r="Q558" s="1650"/>
      <c r="R558" s="1651"/>
      <c r="S558" s="1651"/>
      <c r="T558" s="1651"/>
      <c r="U558" s="1651"/>
      <c r="V558" s="1651"/>
      <c r="W558" s="1651"/>
      <c r="X558" s="1651"/>
      <c r="Y558" s="1665"/>
      <c r="Z558" s="1665"/>
      <c r="AA558" s="1651"/>
      <c r="AB558" s="1651"/>
      <c r="AC558" s="1665"/>
      <c r="AD558" s="1665"/>
      <c r="AE558" s="1670"/>
      <c r="AF558" s="1671"/>
      <c r="AN558" s="281"/>
      <c r="AP558"/>
      <c r="AQ558"/>
      <c r="AR558"/>
      <c r="AS558"/>
      <c r="AT558"/>
      <c r="AU558"/>
      <c r="AV558"/>
      <c r="AW558"/>
      <c r="AX558"/>
      <c r="AY558"/>
    </row>
    <row r="559" spans="2:89" s="4" customFormat="1" ht="12.75" customHeight="1">
      <c r="B559" s="63"/>
      <c r="I559" s="220"/>
      <c r="J559" s="162"/>
      <c r="N559" s="5"/>
      <c r="O559" s="1648"/>
      <c r="P559" s="1649"/>
      <c r="Q559" s="1650"/>
      <c r="R559" s="1651"/>
      <c r="S559" s="1651"/>
      <c r="T559" s="1651"/>
      <c r="U559" s="1651"/>
      <c r="V559" s="1651"/>
      <c r="W559" s="1651"/>
      <c r="X559" s="1651"/>
      <c r="Y559" s="1651"/>
      <c r="Z559" s="1651"/>
      <c r="AA559" s="1665"/>
      <c r="AB559" s="1665"/>
      <c r="AC559" s="1651"/>
      <c r="AD559" s="1651"/>
      <c r="AE559" s="1784"/>
      <c r="AF559" s="1785"/>
      <c r="AN559" s="281"/>
      <c r="AP559" s="153" t="s">
        <v>643</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8"/>
      <c r="P560" s="1649"/>
      <c r="Q560" s="1650"/>
      <c r="R560" s="1651"/>
      <c r="S560" s="1651"/>
      <c r="T560" s="1651"/>
      <c r="U560" s="1651"/>
      <c r="V560" s="1651"/>
      <c r="W560" s="1651"/>
      <c r="X560" s="1651"/>
      <c r="Y560" s="1665"/>
      <c r="Z560" s="1665"/>
      <c r="AA560" s="1651"/>
      <c r="AB560" s="1651"/>
      <c r="AC560" s="1665"/>
      <c r="AD560" s="1665"/>
      <c r="AE560" s="1670"/>
      <c r="AF560" s="1671"/>
      <c r="AN560" s="281"/>
    </row>
    <row r="561" spans="1:96" s="4" customFormat="1" ht="12.75" customHeight="1">
      <c r="B561" s="63"/>
      <c r="I561" s="220"/>
      <c r="J561" s="162"/>
      <c r="N561" s="5"/>
      <c r="O561" s="1648"/>
      <c r="P561" s="1649"/>
      <c r="Q561" s="1650"/>
      <c r="R561" s="1651"/>
      <c r="S561" s="1651"/>
      <c r="T561" s="1651"/>
      <c r="U561" s="1651"/>
      <c r="V561" s="1651"/>
      <c r="W561" s="1665"/>
      <c r="X561" s="1665"/>
      <c r="Y561" s="1651"/>
      <c r="Z561" s="1651"/>
      <c r="AA561" s="1665"/>
      <c r="AB561" s="1665"/>
      <c r="AC561" s="1651"/>
      <c r="AD561" s="1651"/>
      <c r="AE561" s="1784"/>
      <c r="AF561" s="1785"/>
      <c r="AN561" s="281"/>
    </row>
    <row r="562" spans="1:96" s="4" customFormat="1" ht="12.75" customHeight="1">
      <c r="B562" s="63"/>
      <c r="I562" s="220"/>
      <c r="J562" s="162"/>
      <c r="N562" s="5"/>
      <c r="O562" s="1648"/>
      <c r="P562" s="1649"/>
      <c r="Q562" s="1650"/>
      <c r="R562" s="1651"/>
      <c r="S562" s="1651"/>
      <c r="T562" s="1651"/>
      <c r="U562" s="1651"/>
      <c r="V562" s="1651"/>
      <c r="W562" s="1651"/>
      <c r="X562" s="1651"/>
      <c r="Y562" s="1665"/>
      <c r="Z562" s="1665"/>
      <c r="AA562" s="1651"/>
      <c r="AB562" s="1651"/>
      <c r="AC562" s="1665"/>
      <c r="AD562" s="1665"/>
      <c r="AE562" s="1670"/>
      <c r="AF562" s="1671"/>
      <c r="AN562" s="281"/>
      <c r="AU562" s="21"/>
      <c r="AV562" s="21"/>
      <c r="AW562" s="8"/>
      <c r="AX562" s="9"/>
      <c r="AY562" s="9"/>
      <c r="AZ562" s="60" t="s">
        <v>1173</v>
      </c>
      <c r="BA562" s="1789" t="s">
        <v>750</v>
      </c>
      <c r="BB562" s="1790"/>
      <c r="BC562" s="1790"/>
      <c r="BD562" s="1790"/>
      <c r="BE562" s="1791"/>
      <c r="BF562" s="1753">
        <f>SUM(O605:S609)</f>
        <v>119</v>
      </c>
      <c r="BG562" s="1754"/>
      <c r="BH562" s="1754"/>
      <c r="BI562" s="1754"/>
      <c r="BJ562" s="1755"/>
      <c r="BK562" s="1652">
        <f>SUM(T605:X609)</f>
        <v>60</v>
      </c>
      <c r="BL562" s="1653"/>
      <c r="BM562" s="1653"/>
      <c r="BN562" s="1653"/>
      <c r="BO562" s="1654"/>
    </row>
    <row r="563" spans="1:96" s="4" customFormat="1" ht="12.75" customHeight="1">
      <c r="B563" s="35"/>
      <c r="I563" s="1131" t="s">
        <v>1568</v>
      </c>
      <c r="J563" s="1132"/>
      <c r="K563" s="1132"/>
      <c r="L563" s="1132"/>
      <c r="M563" s="1132"/>
      <c r="N563" s="1133"/>
      <c r="O563" s="1648">
        <v>0.5</v>
      </c>
      <c r="P563" s="1649"/>
      <c r="Q563" s="1661"/>
      <c r="R563" s="1662"/>
      <c r="S563" s="1651"/>
      <c r="T563" s="1651"/>
      <c r="U563" s="1692" t="s">
        <v>1572</v>
      </c>
      <c r="V563" s="1692"/>
      <c r="W563" s="1664">
        <v>37.5</v>
      </c>
      <c r="X563" s="1664"/>
      <c r="Y563" s="1662"/>
      <c r="Z563" s="1662"/>
      <c r="AA563" s="1664"/>
      <c r="AB563" s="1664"/>
      <c r="AC563" s="1662"/>
      <c r="AD563" s="1662"/>
      <c r="AE563" s="1786"/>
      <c r="AF563" s="1787"/>
      <c r="AN563" s="281"/>
      <c r="CL563"/>
      <c r="CM563"/>
    </row>
    <row r="564" spans="1:96" s="4" customFormat="1" ht="12.75" customHeight="1">
      <c r="B564" s="120"/>
      <c r="C564" s="61"/>
      <c r="I564" s="1131"/>
      <c r="J564" s="1132"/>
      <c r="K564" s="1132"/>
      <c r="L564" s="1132"/>
      <c r="M564" s="1132"/>
      <c r="N564" s="1133"/>
      <c r="O564" s="1648">
        <v>0.45</v>
      </c>
      <c r="P564" s="1649"/>
      <c r="Q564" s="1650"/>
      <c r="R564" s="1651"/>
      <c r="S564" s="1651"/>
      <c r="T564" s="1651"/>
      <c r="U564" s="1663" t="s">
        <v>140</v>
      </c>
      <c r="V564" s="1663"/>
      <c r="W564" s="1665">
        <v>33.799999999999997</v>
      </c>
      <c r="X564" s="1665"/>
      <c r="Y564" s="1665"/>
      <c r="Z564" s="1665"/>
      <c r="AA564" s="1651"/>
      <c r="AB564" s="1651"/>
      <c r="AC564" s="1665"/>
      <c r="AD564" s="1665"/>
      <c r="AE564" s="1670"/>
      <c r="AF564" s="1671"/>
      <c r="AN564" s="281"/>
      <c r="CL564"/>
      <c r="CM564"/>
    </row>
    <row r="565" spans="1:96" s="4" customFormat="1" ht="12.75" customHeight="1">
      <c r="B565" s="5"/>
      <c r="C565" s="5"/>
      <c r="D565" s="5"/>
      <c r="E565" s="5"/>
      <c r="I565" s="1131"/>
      <c r="J565" s="1132"/>
      <c r="K565" s="1132"/>
      <c r="L565" s="1132"/>
      <c r="M565" s="1132"/>
      <c r="N565" s="1133"/>
      <c r="O565" s="1648">
        <v>0.4</v>
      </c>
      <c r="P565" s="1649"/>
      <c r="Q565" s="1650"/>
      <c r="R565" s="1651"/>
      <c r="S565" s="1663" t="s">
        <v>1571</v>
      </c>
      <c r="T565" s="1663"/>
      <c r="U565" s="1665">
        <v>20</v>
      </c>
      <c r="V565" s="1665"/>
      <c r="W565" s="1665">
        <v>30</v>
      </c>
      <c r="X565" s="1665"/>
      <c r="Y565" s="1665"/>
      <c r="Z565" s="1665"/>
      <c r="AA565" s="1665"/>
      <c r="AB565" s="1665"/>
      <c r="AC565" s="1665"/>
      <c r="AD565" s="1665"/>
      <c r="AE565" s="1670"/>
      <c r="AF565" s="1671"/>
      <c r="AN565" s="281"/>
      <c r="AP565" s="1854" t="s">
        <v>219</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119</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48">
        <v>0.35</v>
      </c>
      <c r="P566" s="1649"/>
      <c r="Q566" s="1650"/>
      <c r="R566" s="1651"/>
      <c r="S566" s="1663" t="s">
        <v>1841</v>
      </c>
      <c r="T566" s="1663"/>
      <c r="U566" s="1665">
        <v>17.5</v>
      </c>
      <c r="V566" s="1665"/>
      <c r="W566" s="1665">
        <v>26.3</v>
      </c>
      <c r="X566" s="1665"/>
      <c r="Y566" s="1665">
        <v>35</v>
      </c>
      <c r="Z566" s="1665"/>
      <c r="AA566" s="1665"/>
      <c r="AB566" s="1665"/>
      <c r="AC566" s="1665">
        <v>50</v>
      </c>
      <c r="AD566" s="1665"/>
      <c r="AE566" s="1670"/>
      <c r="AF566" s="1671"/>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48">
        <v>0.3</v>
      </c>
      <c r="P567" s="1649"/>
      <c r="Q567" s="1650"/>
      <c r="R567" s="1651"/>
      <c r="S567" s="1663" t="s">
        <v>1842</v>
      </c>
      <c r="T567" s="1663"/>
      <c r="U567" s="1665">
        <v>15</v>
      </c>
      <c r="V567" s="1665"/>
      <c r="W567" s="1665">
        <v>22.5</v>
      </c>
      <c r="X567" s="1665"/>
      <c r="Y567" s="1665">
        <v>30</v>
      </c>
      <c r="Z567" s="1665"/>
      <c r="AA567" s="1665">
        <v>37.5</v>
      </c>
      <c r="AB567" s="1665"/>
      <c r="AC567" s="1665">
        <v>45</v>
      </c>
      <c r="AD567" s="1665"/>
      <c r="AE567" s="1670"/>
      <c r="AF567" s="167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3">
        <v>5</v>
      </c>
      <c r="BK567" s="1194"/>
      <c r="BL567" s="1194"/>
      <c r="BM567" s="1194"/>
      <c r="BN567" s="1195"/>
      <c r="BO567" s="1193">
        <v>4</v>
      </c>
      <c r="BP567" s="1194"/>
      <c r="BQ567" s="1194"/>
      <c r="BR567" s="1194"/>
      <c r="BS567" s="1195"/>
      <c r="BT567" s="1193">
        <v>3</v>
      </c>
      <c r="BU567" s="1194"/>
      <c r="BV567" s="1194"/>
      <c r="BW567" s="1194"/>
      <c r="BX567" s="1195"/>
      <c r="BY567" s="1193">
        <v>2</v>
      </c>
      <c r="BZ567" s="1194"/>
      <c r="CA567" s="1194"/>
      <c r="CB567" s="1194"/>
      <c r="CC567" s="1195"/>
      <c r="CD567" s="1193">
        <v>1</v>
      </c>
      <c r="CE567" s="1194"/>
      <c r="CF567" s="1194"/>
      <c r="CG567" s="1194"/>
      <c r="CH567" s="1195"/>
      <c r="CI567" s="1193">
        <v>0</v>
      </c>
      <c r="CJ567" s="1194"/>
      <c r="CK567" s="1194"/>
      <c r="CL567" s="1194"/>
      <c r="CM567" s="1195"/>
      <c r="CN567" s="21"/>
      <c r="CO567" s="21"/>
      <c r="CP567" s="21"/>
      <c r="CQ567" s="21"/>
      <c r="CR567" s="21"/>
    </row>
    <row r="568" spans="1:96" s="4" customFormat="1" ht="12.75" customHeight="1">
      <c r="B568" s="5"/>
      <c r="C568" s="5"/>
      <c r="D568" s="5"/>
      <c r="E568" s="5"/>
      <c r="I568" s="1131"/>
      <c r="J568" s="1132"/>
      <c r="K568" s="1132"/>
      <c r="L568" s="1132"/>
      <c r="M568" s="1132"/>
      <c r="N568" s="1133"/>
      <c r="O568" s="1648">
        <v>0.25</v>
      </c>
      <c r="P568" s="1649"/>
      <c r="Q568" s="1650"/>
      <c r="R568" s="1651"/>
      <c r="S568" s="1663" t="s">
        <v>1843</v>
      </c>
      <c r="T568" s="1663"/>
      <c r="U568" s="1665">
        <v>12.5</v>
      </c>
      <c r="V568" s="1665"/>
      <c r="W568" s="1665">
        <v>18.8</v>
      </c>
      <c r="X568" s="1665"/>
      <c r="Y568" s="1665">
        <v>25</v>
      </c>
      <c r="Z568" s="1665"/>
      <c r="AA568" s="1665">
        <v>31.3</v>
      </c>
      <c r="AB568" s="1665"/>
      <c r="AC568" s="1665">
        <v>37.5</v>
      </c>
      <c r="AD568" s="1665"/>
      <c r="AE568" s="1670">
        <v>50</v>
      </c>
      <c r="AF568" s="1671"/>
      <c r="AN568" s="281"/>
      <c r="AP568" s="1750" t="str">
        <f t="shared" ref="AP568:AP574" si="0">J604</f>
        <v>5 BR</v>
      </c>
      <c r="AQ568" s="1751"/>
      <c r="AR568" s="1751"/>
      <c r="AS568" s="1751"/>
      <c r="AT568" s="1752"/>
      <c r="AU568" s="1319">
        <f t="shared" ref="AU568:AU573" si="1">O604</f>
        <v>0</v>
      </c>
      <c r="AV568" s="1320"/>
      <c r="AW568" s="1320"/>
      <c r="AX568" s="1320"/>
      <c r="AY568" s="1321"/>
      <c r="AZ568" s="1319">
        <f t="shared" ref="AZ568:AZ573" si="2">T604</f>
        <v>0</v>
      </c>
      <c r="BA568" s="1320"/>
      <c r="BB568" s="1320"/>
      <c r="BC568" s="1320"/>
      <c r="BD568" s="1321"/>
      <c r="BE568" s="1382">
        <f t="shared" ref="BE568:BE573" si="3">Y604</f>
        <v>0</v>
      </c>
      <c r="BF568" s="1383"/>
      <c r="BG568" s="1383"/>
      <c r="BH568" s="1383"/>
      <c r="BI568" s="1384"/>
      <c r="BJ568" s="1193">
        <f>IF(OR(AP578=0,BE568&gt;=0.1),0,1)</f>
        <v>0</v>
      </c>
      <c r="BK568" s="1194"/>
      <c r="BL568" s="1194"/>
      <c r="BM568" s="1194"/>
      <c r="BN568" s="1195"/>
      <c r="BO568" s="1193"/>
      <c r="BP568" s="1194"/>
      <c r="BQ568" s="1194"/>
      <c r="BR568" s="1194"/>
      <c r="BS568" s="1195"/>
      <c r="BT568" s="1193"/>
      <c r="BU568" s="1194"/>
      <c r="BV568" s="1194"/>
      <c r="BW568" s="1194"/>
      <c r="BX568" s="1195"/>
      <c r="BY568" s="1193"/>
      <c r="BZ568" s="1194"/>
      <c r="CA568" s="1194"/>
      <c r="CB568" s="1194"/>
      <c r="CC568" s="1195"/>
      <c r="CD568" s="1193"/>
      <c r="CE568" s="1194"/>
      <c r="CF568" s="1194"/>
      <c r="CG568" s="1194"/>
      <c r="CH568" s="1195"/>
      <c r="CI568" s="1193"/>
      <c r="CJ568" s="1194"/>
      <c r="CK568" s="1194"/>
      <c r="CL568" s="1194"/>
      <c r="CM568" s="1195"/>
      <c r="CN568" s="21"/>
      <c r="CO568" s="21"/>
      <c r="CP568" s="21"/>
      <c r="CQ568" s="21"/>
      <c r="CR568" s="21"/>
    </row>
    <row r="569" spans="1:96" s="4" customFormat="1" ht="12.75" customHeight="1">
      <c r="A569" s="120"/>
      <c r="B569" s="5"/>
      <c r="C569" s="5"/>
      <c r="D569" s="5"/>
      <c r="E569" s="5"/>
      <c r="I569" s="1131"/>
      <c r="J569" s="1132"/>
      <c r="K569" s="1132"/>
      <c r="L569" s="1132"/>
      <c r="M569" s="1132"/>
      <c r="N569" s="1133"/>
      <c r="O569" s="1648">
        <v>0.2</v>
      </c>
      <c r="P569" s="1649"/>
      <c r="Q569" s="1650"/>
      <c r="R569" s="1651"/>
      <c r="S569" s="1676" t="s">
        <v>1846</v>
      </c>
      <c r="T569" s="1676"/>
      <c r="U569" s="1665">
        <v>10</v>
      </c>
      <c r="V569" s="1665"/>
      <c r="W569" s="1665">
        <v>15</v>
      </c>
      <c r="X569" s="1665"/>
      <c r="Y569" s="1665">
        <v>20</v>
      </c>
      <c r="Z569" s="1665"/>
      <c r="AA569" s="1665">
        <v>25</v>
      </c>
      <c r="AB569" s="1665"/>
      <c r="AC569" s="1665">
        <v>30</v>
      </c>
      <c r="AD569" s="1665"/>
      <c r="AE569" s="1670">
        <v>40</v>
      </c>
      <c r="AF569" s="1671"/>
      <c r="AN569" s="281"/>
      <c r="AP569" s="1750" t="str">
        <f t="shared" si="0"/>
        <v>4 BR</v>
      </c>
      <c r="AQ569" s="1751"/>
      <c r="AR569" s="1751"/>
      <c r="AS569" s="1751"/>
      <c r="AT569" s="1752"/>
      <c r="AU569" s="1319">
        <f t="shared" si="1"/>
        <v>0</v>
      </c>
      <c r="AV569" s="1320"/>
      <c r="AW569" s="1320"/>
      <c r="AX569" s="1320"/>
      <c r="AY569" s="1321"/>
      <c r="AZ569" s="1319">
        <f t="shared" si="2"/>
        <v>0</v>
      </c>
      <c r="BA569" s="1320"/>
      <c r="BB569" s="1320"/>
      <c r="BC569" s="1320"/>
      <c r="BD569" s="1321"/>
      <c r="BE569" s="1382">
        <f t="shared" si="3"/>
        <v>0</v>
      </c>
      <c r="BF569" s="1383"/>
      <c r="BG569" s="1383"/>
      <c r="BH569" s="1383"/>
      <c r="BI569" s="1384"/>
      <c r="BJ569" s="1193"/>
      <c r="BK569" s="1194"/>
      <c r="BL569" s="1194"/>
      <c r="BM569" s="1194"/>
      <c r="BN569" s="1195"/>
      <c r="BO569" s="1193">
        <f>IF(AND(AND(AZ568=0,BJ568=0,AP579=1)),1,0)</f>
        <v>0</v>
      </c>
      <c r="BP569" s="1194"/>
      <c r="BQ569" s="1194"/>
      <c r="BR569" s="1194"/>
      <c r="BS569" s="1195"/>
      <c r="BT569" s="1193"/>
      <c r="BU569" s="1194"/>
      <c r="BV569" s="1194"/>
      <c r="BW569" s="1194"/>
      <c r="BX569" s="1195"/>
      <c r="BY569" s="1193"/>
      <c r="BZ569" s="1194"/>
      <c r="CA569" s="1194"/>
      <c r="CB569" s="1194"/>
      <c r="CC569" s="1195"/>
      <c r="CD569" s="1193"/>
      <c r="CE569" s="1194"/>
      <c r="CF569" s="1194"/>
      <c r="CG569" s="1194"/>
      <c r="CH569" s="1195"/>
      <c r="CI569" s="1193"/>
      <c r="CJ569" s="1194"/>
      <c r="CK569" s="1194"/>
      <c r="CL569" s="1194"/>
      <c r="CM569" s="1195"/>
      <c r="CN569" s="21"/>
      <c r="CO569" s="21"/>
      <c r="CP569" s="21"/>
      <c r="CQ569" s="21"/>
      <c r="CR569" s="21"/>
    </row>
    <row r="570" spans="1:96" s="4" customFormat="1" ht="12.75" customHeight="1">
      <c r="A570" s="120"/>
      <c r="B570" s="5"/>
      <c r="C570" s="5"/>
      <c r="D570" s="5"/>
      <c r="E570" s="5"/>
      <c r="I570" s="1131"/>
      <c r="J570" s="1132"/>
      <c r="K570" s="1132"/>
      <c r="L570" s="1132"/>
      <c r="M570" s="1132"/>
      <c r="N570" s="1133"/>
      <c r="O570" s="1648">
        <v>0.15</v>
      </c>
      <c r="P570" s="1649"/>
      <c r="Q570" s="1650"/>
      <c r="R570" s="1651"/>
      <c r="S570" s="1663" t="s">
        <v>1844</v>
      </c>
      <c r="T570" s="1663"/>
      <c r="U570" s="1665">
        <v>7.5</v>
      </c>
      <c r="V570" s="1665"/>
      <c r="W570" s="1665">
        <v>11.3</v>
      </c>
      <c r="X570" s="1665"/>
      <c r="Y570" s="1665">
        <v>15</v>
      </c>
      <c r="Z570" s="1665"/>
      <c r="AA570" s="1665">
        <v>18.8</v>
      </c>
      <c r="AB570" s="1665"/>
      <c r="AC570" s="1665">
        <v>22.5</v>
      </c>
      <c r="AD570" s="1665"/>
      <c r="AE570" s="1670">
        <v>30</v>
      </c>
      <c r="AF570" s="1671"/>
      <c r="AN570" s="281"/>
      <c r="AP570" s="1750" t="str">
        <f t="shared" si="0"/>
        <v>3 BR</v>
      </c>
      <c r="AQ570" s="1751"/>
      <c r="AR570" s="1751"/>
      <c r="AS570" s="1751"/>
      <c r="AT570" s="1752"/>
      <c r="AU570" s="1319">
        <f t="shared" si="1"/>
        <v>0</v>
      </c>
      <c r="AV570" s="1320"/>
      <c r="AW570" s="1320"/>
      <c r="AX570" s="1320"/>
      <c r="AY570" s="1321"/>
      <c r="AZ570" s="1319">
        <f t="shared" si="2"/>
        <v>0</v>
      </c>
      <c r="BA570" s="1320"/>
      <c r="BB570" s="1320"/>
      <c r="BC570" s="1320"/>
      <c r="BD570" s="1321"/>
      <c r="BE570" s="1382">
        <f t="shared" si="3"/>
        <v>0</v>
      </c>
      <c r="BF570" s="1383"/>
      <c r="BG570" s="1383"/>
      <c r="BH570" s="1383"/>
      <c r="BI570" s="1384"/>
      <c r="BJ570" s="1193"/>
      <c r="BK570" s="1194"/>
      <c r="BL570" s="1194"/>
      <c r="BM570" s="1194"/>
      <c r="BN570" s="1195"/>
      <c r="BO570" s="1193"/>
      <c r="BP570" s="1194"/>
      <c r="BQ570" s="1194"/>
      <c r="BR570" s="1194"/>
      <c r="BS570" s="1195"/>
      <c r="BT570" s="1193">
        <f>IF(AND(AND(AZ568+AZ569=0,BJ568+BO569=0,AP580=1)),1,0)</f>
        <v>0</v>
      </c>
      <c r="BU570" s="1194"/>
      <c r="BV570" s="1194"/>
      <c r="BW570" s="1194"/>
      <c r="BX570" s="1195"/>
      <c r="BY570" s="1193"/>
      <c r="BZ570" s="1194"/>
      <c r="CA570" s="1194"/>
      <c r="CB570" s="1194"/>
      <c r="CC570" s="1195"/>
      <c r="CD570" s="1193"/>
      <c r="CE570" s="1194"/>
      <c r="CF570" s="1194"/>
      <c r="CG570" s="1194"/>
      <c r="CH570" s="1195"/>
      <c r="CI570" s="1193"/>
      <c r="CJ570" s="1194"/>
      <c r="CK570" s="1194"/>
      <c r="CL570" s="1194"/>
      <c r="CM570" s="1195"/>
      <c r="CN570" s="21"/>
      <c r="CO570" s="21"/>
      <c r="CP570" s="21"/>
      <c r="CQ570" s="21"/>
      <c r="CR570" s="21"/>
    </row>
    <row r="571" spans="1:96" s="4" customFormat="1" ht="12.75" customHeight="1" thickBot="1">
      <c r="B571" s="5"/>
      <c r="C571" s="5"/>
      <c r="D571" s="5"/>
      <c r="E571" s="5"/>
      <c r="I571" s="1134"/>
      <c r="J571" s="1135"/>
      <c r="K571" s="1135"/>
      <c r="L571" s="1135"/>
      <c r="M571" s="1135"/>
      <c r="N571" s="1136"/>
      <c r="O571" s="1648">
        <v>0.1</v>
      </c>
      <c r="P571" s="1649"/>
      <c r="Q571" s="1674"/>
      <c r="R571" s="1675"/>
      <c r="S571" s="1663" t="s">
        <v>1845</v>
      </c>
      <c r="T571" s="1663"/>
      <c r="U571" s="1683">
        <v>5</v>
      </c>
      <c r="V571" s="1683"/>
      <c r="W571" s="1683">
        <v>7.5</v>
      </c>
      <c r="X571" s="1683"/>
      <c r="Y571" s="1683">
        <v>10</v>
      </c>
      <c r="Z571" s="1683"/>
      <c r="AA571" s="1683">
        <v>12.5</v>
      </c>
      <c r="AB571" s="1683"/>
      <c r="AC571" s="1683">
        <v>15</v>
      </c>
      <c r="AD571" s="1683"/>
      <c r="AE571" s="1885">
        <v>20</v>
      </c>
      <c r="AF571" s="1886"/>
      <c r="AK571" s="167"/>
      <c r="AL571" s="167"/>
      <c r="AM571" s="5"/>
      <c r="AN571" s="281"/>
      <c r="AP571" s="1750" t="str">
        <f t="shared" si="0"/>
        <v>2 BR</v>
      </c>
      <c r="AQ571" s="1751"/>
      <c r="AR571" s="1751"/>
      <c r="AS571" s="1751"/>
      <c r="AT571" s="1752"/>
      <c r="AU571" s="1319">
        <f t="shared" si="1"/>
        <v>27</v>
      </c>
      <c r="AV571" s="1320"/>
      <c r="AW571" s="1320"/>
      <c r="AX571" s="1320"/>
      <c r="AY571" s="1321"/>
      <c r="AZ571" s="1319">
        <f t="shared" si="2"/>
        <v>15</v>
      </c>
      <c r="BA571" s="1320"/>
      <c r="BB571" s="1320"/>
      <c r="BC571" s="1320"/>
      <c r="BD571" s="1321"/>
      <c r="BE571" s="1382">
        <f t="shared" si="3"/>
        <v>0.55555555555555558</v>
      </c>
      <c r="BF571" s="1383"/>
      <c r="BG571" s="1383"/>
      <c r="BH571" s="1383"/>
      <c r="BI571" s="1384"/>
      <c r="BJ571" s="1193"/>
      <c r="BK571" s="1194"/>
      <c r="BL571" s="1194"/>
      <c r="BM571" s="1194"/>
      <c r="BN571" s="1195"/>
      <c r="BO571" s="1193"/>
      <c r="BP571" s="1194"/>
      <c r="BQ571" s="1194"/>
      <c r="BR571" s="1194"/>
      <c r="BS571" s="1195"/>
      <c r="BT571" s="1193"/>
      <c r="BU571" s="1194"/>
      <c r="BV571" s="1194"/>
      <c r="BW571" s="1194"/>
      <c r="BX571" s="1195"/>
      <c r="BY571" s="1193">
        <f>IF(AND(AND(AZ568+AZ569+AZ570=0,BO569+BT570+BJ568=0,AP581=1)),1,0)</f>
        <v>0</v>
      </c>
      <c r="BZ571" s="1194"/>
      <c r="CA571" s="1194"/>
      <c r="CB571" s="1194"/>
      <c r="CC571" s="1195"/>
      <c r="CD571" s="1193"/>
      <c r="CE571" s="1194"/>
      <c r="CF571" s="1194"/>
      <c r="CG571" s="1194"/>
      <c r="CH571" s="1195"/>
      <c r="CI571" s="1193"/>
      <c r="CJ571" s="1194"/>
      <c r="CK571" s="1194"/>
      <c r="CL571" s="1194"/>
      <c r="CM571" s="1195"/>
      <c r="CN571" s="21"/>
      <c r="CO571" s="21"/>
      <c r="CP571" s="21"/>
      <c r="CQ571" s="21"/>
      <c r="CR571" s="21"/>
    </row>
    <row r="572" spans="1:96" s="4" customFormat="1" ht="12.75" customHeight="1">
      <c r="B572" s="5"/>
      <c r="C572" s="5"/>
      <c r="D572" s="5"/>
      <c r="E572" s="1176" t="s">
        <v>983</v>
      </c>
      <c r="F572" s="1542"/>
      <c r="G572" s="1542"/>
      <c r="H572" s="1542"/>
      <c r="I572" s="1542"/>
      <c r="J572" s="1542"/>
      <c r="K572" s="1542"/>
      <c r="L572" s="1542"/>
      <c r="M572" s="1542"/>
      <c r="N572" s="1542"/>
      <c r="O572" s="1542"/>
      <c r="P572" s="1542"/>
      <c r="Q572" s="1542"/>
      <c r="R572" s="1542"/>
      <c r="S572" s="1542"/>
      <c r="T572" s="1542"/>
      <c r="U572" s="1542"/>
      <c r="V572" s="1542"/>
      <c r="W572" s="1542"/>
      <c r="X572" s="1542"/>
      <c r="Y572" s="1542"/>
      <c r="Z572" s="1542"/>
      <c r="AA572" s="1542"/>
      <c r="AB572" s="1542"/>
      <c r="AC572" s="1542"/>
      <c r="AD572" s="1542"/>
      <c r="AE572" s="1542"/>
      <c r="AF572" s="1542"/>
      <c r="AG572" s="1542"/>
      <c r="AH572" s="1543"/>
      <c r="AK572" s="167"/>
      <c r="AL572" s="167"/>
      <c r="AM572" s="5"/>
      <c r="AN572" s="281"/>
      <c r="AP572" s="1750" t="str">
        <f t="shared" si="0"/>
        <v>1 BR</v>
      </c>
      <c r="AQ572" s="1751"/>
      <c r="AR572" s="1751"/>
      <c r="AS572" s="1751"/>
      <c r="AT572" s="1752"/>
      <c r="AU572" s="1319">
        <f t="shared" si="1"/>
        <v>92</v>
      </c>
      <c r="AV572" s="1320"/>
      <c r="AW572" s="1320"/>
      <c r="AX572" s="1320"/>
      <c r="AY572" s="1321"/>
      <c r="AZ572" s="1319">
        <f t="shared" si="2"/>
        <v>45</v>
      </c>
      <c r="BA572" s="1320"/>
      <c r="BB572" s="1320"/>
      <c r="BC572" s="1320"/>
      <c r="BD572" s="1321"/>
      <c r="BE572" s="1382">
        <f t="shared" si="3"/>
        <v>0.4891304347826087</v>
      </c>
      <c r="BF572" s="1383"/>
      <c r="BG572" s="1383"/>
      <c r="BH572" s="1383"/>
      <c r="BI572" s="1384"/>
      <c r="BJ572" s="1193"/>
      <c r="BK572" s="1194"/>
      <c r="BL572" s="1194"/>
      <c r="BM572" s="1194"/>
      <c r="BN572" s="1195"/>
      <c r="BO572" s="1193"/>
      <c r="BP572" s="1194"/>
      <c r="BQ572" s="1194"/>
      <c r="BR572" s="1194"/>
      <c r="BS572" s="1195"/>
      <c r="BT572" s="1193"/>
      <c r="BU572" s="1194"/>
      <c r="BV572" s="1194"/>
      <c r="BW572" s="1194"/>
      <c r="BX572" s="1195"/>
      <c r="BY572" s="1193"/>
      <c r="BZ572" s="1194"/>
      <c r="CA572" s="1194"/>
      <c r="CB572" s="1194"/>
      <c r="CC572" s="1195"/>
      <c r="CD572" s="1193">
        <f>IF(AND(AND(BE569+BE570+BE571+BE568=0,BT570+BY571+BO569+BJ568=0,AP582=1)),1,0)</f>
        <v>0</v>
      </c>
      <c r="CE572" s="1194"/>
      <c r="CF572" s="1194"/>
      <c r="CG572" s="1194"/>
      <c r="CH572" s="1195"/>
      <c r="CI572" s="1193"/>
      <c r="CJ572" s="1194"/>
      <c r="CK572" s="1194"/>
      <c r="CL572" s="1194"/>
      <c r="CM572" s="1195"/>
      <c r="CN572" s="21"/>
      <c r="CO572" s="21"/>
      <c r="CP572" s="21"/>
      <c r="CQ572" s="21"/>
      <c r="CR572" s="21"/>
    </row>
    <row r="573" spans="1:96" s="4" customFormat="1" ht="12.75" customHeight="1">
      <c r="E573" s="1848"/>
      <c r="F573" s="1547"/>
      <c r="G573" s="1547"/>
      <c r="H573" s="1547"/>
      <c r="I573" s="1547"/>
      <c r="J573" s="1547"/>
      <c r="K573" s="1547"/>
      <c r="L573" s="1547"/>
      <c r="M573" s="1547"/>
      <c r="N573" s="1547"/>
      <c r="O573" s="1547"/>
      <c r="P573" s="1547"/>
      <c r="Q573" s="1547"/>
      <c r="R573" s="1547"/>
      <c r="S573" s="1547"/>
      <c r="T573" s="1547"/>
      <c r="U573" s="1547"/>
      <c r="V573" s="1547"/>
      <c r="W573" s="1547"/>
      <c r="X573" s="1547"/>
      <c r="Y573" s="1547"/>
      <c r="Z573" s="1547"/>
      <c r="AA573" s="1547"/>
      <c r="AB573" s="1547"/>
      <c r="AC573" s="1547"/>
      <c r="AD573" s="1547"/>
      <c r="AE573" s="1547"/>
      <c r="AF573" s="1547"/>
      <c r="AG573" s="1547"/>
      <c r="AH573" s="1849"/>
      <c r="AN573" s="281"/>
      <c r="AP573" s="1750" t="str">
        <f t="shared" si="0"/>
        <v>SRO</v>
      </c>
      <c r="AQ573" s="1751"/>
      <c r="AR573" s="1751"/>
      <c r="AS573" s="1751"/>
      <c r="AT573" s="1752"/>
      <c r="AU573" s="1319">
        <f t="shared" si="1"/>
        <v>0</v>
      </c>
      <c r="AV573" s="1320"/>
      <c r="AW573" s="1320"/>
      <c r="AX573" s="1320"/>
      <c r="AY573" s="1321"/>
      <c r="AZ573" s="1319">
        <f t="shared" si="2"/>
        <v>0</v>
      </c>
      <c r="BA573" s="1320"/>
      <c r="BB573" s="1320"/>
      <c r="BC573" s="1320"/>
      <c r="BD573" s="1321"/>
      <c r="BE573" s="1382">
        <f t="shared" si="3"/>
        <v>0</v>
      </c>
      <c r="BF573" s="1383"/>
      <c r="BG573" s="1383"/>
      <c r="BH573" s="1383"/>
      <c r="BI573" s="1384"/>
      <c r="BJ573" s="1193"/>
      <c r="BK573" s="1194"/>
      <c r="BL573" s="1194"/>
      <c r="BM573" s="1194"/>
      <c r="BN573" s="1195"/>
      <c r="BO573" s="1193"/>
      <c r="BP573" s="1194"/>
      <c r="BQ573" s="1194"/>
      <c r="BR573" s="1194"/>
      <c r="BS573" s="1195"/>
      <c r="BT573" s="1193"/>
      <c r="BU573" s="1194"/>
      <c r="BV573" s="1194"/>
      <c r="BW573" s="1194"/>
      <c r="BX573" s="1195"/>
      <c r="BY573" s="1193"/>
      <c r="BZ573" s="1194"/>
      <c r="CA573" s="1194"/>
      <c r="CB573" s="1194"/>
      <c r="CC573" s="1195"/>
      <c r="CD573" s="1193"/>
      <c r="CE573" s="1194"/>
      <c r="CF573" s="1194"/>
      <c r="CG573" s="1194"/>
      <c r="CH573" s="1195"/>
      <c r="CI573" s="1193">
        <f>IF(AND(AND(AZ570+AZ571+AZ572+AZ569+AZ568=0,BY571+CD572+BT570+BO569+BJ568=0,AP583=1)),1,0)</f>
        <v>0</v>
      </c>
      <c r="CJ573" s="1194"/>
      <c r="CK573" s="1194"/>
      <c r="CL573" s="1194"/>
      <c r="CM573" s="1195"/>
      <c r="CN573" s="21"/>
      <c r="CO573" s="21"/>
      <c r="CP573" s="21"/>
      <c r="CQ573" s="21"/>
      <c r="CR573" s="21"/>
    </row>
    <row r="574" spans="1:96" s="4" customFormat="1" ht="12.75" customHeight="1">
      <c r="E574" s="1879" t="s">
        <v>1578</v>
      </c>
      <c r="F574" s="1880"/>
      <c r="G574" s="1880"/>
      <c r="H574" s="1880"/>
      <c r="I574" s="1880"/>
      <c r="J574" s="1881"/>
      <c r="K574" s="1879" t="s">
        <v>1837</v>
      </c>
      <c r="L574" s="1880"/>
      <c r="M574" s="1880"/>
      <c r="N574" s="1880"/>
      <c r="O574" s="1880"/>
      <c r="P574" s="1881"/>
      <c r="Q574" s="1128" t="s">
        <v>1574</v>
      </c>
      <c r="R574" s="1129"/>
      <c r="S574" s="1129"/>
      <c r="T574" s="1129"/>
      <c r="U574" s="1129"/>
      <c r="V574" s="1130"/>
      <c r="W574" s="1128" t="str">
        <f>I563</f>
        <v>Percent of Low-Income Units (exclusive of manager’s units)</v>
      </c>
      <c r="X574" s="1129"/>
      <c r="Y574" s="1129"/>
      <c r="Z574" s="1129"/>
      <c r="AA574" s="1129"/>
      <c r="AB574" s="1130"/>
      <c r="AC574" s="1128" t="s">
        <v>1577</v>
      </c>
      <c r="AD574" s="1129"/>
      <c r="AE574" s="1129"/>
      <c r="AF574" s="1129"/>
      <c r="AG574" s="1129"/>
      <c r="AH574" s="1130"/>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3">
        <f>SUM(BJ568:BN573)</f>
        <v>0</v>
      </c>
      <c r="BK574" s="1194"/>
      <c r="BL574" s="1194"/>
      <c r="BM574" s="1194"/>
      <c r="BN574" s="1195"/>
      <c r="BO574" s="1193">
        <f>SUM(BO568:BS573)</f>
        <v>0</v>
      </c>
      <c r="BP574" s="1194"/>
      <c r="BQ574" s="1194"/>
      <c r="BR574" s="1194"/>
      <c r="BS574" s="1195"/>
      <c r="BT574" s="1193">
        <f>SUM(BT568:BX573)</f>
        <v>0</v>
      </c>
      <c r="BU574" s="1194"/>
      <c r="BV574" s="1194"/>
      <c r="BW574" s="1194"/>
      <c r="BX574" s="1195"/>
      <c r="BY574" s="1193">
        <f>SUM(BY568:CC573)</f>
        <v>0</v>
      </c>
      <c r="BZ574" s="1194"/>
      <c r="CA574" s="1194"/>
      <c r="CB574" s="1194"/>
      <c r="CC574" s="1195"/>
      <c r="CD574" s="1193">
        <f>SUM(CD568:CH573)</f>
        <v>0</v>
      </c>
      <c r="CE574" s="1194"/>
      <c r="CF574" s="1194"/>
      <c r="CG574" s="1194"/>
      <c r="CH574" s="1195"/>
      <c r="CI574" s="1193">
        <f>SUM(CI568:CM573)</f>
        <v>0</v>
      </c>
      <c r="CJ574" s="1194"/>
      <c r="CK574" s="1194"/>
      <c r="CL574" s="1194"/>
      <c r="CM574" s="1195"/>
      <c r="CN574" s="1193">
        <f>SUM(BJ574:CM574)</f>
        <v>0</v>
      </c>
      <c r="CO574" s="1194"/>
      <c r="CP574" s="1194"/>
      <c r="CQ574" s="1194"/>
      <c r="CR574" s="1195"/>
    </row>
    <row r="575" spans="1:96" s="4" customFormat="1" ht="12.75" customHeight="1">
      <c r="E575" s="1882"/>
      <c r="F575" s="1883"/>
      <c r="G575" s="1883"/>
      <c r="H575" s="1883"/>
      <c r="I575" s="1883"/>
      <c r="J575" s="1884"/>
      <c r="K575" s="1882"/>
      <c r="L575" s="1883"/>
      <c r="M575" s="1883"/>
      <c r="N575" s="1883"/>
      <c r="O575" s="1883"/>
      <c r="P575" s="1884"/>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2"/>
      <c r="F576" s="1883"/>
      <c r="G576" s="1883"/>
      <c r="H576" s="1883"/>
      <c r="I576" s="1883"/>
      <c r="J576" s="1884"/>
      <c r="K576" s="1882"/>
      <c r="L576" s="1883"/>
      <c r="M576" s="1883"/>
      <c r="N576" s="1883"/>
      <c r="O576" s="1883"/>
      <c r="P576" s="1884"/>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2"/>
      <c r="F577" s="1883"/>
      <c r="G577" s="1883"/>
      <c r="H577" s="1883"/>
      <c r="I577" s="1883"/>
      <c r="J577" s="1884"/>
      <c r="K577" s="1882"/>
      <c r="L577" s="1883"/>
      <c r="M577" s="1883"/>
      <c r="N577" s="1883"/>
      <c r="O577" s="1883"/>
      <c r="P577" s="1884"/>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1174</v>
      </c>
      <c r="BH577" s="3" t="s">
        <v>1175</v>
      </c>
    </row>
    <row r="578" spans="2:69" s="4" customFormat="1" ht="12.75" customHeight="1">
      <c r="E578" s="1666"/>
      <c r="F578" s="1667"/>
      <c r="G578" s="1667"/>
      <c r="H578" s="1667"/>
      <c r="I578" s="1667"/>
      <c r="J578" s="1668"/>
      <c r="K578" s="1652">
        <v>20</v>
      </c>
      <c r="L578" s="1653"/>
      <c r="M578" s="1653"/>
      <c r="N578" s="1653"/>
      <c r="O578" s="1653"/>
      <c r="P578" s="1654"/>
      <c r="Q578" s="1655">
        <f>IF(ISERROR(IF((((E578/$BJ$525)*100)&gt;100),"EXCESSIVE VALUE",(E578/$BJ$525)*100)),0,IF((((E578/$BJ$525)*100)&gt;100),"EXCESSIVE VALUE",(E578/$BJ$525)*100))</f>
        <v>0</v>
      </c>
      <c r="R578" s="1656"/>
      <c r="S578" s="1656"/>
      <c r="T578" s="1656"/>
      <c r="U578" s="1656"/>
      <c r="V578" s="1657"/>
      <c r="W578" s="1658">
        <f>IF(FLOOR(Q578,5)&gt;80,80,FLOOR(Q578,5))</f>
        <v>0</v>
      </c>
      <c r="X578" s="1659"/>
      <c r="Y578" s="1659"/>
      <c r="Z578" s="1659"/>
      <c r="AA578" s="1659"/>
      <c r="AB578" s="1660"/>
      <c r="AC578" s="1658">
        <f t="shared" ref="AC578:AC583" si="4">IFERROR(IF(W578&gt;0,INDEX($BI$504:$BP$518,MATCH(W578,$BH$504:$BH$518,0),MATCH(K578,$BI$503:$BP$503,0)),0),0)</f>
        <v>0</v>
      </c>
      <c r="AD578" s="1659"/>
      <c r="AE578" s="1659"/>
      <c r="AF578" s="1659"/>
      <c r="AG578" s="1659"/>
      <c r="AH578" s="1660"/>
      <c r="AN578" s="281"/>
      <c r="AO578" s="4">
        <v>5</v>
      </c>
      <c r="AP578" s="1652">
        <f t="shared" ref="AP578:AP583" si="5">IF(OR(BE568&gt;=0.1,BE568=0),0,1)</f>
        <v>0</v>
      </c>
      <c r="AQ578" s="1653"/>
      <c r="AR578" s="1653"/>
      <c r="AS578" s="1653"/>
      <c r="AT578" s="1654"/>
      <c r="AX578" s="1746" t="s">
        <v>832</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66">
        <v>60</v>
      </c>
      <c r="F579" s="1667"/>
      <c r="G579" s="1667"/>
      <c r="H579" s="1667"/>
      <c r="I579" s="1667"/>
      <c r="J579" s="1668"/>
      <c r="K579" s="1652">
        <v>30</v>
      </c>
      <c r="L579" s="1653"/>
      <c r="M579" s="1653"/>
      <c r="N579" s="1653"/>
      <c r="O579" s="1653"/>
      <c r="P579" s="1654"/>
      <c r="Q579" s="1655">
        <f t="shared" ref="Q579:Q586" si="6">IF(ISERROR(IF((((E579/$BJ$525)*100)&gt;100),"EXCESSIVE VALUE",(E579/$BJ$525)*100)),0,IF((((E579/$BJ$525)*100)&gt;100),"EXCESSIVE VALUE",(E579/$BJ$525)*100))</f>
        <v>50.420168067226889</v>
      </c>
      <c r="R579" s="1656"/>
      <c r="S579" s="1656"/>
      <c r="T579" s="1656"/>
      <c r="U579" s="1656"/>
      <c r="V579" s="1657"/>
      <c r="W579" s="1658">
        <f>IF(FLOOR(Q579,5)&gt;80,80,FLOOR(Q579,5))</f>
        <v>50</v>
      </c>
      <c r="X579" s="1659"/>
      <c r="Y579" s="1659"/>
      <c r="Z579" s="1659"/>
      <c r="AA579" s="1659"/>
      <c r="AB579" s="1660"/>
      <c r="AC579" s="1658">
        <f t="shared" si="4"/>
        <v>50</v>
      </c>
      <c r="AD579" s="1659"/>
      <c r="AE579" s="1659"/>
      <c r="AF579" s="1659"/>
      <c r="AG579" s="1659"/>
      <c r="AH579" s="1660"/>
      <c r="AN579" s="281"/>
      <c r="AO579" s="4">
        <v>4</v>
      </c>
      <c r="AP579" s="1652">
        <f t="shared" si="5"/>
        <v>0</v>
      </c>
      <c r="AQ579" s="1653"/>
      <c r="AR579" s="1653"/>
      <c r="AS579" s="1653"/>
      <c r="AT579" s="1654"/>
      <c r="AX579" s="1766" t="s">
        <v>652</v>
      </c>
      <c r="AY579" s="1767"/>
      <c r="AZ579" s="1249" t="s">
        <v>652</v>
      </c>
      <c r="BA579" s="1250"/>
      <c r="BB579" s="1766" t="s">
        <v>280</v>
      </c>
      <c r="BC579" s="1767"/>
      <c r="BD579" s="1756" t="s">
        <v>280</v>
      </c>
      <c r="BE579" s="1758"/>
      <c r="BF579" s="1766" t="s">
        <v>279</v>
      </c>
      <c r="BG579" s="1767"/>
      <c r="BH579" s="1756" t="s">
        <v>279</v>
      </c>
      <c r="BI579" s="1758"/>
      <c r="BJ579" s="1766" t="s">
        <v>278</v>
      </c>
      <c r="BK579" s="1767"/>
      <c r="BL579" s="1756" t="s">
        <v>278</v>
      </c>
      <c r="BM579" s="1758"/>
      <c r="BN579" s="1766" t="s">
        <v>651</v>
      </c>
      <c r="BO579" s="1767"/>
      <c r="BP579" s="1756" t="s">
        <v>651</v>
      </c>
      <c r="BQ579" s="1758"/>
    </row>
    <row r="580" spans="2:69" s="4" customFormat="1" ht="12.75" customHeight="1">
      <c r="E580" s="1666"/>
      <c r="F580" s="1667"/>
      <c r="G580" s="1667"/>
      <c r="H580" s="1667"/>
      <c r="I580" s="1667"/>
      <c r="J580" s="1668"/>
      <c r="K580" s="1652">
        <v>35</v>
      </c>
      <c r="L580" s="1653"/>
      <c r="M580" s="1653"/>
      <c r="N580" s="1653"/>
      <c r="O580" s="1653"/>
      <c r="P580" s="1654"/>
      <c r="Q580" s="1655">
        <f t="shared" si="6"/>
        <v>0</v>
      </c>
      <c r="R580" s="1656"/>
      <c r="S580" s="1656"/>
      <c r="T580" s="1656"/>
      <c r="U580" s="1656"/>
      <c r="V580" s="1657"/>
      <c r="W580" s="1658">
        <f t="shared" ref="W580:W586" si="7">IF(FLOOR(Q580,5)&gt;80,80,FLOOR(Q580,5))</f>
        <v>0</v>
      </c>
      <c r="X580" s="1659"/>
      <c r="Y580" s="1659"/>
      <c r="Z580" s="1659"/>
      <c r="AA580" s="1659"/>
      <c r="AB580" s="1660"/>
      <c r="AC580" s="1658">
        <f t="shared" si="4"/>
        <v>0</v>
      </c>
      <c r="AD580" s="1659"/>
      <c r="AE580" s="1659"/>
      <c r="AF580" s="1659"/>
      <c r="AG580" s="1659"/>
      <c r="AH580" s="1660"/>
      <c r="AN580" s="281"/>
      <c r="AO580" s="4">
        <v>3</v>
      </c>
      <c r="AP580" s="1652">
        <f t="shared" si="5"/>
        <v>0</v>
      </c>
      <c r="AQ580" s="1653"/>
      <c r="AR580" s="1653"/>
      <c r="AS580" s="1653"/>
      <c r="AT580" s="1654"/>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6"/>
      <c r="F581" s="1667"/>
      <c r="G581" s="1667"/>
      <c r="H581" s="1667"/>
      <c r="I581" s="1667"/>
      <c r="J581" s="1668"/>
      <c r="K581" s="1652">
        <v>40</v>
      </c>
      <c r="L581" s="1653"/>
      <c r="M581" s="1653"/>
      <c r="N581" s="1653"/>
      <c r="O581" s="1653"/>
      <c r="P581" s="1654"/>
      <c r="Q581" s="1655">
        <f t="shared" si="6"/>
        <v>0</v>
      </c>
      <c r="R581" s="1656"/>
      <c r="S581" s="1656"/>
      <c r="T581" s="1656"/>
      <c r="U581" s="1656"/>
      <c r="V581" s="1657"/>
      <c r="W581" s="1658">
        <f t="shared" si="7"/>
        <v>0</v>
      </c>
      <c r="X581" s="1659"/>
      <c r="Y581" s="1659"/>
      <c r="Z581" s="1659"/>
      <c r="AA581" s="1659"/>
      <c r="AB581" s="1660"/>
      <c r="AC581" s="1658">
        <f t="shared" si="4"/>
        <v>0</v>
      </c>
      <c r="AD581" s="1659"/>
      <c r="AE581" s="1659"/>
      <c r="AF581" s="1659"/>
      <c r="AG581" s="1659"/>
      <c r="AH581" s="1660"/>
      <c r="AN581" s="281"/>
      <c r="AO581" s="4">
        <v>2</v>
      </c>
      <c r="AP581" s="1652">
        <f t="shared" si="5"/>
        <v>0</v>
      </c>
      <c r="AQ581" s="1653"/>
      <c r="AR581" s="1653"/>
      <c r="AS581" s="1653"/>
      <c r="AT581" s="1654"/>
      <c r="AX581" s="1764"/>
      <c r="AY581" s="1765"/>
      <c r="AZ581" s="1746"/>
      <c r="BA581" s="1747"/>
      <c r="BB581" s="1766">
        <f>IF(AP531=1,1,0)</f>
        <v>0</v>
      </c>
      <c r="BC581" s="1767"/>
      <c r="BD581" s="1746"/>
      <c r="BE581" s="1747"/>
      <c r="BF581" s="1764"/>
      <c r="BG581" s="1765"/>
      <c r="BH581" s="1756">
        <f>IF(AND(T606&gt;0,AP531&gt;0),1,0)</f>
        <v>0</v>
      </c>
      <c r="BI581" s="1758"/>
      <c r="BJ581" s="1764"/>
      <c r="BK581" s="1765"/>
      <c r="BL581" s="1756">
        <f>IF(AND(T606&gt;0,AP531&gt;0),1,0)</f>
        <v>0</v>
      </c>
      <c r="BM581" s="1758"/>
      <c r="BN581" s="1764"/>
      <c r="BO581" s="1765"/>
      <c r="BP581" s="1756">
        <f>IF(AND(T606&gt;0,AP531&gt;0),1,0)</f>
        <v>0</v>
      </c>
      <c r="BQ581" s="1758"/>
    </row>
    <row r="582" spans="2:69" s="4" customFormat="1" ht="12.75" customHeight="1">
      <c r="E582" s="1666"/>
      <c r="F582" s="1667"/>
      <c r="G582" s="1667"/>
      <c r="H582" s="1667"/>
      <c r="I582" s="1667"/>
      <c r="J582" s="1668"/>
      <c r="K582" s="1652">
        <v>45</v>
      </c>
      <c r="L582" s="1653"/>
      <c r="M582" s="1653"/>
      <c r="N582" s="1653"/>
      <c r="O582" s="1653"/>
      <c r="P582" s="1654"/>
      <c r="Q582" s="1655">
        <f t="shared" si="6"/>
        <v>0</v>
      </c>
      <c r="R582" s="1656"/>
      <c r="S582" s="1656"/>
      <c r="T582" s="1656"/>
      <c r="U582" s="1656"/>
      <c r="V582" s="1657"/>
      <c r="W582" s="1658">
        <f>IF(FLOOR(Q582,5)&gt;65,65,FLOOR(Q582,5))</f>
        <v>0</v>
      </c>
      <c r="X582" s="1659"/>
      <c r="Y582" s="1659"/>
      <c r="Z582" s="1659"/>
      <c r="AA582" s="1659"/>
      <c r="AB582" s="1660"/>
      <c r="AC582" s="1658">
        <f t="shared" si="4"/>
        <v>0</v>
      </c>
      <c r="AD582" s="1659"/>
      <c r="AE582" s="1659"/>
      <c r="AF582" s="1659"/>
      <c r="AG582" s="1659"/>
      <c r="AH582" s="1660"/>
      <c r="AN582" s="281"/>
      <c r="AO582" s="4">
        <v>1</v>
      </c>
      <c r="AP582" s="1652">
        <f t="shared" si="5"/>
        <v>0</v>
      </c>
      <c r="AQ582" s="1653"/>
      <c r="AR582" s="1653"/>
      <c r="AS582" s="1653"/>
      <c r="AT582" s="1654"/>
      <c r="AX582" s="1764"/>
      <c r="AY582" s="1765"/>
      <c r="AZ582" s="1746"/>
      <c r="BA582" s="1747"/>
      <c r="BB582" s="1764"/>
      <c r="BC582" s="1765"/>
      <c r="BD582" s="1746"/>
      <c r="BE582" s="1747"/>
      <c r="BF582" s="1766">
        <f>IF(AP532=1,1,0)</f>
        <v>0</v>
      </c>
      <c r="BG582" s="1767"/>
      <c r="BH582" s="1746"/>
      <c r="BI582" s="1747"/>
      <c r="BJ582" s="1764"/>
      <c r="BK582" s="1765"/>
      <c r="BL582" s="1756">
        <f>IF(AND(T607&gt;0,AP532&gt;0),1,0)</f>
        <v>1</v>
      </c>
      <c r="BM582" s="1758"/>
      <c r="BN582" s="1764"/>
      <c r="BO582" s="1765"/>
      <c r="BP582" s="1756">
        <f>IF(AND(T607&gt;0,AP532&gt;0),1,0)</f>
        <v>1</v>
      </c>
      <c r="BQ582" s="1758"/>
    </row>
    <row r="583" spans="2:69" s="4" customFormat="1" ht="12.75" customHeight="1">
      <c r="E583" s="1666">
        <f>35+12</f>
        <v>47</v>
      </c>
      <c r="F583" s="1667"/>
      <c r="G583" s="1667"/>
      <c r="H583" s="1667"/>
      <c r="I583" s="1667"/>
      <c r="J583" s="1668"/>
      <c r="K583" s="1652">
        <v>50</v>
      </c>
      <c r="L583" s="1653"/>
      <c r="M583" s="1653"/>
      <c r="N583" s="1653"/>
      <c r="O583" s="1653"/>
      <c r="P583" s="1654"/>
      <c r="Q583" s="1655">
        <f t="shared" si="6"/>
        <v>39.495798319327733</v>
      </c>
      <c r="R583" s="1656"/>
      <c r="S583" s="1656"/>
      <c r="T583" s="1656"/>
      <c r="U583" s="1656"/>
      <c r="V583" s="1657"/>
      <c r="W583" s="1658">
        <f>IF(FLOOR(Q583,5)&gt;40,40,FLOOR(Q583,5))</f>
        <v>35</v>
      </c>
      <c r="X583" s="1659"/>
      <c r="Y583" s="1659"/>
      <c r="Z583" s="1659"/>
      <c r="AA583" s="1659"/>
      <c r="AB583" s="1660"/>
      <c r="AC583" s="1658">
        <f t="shared" si="4"/>
        <v>17.5</v>
      </c>
      <c r="AD583" s="1659"/>
      <c r="AE583" s="1659"/>
      <c r="AF583" s="1659"/>
      <c r="AG583" s="1659"/>
      <c r="AH583" s="1660"/>
      <c r="AN583" s="281"/>
      <c r="AO583" s="4">
        <v>0</v>
      </c>
      <c r="AP583" s="1652">
        <f t="shared" si="5"/>
        <v>0</v>
      </c>
      <c r="AQ583" s="1653"/>
      <c r="AR583" s="1653"/>
      <c r="AS583" s="1653"/>
      <c r="AT583" s="1654"/>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0</v>
      </c>
      <c r="L584" s="1735"/>
      <c r="M584" s="1736" t="s">
        <v>1931</v>
      </c>
      <c r="N584" s="1736"/>
      <c r="O584" s="1736"/>
      <c r="P584" s="1737"/>
      <c r="Q584" s="1655">
        <f t="shared" si="6"/>
        <v>0</v>
      </c>
      <c r="R584" s="1656"/>
      <c r="S584" s="1656"/>
      <c r="T584" s="1656"/>
      <c r="U584" s="1656"/>
      <c r="V584" s="1657"/>
      <c r="W584" s="1658">
        <f>IF(FLOOR(Q584,5)&gt;50,50,FLOOR(Q584,5))</f>
        <v>0</v>
      </c>
      <c r="X584" s="1659"/>
      <c r="Y584" s="1659"/>
      <c r="Z584" s="1659"/>
      <c r="AA584" s="1659"/>
      <c r="AB584" s="1660"/>
      <c r="AC584" s="1658">
        <f>IFERROR(IF(W584&gt;0,INDEX($AT$504:$BA$518,MATCH(W584,$AS$504:$AS$518,0),MATCH(K584,$AT$503:$BA$503,0)),0),0)</f>
        <v>0</v>
      </c>
      <c r="AD584" s="1659"/>
      <c r="AE584" s="1659"/>
      <c r="AF584" s="1659"/>
      <c r="AG584" s="1659"/>
      <c r="AH584" s="1660"/>
      <c r="AN584" s="281"/>
      <c r="AP584" s="1652"/>
      <c r="AQ584" s="1653"/>
      <c r="AR584" s="1653"/>
      <c r="AS584" s="1653"/>
      <c r="AT584" s="1654"/>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0</v>
      </c>
      <c r="L585" s="1735"/>
      <c r="M585" s="1736" t="s">
        <v>1931</v>
      </c>
      <c r="N585" s="1736"/>
      <c r="O585" s="1736"/>
      <c r="P585" s="1737"/>
      <c r="Q585" s="1655">
        <f t="shared" si="6"/>
        <v>0</v>
      </c>
      <c r="R585" s="1656"/>
      <c r="S585" s="1656"/>
      <c r="T585" s="1656"/>
      <c r="U585" s="1656"/>
      <c r="V585" s="1657"/>
      <c r="W585" s="1658">
        <f>IF(FLOOR(Q585,5)&gt;40,40,FLOOR(Q585,5))</f>
        <v>0</v>
      </c>
      <c r="X585" s="1659"/>
      <c r="Y585" s="1659"/>
      <c r="Z585" s="1659"/>
      <c r="AA585" s="1659"/>
      <c r="AB585" s="1660"/>
      <c r="AC585" s="1658">
        <f>IFERROR(IF(W585&gt;0,INDEX($AT$504:$BA$518,MATCH(W585,$AS$504:$AS$518,0),MATCH(K585,$AT$503:$BA$503,0)),0),0)</f>
        <v>0</v>
      </c>
      <c r="AD585" s="1659"/>
      <c r="AE585" s="1659"/>
      <c r="AF585" s="1659"/>
      <c r="AG585" s="1659"/>
      <c r="AH585" s="1660"/>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0</v>
      </c>
      <c r="BI585" s="1758"/>
      <c r="BJ585" s="1766">
        <f>SUM(BJ580:BK584)</f>
        <v>1</v>
      </c>
      <c r="BK585" s="1767"/>
      <c r="BL585" s="1756">
        <f>SUM(BL580:BM584)</f>
        <v>1</v>
      </c>
      <c r="BM585" s="1758"/>
      <c r="BN585" s="1766">
        <f>SUM(BN580:BO584)</f>
        <v>0</v>
      </c>
      <c r="BO585" s="1767"/>
      <c r="BP585" s="1756">
        <f>SUM(BP580:BQ584)</f>
        <v>2</v>
      </c>
      <c r="BQ585" s="1758"/>
    </row>
    <row r="586" spans="2:69" s="4" customFormat="1" ht="12.75" customHeight="1">
      <c r="E586" s="1666">
        <v>12</v>
      </c>
      <c r="F586" s="1667"/>
      <c r="G586" s="1667"/>
      <c r="H586" s="1667"/>
      <c r="I586" s="1667"/>
      <c r="J586" s="1668"/>
      <c r="K586" s="1652" t="s">
        <v>2256</v>
      </c>
      <c r="L586" s="1653"/>
      <c r="M586" s="1653"/>
      <c r="N586" s="1653"/>
      <c r="O586" s="1653"/>
      <c r="P586" s="1654"/>
      <c r="Q586" s="1655">
        <f t="shared" si="6"/>
        <v>10.084033613445378</v>
      </c>
      <c r="R586" s="1656"/>
      <c r="S586" s="1656"/>
      <c r="T586" s="1656"/>
      <c r="U586" s="1656"/>
      <c r="V586" s="1657"/>
      <c r="W586" s="1658">
        <f t="shared" si="7"/>
        <v>10</v>
      </c>
      <c r="X586" s="1659"/>
      <c r="Y586" s="1659"/>
      <c r="Z586" s="1659"/>
      <c r="AA586" s="1659"/>
      <c r="AB586" s="1660"/>
      <c r="AC586" s="1658">
        <v>0</v>
      </c>
      <c r="AD586" s="1659"/>
      <c r="AE586" s="1659"/>
      <c r="AF586" s="1659"/>
      <c r="AG586" s="1659"/>
      <c r="AH586" s="1660"/>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1</v>
      </c>
      <c r="BK586" s="1762"/>
      <c r="BL586" s="1762"/>
      <c r="BM586" s="1763"/>
      <c r="BN586" s="1761">
        <f>IF(AND(BN585=1,BP585&gt;=1),1,0)</f>
        <v>0</v>
      </c>
      <c r="BO586" s="1762"/>
      <c r="BP586" s="1762"/>
      <c r="BQ586" s="1763"/>
    </row>
    <row r="587" spans="2:69" s="4" customFormat="1" ht="12.75" customHeight="1">
      <c r="E587" s="967"/>
      <c r="F587" s="968"/>
      <c r="G587" s="968"/>
      <c r="H587" s="968"/>
      <c r="I587" s="968"/>
      <c r="J587" s="969"/>
      <c r="K587" s="1652" t="s">
        <v>2257</v>
      </c>
      <c r="L587" s="1653"/>
      <c r="M587" s="1653"/>
      <c r="N587" s="1653"/>
      <c r="O587" s="1653"/>
      <c r="P587" s="1654"/>
      <c r="Q587" s="1655">
        <f>IF(ISERROR(IF((((E587/$BJ$525)*100)&gt;100),"EXCESSIVE VALUE",(E587/$BJ$525)*100)),0,IF((((E587/$BJ$525)*100)&gt;100),"EXCESSIVE VALUE",(E587/$BJ$525)*100))</f>
        <v>0</v>
      </c>
      <c r="R587" s="1656"/>
      <c r="S587" s="1656"/>
      <c r="T587" s="1656"/>
      <c r="U587" s="1656"/>
      <c r="V587" s="1657"/>
      <c r="W587" s="1658">
        <f>IF(FLOOR(Q587,5)&gt;80,80,FLOOR(Q587,5))</f>
        <v>0</v>
      </c>
      <c r="X587" s="1659"/>
      <c r="Y587" s="1659"/>
      <c r="Z587" s="1659"/>
      <c r="AA587" s="1659"/>
      <c r="AB587" s="1660"/>
      <c r="AC587" s="1658">
        <v>0</v>
      </c>
      <c r="AD587" s="1659"/>
      <c r="AE587" s="1659"/>
      <c r="AF587" s="1659"/>
      <c r="AG587" s="1659"/>
      <c r="AH587" s="1660"/>
      <c r="AN587" s="281"/>
      <c r="AX587"/>
      <c r="AY587"/>
      <c r="AZ587"/>
      <c r="BA587"/>
      <c r="BB587"/>
      <c r="BC587"/>
      <c r="BD587"/>
      <c r="BE587"/>
      <c r="BF587"/>
      <c r="BG587"/>
      <c r="BH587"/>
      <c r="BI587" s="34" t="s">
        <v>646</v>
      </c>
      <c r="BJ587" s="1761">
        <f>AX586+BB586+BF586+BJ586+BN586</f>
        <v>1</v>
      </c>
      <c r="BK587" s="1762"/>
      <c r="BL587" s="1762"/>
      <c r="BM587" s="1763"/>
      <c r="BN587"/>
      <c r="BO587"/>
      <c r="BP587"/>
      <c r="BQ587"/>
    </row>
    <row r="588" spans="2:69" s="4" customFormat="1" ht="12.75" customHeight="1">
      <c r="E588" s="967"/>
      <c r="F588" s="968"/>
      <c r="G588" s="968"/>
      <c r="H588" s="968"/>
      <c r="I588" s="968"/>
      <c r="J588" s="969"/>
      <c r="K588" s="1652" t="s">
        <v>2258</v>
      </c>
      <c r="L588" s="1653"/>
      <c r="M588" s="1653"/>
      <c r="N588" s="1653"/>
      <c r="O588" s="1653"/>
      <c r="P588" s="1654"/>
      <c r="Q588" s="1655">
        <f>IF(ISERROR(IF((((E588/$BJ$525)*100)&gt;100),"EXCESSIVE VALUE",(E588/$BJ$525)*100)),0,IF((((E588/$BJ$525)*100)&gt;100),"EXCESSIVE VALUE",(E588/$BJ$525)*100))</f>
        <v>0</v>
      </c>
      <c r="R588" s="1656"/>
      <c r="S588" s="1656"/>
      <c r="T588" s="1656"/>
      <c r="U588" s="1656"/>
      <c r="V588" s="1657"/>
      <c r="W588" s="1658">
        <f>IF(FLOOR(Q588,5)&gt;80,80,FLOOR(Q588,5))</f>
        <v>0</v>
      </c>
      <c r="X588" s="1659"/>
      <c r="Y588" s="1659"/>
      <c r="Z588" s="1659"/>
      <c r="AA588" s="1659"/>
      <c r="AB588" s="1660"/>
      <c r="AC588" s="1658">
        <v>0</v>
      </c>
      <c r="AD588" s="1659"/>
      <c r="AE588" s="1659"/>
      <c r="AF588" s="1659"/>
      <c r="AG588" s="1659"/>
      <c r="AH588" s="1660"/>
      <c r="AN588" s="281"/>
      <c r="AX588"/>
      <c r="AY588"/>
      <c r="AZ588"/>
      <c r="BA588"/>
      <c r="BB588"/>
      <c r="BC588"/>
      <c r="BD588"/>
      <c r="BE588"/>
      <c r="BF588"/>
      <c r="BG588"/>
      <c r="BI588"/>
      <c r="BJ588" t="s">
        <v>645</v>
      </c>
      <c r="BK588"/>
      <c r="BL588"/>
      <c r="BM588"/>
      <c r="BN588"/>
      <c r="BO588"/>
      <c r="BP588"/>
      <c r="BQ588"/>
    </row>
    <row r="589" spans="2:69" s="4" customFormat="1" ht="12.75" customHeight="1">
      <c r="E589" s="1711">
        <f>SUM(E578:J588)</f>
        <v>119</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641</v>
      </c>
      <c r="AC589" s="1850">
        <f>IF(SUM(AC578:AH588)&gt;0,SUM(AC578:AH588),0)</f>
        <v>67.5</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4" t="s">
        <v>111</v>
      </c>
      <c r="AH592" s="1684"/>
      <c r="AI592" s="1684"/>
      <c r="AJ592" s="1684"/>
      <c r="AK592" s="5"/>
      <c r="AL592" s="5"/>
      <c r="AM592" s="5"/>
      <c r="AN592" s="281"/>
    </row>
    <row r="593" spans="1:60" s="4" customFormat="1" ht="12.75" customHeight="1">
      <c r="B593" s="1873" t="s">
        <v>2243</v>
      </c>
      <c r="C593" s="1873"/>
      <c r="D593" s="1873"/>
      <c r="E593" s="1873"/>
      <c r="F593" s="1873"/>
      <c r="G593" s="1873"/>
      <c r="H593" s="1873"/>
      <c r="I593" s="1873"/>
      <c r="J593" s="1873"/>
      <c r="K593" s="1873"/>
      <c r="L593" s="1873"/>
      <c r="M593" s="1873"/>
      <c r="N593" s="1873"/>
      <c r="O593" s="1873"/>
      <c r="P593" s="1873"/>
      <c r="Q593" s="1873"/>
      <c r="R593" s="1873"/>
      <c r="S593" s="1873"/>
      <c r="T593" s="1873"/>
      <c r="U593" s="1873"/>
      <c r="V593" s="1873"/>
      <c r="W593" s="1873"/>
      <c r="X593" s="1873"/>
      <c r="Y593" s="1873"/>
      <c r="Z593" s="1873"/>
      <c r="AA593" s="1873"/>
      <c r="AB593" s="1873"/>
      <c r="AC593" s="1873"/>
      <c r="AD593" s="1873"/>
      <c r="AE593" s="1873"/>
      <c r="AF593" s="1873"/>
      <c r="AG593" s="1873"/>
      <c r="AH593" s="1873"/>
      <c r="AI593" s="21"/>
      <c r="AJ593" s="21"/>
      <c r="AK593"/>
      <c r="AL593"/>
      <c r="AM593"/>
      <c r="AN593" s="281"/>
    </row>
    <row r="594" spans="1:60" s="4" customFormat="1" ht="12.75" customHeight="1">
      <c r="A594" s="21"/>
      <c r="B594" s="1873"/>
      <c r="C594" s="1873"/>
      <c r="D594" s="1873"/>
      <c r="E594" s="1873"/>
      <c r="F594" s="1873"/>
      <c r="G594" s="1873"/>
      <c r="H594" s="1873"/>
      <c r="I594" s="1873"/>
      <c r="J594" s="1873"/>
      <c r="K594" s="1873"/>
      <c r="L594" s="1873"/>
      <c r="M594" s="1873"/>
      <c r="N594" s="1873"/>
      <c r="O594" s="1873"/>
      <c r="P594" s="1873"/>
      <c r="Q594" s="1873"/>
      <c r="R594" s="1873"/>
      <c r="S594" s="1873"/>
      <c r="T594" s="1873"/>
      <c r="U594" s="1873"/>
      <c r="V594" s="1873"/>
      <c r="W594" s="1873"/>
      <c r="X594" s="1873"/>
      <c r="Y594" s="1873"/>
      <c r="Z594" s="1873"/>
      <c r="AA594" s="1873"/>
      <c r="AB594" s="1873"/>
      <c r="AC594" s="1873"/>
      <c r="AD594" s="1873"/>
      <c r="AE594" s="1873"/>
      <c r="AF594" s="1873"/>
      <c r="AG594" s="1873"/>
      <c r="AH594" s="1873"/>
      <c r="AI594" s="21"/>
      <c r="AJ594" s="21"/>
      <c r="AK594"/>
      <c r="AL594"/>
      <c r="AM594"/>
      <c r="AN594" s="281"/>
    </row>
    <row r="595" spans="1:60" s="4" customFormat="1" ht="12.75" customHeight="1">
      <c r="A595" s="21"/>
      <c r="B595" s="1873"/>
      <c r="C595" s="1873"/>
      <c r="D595" s="1873"/>
      <c r="E595" s="1873"/>
      <c r="F595" s="1873"/>
      <c r="G595" s="1873"/>
      <c r="H595" s="1873"/>
      <c r="I595" s="1873"/>
      <c r="J595" s="1873"/>
      <c r="K595" s="1873"/>
      <c r="L595" s="1873"/>
      <c r="M595" s="1873"/>
      <c r="N595" s="1873"/>
      <c r="O595" s="1873"/>
      <c r="P595" s="1873"/>
      <c r="Q595" s="1873"/>
      <c r="R595" s="1873"/>
      <c r="S595" s="1873"/>
      <c r="T595" s="1873"/>
      <c r="U595" s="1873"/>
      <c r="V595" s="1873"/>
      <c r="W595" s="1873"/>
      <c r="X595" s="1873"/>
      <c r="Y595" s="1873"/>
      <c r="Z595" s="1873"/>
      <c r="AA595" s="1873"/>
      <c r="AB595" s="1873"/>
      <c r="AC595" s="1873"/>
      <c r="AD595" s="1873"/>
      <c r="AE595" s="1873"/>
      <c r="AF595" s="1873"/>
      <c r="AG595" s="1873"/>
      <c r="AH595" s="1873"/>
      <c r="AI595" s="21"/>
      <c r="AJ595" s="21"/>
      <c r="AK595"/>
      <c r="AL595"/>
      <c r="AM595"/>
      <c r="AN595" s="281"/>
    </row>
    <row r="596" spans="1:60" s="4" customFormat="1" ht="12.75" customHeight="1">
      <c r="A596" s="21"/>
      <c r="B596" s="1873"/>
      <c r="C596" s="1873"/>
      <c r="D596" s="1873"/>
      <c r="E596" s="1873"/>
      <c r="F596" s="1873"/>
      <c r="G596" s="1873"/>
      <c r="H596" s="1873"/>
      <c r="I596" s="1873"/>
      <c r="J596" s="1873"/>
      <c r="K596" s="1873"/>
      <c r="L596" s="1873"/>
      <c r="M596" s="1873"/>
      <c r="N596" s="1873"/>
      <c r="O596" s="1873"/>
      <c r="P596" s="1873"/>
      <c r="Q596" s="1873"/>
      <c r="R596" s="1873"/>
      <c r="S596" s="1873"/>
      <c r="T596" s="1873"/>
      <c r="U596" s="1873"/>
      <c r="V596" s="1873"/>
      <c r="W596" s="1873"/>
      <c r="X596" s="1873"/>
      <c r="Y596" s="1873"/>
      <c r="Z596" s="1873"/>
      <c r="AA596" s="1873"/>
      <c r="AB596" s="1873"/>
      <c r="AC596" s="1873"/>
      <c r="AD596" s="1873"/>
      <c r="AE596" s="1873"/>
      <c r="AF596" s="1873"/>
      <c r="AG596" s="1873"/>
      <c r="AH596" s="1873"/>
      <c r="AI596" s="21"/>
      <c r="AJ596" s="21"/>
      <c r="AK596"/>
      <c r="AL596"/>
      <c r="AM596"/>
      <c r="AN596" s="684"/>
    </row>
    <row r="597" spans="1:60">
      <c r="B597" s="1873"/>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K597"/>
      <c r="AL597"/>
      <c r="AM597"/>
      <c r="BD597" s="21"/>
      <c r="BE597" s="21"/>
      <c r="BF597" s="21"/>
      <c r="BG597" s="21"/>
      <c r="BH597" s="21"/>
    </row>
    <row r="598" spans="1:60" ht="12.75" customHeight="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row>
    <row r="599" spans="1:60" ht="12.75" customHeight="1">
      <c r="E599" s="162"/>
    </row>
    <row r="600" spans="1:60">
      <c r="J600" s="1802" t="s">
        <v>833</v>
      </c>
      <c r="K600" s="1803"/>
      <c r="L600" s="1803"/>
      <c r="M600" s="1803"/>
      <c r="N600" s="1804"/>
      <c r="O600" s="1128" t="s">
        <v>1575</v>
      </c>
      <c r="P600" s="1129"/>
      <c r="Q600" s="1129"/>
      <c r="R600" s="1129"/>
      <c r="S600" s="1130"/>
      <c r="T600" s="1128" t="s">
        <v>1847</v>
      </c>
      <c r="U600" s="1129"/>
      <c r="V600" s="1129"/>
      <c r="W600" s="1129"/>
      <c r="X600" s="1130"/>
      <c r="Y600" s="1128" t="s">
        <v>1576</v>
      </c>
      <c r="Z600" s="1129"/>
      <c r="AA600" s="1129"/>
      <c r="AB600" s="1129"/>
      <c r="AC600" s="1130"/>
      <c r="AF600"/>
      <c r="AG600"/>
      <c r="AH600"/>
      <c r="AI600"/>
      <c r="AJ600"/>
    </row>
    <row r="601" spans="1:60">
      <c r="D601"/>
      <c r="E601"/>
      <c r="F601"/>
      <c r="G601"/>
      <c r="H601"/>
      <c r="I601"/>
      <c r="J601" s="1805"/>
      <c r="K601" s="1806"/>
      <c r="L601" s="1806"/>
      <c r="M601" s="1806"/>
      <c r="N601" s="1807"/>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5"/>
      <c r="K602" s="1806"/>
      <c r="L602" s="1806"/>
      <c r="M602" s="1806"/>
      <c r="N602" s="1807"/>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5"/>
      <c r="K603" s="1806"/>
      <c r="L603" s="1806"/>
      <c r="M603" s="1806"/>
      <c r="N603" s="1807"/>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2" t="s">
        <v>240</v>
      </c>
      <c r="K604" s="1723"/>
      <c r="L604" s="1723"/>
      <c r="M604" s="1723"/>
      <c r="N604" s="1724"/>
      <c r="O604" s="1652">
        <f>Application!CM613</f>
        <v>0</v>
      </c>
      <c r="P604" s="1653"/>
      <c r="Q604" s="1653"/>
      <c r="R604" s="1653"/>
      <c r="S604" s="1654"/>
      <c r="T604" s="1652">
        <f>Application!DR614</f>
        <v>0</v>
      </c>
      <c r="U604" s="1653"/>
      <c r="V604" s="1653"/>
      <c r="W604" s="1653"/>
      <c r="X604" s="1654"/>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2">
        <f>Application!CH613</f>
        <v>0</v>
      </c>
      <c r="P605" s="1653"/>
      <c r="Q605" s="1653"/>
      <c r="R605" s="1653"/>
      <c r="S605" s="1654"/>
      <c r="T605" s="1652">
        <f>Application!DM614</f>
        <v>0</v>
      </c>
      <c r="U605" s="1653"/>
      <c r="V605" s="1653"/>
      <c r="W605" s="1653"/>
      <c r="X605" s="1654"/>
      <c r="Y605" s="1725">
        <f t="shared" si="8"/>
        <v>0</v>
      </c>
      <c r="Z605" s="1726"/>
      <c r="AA605" s="1726"/>
      <c r="AB605" s="1726"/>
      <c r="AC605" s="1727"/>
      <c r="AD605"/>
      <c r="AF605"/>
      <c r="AG605"/>
      <c r="AH605"/>
      <c r="AI605"/>
      <c r="AJ605"/>
      <c r="AO605" s="4"/>
    </row>
    <row r="606" spans="1:60">
      <c r="D606"/>
      <c r="E606"/>
      <c r="F606"/>
      <c r="G606"/>
      <c r="H606"/>
      <c r="I606"/>
      <c r="J606" s="1722" t="s">
        <v>280</v>
      </c>
      <c r="K606" s="1723"/>
      <c r="L606" s="1723"/>
      <c r="M606" s="1723"/>
      <c r="N606" s="1724"/>
      <c r="O606" s="1652">
        <f>Application!CC613</f>
        <v>0</v>
      </c>
      <c r="P606" s="1653"/>
      <c r="Q606" s="1653"/>
      <c r="R606" s="1653"/>
      <c r="S606" s="1654"/>
      <c r="T606" s="1652">
        <f>Application!DH614</f>
        <v>0</v>
      </c>
      <c r="U606" s="1653"/>
      <c r="V606" s="1653"/>
      <c r="W606" s="1653"/>
      <c r="X606" s="1654"/>
      <c r="Y606" s="1725">
        <f t="shared" si="8"/>
        <v>0</v>
      </c>
      <c r="Z606" s="1726"/>
      <c r="AA606" s="1726"/>
      <c r="AB606" s="1726"/>
      <c r="AC606" s="1727"/>
      <c r="AD606"/>
      <c r="AF606"/>
      <c r="AG606"/>
      <c r="AH606"/>
      <c r="AI606"/>
      <c r="AJ606"/>
    </row>
    <row r="607" spans="1:60">
      <c r="D607"/>
      <c r="E607"/>
      <c r="F607"/>
      <c r="G607"/>
      <c r="H607"/>
      <c r="I607"/>
      <c r="J607" s="1722" t="s">
        <v>279</v>
      </c>
      <c r="K607" s="1723"/>
      <c r="L607" s="1723"/>
      <c r="M607" s="1723"/>
      <c r="N607" s="1724"/>
      <c r="O607" s="1652">
        <f>Application!BX613</f>
        <v>27</v>
      </c>
      <c r="P607" s="1653"/>
      <c r="Q607" s="1653"/>
      <c r="R607" s="1653"/>
      <c r="S607" s="1654"/>
      <c r="T607" s="1652">
        <f>Application!DC614</f>
        <v>15</v>
      </c>
      <c r="U607" s="1653"/>
      <c r="V607" s="1653"/>
      <c r="W607" s="1653"/>
      <c r="X607" s="1654"/>
      <c r="Y607" s="1725">
        <f t="shared" si="8"/>
        <v>0.55555555555555558</v>
      </c>
      <c r="Z607" s="1726"/>
      <c r="AA607" s="1726"/>
      <c r="AB607" s="1726"/>
      <c r="AC607" s="1727"/>
      <c r="AD607"/>
      <c r="AF607"/>
      <c r="AG607"/>
      <c r="AH607"/>
      <c r="AI607"/>
      <c r="AJ607"/>
    </row>
    <row r="608" spans="1:60">
      <c r="D608"/>
      <c r="E608"/>
      <c r="F608"/>
      <c r="G608"/>
      <c r="H608"/>
      <c r="I608"/>
      <c r="J608" s="1722" t="s">
        <v>278</v>
      </c>
      <c r="K608" s="1723"/>
      <c r="L608" s="1723"/>
      <c r="M608" s="1723"/>
      <c r="N608" s="1724"/>
      <c r="O608" s="1652">
        <f>Application!BS613</f>
        <v>92</v>
      </c>
      <c r="P608" s="1653"/>
      <c r="Q608" s="1653"/>
      <c r="R608" s="1653"/>
      <c r="S608" s="1654"/>
      <c r="T608" s="1652">
        <f>Application!CX614</f>
        <v>45</v>
      </c>
      <c r="U608" s="1653"/>
      <c r="V608" s="1653"/>
      <c r="W608" s="1653"/>
      <c r="X608" s="1654"/>
      <c r="Y608" s="1725">
        <f t="shared" si="8"/>
        <v>0.4891304347826087</v>
      </c>
      <c r="Z608" s="1726"/>
      <c r="AA608" s="1726"/>
      <c r="AB608" s="1726"/>
      <c r="AC608" s="1727"/>
      <c r="AD608"/>
      <c r="AF608"/>
      <c r="AG608"/>
      <c r="AH608"/>
      <c r="AI608"/>
      <c r="AJ608"/>
    </row>
    <row r="609" spans="1:60">
      <c r="D609"/>
      <c r="E609"/>
      <c r="F609"/>
      <c r="G609"/>
      <c r="H609"/>
      <c r="I609"/>
      <c r="J609" s="1722" t="s">
        <v>651</v>
      </c>
      <c r="K609" s="1723"/>
      <c r="L609" s="1723"/>
      <c r="M609" s="1723"/>
      <c r="N609" s="1724"/>
      <c r="O609" s="1652">
        <f>Application!BN613</f>
        <v>0</v>
      </c>
      <c r="P609" s="1653"/>
      <c r="Q609" s="1653"/>
      <c r="R609" s="1653"/>
      <c r="S609" s="1654"/>
      <c r="T609" s="1652">
        <f>Application!CS614</f>
        <v>0</v>
      </c>
      <c r="U609" s="1653"/>
      <c r="V609" s="1653"/>
      <c r="W609" s="1653"/>
      <c r="X609" s="1654"/>
      <c r="Y609" s="1725">
        <f t="shared" si="8"/>
        <v>0</v>
      </c>
      <c r="Z609" s="1726"/>
      <c r="AA609" s="1726"/>
      <c r="AB609" s="1726"/>
      <c r="AC609" s="1727"/>
      <c r="AD609"/>
      <c r="AF609"/>
      <c r="AG609"/>
      <c r="AH609"/>
      <c r="AI609"/>
      <c r="AJ609"/>
    </row>
    <row r="610" spans="1:60">
      <c r="D610"/>
      <c r="E610"/>
      <c r="F610"/>
      <c r="G610"/>
      <c r="H610"/>
      <c r="I610"/>
      <c r="J610" s="1566" t="s">
        <v>917</v>
      </c>
      <c r="K610" s="1567"/>
      <c r="L610" s="1567"/>
      <c r="M610" s="1567"/>
      <c r="N610" s="1568"/>
      <c r="O610" s="1818">
        <f>SUM(O604:S609)</f>
        <v>119</v>
      </c>
      <c r="P610" s="1819"/>
      <c r="Q610" s="1819"/>
      <c r="R610" s="1819"/>
      <c r="S610" s="1820"/>
      <c r="T610" s="1818">
        <f>SUM(T604:X609)</f>
        <v>60</v>
      </c>
      <c r="U610" s="1819"/>
      <c r="V610" s="1819"/>
      <c r="W610" s="1819"/>
      <c r="X610" s="1820"/>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191</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5">
        <f>IF($AC$589=0,0,$AC$589+$AJ$613)</f>
        <v>69.5</v>
      </c>
      <c r="AL615" s="1246"/>
      <c r="AM615" s="124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3" t="s">
        <v>1580</v>
      </c>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9"/>
      <c r="AJ619" s="4"/>
      <c r="AK619" s="4"/>
      <c r="AL619" s="4"/>
      <c r="AM619" s="4"/>
    </row>
    <row r="620" spans="1:60">
      <c r="A620" s="4"/>
      <c r="B620" s="1673"/>
      <c r="C620" s="1673"/>
      <c r="D620" s="1673"/>
      <c r="E620" s="1673"/>
      <c r="F620" s="1673"/>
      <c r="G620" s="1673"/>
      <c r="H620" s="1673"/>
      <c r="I620" s="1673"/>
      <c r="J620" s="1673"/>
      <c r="K620" s="1673"/>
      <c r="L620" s="1673"/>
      <c r="M620" s="1673"/>
      <c r="N620" s="1673"/>
      <c r="O620" s="1673"/>
      <c r="P620" s="1673"/>
      <c r="Q620" s="1673"/>
      <c r="R620" s="1673"/>
      <c r="S620" s="1673"/>
      <c r="T620" s="1673"/>
      <c r="U620" s="1673"/>
      <c r="V620" s="1673"/>
      <c r="W620" s="1673"/>
      <c r="X620" s="1673"/>
      <c r="Y620" s="1673"/>
      <c r="Z620" s="1673"/>
      <c r="AA620" s="1673"/>
      <c r="AB620" s="1673"/>
      <c r="AC620" s="1673"/>
      <c r="AD620" s="1673"/>
      <c r="AE620" s="1673"/>
      <c r="AF620" s="1673"/>
      <c r="AG620" s="1673"/>
      <c r="AH620" s="167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7" t="s">
        <v>116</v>
      </c>
      <c r="D623" s="1117"/>
      <c r="E623" s="185"/>
      <c r="F623" s="1808" t="s">
        <v>2244</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4" t="s">
        <v>982</v>
      </c>
      <c r="AH623" s="1014"/>
      <c r="AI623" s="1014"/>
      <c r="AJ623" s="1014"/>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7"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3" t="s">
        <v>2245</v>
      </c>
      <c r="C627" s="1673"/>
      <c r="D627" s="1673"/>
      <c r="E627" s="1673"/>
      <c r="F627" s="1673"/>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3"/>
      <c r="AF627" s="1673"/>
      <c r="AG627" s="1673"/>
      <c r="AH627" s="1673"/>
      <c r="AI627" s="175"/>
      <c r="AJ627" s="4"/>
      <c r="AK627" s="4"/>
      <c r="AL627" s="4"/>
      <c r="AM627" s="4"/>
      <c r="AN627" s="79"/>
    </row>
    <row r="628" spans="1:60" ht="13.7" customHeight="1">
      <c r="B628" s="1673"/>
      <c r="C628" s="1673"/>
      <c r="D628" s="1673"/>
      <c r="E628" s="1673"/>
      <c r="F628" s="1673"/>
      <c r="G628" s="1673"/>
      <c r="H628" s="1673"/>
      <c r="I628" s="1673"/>
      <c r="J628" s="1673"/>
      <c r="K628" s="1673"/>
      <c r="L628" s="1673"/>
      <c r="M628" s="1673"/>
      <c r="N628" s="1673"/>
      <c r="O628" s="1673"/>
      <c r="P628" s="1673"/>
      <c r="Q628" s="1673"/>
      <c r="R628" s="1673"/>
      <c r="S628" s="1673"/>
      <c r="T628" s="1673"/>
      <c r="U628" s="1673"/>
      <c r="V628" s="1673"/>
      <c r="W628" s="1673"/>
      <c r="X628" s="1673"/>
      <c r="Y628" s="1673"/>
      <c r="Z628" s="1673"/>
      <c r="AA628" s="1673"/>
      <c r="AB628" s="1673"/>
      <c r="AC628" s="1673"/>
      <c r="AD628" s="1673"/>
      <c r="AE628" s="1673"/>
      <c r="AF628" s="1673"/>
      <c r="AG628" s="1673"/>
      <c r="AH628" s="1673"/>
      <c r="AI628" s="162"/>
      <c r="AJ628" s="4"/>
      <c r="AK628" s="4"/>
      <c r="AL628" s="4"/>
      <c r="AM628" s="4"/>
      <c r="AN628" s="79"/>
      <c r="AR628" s="41"/>
    </row>
    <row r="629" spans="1:60" ht="13.7" customHeight="1">
      <c r="A629" s="4"/>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2"/>
      <c r="AJ629" s="4"/>
      <c r="AK629" s="4"/>
      <c r="AL629" s="4"/>
      <c r="AM629" s="4"/>
      <c r="AN629" s="79"/>
    </row>
    <row r="630" spans="1:60" ht="13.7" customHeight="1">
      <c r="A630" s="4"/>
      <c r="B630" s="1673"/>
      <c r="C630" s="1673"/>
      <c r="D630" s="1673"/>
      <c r="E630" s="1673"/>
      <c r="F630" s="1673"/>
      <c r="G630" s="1673"/>
      <c r="H630" s="1673"/>
      <c r="I630" s="1673"/>
      <c r="J630" s="1673"/>
      <c r="K630" s="1673"/>
      <c r="L630" s="1673"/>
      <c r="M630" s="1673"/>
      <c r="N630" s="1673"/>
      <c r="O630" s="1673"/>
      <c r="P630" s="1673"/>
      <c r="Q630" s="1673"/>
      <c r="R630" s="1673"/>
      <c r="S630" s="1673"/>
      <c r="T630" s="1673"/>
      <c r="U630" s="1673"/>
      <c r="V630" s="1673"/>
      <c r="W630" s="1673"/>
      <c r="X630" s="1673"/>
      <c r="Y630" s="1673"/>
      <c r="Z630" s="1673"/>
      <c r="AA630" s="1673"/>
      <c r="AB630" s="1673"/>
      <c r="AC630" s="1673"/>
      <c r="AD630" s="1673"/>
      <c r="AE630" s="1673"/>
      <c r="AF630" s="1673"/>
      <c r="AG630" s="1673"/>
      <c r="AH630" s="1673"/>
      <c r="AI630" s="162"/>
      <c r="AJ630" s="4"/>
      <c r="AK630" s="4"/>
      <c r="AL630" s="4"/>
      <c r="AM630" s="4"/>
      <c r="AN630" s="79"/>
    </row>
    <row r="631" spans="1:60" ht="13.7" customHeight="1">
      <c r="A631" s="4"/>
      <c r="B631" s="1673"/>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62"/>
      <c r="AJ631" s="4"/>
      <c r="AK631" s="4"/>
      <c r="AL631" s="4"/>
      <c r="AM631" s="4"/>
      <c r="AN631" s="79"/>
    </row>
    <row r="632" spans="1:60" ht="13.7" customHeight="1">
      <c r="A632" s="4"/>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row>
    <row r="633" spans="1:60"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60">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60">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60">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60">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60" s="659" customFormat="1" ht="12.6" customHeight="1">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693"/>
      <c r="BD638" s="661"/>
      <c r="BE638" s="661"/>
      <c r="BF638" s="661"/>
      <c r="BG638" s="661"/>
      <c r="BH638" s="661"/>
    </row>
    <row r="639" spans="1:60">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7" t="s">
        <v>132</v>
      </c>
      <c r="D646" s="1117"/>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7" t="s">
        <v>132</v>
      </c>
      <c r="D651" s="1117"/>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7" t="s">
        <v>116</v>
      </c>
      <c r="D655" s="1117"/>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132</v>
      </c>
      <c r="D659" s="1117"/>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7" t="s">
        <v>132</v>
      </c>
      <c r="D661" s="1117"/>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7" t="s">
        <v>132</v>
      </c>
      <c r="D666" s="1117"/>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7" t="s">
        <v>132</v>
      </c>
      <c r="D669" s="1117"/>
      <c r="E669" s="185" t="s">
        <v>296</v>
      </c>
      <c r="F669" s="1673" t="s">
        <v>2346</v>
      </c>
      <c r="G669" s="1673"/>
      <c r="H669" s="1673"/>
      <c r="I669" s="1673"/>
      <c r="J669" s="1673"/>
      <c r="K669" s="1673"/>
      <c r="L669" s="1673"/>
      <c r="M669" s="1673"/>
      <c r="N669" s="1673"/>
      <c r="O669" s="1673"/>
      <c r="P669" s="1673"/>
      <c r="Q669" s="1673"/>
      <c r="R669" s="1673"/>
      <c r="S669" s="1673"/>
      <c r="T669" s="1673"/>
      <c r="U669" s="1673"/>
      <c r="V669" s="1673"/>
      <c r="W669" s="1673"/>
      <c r="X669" s="1673"/>
      <c r="Y669" s="1673"/>
      <c r="Z669" s="1673"/>
      <c r="AA669" s="1673"/>
      <c r="AB669" s="1673"/>
      <c r="AC669" s="1673"/>
      <c r="AD669" s="1673"/>
      <c r="AE669" s="19"/>
      <c r="AF669" s="19"/>
      <c r="AG669" s="3" t="s">
        <v>111</v>
      </c>
      <c r="AH669" s="19"/>
      <c r="AI669" s="19"/>
      <c r="AJ669" s="4"/>
      <c r="AK669" s="4"/>
      <c r="AL669" s="4"/>
      <c r="AM669" s="4"/>
      <c r="AN669" s="79"/>
      <c r="AO669" s="21"/>
    </row>
    <row r="670" spans="1:41">
      <c r="A670" s="4"/>
      <c r="B670" s="19"/>
      <c r="C670" s="19"/>
      <c r="D670" s="19"/>
      <c r="E670" s="19"/>
      <c r="F670" s="1673"/>
      <c r="G670" s="1673"/>
      <c r="H670" s="1673"/>
      <c r="I670" s="1673"/>
      <c r="J670" s="1673"/>
      <c r="K670" s="1673"/>
      <c r="L670" s="1673"/>
      <c r="M670" s="1673"/>
      <c r="N670" s="1673"/>
      <c r="O670" s="1673"/>
      <c r="P670" s="1673"/>
      <c r="Q670" s="1673"/>
      <c r="R670" s="1673"/>
      <c r="S670" s="1673"/>
      <c r="T670" s="1673"/>
      <c r="U670" s="1673"/>
      <c r="V670" s="1673"/>
      <c r="W670" s="1673"/>
      <c r="X670" s="1673"/>
      <c r="Y670" s="1673"/>
      <c r="Z670" s="1673"/>
      <c r="AA670" s="1673"/>
      <c r="AB670" s="1673"/>
      <c r="AC670" s="1673"/>
      <c r="AD670" s="1673"/>
      <c r="AE670" s="19"/>
      <c r="AF670" s="19"/>
      <c r="AG670" s="19"/>
      <c r="AH670" s="19"/>
      <c r="AI670" s="19"/>
      <c r="AJ670" s="4"/>
      <c r="AK670" s="4"/>
      <c r="AL670" s="4"/>
      <c r="AM670" s="4"/>
      <c r="AN670" s="79"/>
      <c r="AO670" s="21"/>
    </row>
    <row r="671" spans="1:41" ht="0.75" customHeight="1">
      <c r="A671" s="4"/>
      <c r="B671" s="19"/>
      <c r="C671" s="19"/>
      <c r="D671" s="19"/>
      <c r="E671" s="19"/>
      <c r="F671" s="1673"/>
      <c r="G671" s="1673"/>
      <c r="H671" s="1673"/>
      <c r="I671" s="1673"/>
      <c r="J671" s="1673"/>
      <c r="K671" s="1673"/>
      <c r="L671" s="1673"/>
      <c r="M671" s="1673"/>
      <c r="N671" s="1673"/>
      <c r="O671" s="1673"/>
      <c r="P671" s="1673"/>
      <c r="Q671" s="1673"/>
      <c r="R671" s="1673"/>
      <c r="S671" s="1673"/>
      <c r="T671" s="1673"/>
      <c r="U671" s="1673"/>
      <c r="V671" s="1673"/>
      <c r="W671" s="1673"/>
      <c r="X671" s="1673"/>
      <c r="Y671" s="1673"/>
      <c r="Z671" s="1673"/>
      <c r="AA671" s="1673"/>
      <c r="AB671" s="1673"/>
      <c r="AC671" s="1673"/>
      <c r="AD671" s="167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758</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3" t="s">
        <v>2040</v>
      </c>
      <c r="B690" s="1593"/>
      <c r="C690" s="1593"/>
      <c r="D690" s="1593"/>
      <c r="E690" s="1593"/>
      <c r="F690" s="1593"/>
      <c r="G690" s="1593"/>
      <c r="H690" s="1593"/>
      <c r="I690" s="1593"/>
      <c r="J690" s="1593"/>
      <c r="K690" s="1593"/>
      <c r="L690" s="1593"/>
      <c r="M690" s="1593"/>
      <c r="N690" s="1593"/>
      <c r="O690" s="1593"/>
      <c r="P690" s="1593"/>
      <c r="Q690" s="1593"/>
      <c r="R690" s="1593"/>
      <c r="S690" s="1593"/>
      <c r="T690" s="1593"/>
      <c r="U690" s="1593"/>
      <c r="V690" s="1593"/>
      <c r="W690" s="1593"/>
      <c r="X690" s="1593"/>
      <c r="Y690" s="1593"/>
      <c r="Z690" s="1593"/>
      <c r="AA690" s="1593"/>
      <c r="AB690" s="1593"/>
      <c r="AC690" s="1593"/>
      <c r="AD690" s="1593"/>
      <c r="AE690" s="1593"/>
      <c r="AF690" s="1593"/>
      <c r="AG690" s="1593"/>
      <c r="AH690" s="1593"/>
      <c r="AI690" s="1593"/>
      <c r="AJ690" s="1593"/>
      <c r="AK690" s="1593"/>
      <c r="AL690" s="1593"/>
      <c r="AM690" s="1593"/>
      <c r="AO690" s="206">
        <f>IF(T699&gt;15,15,T699)</f>
        <v>15</v>
      </c>
      <c r="AP690" s="206"/>
      <c r="AQ690" s="206"/>
    </row>
    <row r="691" spans="1:43">
      <c r="A691" s="1593" t="s">
        <v>2041</v>
      </c>
      <c r="B691" s="1593"/>
      <c r="C691" s="1593"/>
      <c r="D691" s="1593"/>
      <c r="E691" s="1593"/>
      <c r="F691" s="1593"/>
      <c r="G691" s="1593"/>
      <c r="H691" s="1593"/>
      <c r="I691" s="1593"/>
      <c r="J691" s="1593"/>
      <c r="K691" s="1593"/>
      <c r="L691" s="1593"/>
      <c r="M691" s="1593"/>
      <c r="N691" s="1593"/>
      <c r="O691" s="1593"/>
      <c r="P691" s="1593"/>
      <c r="Q691" s="1593"/>
      <c r="R691" s="1593"/>
      <c r="S691" s="1593"/>
      <c r="T691" s="1593"/>
      <c r="U691" s="1593"/>
      <c r="V691" s="1593"/>
      <c r="W691" s="1593"/>
      <c r="X691" s="1593"/>
      <c r="Y691" s="1593"/>
      <c r="Z691" s="1593"/>
      <c r="AA691" s="1593"/>
      <c r="AB691" s="1593"/>
      <c r="AC691" s="1593"/>
      <c r="AD691" s="1593"/>
      <c r="AE691" s="1593"/>
      <c r="AF691" s="1593"/>
      <c r="AG691" s="1593"/>
      <c r="AH691" s="1593"/>
      <c r="AI691" s="1593"/>
      <c r="AJ691" s="1593"/>
      <c r="AK691" s="1593"/>
      <c r="AL691" s="1593"/>
      <c r="AM691" s="159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6" t="s">
        <v>249</v>
      </c>
      <c r="U692" s="1177"/>
      <c r="V692" s="1177"/>
      <c r="W692" s="1177"/>
      <c r="X692" s="1177"/>
      <c r="Y692" s="1529"/>
      <c r="Z692" s="1176" t="s">
        <v>248</v>
      </c>
      <c r="AA692" s="1177"/>
      <c r="AB692" s="1177"/>
      <c r="AC692" s="1177"/>
      <c r="AD692" s="1177"/>
      <c r="AE692" s="1529"/>
      <c r="AF692" s="1176" t="s">
        <v>250</v>
      </c>
      <c r="AG692" s="1177"/>
      <c r="AH692" s="1177"/>
      <c r="AI692" s="1177"/>
      <c r="AJ692" s="1177"/>
      <c r="AK692" s="1529"/>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0"/>
      <c r="U693" s="1181"/>
      <c r="V693" s="1181"/>
      <c r="W693" s="1181"/>
      <c r="X693" s="1181"/>
      <c r="Y693" s="1275"/>
      <c r="Z693" s="1180"/>
      <c r="AA693" s="1181"/>
      <c r="AB693" s="1181"/>
      <c r="AC693" s="1181"/>
      <c r="AD693" s="1181"/>
      <c r="AE693" s="1275"/>
      <c r="AF693" s="1180"/>
      <c r="AG693" s="1181"/>
      <c r="AH693" s="1181"/>
      <c r="AI693" s="1181"/>
      <c r="AJ693" s="1181"/>
      <c r="AK693" s="1275"/>
      <c r="AL693" s="795"/>
      <c r="AM693" s="20"/>
    </row>
    <row r="694" spans="1:43">
      <c r="A694" s="609" t="s">
        <v>689</v>
      </c>
      <c r="B694" s="1717" t="s">
        <v>285</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19" t="s">
        <v>251</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457</v>
      </c>
      <c r="E696" s="1719" t="s">
        <v>252</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286</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17" t="s">
        <v>287</v>
      </c>
      <c r="C698" s="1717"/>
      <c r="D698" s="1717"/>
      <c r="E698" s="1717"/>
      <c r="F698" s="1717"/>
      <c r="G698" s="1717"/>
      <c r="H698" s="1717"/>
      <c r="I698" s="1717"/>
      <c r="J698" s="1717"/>
      <c r="K698" s="1717"/>
      <c r="L698" s="1717"/>
      <c r="M698" s="1717"/>
      <c r="N698" s="1717"/>
      <c r="O698" s="1717"/>
      <c r="P698" s="1717"/>
      <c r="Q698" s="1717"/>
      <c r="R698" s="1717"/>
      <c r="S698" s="1718"/>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1535</v>
      </c>
      <c r="E699" s="1719" t="s">
        <v>310</v>
      </c>
      <c r="F699" s="1719"/>
      <c r="G699" s="1719"/>
      <c r="H699" s="1719"/>
      <c r="I699" s="1719"/>
      <c r="J699" s="1719"/>
      <c r="K699" s="1719"/>
      <c r="L699" s="1719"/>
      <c r="M699" s="1719"/>
      <c r="N699" s="1719"/>
      <c r="O699" s="1719"/>
      <c r="P699" s="1719"/>
      <c r="Q699" s="1719"/>
      <c r="R699" s="1719"/>
      <c r="S699" s="1720"/>
      <c r="T699" s="1721">
        <f>AK280</f>
        <v>23</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1536</v>
      </c>
      <c r="E700" s="1719" t="s">
        <v>311</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130</v>
      </c>
      <c r="B701" s="1717" t="s">
        <v>571</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30"/>
      <c r="AA701" s="1230"/>
      <c r="AB701" s="1230"/>
      <c r="AC701" s="1230"/>
      <c r="AD701" s="1230"/>
      <c r="AE701" s="1230"/>
      <c r="AF701" s="1230"/>
      <c r="AG701" s="1230"/>
      <c r="AH701" s="1230"/>
      <c r="AI701" s="1230"/>
      <c r="AJ701" s="1230"/>
      <c r="AK701" s="1230"/>
      <c r="AL701" s="795"/>
      <c r="AM701" s="20"/>
    </row>
    <row r="702" spans="1:43">
      <c r="A702" s="609" t="s">
        <v>130</v>
      </c>
      <c r="B702" s="1717" t="s">
        <v>572</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1537</v>
      </c>
      <c r="E703" s="1719" t="s">
        <v>194</v>
      </c>
      <c r="F703" s="1719"/>
      <c r="G703" s="1719"/>
      <c r="H703" s="1719"/>
      <c r="I703" s="1719"/>
      <c r="J703" s="1719"/>
      <c r="K703" s="1719"/>
      <c r="L703" s="1719"/>
      <c r="M703" s="1719"/>
      <c r="N703" s="1719"/>
      <c r="O703" s="1719"/>
      <c r="P703" s="1719"/>
      <c r="Q703" s="1719"/>
      <c r="R703" s="1719"/>
      <c r="S703" s="1720"/>
      <c r="T703" s="1742">
        <f>AC589</f>
        <v>67.5</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1538</v>
      </c>
      <c r="E704" s="1719" t="s">
        <v>284</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5">
        <v>2</v>
      </c>
      <c r="AA704" s="1246"/>
      <c r="AB704" s="1246"/>
      <c r="AC704" s="1246"/>
      <c r="AD704" s="1246"/>
      <c r="AE704" s="1248"/>
      <c r="AF704" s="1842"/>
      <c r="AG704" s="1843"/>
      <c r="AH704" s="1843"/>
      <c r="AI704" s="1843"/>
      <c r="AJ704" s="1843"/>
      <c r="AK704" s="1844"/>
      <c r="AL704" s="795"/>
      <c r="AM704" s="4"/>
    </row>
    <row r="705" spans="1:39">
      <c r="A705" s="634" t="s">
        <v>131</v>
      </c>
      <c r="B705" s="1717" t="s">
        <v>573</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30">
        <v>10</v>
      </c>
      <c r="AA705" s="1230"/>
      <c r="AB705" s="1230"/>
      <c r="AC705" s="1230"/>
      <c r="AD705" s="1230"/>
      <c r="AE705" s="1230"/>
      <c r="AF705" s="1397">
        <f>IF(T705&gt;Z705,Z705,T705)</f>
        <v>10</v>
      </c>
      <c r="AG705" s="1398"/>
      <c r="AH705" s="1398"/>
      <c r="AI705" s="1398"/>
      <c r="AJ705" s="1398"/>
      <c r="AK705" s="1399"/>
      <c r="AL705" s="795"/>
      <c r="AM705" s="20"/>
    </row>
    <row r="706" spans="1:39">
      <c r="A706" s="634" t="s">
        <v>133</v>
      </c>
      <c r="B706" s="1717" t="s">
        <v>1029</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7">
        <v>2</v>
      </c>
      <c r="AA706" s="1398"/>
      <c r="AB706" s="1398"/>
      <c r="AC706" s="1398"/>
      <c r="AD706" s="1398"/>
      <c r="AE706" s="1399"/>
      <c r="AF706" s="1397">
        <f>IF(T706&gt;Z706,Z706,T706)</f>
        <v>2</v>
      </c>
      <c r="AG706" s="1840"/>
      <c r="AH706" s="1840"/>
      <c r="AI706" s="1840"/>
      <c r="AJ706" s="1840"/>
      <c r="AK706" s="1841"/>
      <c r="AL706" s="3"/>
      <c r="AM706" s="20"/>
    </row>
    <row r="707" spans="1:39">
      <c r="A707" s="1716" t="s">
        <v>313</v>
      </c>
      <c r="B707" s="1717"/>
      <c r="C707" s="1717"/>
      <c r="D707" s="1717"/>
      <c r="E707" s="1717"/>
      <c r="F707" s="1717"/>
      <c r="G707" s="1717"/>
      <c r="H707" s="1717"/>
      <c r="I707" s="1717"/>
      <c r="J707" s="1717"/>
      <c r="K707" s="1717"/>
      <c r="L707" s="1717"/>
      <c r="M707" s="1717"/>
      <c r="N707" s="1717"/>
      <c r="O707" s="1717"/>
      <c r="P707" s="1717"/>
      <c r="Q707" s="1717"/>
      <c r="R707" s="1717"/>
      <c r="S707" s="1718"/>
      <c r="T707" s="1430"/>
      <c r="U707" s="1430"/>
      <c r="V707" s="1430"/>
      <c r="W707" s="1430"/>
      <c r="X707" s="1430"/>
      <c r="Y707" s="1430"/>
      <c r="Z707" s="1745" t="s">
        <v>312</v>
      </c>
      <c r="AA707" s="1745"/>
      <c r="AB707" s="1745"/>
      <c r="AC707" s="1745"/>
      <c r="AD707" s="1745"/>
      <c r="AE707" s="1745"/>
      <c r="AF707" s="1397">
        <f>IF(T707&gt;0,T707,0)</f>
        <v>0</v>
      </c>
      <c r="AG707" s="1398"/>
      <c r="AH707" s="1398"/>
      <c r="AI707" s="1398"/>
      <c r="AJ707" s="1398"/>
      <c r="AK707" s="1399"/>
      <c r="AL707" s="18"/>
      <c r="AM707" s="20"/>
    </row>
    <row r="708" spans="1:39" ht="15.75">
      <c r="A708" s="1728" t="s">
        <v>757</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109</v>
      </c>
      <c r="AG708" s="1833"/>
      <c r="AH708" s="1833"/>
      <c r="AI708" s="1833"/>
      <c r="AJ708" s="1833"/>
      <c r="AK708" s="1834"/>
      <c r="AL708" s="796"/>
      <c r="AM708" s="4"/>
    </row>
    <row r="709" spans="1:39" ht="12.6"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8"/>
    </row>
    <row r="711" spans="1:39" ht="12.6"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8"/>
    </row>
    <row r="712" spans="1:39" ht="12.6"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8"/>
    </row>
    <row r="713" spans="1:39" ht="12.6"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8"/>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8"/>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140625" style="916" hidden="1"/>
  </cols>
  <sheetData>
    <row r="1" spans="1:57" ht="15" customHeight="1">
      <c r="A1" s="1899" t="s">
        <v>2137</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918"/>
      <c r="B3" s="918"/>
      <c r="I3" s="919"/>
      <c r="K3" s="920"/>
    </row>
    <row r="4" spans="1:57" ht="14.25" customHeight="1">
      <c r="A4" s="1898" t="s">
        <v>2138</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8"/>
      <c r="B5" s="918"/>
      <c r="I5" s="919"/>
      <c r="K5" s="920"/>
    </row>
    <row r="6" spans="1:57">
      <c r="A6" s="918"/>
      <c r="B6" s="918"/>
      <c r="D6" s="916" t="s">
        <v>2141</v>
      </c>
      <c r="I6" s="919"/>
      <c r="K6" s="920"/>
      <c r="U6" s="1897"/>
      <c r="V6" s="1897"/>
      <c r="W6" s="1897"/>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5"/>
      <c r="Q9" s="1905"/>
      <c r="R9" s="1905"/>
      <c r="S9" s="1905"/>
      <c r="T9" s="1905"/>
    </row>
    <row r="10" spans="1:57">
      <c r="A10" s="918"/>
      <c r="B10" s="918"/>
      <c r="I10" s="919"/>
      <c r="K10" s="920"/>
    </row>
    <row r="11" spans="1:57">
      <c r="A11" s="1898" t="s">
        <v>2144</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6" t="s">
        <v>116</v>
      </c>
    </row>
    <row r="12" spans="1:57">
      <c r="A12" s="918"/>
      <c r="B12" s="918"/>
      <c r="I12" s="919"/>
      <c r="K12" s="920"/>
      <c r="BC12" s="916" t="s">
        <v>511</v>
      </c>
    </row>
    <row r="13" spans="1:57">
      <c r="A13" s="918"/>
      <c r="B13" s="918"/>
      <c r="D13" s="916" t="s">
        <v>2145</v>
      </c>
      <c r="I13" s="919"/>
      <c r="K13" s="920"/>
      <c r="T13" s="1897"/>
      <c r="U13" s="1897"/>
      <c r="V13" s="1897"/>
    </row>
    <row r="14" spans="1:57">
      <c r="A14" s="918"/>
      <c r="B14" s="918"/>
      <c r="E14" s="916" t="s">
        <v>2152</v>
      </c>
      <c r="I14" s="919"/>
      <c r="K14" s="920"/>
      <c r="N14" s="1903"/>
      <c r="O14" s="1903"/>
      <c r="P14" s="1903"/>
      <c r="Q14" s="1903"/>
      <c r="R14" s="1903"/>
      <c r="S14" s="1903"/>
      <c r="T14" s="1903"/>
      <c r="U14" s="1903"/>
      <c r="V14" s="1903"/>
      <c r="W14" s="1903"/>
      <c r="X14" s="1903"/>
      <c r="Y14" s="1903"/>
      <c r="Z14" s="1903"/>
      <c r="AA14" s="1903"/>
      <c r="AB14" s="1903"/>
      <c r="AC14" s="1903"/>
      <c r="AD14" s="1903"/>
      <c r="AE14" s="1903"/>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c r="A16" s="918"/>
      <c r="B16" s="918"/>
      <c r="BC16" s="916" t="s">
        <v>2156</v>
      </c>
      <c r="BE16" s="916">
        <f>'Basis &amp; Credits'!T11+'Basis &amp; Credits'!AD11</f>
        <v>55454837.060142279</v>
      </c>
    </row>
    <row r="17" spans="1:43">
      <c r="A17" s="918"/>
      <c r="B17" s="918"/>
      <c r="D17" s="916" t="s">
        <v>2147</v>
      </c>
      <c r="I17" s="919"/>
      <c r="K17" s="920"/>
      <c r="U17" s="1904" t="str">
        <f>IF(T13="yes",(BE15/BE16)," ")</f>
        <v xml:space="preserve"> </v>
      </c>
      <c r="V17" s="1904"/>
      <c r="W17" s="1904"/>
      <c r="X17" s="1904"/>
      <c r="Y17" s="1904"/>
    </row>
    <row r="18" spans="1:43">
      <c r="A18" s="918"/>
      <c r="B18" s="918"/>
      <c r="I18" s="919"/>
      <c r="K18" s="920"/>
    </row>
    <row r="19" spans="1:43">
      <c r="A19" s="1898" t="s">
        <v>2149</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8"/>
      <c r="D20" s="918"/>
      <c r="K20" s="919"/>
      <c r="M20" s="920"/>
    </row>
    <row r="21" spans="1:43">
      <c r="C21" s="918"/>
      <c r="D21" s="918"/>
      <c r="K21" s="919"/>
      <c r="M21" s="920"/>
    </row>
    <row r="22" spans="1:43">
      <c r="C22" s="921" t="s">
        <v>764</v>
      </c>
      <c r="D22" s="921"/>
      <c r="E22" s="916" t="s">
        <v>2150</v>
      </c>
      <c r="H22" s="922"/>
      <c r="K22" s="916"/>
      <c r="Q22" s="1906">
        <f>ROUND('Basis &amp; Credits'!AB55,0)</f>
        <v>2500000</v>
      </c>
      <c r="R22" s="1906"/>
      <c r="S22" s="1906"/>
      <c r="T22" s="1906"/>
      <c r="U22" s="1906"/>
      <c r="V22" s="1906"/>
      <c r="W22" s="1906"/>
      <c r="X22" s="1906"/>
      <c r="Y22" s="936"/>
    </row>
    <row r="23" spans="1:43">
      <c r="C23" s="918"/>
      <c r="D23" s="918"/>
      <c r="G23" s="923"/>
      <c r="H23" s="923"/>
      <c r="I23" s="924"/>
      <c r="J23" s="924"/>
      <c r="K23" s="923"/>
      <c r="M23" s="917"/>
    </row>
    <row r="24" spans="1:43">
      <c r="C24" s="925"/>
      <c r="D24" s="925"/>
      <c r="E24" s="926"/>
      <c r="J24" s="924"/>
      <c r="K24" s="916"/>
      <c r="L24" s="1909" t="s">
        <v>2127</v>
      </c>
      <c r="M24" s="1909"/>
      <c r="N24" s="1909"/>
      <c r="P24" s="1894" t="s">
        <v>2128</v>
      </c>
      <c r="Q24" s="1894"/>
      <c r="R24" s="1894"/>
      <c r="S24" s="1894"/>
      <c r="T24" s="1894"/>
      <c r="V24" s="1894" t="s">
        <v>2129</v>
      </c>
      <c r="W24" s="1894"/>
      <c r="X24" s="1894"/>
    </row>
    <row r="25" spans="1:43">
      <c r="C25" s="921" t="s">
        <v>201</v>
      </c>
      <c r="D25" s="921"/>
      <c r="E25" s="916" t="s">
        <v>1030</v>
      </c>
      <c r="J25" s="924"/>
      <c r="L25" s="1895" t="s">
        <v>2130</v>
      </c>
      <c r="M25" s="1895"/>
      <c r="N25" s="1895"/>
      <c r="P25" s="1895" t="s">
        <v>2131</v>
      </c>
      <c r="Q25" s="1895"/>
      <c r="R25" s="1895"/>
      <c r="S25" s="1895"/>
      <c r="T25" s="1895"/>
      <c r="V25" s="1895" t="s">
        <v>2130</v>
      </c>
      <c r="W25" s="1895"/>
      <c r="X25" s="1895"/>
    </row>
    <row r="26" spans="1:43">
      <c r="C26" s="918"/>
      <c r="D26" s="918"/>
      <c r="E26" s="927" t="s">
        <v>2132</v>
      </c>
      <c r="F26" s="927"/>
      <c r="J26" s="928"/>
      <c r="L26" s="1907">
        <f>Application!BN613</f>
        <v>0</v>
      </c>
      <c r="M26" s="1907"/>
      <c r="N26" s="1907"/>
      <c r="P26" s="1896">
        <v>0.9</v>
      </c>
      <c r="Q26" s="1896"/>
      <c r="R26" s="1896"/>
      <c r="S26" s="1896"/>
      <c r="T26" s="1896"/>
      <c r="V26" s="1896">
        <f>L26*P26</f>
        <v>0</v>
      </c>
      <c r="W26" s="1896"/>
      <c r="X26" s="1896"/>
    </row>
    <row r="27" spans="1:43">
      <c r="C27" s="918"/>
      <c r="D27" s="918"/>
      <c r="E27" s="916" t="s">
        <v>2133</v>
      </c>
      <c r="J27" s="928"/>
      <c r="L27" s="1887">
        <f>Application!BS613</f>
        <v>92</v>
      </c>
      <c r="M27" s="1887">
        <f>Application!BS621+Application!BS630+Application!CX644</f>
        <v>0</v>
      </c>
      <c r="N27" s="1887"/>
      <c r="P27" s="1892">
        <v>1</v>
      </c>
      <c r="Q27" s="1892"/>
      <c r="R27" s="1892"/>
      <c r="S27" s="1892"/>
      <c r="T27" s="1892"/>
      <c r="V27" s="1892">
        <f>L27*P27</f>
        <v>92</v>
      </c>
      <c r="W27" s="1892"/>
      <c r="X27" s="1892"/>
    </row>
    <row r="28" spans="1:43">
      <c r="C28" s="918"/>
      <c r="D28" s="918"/>
      <c r="E28" s="916" t="s">
        <v>2134</v>
      </c>
      <c r="J28" s="928"/>
      <c r="L28" s="1887">
        <f>Application!BX613</f>
        <v>27</v>
      </c>
      <c r="M28" s="1887">
        <f>Application!BX621+Application!BX630+Application!DC644</f>
        <v>0</v>
      </c>
      <c r="N28" s="1887"/>
      <c r="P28" s="1892">
        <v>1.25</v>
      </c>
      <c r="Q28" s="1892"/>
      <c r="R28" s="1892"/>
      <c r="S28" s="1892"/>
      <c r="T28" s="1892"/>
      <c r="V28" s="1892">
        <f>L28*P28</f>
        <v>33.75</v>
      </c>
      <c r="W28" s="1892"/>
      <c r="X28" s="1892"/>
    </row>
    <row r="29" spans="1:43">
      <c r="C29" s="918"/>
      <c r="D29" s="918"/>
      <c r="E29" s="916" t="s">
        <v>2135</v>
      </c>
      <c r="J29" s="928"/>
      <c r="L29" s="1887">
        <f>Application!CC613</f>
        <v>0</v>
      </c>
      <c r="M29" s="1887">
        <f>Application!CC621+Application!CC630+Application!DH644</f>
        <v>0</v>
      </c>
      <c r="N29" s="1887"/>
      <c r="P29" s="1892">
        <v>1.5</v>
      </c>
      <c r="Q29" s="1892"/>
      <c r="R29" s="1892"/>
      <c r="S29" s="1892"/>
      <c r="T29" s="1892"/>
      <c r="V29" s="1892">
        <f>L29*P29</f>
        <v>0</v>
      </c>
      <c r="W29" s="1892"/>
      <c r="X29" s="1892"/>
    </row>
    <row r="30" spans="1:43">
      <c r="C30" s="918"/>
      <c r="D30" s="918"/>
      <c r="E30" s="916" t="s">
        <v>2136</v>
      </c>
      <c r="J30" s="928"/>
      <c r="L30" s="1888">
        <f>Application!CH613+Application!CM613</f>
        <v>0</v>
      </c>
      <c r="M30" s="1888"/>
      <c r="N30" s="1888"/>
      <c r="P30" s="1892">
        <v>1.75</v>
      </c>
      <c r="Q30" s="1892"/>
      <c r="R30" s="1892">
        <f>1.75+0.25*0</f>
        <v>1.75</v>
      </c>
      <c r="S30" s="1892"/>
      <c r="T30" s="1892"/>
      <c r="V30" s="1893">
        <f>L30*P30</f>
        <v>0</v>
      </c>
      <c r="W30" s="1893"/>
      <c r="X30" s="1893"/>
    </row>
    <row r="31" spans="1:43">
      <c r="C31" s="918"/>
      <c r="D31" s="918"/>
      <c r="L31" s="1907">
        <f>SUM(L26:N30)</f>
        <v>119</v>
      </c>
      <c r="M31" s="1908"/>
      <c r="N31" s="1908"/>
      <c r="V31" s="1896">
        <f>SUM(V26:X30)</f>
        <v>125.75</v>
      </c>
      <c r="W31" s="1896"/>
      <c r="X31" s="1896"/>
    </row>
    <row r="32" spans="1:43">
      <c r="C32" s="918"/>
      <c r="D32" s="918"/>
      <c r="K32" s="929"/>
    </row>
    <row r="33" spans="1:27">
      <c r="C33" s="921" t="s">
        <v>202</v>
      </c>
      <c r="D33" s="921"/>
      <c r="E33" s="918" t="s">
        <v>2151</v>
      </c>
      <c r="H33" s="930"/>
      <c r="I33" s="931"/>
      <c r="J33" s="932"/>
      <c r="K33" s="929"/>
      <c r="M33" s="917"/>
      <c r="V33" s="1889">
        <f>IF(V31&gt;0,V31/Q22," ")</f>
        <v>5.0300000000000003E-5</v>
      </c>
      <c r="W33" s="1890"/>
      <c r="X33" s="1890"/>
      <c r="Y33" s="1890"/>
      <c r="Z33" s="1890"/>
      <c r="AA33" s="1891"/>
    </row>
    <row r="34" spans="1:27">
      <c r="K34" s="916"/>
      <c r="M34" s="917"/>
    </row>
    <row r="35" spans="1:27">
      <c r="E35" s="918" t="s">
        <v>2157</v>
      </c>
      <c r="F35" s="918"/>
      <c r="G35" s="918"/>
      <c r="H35" s="918"/>
      <c r="I35" s="918"/>
      <c r="J35" s="918"/>
      <c r="K35" s="918"/>
      <c r="L35" s="918"/>
      <c r="M35" s="938"/>
      <c r="N35" s="918"/>
      <c r="O35" s="918"/>
      <c r="P35" s="918"/>
      <c r="Q35" s="918"/>
      <c r="R35" s="918"/>
      <c r="V35" s="1900">
        <f>IF(V31&gt;0,1/V33," ")</f>
        <v>19880.715705765408</v>
      </c>
      <c r="W35" s="1901"/>
      <c r="X35" s="1901"/>
      <c r="Y35" s="1901"/>
      <c r="Z35" s="1901"/>
      <c r="AA35" s="1902"/>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2023-04-25T18:17:44Z</cp:lastPrinted>
  <dcterms:created xsi:type="dcterms:W3CDTF">2007-12-27T18:26:28Z</dcterms:created>
  <dcterms:modified xsi:type="dcterms:W3CDTF">2023-04-27T22:36:14Z</dcterms:modified>
</cp:coreProperties>
</file>