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showInkAnnotation="0" codeName="ThisWorkbook" defaultThemeVersion="124226"/>
  <mc:AlternateContent xmlns:mc="http://schemas.openxmlformats.org/markup-compatibility/2006">
    <mc:Choice Requires="x15">
      <x15ac:absPath xmlns:x15ac="http://schemas.microsoft.com/office/spreadsheetml/2010/11/ac" url="S:\Deals-Merced\Atwater Phase I (Waterstone)\400 - Financing\445 - TCAC\446 - Application\1st Round 2023_4.25.23\FINAL\"/>
    </mc:Choice>
  </mc:AlternateContent>
  <xr:revisionPtr revIDLastSave="0" documentId="13_ncr:1_{EB8EDC4E-6915-4AFB-84B7-1DFA0A10E1B9}" xr6:coauthVersionLast="47" xr6:coauthVersionMax="47" xr10:uidLastSave="{00000000-0000-0000-0000-000000000000}"/>
  <bookViews>
    <workbookView xWindow="-25252" yWindow="-118" windowWidth="25370" windowHeight="13759" tabRatio="82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state="hidden" r:id="rId7"/>
    <sheet name="Disaster Credit Tie Breaker" sheetId="28" state="hidden" r:id="rId8"/>
    <sheet name="Points System" sheetId="6"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8"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8"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3" i="4" l="1"/>
  <c r="E10" i="4" l="1"/>
  <c r="AA896" i="3" l="1"/>
  <c r="AA895" i="3"/>
  <c r="AF970" i="3"/>
  <c r="S10" i="4" l="1"/>
  <c r="E43" i="25"/>
  <c r="E42" i="25"/>
  <c r="E41" i="4"/>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O29" i="9" s="1"/>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M29" i="28" s="1"/>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10" i="4"/>
  <c r="R30" i="28"/>
  <c r="AC692" i="3"/>
  <c r="AC693" i="3"/>
  <c r="AC694" i="3"/>
  <c r="AC695" i="3"/>
  <c r="AC696" i="3"/>
  <c r="AC697" i="3"/>
  <c r="AC698" i="3"/>
  <c r="AC699" i="3"/>
  <c r="AC700" i="3"/>
  <c r="AC701" i="3"/>
  <c r="AC702" i="3"/>
  <c r="AC703" i="3"/>
  <c r="AC704" i="3"/>
  <c r="BA675" i="3"/>
  <c r="BG676" i="3"/>
  <c r="H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K595" i="3" s="1"/>
  <c r="BI596" i="3"/>
  <c r="BI597" i="3"/>
  <c r="BK597" i="3" s="1"/>
  <c r="BI598" i="3"/>
  <c r="BK598" i="3" s="1"/>
  <c r="BI599" i="3"/>
  <c r="BK599" i="3" s="1"/>
  <c r="BI600" i="3"/>
  <c r="BK600" i="3" s="1"/>
  <c r="BI601" i="3"/>
  <c r="BI602" i="3"/>
  <c r="BK602" i="3" s="1"/>
  <c r="BI603" i="3"/>
  <c r="BK603" i="3" s="1"/>
  <c r="BI604" i="3"/>
  <c r="BI605" i="3"/>
  <c r="BI606" i="3"/>
  <c r="BK606" i="3" s="1"/>
  <c r="BI607" i="3"/>
  <c r="BK607" i="3" s="1"/>
  <c r="BI608" i="3"/>
  <c r="BI609" i="3"/>
  <c r="BK609" i="3" s="1"/>
  <c r="BI610" i="3"/>
  <c r="BK610" i="3" s="1"/>
  <c r="BI611" i="3"/>
  <c r="BK611" i="3" s="1"/>
  <c r="BI612" i="3"/>
  <c r="BI613" i="3"/>
  <c r="BI589" i="3"/>
  <c r="BK589" i="3" s="1"/>
  <c r="BE590" i="3"/>
  <c r="BG590" i="3" s="1"/>
  <c r="BE591" i="3"/>
  <c r="BE592" i="3"/>
  <c r="BG592" i="3" s="1"/>
  <c r="BE593" i="3"/>
  <c r="BG593" i="3" s="1"/>
  <c r="BE594" i="3"/>
  <c r="BG594" i="3" s="1"/>
  <c r="BE595" i="3"/>
  <c r="BE596" i="3"/>
  <c r="BE597" i="3"/>
  <c r="BG597" i="3" s="1"/>
  <c r="BE598" i="3"/>
  <c r="BG598" i="3" s="1"/>
  <c r="BE599" i="3"/>
  <c r="BG599" i="3" s="1"/>
  <c r="BE600" i="3"/>
  <c r="BE601" i="3"/>
  <c r="BE602" i="3"/>
  <c r="BG602" i="3" s="1"/>
  <c r="BE603" i="3"/>
  <c r="BG603" i="3" s="1"/>
  <c r="BE604" i="3"/>
  <c r="BG604" i="3" s="1"/>
  <c r="BE605" i="3"/>
  <c r="BG605" i="3" s="1"/>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H107" i="4"/>
  <c r="G107" i="4"/>
  <c r="B100" i="15"/>
  <c r="C100" i="15"/>
  <c r="D100" i="15"/>
  <c r="B101" i="15"/>
  <c r="C101" i="15"/>
  <c r="D101" i="15"/>
  <c r="B102" i="15"/>
  <c r="C102" i="15"/>
  <c r="D102" i="15"/>
  <c r="B103" i="15"/>
  <c r="C103" i="15"/>
  <c r="D103"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B73" i="15"/>
  <c r="C73" i="15"/>
  <c r="D73" i="15"/>
  <c r="B74" i="15"/>
  <c r="C74" i="15"/>
  <c r="D74" i="15"/>
  <c r="B76" i="15"/>
  <c r="C76" i="15"/>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D59" i="15"/>
  <c r="B60" i="15"/>
  <c r="C60" i="15"/>
  <c r="D60" i="15"/>
  <c r="B61" i="15"/>
  <c r="C61" i="15"/>
  <c r="D61" i="15"/>
  <c r="B48" i="15"/>
  <c r="C48" i="15"/>
  <c r="D48" i="15"/>
  <c r="B49" i="15"/>
  <c r="C49" i="15"/>
  <c r="D49" i="15"/>
  <c r="B50" i="15"/>
  <c r="C50" i="15"/>
  <c r="D50" i="15"/>
  <c r="B51" i="15"/>
  <c r="C51" i="15"/>
  <c r="D51" i="15"/>
  <c r="B53" i="15"/>
  <c r="C53" i="15"/>
  <c r="D53" i="15"/>
  <c r="B44" i="15"/>
  <c r="C44" i="15"/>
  <c r="D44" i="15"/>
  <c r="B42" i="15"/>
  <c r="E42" i="15" s="1"/>
  <c r="C42" i="15"/>
  <c r="D42" i="15"/>
  <c r="D41" i="15"/>
  <c r="C41" i="15"/>
  <c r="B41" i="15"/>
  <c r="B38" i="15"/>
  <c r="C38" i="15"/>
  <c r="D38" i="15"/>
  <c r="B35" i="15"/>
  <c r="C35" i="15"/>
  <c r="D35" i="15"/>
  <c r="B36" i="15"/>
  <c r="C36" i="15"/>
  <c r="D36" i="15"/>
  <c r="B37" i="15"/>
  <c r="C37" i="15"/>
  <c r="D37" i="15"/>
  <c r="D30" i="15"/>
  <c r="C30" i="15"/>
  <c r="B30" i="15"/>
  <c r="B19" i="15"/>
  <c r="C19" i="15"/>
  <c r="E19" i="15" s="1"/>
  <c r="D19" i="15"/>
  <c r="B20" i="15"/>
  <c r="E20" i="15" s="1"/>
  <c r="C20" i="15"/>
  <c r="D20" i="15"/>
  <c r="B21" i="15"/>
  <c r="C21" i="15"/>
  <c r="D21" i="15"/>
  <c r="B22" i="15"/>
  <c r="C22" i="15"/>
  <c r="D22" i="15"/>
  <c r="B23" i="15"/>
  <c r="C23" i="15"/>
  <c r="D23" i="15"/>
  <c r="B24" i="15"/>
  <c r="C24" i="15"/>
  <c r="D24" i="15"/>
  <c r="B25" i="15"/>
  <c r="C25" i="15"/>
  <c r="D25" i="15"/>
  <c r="B26" i="15"/>
  <c r="C26" i="15"/>
  <c r="D26" i="15"/>
  <c r="B28" i="15"/>
  <c r="C28" i="15"/>
  <c r="E28" i="15" s="1"/>
  <c r="D28"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22" i="15"/>
  <c r="E35"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H64" i="18"/>
  <c r="H65" i="18"/>
  <c r="H66" i="18"/>
  <c r="B64" i="18"/>
  <c r="B65" i="18"/>
  <c r="B66" i="18"/>
  <c r="B101" i="4"/>
  <c r="E66" i="18"/>
  <c r="E65" i="18"/>
  <c r="B67" i="4"/>
  <c r="B66" i="4"/>
  <c r="B65" i="4"/>
  <c r="B36" i="4"/>
  <c r="R36" i="4"/>
  <c r="S36" i="4" s="1"/>
  <c r="E35" i="18" s="1"/>
  <c r="R24" i="4"/>
  <c r="B24" i="4"/>
  <c r="G53" i="9"/>
  <c r="I53" i="9" s="1"/>
  <c r="G54" i="9"/>
  <c r="I54" i="9" s="1"/>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s="1"/>
  <c r="M24" i="9" s="1"/>
  <c r="O24" i="9" s="1"/>
  <c r="Q24" i="9" s="1"/>
  <c r="S24" i="9" s="1"/>
  <c r="U24" i="9" s="1"/>
  <c r="W24" i="9" s="1"/>
  <c r="Y24" i="9" s="1"/>
  <c r="AA24" i="9" s="1"/>
  <c r="AC24" i="9" s="1"/>
  <c r="AE24" i="9" s="1"/>
  <c r="AG24" i="9" s="1"/>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E50" i="25" s="1"/>
  <c r="G52" i="25" s="1"/>
  <c r="Q48" i="25"/>
  <c r="D8" i="4"/>
  <c r="D11" i="4"/>
  <c r="D26" i="4"/>
  <c r="D38" i="4"/>
  <c r="D42" i="4"/>
  <c r="D53" i="4"/>
  <c r="D61" i="4"/>
  <c r="D69" i="4"/>
  <c r="D76" i="4"/>
  <c r="D80" i="4"/>
  <c r="D95" i="4"/>
  <c r="D103" i="4"/>
  <c r="C11" i="4"/>
  <c r="B11" i="18" s="1"/>
  <c r="C26" i="4"/>
  <c r="B25" i="18" s="1"/>
  <c r="C42" i="4"/>
  <c r="D43" i="15" s="1"/>
  <c r="C69" i="4"/>
  <c r="C70" i="15" s="1"/>
  <c r="C65" i="25"/>
  <c r="C66" i="25"/>
  <c r="Y20" i="5"/>
  <c r="Y22" i="5" s="1"/>
  <c r="AI20" i="5"/>
  <c r="AI22" i="5" s="1"/>
  <c r="S26" i="4"/>
  <c r="F25" i="18"/>
  <c r="F37" i="18"/>
  <c r="F41" i="18"/>
  <c r="F52" i="18"/>
  <c r="F68" i="18"/>
  <c r="F79" i="18"/>
  <c r="F94" i="18"/>
  <c r="F102" i="18"/>
  <c r="T20" i="5"/>
  <c r="T22" i="5" s="1"/>
  <c r="T26" i="4"/>
  <c r="T38" i="4"/>
  <c r="H37" i="18" s="1"/>
  <c r="T42" i="4"/>
  <c r="T53" i="4"/>
  <c r="T11" i="4"/>
  <c r="H11" i="18" s="1"/>
  <c r="T69" i="4"/>
  <c r="H68" i="18" s="1"/>
  <c r="T80" i="4"/>
  <c r="H79" i="18" s="1"/>
  <c r="T95" i="4"/>
  <c r="H94" i="18" s="1"/>
  <c r="T103" i="4"/>
  <c r="H102" i="18" s="1"/>
  <c r="I11" i="18"/>
  <c r="I25" i="18"/>
  <c r="I37" i="18"/>
  <c r="I41" i="18"/>
  <c r="I52" i="18"/>
  <c r="I68" i="18"/>
  <c r="I79" i="18"/>
  <c r="I94" i="18"/>
  <c r="I102" i="18"/>
  <c r="U61" i="25"/>
  <c r="U63" i="25"/>
  <c r="U65" i="25"/>
  <c r="U67" i="25"/>
  <c r="S83" i="4"/>
  <c r="E82" i="18" s="1"/>
  <c r="M27" i="28"/>
  <c r="M28"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2" i="4" s="1"/>
  <c r="P11" i="4"/>
  <c r="P26" i="4"/>
  <c r="P38" i="4"/>
  <c r="P42" i="4"/>
  <c r="P53" i="4"/>
  <c r="P61" i="4"/>
  <c r="P69" i="4"/>
  <c r="P76" i="4"/>
  <c r="P80" i="4"/>
  <c r="P95" i="4"/>
  <c r="Q8" i="4"/>
  <c r="Q11" i="4"/>
  <c r="Q26" i="4"/>
  <c r="Q38" i="4"/>
  <c r="Q42" i="4"/>
  <c r="Q53" i="4"/>
  <c r="Q61" i="4"/>
  <c r="Q69" i="4"/>
  <c r="Q76" i="4"/>
  <c r="Q80" i="4"/>
  <c r="Q95" i="4"/>
  <c r="G79" i="18"/>
  <c r="C79" i="18"/>
  <c r="F80" i="4"/>
  <c r="G80" i="4"/>
  <c r="H80" i="4"/>
  <c r="G76" i="4"/>
  <c r="F76" i="4"/>
  <c r="H78" i="18"/>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1" i="18"/>
  <c r="E67" i="18"/>
  <c r="E63" i="18"/>
  <c r="E50" i="18"/>
  <c r="E26" i="18"/>
  <c r="E24" i="18"/>
  <c r="E23" i="18"/>
  <c r="E22" i="18"/>
  <c r="E21" i="18"/>
  <c r="E20" i="18"/>
  <c r="E19" i="18"/>
  <c r="E18" i="18"/>
  <c r="E17" i="18"/>
  <c r="E14" i="18"/>
  <c r="E15" i="18"/>
  <c r="E10" i="18"/>
  <c r="B101" i="18"/>
  <c r="B100" i="18"/>
  <c r="B99" i="18"/>
  <c r="B98" i="18"/>
  <c r="B93" i="18"/>
  <c r="B92" i="18"/>
  <c r="B91" i="18"/>
  <c r="B90" i="18"/>
  <c r="B89" i="18"/>
  <c r="B88" i="18"/>
  <c r="B87" i="18"/>
  <c r="B86" i="18"/>
  <c r="B85" i="18"/>
  <c r="B84" i="18"/>
  <c r="B83" i="18"/>
  <c r="B82" i="18"/>
  <c r="B74" i="18"/>
  <c r="B72" i="18"/>
  <c r="B71" i="18"/>
  <c r="B70" i="18"/>
  <c r="B67" i="18"/>
  <c r="B63" i="18"/>
  <c r="B59" i="18"/>
  <c r="B58" i="18"/>
  <c r="B57" i="18"/>
  <c r="B56" i="18"/>
  <c r="B55" i="18"/>
  <c r="B51" i="18"/>
  <c r="B49" i="18"/>
  <c r="B48" i="18"/>
  <c r="B47" i="18"/>
  <c r="B46" i="18"/>
  <c r="B42" i="18"/>
  <c r="B40" i="18"/>
  <c r="B39" i="18"/>
  <c r="B36" i="18"/>
  <c r="B34" i="18"/>
  <c r="B33" i="18"/>
  <c r="B28" i="18"/>
  <c r="B26" i="18"/>
  <c r="B24" i="18"/>
  <c r="B23" i="18"/>
  <c r="B22" i="18"/>
  <c r="B21" i="18"/>
  <c r="B20" i="18"/>
  <c r="B19" i="18"/>
  <c r="B18" i="18"/>
  <c r="B17" i="18"/>
  <c r="D102" i="18"/>
  <c r="C102" i="18"/>
  <c r="C94" i="18"/>
  <c r="C75" i="18"/>
  <c r="D68" i="18"/>
  <c r="C68" i="18"/>
  <c r="C60"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S94" i="4"/>
  <c r="E93" i="18" s="1"/>
  <c r="S84" i="4"/>
  <c r="S85" i="4"/>
  <c r="E84" i="18" s="1"/>
  <c r="S86" i="4"/>
  <c r="E85" i="18" s="1"/>
  <c r="S88" i="4"/>
  <c r="E87" i="18" s="1"/>
  <c r="S89" i="4"/>
  <c r="E88" i="18" s="1"/>
  <c r="S90" i="4"/>
  <c r="E89" i="18" s="1"/>
  <c r="S91" i="4"/>
  <c r="E90" i="18" s="1"/>
  <c r="S93" i="4"/>
  <c r="E92" i="18" s="1"/>
  <c r="E51" i="18"/>
  <c r="E49" i="18"/>
  <c r="E48" i="18"/>
  <c r="E47" i="18"/>
  <c r="E46" i="18"/>
  <c r="E42" i="18"/>
  <c r="R41" i="4"/>
  <c r="S41" i="4" s="1"/>
  <c r="E40" i="18" s="1"/>
  <c r="R40" i="4"/>
  <c r="S40" i="4" s="1"/>
  <c r="E39" i="18" s="1"/>
  <c r="R37" i="4"/>
  <c r="S37" i="4" s="1"/>
  <c r="E36" i="18" s="1"/>
  <c r="R35" i="4"/>
  <c r="S35" i="4" s="1"/>
  <c r="E34" i="18" s="1"/>
  <c r="R34" i="4"/>
  <c r="S34" i="4" s="1"/>
  <c r="E33" i="18" s="1"/>
  <c r="R29" i="4"/>
  <c r="R27" i="4"/>
  <c r="R25" i="4"/>
  <c r="R23" i="4"/>
  <c r="R22" i="4"/>
  <c r="R21" i="4"/>
  <c r="R20" i="4"/>
  <c r="R19" i="4"/>
  <c r="R18" i="4"/>
  <c r="R17" i="4"/>
  <c r="R15" i="4"/>
  <c r="R14" i="4"/>
  <c r="D6" i="15"/>
  <c r="D7" i="15"/>
  <c r="D8" i="15"/>
  <c r="D10" i="15"/>
  <c r="D11" i="15"/>
  <c r="D12" i="15" s="1"/>
  <c r="D14" i="15"/>
  <c r="D15" i="15"/>
  <c r="D16" i="15"/>
  <c r="D18" i="15"/>
  <c r="H25" i="18"/>
  <c r="H5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5" i="4"/>
  <c r="B6" i="4"/>
  <c r="B7"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4" i="4"/>
  <c r="B35" i="4"/>
  <c r="B37" i="4"/>
  <c r="G38" i="4"/>
  <c r="H38" i="4"/>
  <c r="O103" i="4"/>
  <c r="B40" i="4"/>
  <c r="B41" i="4"/>
  <c r="E42" i="4"/>
  <c r="F42" i="4"/>
  <c r="G42" i="4"/>
  <c r="H42" i="4"/>
  <c r="B43" i="4"/>
  <c r="B47" i="4"/>
  <c r="B48" i="4"/>
  <c r="B49" i="4"/>
  <c r="B50" i="4"/>
  <c r="B52" i="4"/>
  <c r="F53" i="4"/>
  <c r="F61" i="4"/>
  <c r="F95" i="4"/>
  <c r="F69" i="4"/>
  <c r="F103" i="4"/>
  <c r="G53" i="4"/>
  <c r="H53" i="4"/>
  <c r="B56" i="4"/>
  <c r="B57" i="4"/>
  <c r="B58" i="4"/>
  <c r="B59" i="4"/>
  <c r="B60" i="4"/>
  <c r="G61" i="4"/>
  <c r="H61" i="4"/>
  <c r="B64" i="4"/>
  <c r="B68" i="4"/>
  <c r="E69" i="4"/>
  <c r="G69" i="4"/>
  <c r="H69" i="4"/>
  <c r="B71" i="4"/>
  <c r="B72" i="4"/>
  <c r="B73" i="4"/>
  <c r="B75" i="4"/>
  <c r="H76" i="4"/>
  <c r="B83" i="4"/>
  <c r="B84" i="4"/>
  <c r="B85" i="4"/>
  <c r="B86" i="4"/>
  <c r="B87" i="4"/>
  <c r="B88" i="4"/>
  <c r="B89" i="4"/>
  <c r="B90" i="4"/>
  <c r="B91" i="4"/>
  <c r="B92" i="4"/>
  <c r="B93" i="4"/>
  <c r="B94" i="4"/>
  <c r="G95" i="4"/>
  <c r="H95" i="4"/>
  <c r="B99" i="4"/>
  <c r="B100" i="4"/>
  <c r="G103" i="4"/>
  <c r="H103" i="4"/>
  <c r="J103" i="4"/>
  <c r="K103" i="4"/>
  <c r="L103" i="4"/>
  <c r="N103" i="4"/>
  <c r="P103" i="4"/>
  <c r="B131" i="4"/>
  <c r="I184" i="3"/>
  <c r="W411" i="3"/>
  <c r="AF411" i="3" s="1"/>
  <c r="G560" i="3"/>
  <c r="Z560" i="3"/>
  <c r="G568" i="3"/>
  <c r="Z568" i="3"/>
  <c r="G576" i="3"/>
  <c r="Z576" i="3"/>
  <c r="G584" i="3"/>
  <c r="Z584" i="3"/>
  <c r="BG591" i="3"/>
  <c r="G592" i="3"/>
  <c r="Z592" i="3"/>
  <c r="BK594" i="3"/>
  <c r="BG595" i="3"/>
  <c r="BG596" i="3"/>
  <c r="BK596" i="3"/>
  <c r="BG600" i="3"/>
  <c r="G600" i="3"/>
  <c r="Z600" i="3"/>
  <c r="BG601" i="3"/>
  <c r="BK601" i="3"/>
  <c r="BK604" i="3"/>
  <c r="BK605" i="3"/>
  <c r="BG607" i="3"/>
  <c r="BK608" i="3"/>
  <c r="BG611" i="3"/>
  <c r="BG612" i="3"/>
  <c r="BK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H41" i="18"/>
  <c r="E25" i="18"/>
  <c r="B27" i="15"/>
  <c r="C27" i="15"/>
  <c r="AM704" i="3"/>
  <c r="AB47" i="26"/>
  <c r="R11" i="4"/>
  <c r="S28" i="9"/>
  <c r="AC28" i="9"/>
  <c r="G19" i="9"/>
  <c r="I19" i="9" s="1"/>
  <c r="K19" i="9" s="1"/>
  <c r="M19" i="9" s="1"/>
  <c r="O19" i="9" s="1"/>
  <c r="Q19" i="9" s="1"/>
  <c r="S19" i="9" s="1"/>
  <c r="U19" i="9" s="1"/>
  <c r="W19" i="9" s="1"/>
  <c r="Y19" i="9" s="1"/>
  <c r="AA19" i="9" s="1"/>
  <c r="AC19" i="9" s="1"/>
  <c r="AE19" i="9" s="1"/>
  <c r="AG19" i="9" s="1"/>
  <c r="AD67" i="5"/>
  <c r="T7" i="5"/>
  <c r="T24" i="27"/>
  <c r="T24" i="26"/>
  <c r="Q580" i="6"/>
  <c r="W580" i="6" s="1"/>
  <c r="E101" i="15" l="1"/>
  <c r="E72" i="15"/>
  <c r="E68" i="15"/>
  <c r="E51" i="15"/>
  <c r="AM700" i="3"/>
  <c r="Q62" i="4"/>
  <c r="Q96" i="4" s="1"/>
  <c r="Q104" i="4" s="1"/>
  <c r="O62" i="4"/>
  <c r="O96" i="4" s="1"/>
  <c r="O104" i="4" s="1"/>
  <c r="M12" i="4"/>
  <c r="L62" i="4"/>
  <c r="L96" i="4" s="1"/>
  <c r="L104" i="4" s="1"/>
  <c r="J12" i="4"/>
  <c r="J61" i="18"/>
  <c r="J95" i="18" s="1"/>
  <c r="J103" i="18" s="1"/>
  <c r="J105" i="18" s="1"/>
  <c r="I61" i="18"/>
  <c r="I95" i="18" s="1"/>
  <c r="I103" i="18" s="1"/>
  <c r="I105" i="18" s="1"/>
  <c r="Q12" i="4"/>
  <c r="H12" i="4"/>
  <c r="AM703" i="3"/>
  <c r="AM695" i="3"/>
  <c r="G58" i="9"/>
  <c r="AM701" i="3"/>
  <c r="G12" i="4"/>
  <c r="F12" i="4"/>
  <c r="E24" i="15"/>
  <c r="E73" i="15"/>
  <c r="E100" i="15"/>
  <c r="G61" i="18"/>
  <c r="G95" i="18" s="1"/>
  <c r="D12" i="4"/>
  <c r="E26" i="15"/>
  <c r="E21" i="15"/>
  <c r="N12" i="4"/>
  <c r="I62" i="4"/>
  <c r="I96" i="4" s="1"/>
  <c r="B12" i="15"/>
  <c r="E23" i="15"/>
  <c r="E49" i="15"/>
  <c r="R26" i="4"/>
  <c r="C61" i="18"/>
  <c r="C95" i="18" s="1"/>
  <c r="C103" i="18" s="1"/>
  <c r="N62" i="4"/>
  <c r="N96" i="4" s="1"/>
  <c r="N104" i="4" s="1"/>
  <c r="M62" i="4"/>
  <c r="M96" i="4" s="1"/>
  <c r="M104" i="4" s="1"/>
  <c r="P62" i="4"/>
  <c r="P96" i="4" s="1"/>
  <c r="P104" i="4" s="1"/>
  <c r="K62" i="4"/>
  <c r="K96" i="4" s="1"/>
  <c r="K104" i="4" s="1"/>
  <c r="H62" i="4"/>
  <c r="H96" i="4" s="1"/>
  <c r="H104" i="4" s="1"/>
  <c r="E37" i="15"/>
  <c r="E59" i="15"/>
  <c r="E76" i="15"/>
  <c r="E102" i="15"/>
  <c r="E16" i="15"/>
  <c r="E10" i="15"/>
  <c r="E60" i="15"/>
  <c r="E57" i="15"/>
  <c r="G103" i="18"/>
  <c r="G105" i="18" s="1"/>
  <c r="E48" i="15"/>
  <c r="E89" i="15"/>
  <c r="E90" i="15"/>
  <c r="E69" i="15"/>
  <c r="D12" i="18"/>
  <c r="F61" i="18"/>
  <c r="F95" i="18" s="1"/>
  <c r="F103" i="18" s="1"/>
  <c r="F105" i="18" s="1"/>
  <c r="E67" i="15"/>
  <c r="E15" i="15"/>
  <c r="E8" i="15"/>
  <c r="E25" i="15"/>
  <c r="E58" i="15"/>
  <c r="E95" i="15"/>
  <c r="E87" i="15"/>
  <c r="E74" i="15"/>
  <c r="E94" i="15"/>
  <c r="E18" i="15"/>
  <c r="E6" i="15"/>
  <c r="E36" i="15"/>
  <c r="E91" i="15"/>
  <c r="E103" i="15"/>
  <c r="E14" i="15"/>
  <c r="E11" i="15"/>
  <c r="E86" i="15"/>
  <c r="E50" i="15"/>
  <c r="K53" i="9"/>
  <c r="I58" i="9"/>
  <c r="D62" i="4"/>
  <c r="D96" i="4" s="1"/>
  <c r="D104" i="4" s="1"/>
  <c r="E41" i="15"/>
  <c r="C12" i="18"/>
  <c r="K12" i="4"/>
  <c r="D27" i="15"/>
  <c r="AM699" i="3"/>
  <c r="AO651" i="6"/>
  <c r="AK684" i="6" s="1"/>
  <c r="T706" i="6" s="1"/>
  <c r="G98" i="25"/>
  <c r="D100" i="25" s="1"/>
  <c r="D102" i="25" s="1"/>
  <c r="D104" i="25" s="1"/>
  <c r="D110" i="25" s="1"/>
  <c r="G38" i="25" s="1"/>
  <c r="G53" i="25" s="1"/>
  <c r="E61" i="15"/>
  <c r="E92" i="15"/>
  <c r="J62" i="4"/>
  <c r="J96" i="4" s="1"/>
  <c r="J104" i="4" s="1"/>
  <c r="AI20" i="26"/>
  <c r="AI22" i="26" s="1"/>
  <c r="G62" i="4"/>
  <c r="G96" i="4" s="1"/>
  <c r="G104" i="4" s="1"/>
  <c r="AM697" i="3"/>
  <c r="AM702" i="3"/>
  <c r="AM694" i="3"/>
  <c r="T62" i="4"/>
  <c r="S29" i="4"/>
  <c r="E28" i="18" s="1"/>
  <c r="AP378" i="6"/>
  <c r="AQ378" i="6" s="1"/>
  <c r="AM698" i="3"/>
  <c r="B26" i="4"/>
  <c r="S69" i="4"/>
  <c r="E68" i="18" s="1"/>
  <c r="E38" i="15"/>
  <c r="E93" i="15"/>
  <c r="E88" i="15"/>
  <c r="AM692" i="3"/>
  <c r="S95" i="4"/>
  <c r="E94" i="18" s="1"/>
  <c r="E85" i="15"/>
  <c r="E83" i="18"/>
  <c r="E84" i="15"/>
  <c r="B68" i="18"/>
  <c r="E64" i="18"/>
  <c r="E66" i="15"/>
  <c r="B70" i="15"/>
  <c r="E70" i="15" s="1"/>
  <c r="B69" i="4"/>
  <c r="D70" i="15"/>
  <c r="E65" i="15"/>
  <c r="E53" i="15"/>
  <c r="E44" i="15"/>
  <c r="S42" i="4"/>
  <c r="E41" i="18" s="1"/>
  <c r="R42" i="4"/>
  <c r="E30" i="15"/>
  <c r="C12" i="15"/>
  <c r="E12" i="15" s="1"/>
  <c r="B11" i="4"/>
  <c r="E13" i="18"/>
  <c r="U69" i="25"/>
  <c r="R69" i="4"/>
  <c r="C43" i="15"/>
  <c r="B43" i="15"/>
  <c r="B41" i="18"/>
  <c r="B42" i="4"/>
  <c r="E7" i="15"/>
  <c r="BN620" i="3"/>
  <c r="AM696" i="3"/>
  <c r="AM693" i="3"/>
  <c r="AY916" i="3"/>
  <c r="CM620" i="3"/>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CG614" i="3" s="1"/>
  <c r="AZ260" i="3"/>
  <c r="BO245" i="3" s="1"/>
  <c r="T269" i="3" s="1"/>
  <c r="R936" i="3"/>
  <c r="BR633" i="3"/>
  <c r="AC848" i="3"/>
  <c r="AY918" i="3"/>
  <c r="AY910" i="3" s="1"/>
  <c r="AY914" i="3" s="1"/>
  <c r="Q583" i="6"/>
  <c r="W583" i="6" s="1"/>
  <c r="Q587" i="6"/>
  <c r="W587" i="6" s="1"/>
  <c r="Q588" i="6"/>
  <c r="W588" i="6" s="1"/>
  <c r="BG732" i="3"/>
  <c r="BH717" i="3" s="1"/>
  <c r="CX614" i="3"/>
  <c r="T608" i="6" s="1"/>
  <c r="AZ572" i="6" s="1"/>
  <c r="DH614" i="3"/>
  <c r="T606" i="6" s="1"/>
  <c r="BK614" i="3"/>
  <c r="BN613"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2" i="27" s="1"/>
  <c r="T20" i="26"/>
  <c r="T22" i="26" s="1"/>
  <c r="Y20" i="26"/>
  <c r="Y22" i="26" s="1"/>
  <c r="AD20" i="26"/>
  <c r="AD22" i="26" s="1"/>
  <c r="AD7" i="5"/>
  <c r="AI20" i="27"/>
  <c r="AI22" i="27" s="1"/>
  <c r="AD63" i="5"/>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Y11" i="5" s="1"/>
  <c r="G8" i="9"/>
  <c r="E9" i="9"/>
  <c r="BI717" i="3" l="1"/>
  <c r="BN638" i="3"/>
  <c r="AB933" i="3" s="1"/>
  <c r="AJ933" i="3" s="1"/>
  <c r="H61" i="18"/>
  <c r="T96" i="4"/>
  <c r="M53" i="9"/>
  <c r="K58" i="9"/>
  <c r="E43" i="15"/>
  <c r="BH699" i="3"/>
  <c r="BI699" i="3" s="1"/>
  <c r="BH688" i="3"/>
  <c r="BI688" i="3" s="1"/>
  <c r="BH678" i="3"/>
  <c r="BI678" i="3" s="1"/>
  <c r="Y764" i="3"/>
  <c r="L29" i="28"/>
  <c r="V29" i="28" s="1"/>
  <c r="Y765" i="3"/>
  <c r="E4" i="9" s="1"/>
  <c r="G4" i="9" s="1"/>
  <c r="I4" i="9" s="1"/>
  <c r="I5" i="9" s="1"/>
  <c r="BH700" i="3"/>
  <c r="BI700" i="3" s="1"/>
  <c r="BH697" i="3"/>
  <c r="BI697" i="3" s="1"/>
  <c r="BH680" i="3"/>
  <c r="BI680" i="3" s="1"/>
  <c r="BH682" i="3"/>
  <c r="BI682" i="3" s="1"/>
  <c r="BH726" i="3"/>
  <c r="BI726" i="3" s="1"/>
  <c r="BH681" i="3"/>
  <c r="BI681" i="3" s="1"/>
  <c r="BH707" i="3"/>
  <c r="BI707" i="3" s="1"/>
  <c r="BH684" i="3"/>
  <c r="BI684" i="3" s="1"/>
  <c r="BH676" i="3"/>
  <c r="BI676" i="3" s="1"/>
  <c r="BH683" i="3"/>
  <c r="BI683" i="3" s="1"/>
  <c r="BH685" i="3"/>
  <c r="BI685" i="3" s="1"/>
  <c r="BH691" i="3"/>
  <c r="BI691" i="3" s="1"/>
  <c r="BH687" i="3"/>
  <c r="BI687" i="3" s="1"/>
  <c r="BH692" i="3"/>
  <c r="BI692" i="3" s="1"/>
  <c r="BH693" i="3"/>
  <c r="BI693" i="3" s="1"/>
  <c r="BH690" i="3"/>
  <c r="BI690" i="3" s="1"/>
  <c r="BH696" i="3"/>
  <c r="BI696" i="3" s="1"/>
  <c r="BH695" i="3"/>
  <c r="BI695" i="3" s="1"/>
  <c r="CM638" i="3"/>
  <c r="O606" i="6"/>
  <c r="AU570" i="6" s="1"/>
  <c r="O605" i="6"/>
  <c r="AU569" i="6" s="1"/>
  <c r="CB614" i="3"/>
  <c r="L30" i="28"/>
  <c r="V30" i="28" s="1"/>
  <c r="L28" i="28"/>
  <c r="V28" i="28" s="1"/>
  <c r="BH710" i="3"/>
  <c r="BI710" i="3" s="1"/>
  <c r="CS620" i="3"/>
  <c r="BH730" i="3"/>
  <c r="BI730" i="3" s="1"/>
  <c r="BH709" i="3"/>
  <c r="BI709" i="3" s="1"/>
  <c r="BH712" i="3"/>
  <c r="BI712" i="3" s="1"/>
  <c r="BH715" i="3"/>
  <c r="BI715" i="3" s="1"/>
  <c r="CH638" i="3"/>
  <c r="AS354" i="6"/>
  <c r="AK471" i="6" s="1"/>
  <c r="T700" i="6" s="1"/>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K16" i="9"/>
  <c r="I22" i="9"/>
  <c r="I35" i="9" s="1"/>
  <c r="E6" i="9"/>
  <c r="S15" i="9"/>
  <c r="M32" i="9"/>
  <c r="I8" i="9"/>
  <c r="G9" i="9"/>
  <c r="T104" i="4" l="1"/>
  <c r="H95" i="18"/>
  <c r="M58" i="9"/>
  <c r="O53" i="9"/>
  <c r="Y606" i="6"/>
  <c r="CH544" i="6" s="1"/>
  <c r="Z782" i="3"/>
  <c r="E5" i="9"/>
  <c r="BI732" i="3"/>
  <c r="AM717" i="3" s="1"/>
  <c r="BI701" i="3"/>
  <c r="AH717" i="3" s="1"/>
  <c r="AB937" i="3"/>
  <c r="AJ937" i="3" s="1"/>
  <c r="AJ939" i="3" s="1"/>
  <c r="AJ988" i="3" s="1"/>
  <c r="T24" i="5" s="1"/>
  <c r="BH701" i="3"/>
  <c r="BH732" i="3"/>
  <c r="Y26" i="5"/>
  <c r="Y28" i="5" s="1"/>
  <c r="AO691" i="6"/>
  <c r="G5" i="9"/>
  <c r="K4" i="9"/>
  <c r="M4" i="9" s="1"/>
  <c r="O4" i="9" s="1"/>
  <c r="AC589" i="6"/>
  <c r="CE527" i="6"/>
  <c r="CE528" i="6" s="1"/>
  <c r="CC529" i="6" s="1"/>
  <c r="CQ615" i="3"/>
  <c r="CQ636" i="3" s="1"/>
  <c r="U367" i="6" s="1"/>
  <c r="BE573" i="6"/>
  <c r="AP583" i="6" s="1"/>
  <c r="CH545" i="6"/>
  <c r="BW525" i="6"/>
  <c r="BW528" i="6" s="1"/>
  <c r="BU529" i="6" s="1"/>
  <c r="BO569" i="6"/>
  <c r="BO574" i="6" s="1"/>
  <c r="BH580" i="6"/>
  <c r="BH585" i="6" s="1"/>
  <c r="AY538" i="6"/>
  <c r="BF562" i="6"/>
  <c r="BK565" i="6" s="1"/>
  <c r="AU543" i="6" s="1"/>
  <c r="AX543" i="6" s="1"/>
  <c r="O610" i="6"/>
  <c r="CA526" i="6"/>
  <c r="CA528" i="6" s="1"/>
  <c r="BY529" i="6" s="1"/>
  <c r="BE572" i="6"/>
  <c r="AP582" i="6" s="1"/>
  <c r="BD580" i="6"/>
  <c r="BD585" i="6" s="1"/>
  <c r="BP580" i="6"/>
  <c r="BB581" i="6"/>
  <c r="BB585" i="6" s="1"/>
  <c r="V27" i="28"/>
  <c r="V31" i="28" s="1"/>
  <c r="L31" i="28"/>
  <c r="BJ583" i="6"/>
  <c r="BJ585" i="6" s="1"/>
  <c r="CH543" i="6"/>
  <c r="BE542" i="6" s="1"/>
  <c r="BO523" i="6"/>
  <c r="BO528" i="6" s="1"/>
  <c r="BM529" i="6" s="1"/>
  <c r="BF582" i="6"/>
  <c r="BF585" i="6" s="1"/>
  <c r="BL580" i="6"/>
  <c r="BL581" i="6"/>
  <c r="BP581" i="6"/>
  <c r="BL582" i="6"/>
  <c r="AF694" i="6"/>
  <c r="E7" i="9"/>
  <c r="G6" i="9"/>
  <c r="M16" i="9"/>
  <c r="K22" i="9"/>
  <c r="K35" i="9" s="1"/>
  <c r="U15" i="9"/>
  <c r="O32" i="9"/>
  <c r="I9" i="9"/>
  <c r="K8" i="9"/>
  <c r="BI543" i="6" l="1"/>
  <c r="BI547" i="6" s="1"/>
  <c r="AU531" i="6"/>
  <c r="H103" i="18"/>
  <c r="T106" i="4"/>
  <c r="H105" i="18" s="1"/>
  <c r="O58" i="9"/>
  <c r="Q53" i="9"/>
  <c r="AU530" i="6"/>
  <c r="AU532" i="6"/>
  <c r="AU533" i="6"/>
  <c r="AU534" i="6"/>
  <c r="BS524" i="6"/>
  <c r="BS528" i="6" s="1"/>
  <c r="BQ529" i="6" s="1"/>
  <c r="BQ530" i="6" s="1"/>
  <c r="BQ534" i="6" s="1"/>
  <c r="BE570" i="6"/>
  <c r="AP580" i="6" s="1"/>
  <c r="BT570" i="6" s="1"/>
  <c r="BT574" i="6" s="1"/>
  <c r="E11" i="9"/>
  <c r="E37" i="9" s="1"/>
  <c r="E45" i="9" s="1"/>
  <c r="E48" i="9" s="1"/>
  <c r="AB938" i="3"/>
  <c r="O720" i="3"/>
  <c r="P414" i="3"/>
  <c r="AO689" i="6"/>
  <c r="T698" i="6" s="1"/>
  <c r="AF698" i="6" s="1"/>
  <c r="K5" i="9"/>
  <c r="CC530" i="6"/>
  <c r="T703" i="6"/>
  <c r="AK615" i="6"/>
  <c r="M5" i="9"/>
  <c r="AS539" i="6"/>
  <c r="BY530" i="6"/>
  <c r="BY532" i="6"/>
  <c r="BP585" i="6"/>
  <c r="BN586" i="6" s="1"/>
  <c r="BB586" i="6"/>
  <c r="BU531" i="6"/>
  <c r="CC533" i="6"/>
  <c r="BE547" i="6"/>
  <c r="AU546" i="6"/>
  <c r="BL585" i="6"/>
  <c r="BJ586" i="6" s="1"/>
  <c r="BF586" i="6"/>
  <c r="O16" i="9"/>
  <c r="M22" i="9"/>
  <c r="M35" i="9" s="1"/>
  <c r="O5" i="9"/>
  <c r="Q4" i="9"/>
  <c r="I6" i="9"/>
  <c r="G7" i="9"/>
  <c r="G11" i="9" s="1"/>
  <c r="G37" i="9" s="1"/>
  <c r="BM544" i="6"/>
  <c r="W15" i="9"/>
  <c r="Q32" i="9"/>
  <c r="M8" i="9"/>
  <c r="K9" i="9"/>
  <c r="S53" i="9" l="1"/>
  <c r="Q58" i="9"/>
  <c r="AD11" i="5"/>
  <c r="AD23" i="5" s="1"/>
  <c r="AD26" i="5" s="1"/>
  <c r="AD28" i="5" s="1"/>
  <c r="AD11" i="26"/>
  <c r="AD23" i="26" s="1"/>
  <c r="AD26" i="26" s="1"/>
  <c r="AD28" i="26" s="1"/>
  <c r="AI11" i="26"/>
  <c r="AI23" i="26" s="1"/>
  <c r="AI26" i="26" s="1"/>
  <c r="AI28" i="26" s="1"/>
  <c r="AD63" i="26" s="1"/>
  <c r="AI11" i="27"/>
  <c r="AI23" i="27" s="1"/>
  <c r="AI26" i="27" s="1"/>
  <c r="AI28" i="27" s="1"/>
  <c r="AD63" i="27" s="1"/>
  <c r="AD11" i="27"/>
  <c r="AD23" i="27" s="1"/>
  <c r="AD26" i="27" s="1"/>
  <c r="AD28" i="27" s="1"/>
  <c r="BU530" i="6"/>
  <c r="BU534" i="6" s="1"/>
  <c r="BY531" i="6"/>
  <c r="BY534" i="6" s="1"/>
  <c r="CC532" i="6"/>
  <c r="E49" i="9"/>
  <c r="E47" i="9"/>
  <c r="E60" i="9"/>
  <c r="E66" i="9" s="1"/>
  <c r="T702" i="6"/>
  <c r="AO694" i="6"/>
  <c r="AF702" i="6" s="1"/>
  <c r="AF708" i="6" s="1"/>
  <c r="CC531" i="6"/>
  <c r="BJ587" i="6"/>
  <c r="AV551" i="6" s="1"/>
  <c r="BY571" i="6"/>
  <c r="K6" i="9"/>
  <c r="I7" i="9"/>
  <c r="I11" i="9" s="1"/>
  <c r="I37" i="9" s="1"/>
  <c r="Q16" i="9"/>
  <c r="O22" i="9"/>
  <c r="O35" i="9" s="1"/>
  <c r="Q5" i="9"/>
  <c r="S4" i="9"/>
  <c r="G49" i="9"/>
  <c r="G45" i="9"/>
  <c r="Y15" i="9"/>
  <c r="BM547" i="6"/>
  <c r="BQ545" i="6"/>
  <c r="S32" i="9"/>
  <c r="M9" i="9"/>
  <c r="O8" i="9"/>
  <c r="S58" i="9" l="1"/>
  <c r="U53" i="9"/>
  <c r="CC534" i="6"/>
  <c r="E67" i="9"/>
  <c r="E70" i="9" s="1"/>
  <c r="E72" i="9" s="1"/>
  <c r="CG534" i="6"/>
  <c r="CD572" i="6"/>
  <c r="BY574" i="6"/>
  <c r="BQ547" i="6"/>
  <c r="BU546" i="6"/>
  <c r="BU547" i="6" s="1"/>
  <c r="S16" i="9"/>
  <c r="Q22" i="9"/>
  <c r="Q35" i="9" s="1"/>
  <c r="AA15" i="9"/>
  <c r="G47" i="9"/>
  <c r="G60" i="9"/>
  <c r="G48" i="9"/>
  <c r="I49" i="9"/>
  <c r="I45" i="9"/>
  <c r="U4" i="9"/>
  <c r="S5" i="9"/>
  <c r="K7" i="9"/>
  <c r="K11" i="9" s="1"/>
  <c r="M6" i="9"/>
  <c r="U32" i="9"/>
  <c r="Q8" i="9"/>
  <c r="O9" i="9"/>
  <c r="W53" i="9" l="1"/>
  <c r="U58" i="9"/>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Y53" i="9" l="1"/>
  <c r="W58" i="9"/>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AA53" i="9" l="1"/>
  <c r="Y58" i="9"/>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AA58" i="9" l="1"/>
  <c r="AC53" i="9"/>
  <c r="K70" i="9"/>
  <c r="K72" i="9" s="1"/>
  <c r="Q45" i="9"/>
  <c r="Q49" i="9"/>
  <c r="AC4" i="9"/>
  <c r="AA5" i="9"/>
  <c r="O48" i="9"/>
  <c r="O60" i="9"/>
  <c r="O47" i="9"/>
  <c r="U6" i="9"/>
  <c r="S7" i="9"/>
  <c r="S11" i="9" s="1"/>
  <c r="S37" i="9" s="1"/>
  <c r="AA16" i="9"/>
  <c r="Y22" i="9"/>
  <c r="Y35" i="9" s="1"/>
  <c r="M62" i="9"/>
  <c r="M66" i="9"/>
  <c r="M68" i="9"/>
  <c r="M69" i="9"/>
  <c r="M67" i="9"/>
  <c r="AC32" i="9"/>
  <c r="W9" i="9"/>
  <c r="Y8" i="9"/>
  <c r="AC58" i="9" l="1"/>
  <c r="AE53" i="9"/>
  <c r="M70" i="9"/>
  <c r="M72" i="9" s="1"/>
  <c r="W6" i="9"/>
  <c r="U7" i="9"/>
  <c r="U11" i="9" s="1"/>
  <c r="U37" i="9" s="1"/>
  <c r="O68" i="9"/>
  <c r="O62" i="9"/>
  <c r="O66" i="9"/>
  <c r="O69" i="9"/>
  <c r="O67" i="9"/>
  <c r="AC16" i="9"/>
  <c r="AA22" i="9"/>
  <c r="AA35" i="9" s="1"/>
  <c r="S45" i="9"/>
  <c r="S49" i="9"/>
  <c r="AC5" i="9"/>
  <c r="AE4" i="9"/>
  <c r="Q48" i="9"/>
  <c r="Q60" i="9"/>
  <c r="Q47" i="9"/>
  <c r="AE32" i="9"/>
  <c r="Y9" i="9"/>
  <c r="AA8" i="9"/>
  <c r="AE58" i="9" l="1"/>
  <c r="AG53" i="9"/>
  <c r="AG58" i="9" s="1"/>
  <c r="AE5" i="9"/>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E77" i="18" l="1"/>
  <c r="D79" i="15"/>
  <c r="B77" i="18"/>
  <c r="C79" i="15"/>
  <c r="B78" i="4"/>
  <c r="B79" i="15"/>
  <c r="E79" i="15" l="1"/>
  <c r="D52" i="15" l="1"/>
  <c r="B50" i="18"/>
  <c r="B52" i="15"/>
  <c r="C52" i="15"/>
  <c r="B51" i="4"/>
  <c r="E52" i="15" l="1"/>
  <c r="E8" i="4" l="1"/>
  <c r="E12" i="4" s="1"/>
  <c r="C5" i="15"/>
  <c r="C8" i="4"/>
  <c r="B4" i="18"/>
  <c r="D5" i="15"/>
  <c r="D9" i="15" s="1"/>
  <c r="D13" i="15" s="1"/>
  <c r="R8" i="4"/>
  <c r="R12" i="4" s="1"/>
  <c r="B5" i="15"/>
  <c r="B9" i="15" s="1"/>
  <c r="B13" i="15" s="1"/>
  <c r="B4" i="4"/>
  <c r="C12" i="4" l="1"/>
  <c r="B12" i="18" s="1"/>
  <c r="B8" i="18"/>
  <c r="B8" i="4"/>
  <c r="B12" i="4" s="1"/>
  <c r="E5" i="15"/>
  <c r="C9" i="15"/>
  <c r="C13" i="15" l="1"/>
  <c r="E13" i="15" s="1"/>
  <c r="E9" i="15"/>
  <c r="AO630" i="3" l="1"/>
  <c r="AO632" i="3" s="1"/>
  <c r="E107" i="4"/>
  <c r="C32" i="15"/>
  <c r="B31" i="18"/>
  <c r="C34" i="15"/>
  <c r="F38" i="4"/>
  <c r="F62" i="4" s="1"/>
  <c r="F96" i="4" s="1"/>
  <c r="F104" i="4" s="1"/>
  <c r="C46" i="15"/>
  <c r="E44" i="18"/>
  <c r="B46" i="4"/>
  <c r="B45" i="18"/>
  <c r="D45" i="18" s="1"/>
  <c r="S53" i="4"/>
  <c r="E52" i="18" s="1"/>
  <c r="B55" i="4"/>
  <c r="B74" i="4"/>
  <c r="C75" i="15"/>
  <c r="B79" i="4"/>
  <c r="C80" i="15"/>
  <c r="C83" i="15"/>
  <c r="B98" i="4"/>
  <c r="I103" i="4"/>
  <c r="I104" i="4" s="1"/>
  <c r="F107" i="4"/>
  <c r="I107" i="4"/>
  <c r="B34" i="15" l="1"/>
  <c r="B33" i="4"/>
  <c r="B30" i="4"/>
  <c r="B32" i="15"/>
  <c r="E32" i="15" s="1"/>
  <c r="R32" i="4"/>
  <c r="S32" i="4" s="1"/>
  <c r="E31" i="18" s="1"/>
  <c r="B97" i="18"/>
  <c r="E83" i="15"/>
  <c r="B54" i="18"/>
  <c r="D54" i="18" s="1"/>
  <c r="D60" i="18" s="1"/>
  <c r="B32" i="4"/>
  <c r="B83" i="15"/>
  <c r="R31" i="4"/>
  <c r="S31" i="4" s="1"/>
  <c r="E30" i="18" s="1"/>
  <c r="B80" i="15"/>
  <c r="E80" i="15" s="1"/>
  <c r="B45" i="4"/>
  <c r="B75" i="15"/>
  <c r="E75" i="15" s="1"/>
  <c r="E34" i="15"/>
  <c r="B46" i="15"/>
  <c r="E46" i="15" s="1"/>
  <c r="AM558" i="3"/>
  <c r="R30" i="4"/>
  <c r="E103" i="4"/>
  <c r="C103" i="4"/>
  <c r="C95" i="4"/>
  <c r="C61" i="4"/>
  <c r="B73" i="18"/>
  <c r="D73" i="18" s="1"/>
  <c r="D75" i="18" s="1"/>
  <c r="B44" i="18"/>
  <c r="D44" i="18" s="1"/>
  <c r="D52" i="18" s="1"/>
  <c r="D61" i="18" s="1"/>
  <c r="B30" i="18"/>
  <c r="C80" i="4"/>
  <c r="C53" i="4"/>
  <c r="C38" i="4"/>
  <c r="B31" i="4"/>
  <c r="D99" i="15"/>
  <c r="D56" i="15"/>
  <c r="D47" i="15"/>
  <c r="D33" i="15"/>
  <c r="D31" i="15"/>
  <c r="C76" i="4"/>
  <c r="B29" i="18"/>
  <c r="C99" i="15"/>
  <c r="E99" i="15" s="1"/>
  <c r="C56" i="15"/>
  <c r="E56" i="15" s="1"/>
  <c r="C47" i="15"/>
  <c r="E47" i="15" s="1"/>
  <c r="C33" i="15"/>
  <c r="C31" i="15"/>
  <c r="E31" i="15" s="1"/>
  <c r="E45" i="18"/>
  <c r="B99" i="15"/>
  <c r="B56" i="15"/>
  <c r="B47" i="15"/>
  <c r="B33" i="15"/>
  <c r="B31" i="15"/>
  <c r="B78" i="18"/>
  <c r="D78" i="18" s="1"/>
  <c r="D79" i="18" s="1"/>
  <c r="B32" i="18"/>
  <c r="B82" i="4"/>
  <c r="R33" i="4"/>
  <c r="S33" i="4" s="1"/>
  <c r="E32" i="18" s="1"/>
  <c r="D83" i="15"/>
  <c r="D80" i="15"/>
  <c r="D75" i="15"/>
  <c r="D46" i="15"/>
  <c r="D34" i="15"/>
  <c r="D32" i="15"/>
  <c r="AB47" i="5"/>
  <c r="B81" i="18"/>
  <c r="D81" i="18" s="1"/>
  <c r="D94" i="18" s="1"/>
  <c r="D95" i="18" l="1"/>
  <c r="D103" i="18" s="1"/>
  <c r="R95" i="4"/>
  <c r="E95" i="4"/>
  <c r="C62" i="15"/>
  <c r="D62" i="15"/>
  <c r="B60" i="18"/>
  <c r="B61" i="4"/>
  <c r="B62" i="15"/>
  <c r="B94" i="18"/>
  <c r="B96" i="15"/>
  <c r="C96" i="15"/>
  <c r="D96" i="15"/>
  <c r="B95" i="4"/>
  <c r="R53" i="4"/>
  <c r="E53" i="4"/>
  <c r="C104" i="15"/>
  <c r="D104" i="15"/>
  <c r="B102" i="18"/>
  <c r="B103" i="4"/>
  <c r="B104" i="15"/>
  <c r="B75" i="18"/>
  <c r="B77" i="15"/>
  <c r="B76" i="4"/>
  <c r="C77" i="15"/>
  <c r="D77" i="15"/>
  <c r="C54" i="15"/>
  <c r="D54" i="15"/>
  <c r="B52" i="18"/>
  <c r="B53" i="4"/>
  <c r="B54" i="15"/>
  <c r="R76" i="4"/>
  <c r="E76" i="4"/>
  <c r="E80" i="4"/>
  <c r="R61" i="4"/>
  <c r="E61" i="4"/>
  <c r="B81" i="15"/>
  <c r="C81" i="15"/>
  <c r="E81" i="15" s="1"/>
  <c r="B80" i="4"/>
  <c r="D81" i="15"/>
  <c r="B79" i="18"/>
  <c r="R103" i="4"/>
  <c r="C62" i="4"/>
  <c r="B39" i="15"/>
  <c r="C39" i="15"/>
  <c r="E39" i="15" s="1"/>
  <c r="B37" i="18"/>
  <c r="B38" i="4"/>
  <c r="D39" i="15"/>
  <c r="E33" i="15"/>
  <c r="E38" i="4"/>
  <c r="E62" i="4" s="1"/>
  <c r="R38" i="4"/>
  <c r="R62" i="4" s="1"/>
  <c r="S30" i="4"/>
  <c r="E96" i="15" l="1"/>
  <c r="E77" i="15"/>
  <c r="E96" i="4"/>
  <c r="E104" i="4" s="1"/>
  <c r="E54" i="15"/>
  <c r="B62" i="4"/>
  <c r="C96" i="4"/>
  <c r="B63" i="15"/>
  <c r="B61" i="18"/>
  <c r="C63" i="15"/>
  <c r="D63" i="15"/>
  <c r="E97" i="18"/>
  <c r="S103" i="4"/>
  <c r="E102" i="18" s="1"/>
  <c r="R80" i="4"/>
  <c r="R96" i="4" s="1"/>
  <c r="R104" i="4" s="1"/>
  <c r="E104" i="15"/>
  <c r="S38" i="4"/>
  <c r="E29" i="18"/>
  <c r="E62" i="15"/>
  <c r="E63" i="15" l="1"/>
  <c r="S80" i="4"/>
  <c r="E79" i="18" s="1"/>
  <c r="E78" i="18"/>
  <c r="E37" i="18"/>
  <c r="S62" i="4"/>
  <c r="C97" i="15"/>
  <c r="D97" i="15"/>
  <c r="B96" i="4"/>
  <c r="B97" i="15"/>
  <c r="B95" i="18"/>
  <c r="C104" i="4"/>
  <c r="B105" i="15" l="1"/>
  <c r="B103" i="18"/>
  <c r="B104" i="4"/>
  <c r="C105" i="15"/>
  <c r="D105" i="15"/>
  <c r="AC448" i="3"/>
  <c r="E61" i="18"/>
  <c r="S96" i="4"/>
  <c r="E97" i="15"/>
  <c r="E105" i="15" l="1"/>
  <c r="AB46" i="5"/>
  <c r="AB48" i="5" s="1"/>
  <c r="J58" i="25"/>
  <c r="AB46" i="27"/>
  <c r="AB48" i="27" s="1"/>
  <c r="AC447" i="3"/>
  <c r="AB46" i="26"/>
  <c r="AB48" i="26" s="1"/>
  <c r="S104" i="4"/>
  <c r="E95" i="18"/>
  <c r="S106" i="4" l="1"/>
  <c r="E103" i="18"/>
  <c r="AB53" i="27"/>
  <c r="AB54" i="27" s="1"/>
  <c r="AB53" i="26"/>
  <c r="AB54" i="26" s="1"/>
  <c r="G71" i="25"/>
  <c r="G72" i="25" s="1"/>
  <c r="B75" i="25" s="1"/>
  <c r="B76" i="25"/>
  <c r="O76" i="25" s="1"/>
  <c r="AB53" i="5"/>
  <c r="AB54" i="5" s="1"/>
  <c r="X992" i="3" l="1"/>
  <c r="X993" i="3" s="1"/>
  <c r="D994" i="3" s="1"/>
  <c r="AC449" i="3"/>
  <c r="E105" i="18"/>
  <c r="Y11" i="26" l="1"/>
  <c r="Y23" i="26" s="1"/>
  <c r="Y26" i="26" s="1"/>
  <c r="Y28" i="26" s="1"/>
  <c r="Y63" i="26" s="1"/>
  <c r="Y67" i="26" s="1"/>
  <c r="T11" i="5"/>
  <c r="T11" i="27"/>
  <c r="T23" i="27" s="1"/>
  <c r="T11" i="26"/>
  <c r="T23" i="26" s="1"/>
  <c r="Y11" i="27"/>
  <c r="Y23" i="27" s="1"/>
  <c r="Y26" i="27" s="1"/>
  <c r="Y28" i="27" s="1"/>
  <c r="Y63" i="27" s="1"/>
  <c r="Y67" i="27" s="1"/>
  <c r="T26" i="27" l="1"/>
  <c r="T28" i="27" s="1"/>
  <c r="T29" i="27" s="1"/>
  <c r="AD38" i="27"/>
  <c r="AD40" i="27" s="1"/>
  <c r="Y38" i="27"/>
  <c r="Y40" i="27" s="1"/>
  <c r="Y38" i="26"/>
  <c r="Y40" i="26" s="1"/>
  <c r="AD38" i="26"/>
  <c r="AD40" i="26" s="1"/>
  <c r="T26" i="26"/>
  <c r="T28" i="26" s="1"/>
  <c r="T29" i="26" s="1"/>
  <c r="BE16" i="28"/>
  <c r="T23" i="5"/>
  <c r="Y41" i="27" l="1"/>
  <c r="AB55" i="27" s="1"/>
  <c r="AB56" i="27" s="1"/>
  <c r="AB58" i="27" s="1"/>
  <c r="Y41" i="26"/>
  <c r="AB55" i="26" s="1"/>
  <c r="AB56" i="26" s="1"/>
  <c r="AB58" i="26" s="1"/>
  <c r="AD38" i="5"/>
  <c r="AD40" i="5" s="1"/>
  <c r="Q71" i="25"/>
  <c r="O75" i="25" s="1"/>
  <c r="R75" i="25" s="1"/>
  <c r="T26" i="5"/>
  <c r="T28" i="5" s="1"/>
  <c r="T29" i="5" l="1"/>
  <c r="Y63" i="5"/>
  <c r="Y67" i="5" s="1"/>
  <c r="Y38" i="5"/>
  <c r="Y40" i="5" s="1"/>
  <c r="F59" i="27"/>
  <c r="AB75" i="27"/>
  <c r="AB76" i="27" s="1"/>
  <c r="AB77" i="27" s="1"/>
  <c r="AB79" i="27" s="1"/>
  <c r="J80" i="27" s="1"/>
  <c r="F59" i="26"/>
  <c r="AB75" i="26"/>
  <c r="AB76" i="26" s="1"/>
  <c r="AB77" i="26" s="1"/>
  <c r="AB79" i="26" s="1"/>
  <c r="J80" i="26" s="1"/>
  <c r="AR43" i="5" l="1"/>
  <c r="AR42" i="5"/>
  <c r="Y41" i="5" s="1"/>
  <c r="AB55" i="5" s="1"/>
  <c r="M25" i="3" l="1"/>
  <c r="BE15" i="28"/>
  <c r="Q22" i="28"/>
  <c r="V33" i="28" s="1"/>
  <c r="V35" i="28" s="1"/>
  <c r="AB56" i="5"/>
  <c r="AB58" i="5" l="1"/>
  <c r="P203" i="3"/>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800-000002000000}">
      <text>
        <r>
          <rPr>
            <sz val="8"/>
            <color indexed="81"/>
            <rFont val="Arial"/>
            <family val="2"/>
          </rPr>
          <t>Available only to Rural set-aside projects.</t>
        </r>
      </text>
    </comment>
    <comment ref="U563" authorId="0" shapeId="0" xr:uid="{00000000-0006-0000-0800-000003000000}">
      <text>
        <r>
          <rPr>
            <sz val="8"/>
            <color indexed="81"/>
            <rFont val="Arial"/>
            <family val="2"/>
          </rPr>
          <t>Available only to Rural set-aside projects.</t>
        </r>
      </text>
    </comment>
    <comment ref="U564" authorId="0" shapeId="0" xr:uid="{00000000-0006-0000-0800-000004000000}">
      <text>
        <r>
          <rPr>
            <sz val="8"/>
            <color indexed="81"/>
            <rFont val="Arial"/>
            <family val="2"/>
          </rPr>
          <t>Available only to Rural set-aside projects.</t>
        </r>
      </text>
    </comment>
    <comment ref="S565" authorId="1" shapeId="0" xr:uid="{00000000-0006-0000-0800-000005000000}">
      <text>
        <r>
          <rPr>
            <sz val="8"/>
            <color indexed="81"/>
            <rFont val="Tahoma"/>
            <family val="2"/>
          </rPr>
          <t>Available only to Rural set-aside projects.</t>
        </r>
      </text>
    </comment>
    <comment ref="S566" authorId="1" shapeId="0" xr:uid="{00000000-0006-0000-0800-000006000000}">
      <text>
        <r>
          <rPr>
            <sz val="8"/>
            <color indexed="81"/>
            <rFont val="Tahoma"/>
            <family val="2"/>
          </rPr>
          <t>Available only to Rural set-aside projects.</t>
        </r>
      </text>
    </comment>
    <comment ref="S567" authorId="1" shapeId="0" xr:uid="{00000000-0006-0000-0800-000007000000}">
      <text>
        <r>
          <rPr>
            <sz val="8"/>
            <color indexed="81"/>
            <rFont val="Tahoma"/>
            <family val="2"/>
          </rPr>
          <t>Available only to Rural set-aside projects.</t>
        </r>
      </text>
    </comment>
    <comment ref="S568" authorId="1" shapeId="0" xr:uid="{00000000-0006-0000-0800-000008000000}">
      <text>
        <r>
          <rPr>
            <sz val="8"/>
            <color indexed="81"/>
            <rFont val="Tahoma"/>
            <family val="2"/>
          </rPr>
          <t>Available only to Rural set-aside projects.</t>
        </r>
      </text>
    </comment>
    <comment ref="S569" authorId="1" shapeId="0" xr:uid="{00000000-0006-0000-0800-000009000000}">
      <text>
        <r>
          <rPr>
            <sz val="8"/>
            <color indexed="81"/>
            <rFont val="Tahoma"/>
            <family val="2"/>
          </rPr>
          <t>Available only to Rural set-aside projects.</t>
        </r>
      </text>
    </comment>
    <comment ref="S570" authorId="1" shapeId="0" xr:uid="{00000000-0006-0000-0800-00000A000000}">
      <text>
        <r>
          <rPr>
            <sz val="8"/>
            <color indexed="81"/>
            <rFont val="Tahoma"/>
            <family val="2"/>
          </rPr>
          <t>Available only to Rural set-aside projects.</t>
        </r>
      </text>
    </comment>
    <comment ref="S571" authorId="1" shapeId="0" xr:uid="{00000000-0006-0000-0800-00000B000000}">
      <text>
        <r>
          <rPr>
            <sz val="8"/>
            <color indexed="81"/>
            <rFont val="Tahoma"/>
            <family val="2"/>
          </rPr>
          <t>Available only to Rural set-aside projects.</t>
        </r>
      </text>
    </comment>
    <comment ref="E583" authorId="0" shapeId="0" xr:uid="{00000000-0006-0000-0800-00000C000000}">
      <text>
        <r>
          <rPr>
            <sz val="9"/>
            <color indexed="81"/>
            <rFont val="Arial"/>
            <family val="2"/>
          </rPr>
          <t xml:space="preserve">DO NOT USE if Rural set-aside projects:  </t>
        </r>
      </text>
    </comment>
    <comment ref="E584" authorId="1" shapeId="0" xr:uid="{00000000-0006-0000-0800-00000D000000}">
      <text>
        <r>
          <rPr>
            <sz val="9"/>
            <color indexed="81"/>
            <rFont val="Tahoma"/>
            <family val="2"/>
          </rPr>
          <t xml:space="preserve">ONLY for Rural set-aside projects.
</t>
        </r>
      </text>
    </comment>
    <comment ref="E585" authorId="1" shapeId="0" xr:uid="{00000000-0006-0000-08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<sst xmlns="http://schemas.openxmlformats.org/spreadsheetml/2006/main" count="4725" uniqueCount="2525">
  <si>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</si>
  <si>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</si>
  <si>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</si>
  <si>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</si>
  <si>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</si>
  <si>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</si>
  <si>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</si>
  <si>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</si>
  <si>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</si>
  <si>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</si>
  <si>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</si>
  <si>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</si>
  <si>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</si>
  <si>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</si>
  <si>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</si>
  <si>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</si>
  <si>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</si>
  <si>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</si>
  <si>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</si>
  <si>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</si>
  <si>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</si>
  <si>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</si>
  <si>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</si>
  <si>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</si>
  <si>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</si>
  <si>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</si>
  <si>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</si>
  <si>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</si>
  <si>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</si>
  <si>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</si>
  <si>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</si>
  <si>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</si>
  <si>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</si>
  <si>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</si>
  <si>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</si>
  <si>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</si>
  <si>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</si>
  <si>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</si>
  <si>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</si>
  <si>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</si>
  <si>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</si>
  <si>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</si>
  <si>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</si>
  <si>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</si>
  <si>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</si>
  <si>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</si>
  <si>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</si>
  <si>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</si>
  <si>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</si>
  <si>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</si>
  <si>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</si>
  <si>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</si>
  <si>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</si>
  <si>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</si>
  <si>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</si>
  <si>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</si>
  <si>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</si>
  <si>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</si>
  <si>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</si>
  <si>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</si>
  <si>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</si>
  <si>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</si>
  <si>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</si>
  <si>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</si>
  <si>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</si>
  <si>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</si>
  <si>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</si>
  <si>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</si>
  <si>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</si>
  <si>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</si>
  <si>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</si>
  <si>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</si>
  <si>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</si>
  <si>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</si>
  <si>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</si>
  <si>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</si>
  <si>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</si>
  <si>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</si>
  <si>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</si>
  <si>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</si>
  <si>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</si>
  <si>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</si>
  <si>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</si>
  <si>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</si>
  <si>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</si>
  <si>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</si>
  <si>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</si>
  <si>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</si>
  <si>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</si>
  <si>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</si>
  <si>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</si>
  <si>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</si>
  <si>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</si>
  <si>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</si>
  <si>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</si>
  <si>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</si>
  <si>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</si>
  <si>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</si>
  <si>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</si>
  <si>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</si>
  <si>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</si>
  <si>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</si>
  <si>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</si>
  <si>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</si>
  <si>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</si>
  <si>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</si>
  <si>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</si>
  <si>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</si>
  <si>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</si>
  <si>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</si>
  <si>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</si>
  <si>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</si>
  <si>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</si>
  <si>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</si>
  <si>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</si>
  <si>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</si>
  <si>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</si>
  <si>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</si>
  <si>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</si>
  <si>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</si>
  <si>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</si>
  <si>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</si>
  <si>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</si>
  <si>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</si>
  <si>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</si>
  <si>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</si>
  <si>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</si>
  <si>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</si>
  <si>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</si>
  <si>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</si>
  <si>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</si>
  <si>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</si>
  <si>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</si>
  <si>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</si>
  <si>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</si>
  <si>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</si>
  <si>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</si>
  <si>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</si>
  <si>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</si>
  <si>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</si>
  <si>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</si>
  <si>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</si>
  <si>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</si>
  <si>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</si>
  <si>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</si>
  <si>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</si>
  <si>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</si>
  <si>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</si>
  <si>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</si>
  <si>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</si>
  <si>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</si>
  <si>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</si>
  <si>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</si>
  <si>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</si>
  <si>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</si>
  <si>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</si>
  <si>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</si>
  <si>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</si>
  <si>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</si>
  <si>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</si>
  <si>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</si>
  <si>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</si>
  <si>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</si>
  <si>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</si>
  <si>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</si>
  <si>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</si>
  <si>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</si>
  <si>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</si>
  <si>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</si>
  <si>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</si>
  <si>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</si>
  <si>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</si>
  <si>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</si>
  <si>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</si>
  <si>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</si>
  <si>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</si>
  <si>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</si>
  <si>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</si>
  <si>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</si>
  <si>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</si>
  <si>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</si>
  <si>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</si>
  <si>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</si>
  <si>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</si>
  <si>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</si>
  <si>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</si>
  <si>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</si>
  <si>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</si>
  <si>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</si>
  <si>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</si>
  <si>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</si>
  <si>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</si>
  <si>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</si>
  <si>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</si>
  <si>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</si>
  <si>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</si>
  <si>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</si>
  <si>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</si>
  <si>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</si>
  <si>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</si>
  <si>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</si>
  <si>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</si>
  <si>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</si>
  <si>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</si>
  <si>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</si>
  <si>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</si>
  <si>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</si>
  <si>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</si>
  <si>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</si>
  <si>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</si>
  <si>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</si>
  <si>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</si>
  <si>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</si>
  <si>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</si>
  <si>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</si>
  <si>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</si>
  <si>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</si>
  <si>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</si>
  <si>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</si>
  <si>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</si>
  <si>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</si>
  <si>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</si>
  <si>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</si>
  <si>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</si>
  <si>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</si>
  <si>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</si>
  <si>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</si>
  <si>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</si>
  <si>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</si>
  <si>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</si>
  <si>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</si>
  <si>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</si>
  <si>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</si>
  <si>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</si>
  <si>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</si>
  <si>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</si>
  <si>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</si>
  <si>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</si>
  <si>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</si>
  <si>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</si>
  <si>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</si>
  <si>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</si>
  <si>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</si>
  <si>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</si>
  <si>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</si>
  <si>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</si>
  <si>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</si>
  <si>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</si>
  <si>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</si>
  <si>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</si>
  <si>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</si>
  <si>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</si>
  <si>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</si>
  <si>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</si>
  <si>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</si>
  <si>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</si>
  <si>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</si>
  <si>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</si>
  <si>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</si>
  <si>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</si>
  <si>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</si>
  <si>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</si>
  <si>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</si>
  <si>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</si>
  <si>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</si>
  <si>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</si>
  <si>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</si>
  <si>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</si>
  <si>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</si>
  <si>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</si>
  <si>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</si>
  <si>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</si>
  <si>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</si>
  <si>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</si>
  <si>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</si>
  <si>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</si>
  <si>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</si>
  <si>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</si>
  <si>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</si>
  <si>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</si>
  <si>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</si>
  <si>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</si>
  <si>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</si>
  <si>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</si>
  <si>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</si>
  <si>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</si>
  <si>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</si>
  <si>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</si>
  <si>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</si>
  <si>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</si>
  <si>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</si>
  <si>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</si>
  <si>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</si>
  <si>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</si>
  <si>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</si>
  <si>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</si>
  <si>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</si>
  <si>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</si>
  <si>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</si>
  <si>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</si>
  <si>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</si>
  <si>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</si>
  <si>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</si>
  <si>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</si>
  <si>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</si>
  <si>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</si>
  <si>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</si>
  <si>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</si>
  <si>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</si>
  <si>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</si>
  <si>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</si>
  <si>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</si>
  <si>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</si>
  <si>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</si>
  <si>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</si>
  <si>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</si>
  <si>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</si>
  <si>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</si>
  <si>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</si>
  <si>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</si>
  <si>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</si>
  <si>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</si>
  <si>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</si>
  <si>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</si>
  <si>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</si>
  <si>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</si>
  <si>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</si>
  <si>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</si>
  <si>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</si>
  <si>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</si>
  <si>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</si>
  <si>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</si>
  <si>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</si>
  <si>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</si>
  <si>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</si>
  <si>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</si>
  <si>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</si>
  <si>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</si>
  <si>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</si>
  <si>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</si>
  <si>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</si>
  <si>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</si>
  <si>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</si>
  <si>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</si>
  <si>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</si>
  <si>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</si>
  <si>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</si>
  <si>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</si>
  <si>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</si>
  <si>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</si>
  <si>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</si>
  <si>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</si>
  <si>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</si>
  <si>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</si>
  <si>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</si>
  <si>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</si>
  <si>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</si>
  <si>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</si>
  <si>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</si>
  <si>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</si>
  <si>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</si>
  <si>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</si>
  <si>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</si>
  <si>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</si>
  <si>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</si>
  <si>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</si>
  <si>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</si>
  <si>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</si>
  <si>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</si>
  <si>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</si>
  <si>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</si>
  <si>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</si>
  <si>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</si>
  <si>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</si>
  <si>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</si>
  <si>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</si>
  <si>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</si>
  <si>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</si>
  <si>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</si>
  <si>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</si>
  <si>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</si>
  <si>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</si>
  <si>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</si>
  <si>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</si>
  <si>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</si>
  <si>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</si>
  <si>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</si>
  <si>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</si>
  <si>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</si>
  <si>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</si>
  <si>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</si>
  <si>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</si>
  <si>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</si>
  <si>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</si>
  <si>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</si>
  <si>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</si>
  <si>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</si>
  <si>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</si>
  <si>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</si>
  <si>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</si>
  <si>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</si>
  <si>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</si>
  <si>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</si>
  <si>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</si>
  <si>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</si>
  <si>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</si>
  <si>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</si>
  <si>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</si>
  <si>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</si>
  <si>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</si>
  <si>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</si>
  <si>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</si>
  <si>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</si>
  <si>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</si>
  <si>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</si>
  <si>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</si>
  <si>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</si>
  <si>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</si>
  <si>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</si>
  <si>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</si>
  <si>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</si>
  <si>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</si>
  <si>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</si>
  <si>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</si>
  <si>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</si>
  <si>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</si>
  <si>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</si>
  <si>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</si>
  <si>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</si>
  <si>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</si>
  <si>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</si>
  <si>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</si>
  <si>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</si>
  <si>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</si>
  <si>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</si>
  <si>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</si>
  <si>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</si>
  <si>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</si>
  <si>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</si>
  <si>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</si>
  <si>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</si>
  <si>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</si>
  <si>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</si>
  <si>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</si>
  <si>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</si>
  <si>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</si>
  <si>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</si>
  <si>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</si>
  <si>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</si>
  <si>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</si>
  <si>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</si>
  <si>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</si>
  <si>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</si>
  <si>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</si>
  <si>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</si>
  <si>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</si>
  <si>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</si>
  <si>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</si>
  <si>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</si>
  <si>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</si>
  <si>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</si>
  <si>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</si>
  <si>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</si>
  <si>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</si>
  <si>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</si>
  <si>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</si>
  <si>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</si>
  <si>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</si>
  <si>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</si>
  <si>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</si>
  <si>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</si>
  <si>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</si>
  <si>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</si>
  <si>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</si>
  <si>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</si>
  <si>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</si>
  <si>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</si>
  <si>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</si>
  <si>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</si>
  <si>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</si>
  <si>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</si>
  <si>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</si>
  <si>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</si>
  <si>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</si>
  <si>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</si>
  <si>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</si>
  <si>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</si>
  <si>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</si>
  <si>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</si>
  <si>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</si>
  <si>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</si>
  <si>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</si>
  <si>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</si>
  <si>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</si>
  <si>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</si>
  <si>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</si>
  <si>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</si>
  <si>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</si>
  <si>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</si>
  <si>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</si>
  <si>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</si>
  <si>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</si>
  <si>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</si>
  <si>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</si>
  <si>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</si>
  <si>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</si>
  <si>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</si>
  <si>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</si>
  <si>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</si>
  <si>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</si>
  <si>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</si>
  <si>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</si>
  <si>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</si>
  <si>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</si>
  <si>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</si>
  <si>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</si>
  <si>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</si>
  <si>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</si>
  <si>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</si>
  <si>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</si>
  <si>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</si>
  <si>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</si>
  <si>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</si>
  <si>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</si>
  <si>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</si>
  <si>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</si>
  <si>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</si>
  <si>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</si>
  <si>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</si>
  <si>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</si>
  <si>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</si>
  <si>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</si>
  <si>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</si>
  <si>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</si>
  <si>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</si>
  <si>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</si>
  <si>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</si>
  <si>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</si>
  <si>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</si>
  <si>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</si>
  <si>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</si>
  <si>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</si>
  <si>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</si>
  <si>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</si>
  <si>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</si>
  <si>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</si>
  <si>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</si>
  <si>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</si>
  <si>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</si>
  <si>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</si>
  <si>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</si>
  <si>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</si>
  <si>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</si>
  <si>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</si>
  <si>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</si>
  <si>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</si>
  <si>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</si>
  <si>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</si>
  <si>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</si>
  <si>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</si>
  <si>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</si>
  <si>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</si>
  <si>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</si>
  <si>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</si>
  <si>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</si>
  <si>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</si>
  <si>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</si>
  <si>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</si>
  <si>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</si>
  <si>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</si>
  <si>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</si>
  <si>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</si>
  <si>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</si>
  <si>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</si>
  <si>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</si>
  <si>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</si>
  <si>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</si>
  <si>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</si>
  <si>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</si>
  <si>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</si>
  <si>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</si>
  <si>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</si>
  <si>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</si>
  <si>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</si>
  <si>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</si>
  <si>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</si>
  <si>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</si>
  <si>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</si>
  <si>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</si>
  <si>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</si>
  <si>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</si>
  <si>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</si>
  <si>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</si>
  <si>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</si>
  <si>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</si>
  <si>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</si>
  <si>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</si>
  <si>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</si>
  <si>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</si>
  <si>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</si>
  <si>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</si>
  <si>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</si>
  <si>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</si>
  <si>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</si>
  <si>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</si>
  <si>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</si>
  <si>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</si>
  <si>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</si>
  <si>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</si>
  <si>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</si>
  <si>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</si>
  <si>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</si>
  <si>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</si>
  <si>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</si>
  <si>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</si>
  <si>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</si>
  <si>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</si>
  <si>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</si>
  <si>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</si>
  <si>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</si>
  <si>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</si>
  <si>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</si>
  <si>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</si>
  <si>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</si>
  <si>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</si>
  <si>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</si>
  <si>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</si>
  <si>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</si>
  <si>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</si>
  <si>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</si>
  <si>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</si>
  <si>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</si>
  <si>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</si>
  <si>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</si>
  <si>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</si>
  <si>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</si>
  <si>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</si>
  <si>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</si>
  <si>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</si>
  <si>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</si>
  <si>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</si>
  <si>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</si>
  <si>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</si>
  <si>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</si>
  <si>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</si>
  <si>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</si>
  <si>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</si>
  <si>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</si>
  <si>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</si>
  <si>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</si>
  <si>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</si>
  <si>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</si>
  <si>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</si>
  <si>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</si>
  <si>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</si>
  <si>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</si>
  <si>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</si>
  <si>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</si>
  <si>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</si>
  <si>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</si>
  <si>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</si>
  <si>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</si>
  <si>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</si>
  <si>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</si>
  <si>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</si>
  <si>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</si>
  <si>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</si>
  <si>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</si>
  <si>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</si>
  <si>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</si>
  <si>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</si>
  <si>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</si>
  <si>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</si>
  <si>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</si>
  <si>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</si>
  <si>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</si>
  <si>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</si>
  <si>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</si>
  <si>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</si>
  <si>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</si>
  <si>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</si>
  <si>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</si>
  <si>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</si>
  <si>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</si>
  <si>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</si>
  <si>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</si>
  <si>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</si>
  <si>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</si>
  <si>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</si>
  <si>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</si>
  <si>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</si>
  <si>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</si>
  <si>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</si>
  <si>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</si>
  <si>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</si>
  <si>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</si>
  <si>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</si>
  <si>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</si>
  <si>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</si>
  <si>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</si>
  <si>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</si>
  <si>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</si>
  <si>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</si>
  <si>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</si>
  <si>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</si>
  <si>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</si>
  <si>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</si>
  <si>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</si>
  <si>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</si>
  <si>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</si>
  <si>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</si>
  <si>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</si>
  <si>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</si>
  <si>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</si>
  <si>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</si>
  <si>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</si>
  <si>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</si>
  <si>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</si>
  <si>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</si>
  <si>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</si>
  <si>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</si>
  <si>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</si>
  <si>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</si>
  <si>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</si>
  <si>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</si>
  <si>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</si>
  <si>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</si>
  <si>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</si>
  <si>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</si>
  <si>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</si>
  <si>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</si>
  <si>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</si>
  <si>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</si>
  <si>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</si>
  <si>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</si>
  <si>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</si>
  <si>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</si>
  <si>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</si>
  <si>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</si>
  <si>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</si>
  <si>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</si>
  <si>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</si>
  <si>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</si>
  <si>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</si>
  <si>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</si>
  <si>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</si>
  <si>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</si>
  <si>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</si>
  <si>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</si>
  <si>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</si>
  <si>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</si>
  <si>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</si>
  <si>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</si>
  <si>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</si>
  <si>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</si>
  <si>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</si>
  <si>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</si>
  <si>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</si>
  <si>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</si>
  <si>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</si>
  <si>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</si>
  <si>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</si>
  <si>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</si>
  <si>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</si>
  <si>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</si>
  <si>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</si>
  <si>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</si>
  <si>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</si>
  <si>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</si>
  <si>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</si>
  <si>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</si>
  <si>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</si>
  <si>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</si>
  <si>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</si>
  <si>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</si>
  <si>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</si>
  <si>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</si>
  <si>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</si>
  <si>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</si>
  <si>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</si>
  <si>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</si>
  <si>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</si>
  <si>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</si>
  <si>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</si>
  <si>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</si>
  <si>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</si>
  <si>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</si>
  <si>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</si>
  <si>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</si>
  <si>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</si>
  <si>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</si>
  <si>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</si>
  <si>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</si>
  <si>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</si>
  <si>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</si>
  <si>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</si>
  <si>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</si>
  <si>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</si>
  <si>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</si>
  <si>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</si>
  <si>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</si>
  <si>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</si>
  <si>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</si>
  <si>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</si>
  <si>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</si>
  <si>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</si>
  <si>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</si>
  <si>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</si>
  <si>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</si>
  <si>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</si>
  <si>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</si>
  <si>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</si>
  <si>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</si>
  <si>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</si>
  <si>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</si>
  <si>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</si>
  <si>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</si>
  <si>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</si>
  <si>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</si>
  <si>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</si>
  <si>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</si>
  <si>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</si>
  <si>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</si>
  <si>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</si>
  <si>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</si>
  <si>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</si>
  <si>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</si>
  <si>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</si>
  <si>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</si>
  <si>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</si>
  <si>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</si>
  <si>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</si>
  <si>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</si>
  <si>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</si>
  <si>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</si>
  <si>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</si>
  <si>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</si>
  <si>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</si>
  <si>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</si>
  <si>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</si>
  <si>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</si>
  <si>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</si>
  <si>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</si>
  <si>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</si>
  <si>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</si>
  <si>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</si>
  <si>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</si>
  <si>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</si>
  <si>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</si>
  <si>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</si>
  <si>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</si>
  <si>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</si>
  <si>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</si>
  <si>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</si>
  <si>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</si>
  <si>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</si>
  <si>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</si>
  <si>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</si>
  <si>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</si>
  <si>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</si>
  <si>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</si>
  <si>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</si>
  <si>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</si>
  <si>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</si>
  <si>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</si>
  <si>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</si>
  <si>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</si>
  <si>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</si>
  <si>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</si>
  <si>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</si>
  <si>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</si>
  <si>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</si>
  <si>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</si>
  <si>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</si>
  <si>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</si>
  <si>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</si>
  <si>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</si>
  <si>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</si>
  <si>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</si>
  <si>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</si>
  <si>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</si>
  <si>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</si>
  <si>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</si>
  <si>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</si>
  <si>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</si>
  <si>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</si>
  <si>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</si>
  <si>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</si>
  <si>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</si>
  <si>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</si>
  <si>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</si>
  <si>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</si>
  <si>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</si>
  <si>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</si>
  <si>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</si>
  <si>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</si>
  <si>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</si>
  <si>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</si>
  <si>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</si>
  <si>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</si>
  <si>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</si>
  <si>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</si>
  <si>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</si>
  <si>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</si>
  <si>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</si>
  <si>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</si>
  <si>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</si>
  <si>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</si>
  <si>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</si>
  <si>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</si>
  <si>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</si>
  <si>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</si>
  <si>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</si>
  <si>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</si>
  <si>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</si>
  <si>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</si>
  <si>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</si>
  <si>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</si>
  <si>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</si>
  <si>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</si>
  <si>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</si>
  <si>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</si>
  <si>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</si>
  <si>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</si>
  <si>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</si>
  <si>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</si>
  <si>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</si>
  <si>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</si>
  <si>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</si>
  <si>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</si>
  <si>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</si>
  <si>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</si>
  <si>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</si>
  <si>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</si>
  <si>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</si>
  <si>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</si>
  <si>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</si>
  <si>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</si>
  <si>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</si>
  <si>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</si>
  <si>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</si>
  <si>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</si>
  <si>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</si>
  <si>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</si>
  <si>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</si>
  <si>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</si>
  <si>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</si>
  <si>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</si>
  <si>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</si>
  <si>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</si>
  <si>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</si>
  <si>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</si>
  <si>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</si>
  <si>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</si>
  <si>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</si>
  <si>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</si>
  <si>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</si>
  <si>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</si>
  <si>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</si>
  <si>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</si>
  <si>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</si>
  <si>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</si>
  <si>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</si>
  <si>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</si>
  <si>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</si>
  <si>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</si>
  <si>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</si>
  <si>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</si>
  <si>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</si>
  <si>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</si>
  <si>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</si>
  <si>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</si>
  <si>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</si>
  <si>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</si>
  <si>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</si>
  <si>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</si>
  <si>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</si>
  <si>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</si>
  <si>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</si>
  <si>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</si>
  <si>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</si>
  <si>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</si>
  <si>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</si>
  <si>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</si>
  <si>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</si>
  <si>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</si>
  <si>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</si>
  <si>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</si>
  <si>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</si>
  <si>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</si>
  <si>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</si>
  <si>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</si>
  <si>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</si>
  <si>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</si>
  <si>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</si>
  <si>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</si>
  <si>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</si>
  <si>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</si>
  <si>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</si>
  <si>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</si>
  <si>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</si>
  <si>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</si>
  <si>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</si>
  <si>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</si>
  <si>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</si>
  <si>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</si>
  <si>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</si>
  <si>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</si>
  <si>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</si>
  <si>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</si>
  <si>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</si>
  <si>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</si>
  <si>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</si>
  <si>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</si>
  <si>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</si>
  <si>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</si>
  <si>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</si>
  <si>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</si>
  <si>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</si>
  <si>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</si>
  <si>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</si>
  <si>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</si>
  <si>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</si>
  <si>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</si>
  <si>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</si>
  <si>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</si>
  <si>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</si>
  <si>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</si>
  <si>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</si>
  <si>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</si>
  <si>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</si>
  <si>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</si>
  <si>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</si>
  <si>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</si>
  <si>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</si>
  <si>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</si>
  <si>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</si>
  <si>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</si>
  <si>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</si>
  <si>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</si>
  <si>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</si>
  <si>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</si>
  <si>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</si>
  <si>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</si>
  <si>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</si>
  <si>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</si>
  <si>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</si>
  <si>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</si>
  <si>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</si>
  <si>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</si>
  <si>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</si>
  <si>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</si>
  <si>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</si>
  <si>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</si>
  <si>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</si>
  <si>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</si>
  <si>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</si>
  <si>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</si>
  <si>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</si>
  <si>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</si>
  <si>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</si>
  <si>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</si>
  <si>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</si>
  <si>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</si>
  <si>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</si>
  <si>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</si>
  <si>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</si>
  <si>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</si>
  <si>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</si>
  <si>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</si>
  <si>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</si>
  <si>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</si>
  <si>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</si>
  <si>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</si>
  <si>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</si>
  <si>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</si>
  <si>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</si>
  <si>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</si>
  <si>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</si>
  <si>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</si>
  <si>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</si>
  <si>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</si>
  <si>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</si>
  <si>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</si>
  <si>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</si>
  <si>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</si>
  <si>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</si>
  <si>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</si>
  <si>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</si>
  <si>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</si>
  <si>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</si>
  <si>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</si>
  <si>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</si>
  <si>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</si>
  <si>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</si>
  <si>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</si>
  <si>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</si>
  <si>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</si>
  <si>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</si>
  <si>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</si>
  <si>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</si>
  <si>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</si>
  <si>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</si>
  <si>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</si>
  <si>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</si>
  <si>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</si>
  <si>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</si>
  <si>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</si>
  <si>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</si>
  <si>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</si>
  <si>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</si>
  <si>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</si>
  <si>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</si>
  <si>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</si>
  <si>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</si>
  <si>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</si>
  <si>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</si>
  <si>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</si>
  <si>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</si>
  <si>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</si>
  <si>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</si>
  <si>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</si>
  <si>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</si>
  <si>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</si>
  <si>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</si>
  <si>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</si>
  <si>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</si>
  <si>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</si>
  <si>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</si>
  <si>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</si>
  <si>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</si>
  <si>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</si>
  <si>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</si>
  <si>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</si>
  <si>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</si>
  <si>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</si>
  <si>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</si>
  <si>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</si>
  <si>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</si>
  <si>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</si>
  <si>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</si>
  <si>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</si>
  <si>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</si>
  <si>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</si>
  <si>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</si>
  <si>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</si>
  <si>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</si>
  <si>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</si>
  <si>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</si>
  <si>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</si>
  <si>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</si>
  <si>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</si>
  <si>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</si>
  <si>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</si>
  <si>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</si>
  <si>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</si>
  <si>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</si>
  <si>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</si>
  <si>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</si>
  <si>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</si>
  <si>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</si>
  <si>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</si>
  <si>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</si>
  <si>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</si>
  <si>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</si>
  <si>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</si>
  <si>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</si>
  <si>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</si>
  <si>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</si>
  <si>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</si>
  <si>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</si>
  <si>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</si>
  <si>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</si>
  <si>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</si>
  <si>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</si>
  <si>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</si>
  <si>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</si>
  <si>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</si>
  <si>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</si>
  <si>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</si>
  <si>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</si>
  <si>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</si>
  <si>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</si>
  <si>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</si>
  <si>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</si>
  <si>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</si>
  <si>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</si>
  <si>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</si>
  <si>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</si>
  <si>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</si>
  <si>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</si>
  <si>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</si>
  <si>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</si>
  <si>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</si>
  <si>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</si>
  <si>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</si>
  <si>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</si>
  <si>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</si>
  <si>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</si>
  <si>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</si>
  <si>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</si>
  <si>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</si>
  <si>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</si>
  <si>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</si>
  <si>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</si>
  <si>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</si>
  <si>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</si>
  <si>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</si>
  <si>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</si>
  <si>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</si>
  <si>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</si>
  <si>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</si>
  <si>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</si>
  <si>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</si>
  <si>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</si>
  <si>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</si>
  <si>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</si>
  <si>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</si>
  <si>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</si>
  <si>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</si>
  <si>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</si>
  <si>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</si>
  <si>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</si>
  <si>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</si>
  <si>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</si>
  <si>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</si>
  <si>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</si>
  <si>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</si>
  <si>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</si>
  <si>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</si>
  <si>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</si>
  <si>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</si>
  <si>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</si>
  <si>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</si>
  <si>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</si>
  <si>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</si>
  <si>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</si>
  <si>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</si>
  <si>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</si>
  <si>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</si>
  <si>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</si>
  <si>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</si>
  <si>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</si>
  <si>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</si>
  <si>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</si>
  <si>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</si>
  <si>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</si>
  <si>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</si>
  <si>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</si>
  <si>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</si>
  <si>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</si>
  <si>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</si>
  <si>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</si>
  <si>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</si>
  <si>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</si>
  <si>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</si>
  <si>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</si>
  <si>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</si>
  <si>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</si>
  <si>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</si>
  <si>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</si>
  <si>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</si>
  <si>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</si>
  <si>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</si>
  <si>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</si>
  <si>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</si>
  <si>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</si>
  <si>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</si>
  <si>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</si>
  <si>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</si>
  <si>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</si>
  <si>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</si>
  <si>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</si>
  <si>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</si>
  <si>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</si>
  <si>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</si>
  <si>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</si>
  <si>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</si>
  <si>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</si>
  <si>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</si>
  <si>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</si>
  <si>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</si>
  <si>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</si>
  <si>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</si>
  <si>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</si>
  <si>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</si>
  <si>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</si>
  <si>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</si>
  <si>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</si>
  <si>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</si>
  <si>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</si>
  <si>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</si>
  <si>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</si>
  <si>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</si>
  <si>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</si>
  <si>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</si>
  <si>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</si>
  <si>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</si>
  <si>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</si>
  <si>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</si>
  <si>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</si>
  <si>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</si>
  <si>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</si>
  <si>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</si>
  <si>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</si>
  <si>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</si>
  <si>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</si>
  <si>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</si>
  <si>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</si>
  <si>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</si>
  <si>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</si>
  <si>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</si>
  <si>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</si>
  <si>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</si>
  <si>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</si>
  <si>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</si>
  <si>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</si>
  <si>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</si>
  <si>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</si>
  <si>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</si>
  <si>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</si>
  <si>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</si>
  <si>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</si>
  <si>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</si>
  <si>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</si>
  <si>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</si>
  <si>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</si>
  <si>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</si>
  <si>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</si>
  <si>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</si>
  <si>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</si>
  <si>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</si>
  <si>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</si>
  <si>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</si>
  <si>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</si>
  <si>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</si>
  <si>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</si>
  <si>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</si>
  <si>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</si>
  <si>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</si>
  <si>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</si>
  <si>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</si>
  <si>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</si>
  <si>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</si>
  <si>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</si>
  <si>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</si>
  <si>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</si>
  <si>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</si>
  <si>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</si>
  <si>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</si>
  <si>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</si>
  <si>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</si>
  <si>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</si>
  <si>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</si>
  <si>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</si>
  <si>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</si>
  <si>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</si>
  <si>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</si>
  <si>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</si>
  <si>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</si>
  <si>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</si>
  <si>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</si>
  <si>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</si>
  <si>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</si>
  <si>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</si>
  <si>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</si>
  <si>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</si>
  <si>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</si>
  <si>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</si>
  <si>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</si>
  <si>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</si>
  <si>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</si>
  <si>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</si>
  <si>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</si>
  <si>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</si>
  <si>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</si>
  <si>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</si>
  <si>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</si>
  <si>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</si>
  <si>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</si>
  <si>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</si>
  <si>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</si>
  <si>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</si>
  <si>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</si>
  <si>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</si>
  <si>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</si>
  <si>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</si>
  <si>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</si>
  <si>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</si>
  <si>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</si>
  <si>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</si>
  <si>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</si>
  <si>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</si>
  <si>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</si>
  <si>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</si>
  <si>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</si>
  <si>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</si>
  <si>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</si>
  <si>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</si>
  <si>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</si>
  <si>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</si>
  <si>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</si>
  <si>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</si>
  <si>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</si>
  <si>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</si>
  <si>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</si>
  <si>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</si>
  <si>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</si>
  <si>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</si>
  <si>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</si>
  <si>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</si>
  <si>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</si>
  <si>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</si>
  <si>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</si>
  <si>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</si>
  <si>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</si>
  <si>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</si>
  <si>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</si>
  <si>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</si>
  <si>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</si>
  <si>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</si>
  <si>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</si>
  <si>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</si>
  <si>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</si>
  <si>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</si>
  <si>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</si>
  <si>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</si>
  <si>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</si>
  <si>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</si>
  <si>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</si>
  <si>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</si>
  <si>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</si>
  <si>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</si>
  <si>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</si>
  <si>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</si>
  <si>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</si>
  <si>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</si>
  <si>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</si>
  <si>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</si>
  <si>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</si>
  <si>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</si>
  <si>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</si>
  <si>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</si>
  <si>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</si>
  <si>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</si>
  <si>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</si>
  <si>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</si>
  <si>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</si>
  <si>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</si>
  <si>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</si>
  <si>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</si>
  <si>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</si>
  <si>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</si>
  <si>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</si>
  <si>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</si>
  <si>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</si>
  <si>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</si>
  <si>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</si>
  <si>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</si>
  <si>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</si>
  <si>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</si>
  <si>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</si>
  <si>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</si>
  <si>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</si>
  <si>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</si>
  <si>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</si>
  <si>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</si>
  <si>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</si>
  <si>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</si>
  <si>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</si>
  <si>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</si>
  <si>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</si>
  <si>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</si>
  <si>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</si>
  <si>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</si>
  <si>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</si>
  <si>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</si>
  <si>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</si>
  <si>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</si>
  <si>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</si>
  <si>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</si>
  <si>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</si>
  <si>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</si>
  <si>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</si>
  <si>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</si>
  <si>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</si>
  <si>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</si>
  <si>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</si>
  <si>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</si>
  <si>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</si>
  <si>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</si>
  <si>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</si>
  <si>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</si>
  <si>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</si>
  <si>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</si>
  <si>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</si>
  <si>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</si>
  <si>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</si>
  <si>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</si>
  <si>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</si>
  <si>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</si>
  <si>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</si>
  <si>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</si>
  <si>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</si>
  <si>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</si>
  <si>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</si>
  <si>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</si>
  <si>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</si>
  <si>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</si>
  <si>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</si>
  <si>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</si>
  <si>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</si>
  <si>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</si>
  <si>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</si>
  <si>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</si>
  <si>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</si>
  <si>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</si>
  <si>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</si>
  <si>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</si>
  <si>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</si>
  <si>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</si>
  <si>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</si>
  <si>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</si>
  <si>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</si>
  <si>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</si>
  <si>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</si>
  <si>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</si>
  <si>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</si>
  <si>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</si>
  <si>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</si>
  <si>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</si>
  <si>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</si>
  <si>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</si>
  <si>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</si>
  <si>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</si>
  <si>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</si>
  <si>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</si>
  <si>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</si>
  <si>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</si>
  <si>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</si>
  <si>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</si>
  <si>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</si>
  <si>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</si>
  <si>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</si>
  <si>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</si>
  <si>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</si>
  <si>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</si>
  <si>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</si>
  <si>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</si>
  <si>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</si>
  <si>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</si>
  <si>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</si>
  <si>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</si>
  <si>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</si>
  <si>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</si>
  <si>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</si>
  <si>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</si>
  <si>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</si>
  <si>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</si>
  <si>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</si>
  <si>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</si>
  <si>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</si>
  <si>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</si>
  <si>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</si>
  <si>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</si>
  <si>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</si>
  <si>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</si>
  <si>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</si>
  <si>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</si>
  <si>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</si>
  <si>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</si>
  <si>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</si>
  <si>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</si>
  <si>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</si>
  <si>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</si>
  <si>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</si>
  <si>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</si>
  <si>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</si>
  <si>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</si>
  <si>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</si>
  <si>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</si>
  <si>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</si>
  <si>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</si>
  <si>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</si>
  <si>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</si>
  <si>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</si>
  <si>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</si>
  <si>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</si>
  <si>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</si>
  <si>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</si>
  <si>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</si>
  <si>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</si>
  <si>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</si>
  <si>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</si>
  <si>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</si>
  <si>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</si>
  <si>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</si>
  <si>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</si>
  <si>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</si>
  <si>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</si>
  <si>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</si>
  <si>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</si>
  <si>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</si>
  <si>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</si>
  <si>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</si>
  <si>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</si>
  <si>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</si>
  <si>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</si>
  <si>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</si>
  <si>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</si>
  <si>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</si>
  <si>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</si>
  <si>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</si>
  <si>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</si>
  <si>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</si>
  <si>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</si>
  <si>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</si>
  <si>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</si>
  <si>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</si>
  <si>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</si>
  <si>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</si>
  <si>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</si>
  <si>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</si>
  <si>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</si>
  <si>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</si>
  <si>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</si>
  <si>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</si>
  <si>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</si>
  <si>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</si>
  <si>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</si>
  <si>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</si>
  <si>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</si>
  <si>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</si>
  <si>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</si>
  <si>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</si>
  <si>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</si>
  <si>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</si>
  <si>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</si>
  <si>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</si>
  <si>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</si>
  <si>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</si>
  <si>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</si>
  <si>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</si>
  <si>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</si>
  <si>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</si>
  <si>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</si>
  <si>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</si>
  <si>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</si>
  <si>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</si>
  <si>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</si>
  <si>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</si>
  <si>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</si>
  <si>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</si>
  <si>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</si>
  <si>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</si>
  <si>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</si>
  <si>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</si>
  <si>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</si>
  <si>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</si>
  <si>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</si>
  <si>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</si>
  <si>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</si>
  <si>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</si>
  <si>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</si>
  <si>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</si>
  <si>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</si>
  <si>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</si>
  <si>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</si>
  <si>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</si>
  <si>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</si>
  <si>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</si>
  <si>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</si>
  <si>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</si>
  <si>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</si>
  <si>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</si>
  <si>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</si>
  <si>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</si>
  <si>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</si>
  <si>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</si>
  <si>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</si>
  <si>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</si>
  <si>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</si>
  <si>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</si>
  <si>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</si>
  <si>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</si>
  <si>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</si>
  <si>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</si>
  <si>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</si>
  <si>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</si>
  <si>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</si>
  <si>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</si>
  <si>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</si>
  <si>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</si>
  <si>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</si>
  <si>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</si>
  <si>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</si>
  <si>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</si>
  <si>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</si>
  <si>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</si>
  <si>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</si>
  <si>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</si>
  <si>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</si>
  <si>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</si>
  <si>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</si>
  <si>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</si>
  <si>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</si>
  <si>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</si>
  <si>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</si>
  <si>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</si>
  <si>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</si>
  <si>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</si>
  <si>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</si>
  <si>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</si>
  <si>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</si>
  <si>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</si>
  <si>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</si>
  <si>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</si>
  <si>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</si>
  <si>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</si>
  <si>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</si>
  <si>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</si>
  <si>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</si>
  <si>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</si>
  <si>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</si>
  <si>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</si>
  <si>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</si>
  <si>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</si>
  <si>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</si>
  <si>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</si>
  <si>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</si>
  <si>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</si>
  <si>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</si>
  <si>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</si>
  <si>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</si>
  <si>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</si>
  <si>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</si>
  <si>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</si>
  <si>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</si>
  <si>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</si>
  <si>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</si>
  <si>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</si>
  <si>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</si>
  <si>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</si>
  <si>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</si>
  <si>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</si>
  <si>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</si>
  <si>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</si>
  <si>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</si>
  <si>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</si>
  <si>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</si>
  <si>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</si>
  <si>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</si>
  <si>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</si>
  <si>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</si>
  <si>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</si>
  <si>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</si>
  <si>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</si>
  <si>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</si>
  <si>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</si>
  <si>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</si>
  <si>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</si>
  <si>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</si>
  <si>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</si>
  <si>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</si>
  <si>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</si>
  <si>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</si>
  <si>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</si>
  <si>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</si>
  <si>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</si>
  <si>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</si>
  <si>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</si>
  <si>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</si>
  <si>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</si>
  <si>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</si>
  <si>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</si>
  <si>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</si>
  <si>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</si>
  <si>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</si>
  <si>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</si>
  <si>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</si>
  <si>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</si>
  <si>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</si>
  <si>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</si>
  <si>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</si>
  <si>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</si>
  <si>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</si>
  <si>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</si>
  <si>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</si>
  <si>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</si>
  <si>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</si>
  <si>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</si>
  <si>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</si>
  <si>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</si>
  <si>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</si>
  <si>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</si>
  <si>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</si>
  <si>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</si>
  <si>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</si>
  <si>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</si>
  <si>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</si>
  <si>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</si>
  <si>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</si>
  <si>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</si>
  <si>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</si>
  <si>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</si>
  <si>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</si>
  <si>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</si>
  <si>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</si>
  <si>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</si>
  <si>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</si>
  <si>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</si>
  <si>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</si>
  <si>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</si>
  <si>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</si>
  <si>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</si>
  <si>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</si>
  <si>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</si>
  <si>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</si>
  <si>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</si>
  <si>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</si>
  <si>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</si>
  <si>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</si>
  <si>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</si>
  <si>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</si>
  <si>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</si>
  <si>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</si>
  <si>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</si>
  <si>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</si>
  <si>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</si>
  <si>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</si>
  <si>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</si>
  <si>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</si>
  <si>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</si>
  <si>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</si>
  <si>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</si>
  <si>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</si>
  <si>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</si>
  <si>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</si>
  <si>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</si>
  <si>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</si>
  <si>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</si>
  <si>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</si>
  <si>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</si>
  <si>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</si>
  <si>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</si>
  <si>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</si>
  <si>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</si>
  <si>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</si>
  <si>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</si>
  <si>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</si>
  <si>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</si>
  <si>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</si>
  <si>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</si>
  <si>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</si>
  <si>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</si>
  <si>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</si>
  <si>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</si>
  <si>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</si>
  <si>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</si>
  <si>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</si>
  <si>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</si>
  <si>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</si>
  <si>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</si>
  <si>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</si>
  <si>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</si>
  <si>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</si>
  <si>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</si>
  <si>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</si>
  <si>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</si>
  <si>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</si>
  <si>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</si>
  <si>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</si>
  <si>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</si>
  <si>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</si>
  <si>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</si>
  <si>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</si>
  <si>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</si>
  <si>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</si>
  <si>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</si>
  <si>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</si>
  <si>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</si>
  <si>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</si>
  <si>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</si>
  <si>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</si>
  <si>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</si>
  <si>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</si>
  <si>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</si>
  <si>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</si>
  <si>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</si>
  <si>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</si>
  <si>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</si>
  <si>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</si>
  <si>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</si>
  <si>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</si>
  <si>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</si>
  <si>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</si>
  <si>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</si>
  <si>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</si>
  <si>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</si>
  <si>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</si>
  <si>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</si>
  <si>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</si>
  <si>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</si>
  <si>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</si>
  <si>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</si>
  <si>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</si>
  <si>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</si>
  <si>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</si>
  <si>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</si>
  <si>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</si>
  <si>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</si>
  <si>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</si>
  <si>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</si>
  <si>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</si>
  <si>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</si>
  <si>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</si>
  <si>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</si>
  <si>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</si>
  <si>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</si>
  <si>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</si>
  <si>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</si>
  <si>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</si>
  <si>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</si>
  <si>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</si>
  <si>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</si>
  <si>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</si>
  <si>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</si>
  <si>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</si>
  <si>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</si>
  <si>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</si>
  <si>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</si>
  <si>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</si>
  <si>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</si>
  <si>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</si>
  <si>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</si>
  <si>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</si>
  <si>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</si>
  <si>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</si>
  <si>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</si>
  <si>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</si>
  <si>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</si>
  <si>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</si>
  <si>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</si>
  <si>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</si>
  <si>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</si>
  <si>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</si>
  <si>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</si>
  <si>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</si>
  <si>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</si>
  <si>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</si>
  <si>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</si>
  <si>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</si>
  <si>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</si>
  <si>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</si>
  <si>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</si>
  <si>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</si>
  <si>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</si>
  <si>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</si>
  <si>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</si>
  <si>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</si>
  <si>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</si>
  <si>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</si>
  <si>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</si>
  <si>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</si>
  <si>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</si>
  <si>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</si>
  <si>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</si>
  <si>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</si>
  <si>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</si>
  <si>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</si>
  <si>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</si>
  <si>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</si>
  <si>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</si>
  <si>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</si>
  <si>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</si>
  <si>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</si>
  <si>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</si>
  <si>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</si>
  <si>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</si>
  <si>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</si>
  <si>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</si>
  <si>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</si>
  <si>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</si>
  <si>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</si>
  <si>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</si>
  <si>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</si>
  <si>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</si>
  <si>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</si>
  <si>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</si>
  <si>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</si>
  <si>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</si>
  <si>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</si>
  <si>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</si>
  <si>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</si>
  <si>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</si>
  <si>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</si>
  <si>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</si>
  <si>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</si>
  <si>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</si>
  <si>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</si>
  <si>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</si>
  <si>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</si>
  <si>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</si>
  <si>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</si>
  <si>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</si>
  <si>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</si>
  <si>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</si>
  <si>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</si>
  <si>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</si>
  <si>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</si>
  <si>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</si>
  <si>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</si>
  <si>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</si>
  <si>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</si>
  <si>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</si>
  <si>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</si>
  <si>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</si>
  <si>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</si>
  <si>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</si>
  <si>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</si>
  <si>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</si>
  <si>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</si>
  <si>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</si>
  <si>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</si>
  <si>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</si>
  <si>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</si>
  <si>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</si>
  <si>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</si>
  <si>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</si>
  <si>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</si>
  <si>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</si>
  <si>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</si>
  <si>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</si>
  <si>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</si>
  <si>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</si>
  <si>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</si>
  <si>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</si>
  <si>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</si>
  <si>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</si>
  <si>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</si>
  <si>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</si>
  <si>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</si>
  <si>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</si>
  <si>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</si>
  <si>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</si>
  <si>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</si>
  <si>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</si>
  <si>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</si>
  <si>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</si>
  <si>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</si>
  <si>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</si>
  <si>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</si>
  <si>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</si>
  <si>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</si>
  <si>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</si>
  <si>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</si>
  <si>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</si>
  <si>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</si>
  <si>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</si>
  <si>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</si>
  <si>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</si>
  <si>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</si>
  <si>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</si>
  <si>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</si>
  <si>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</si>
  <si>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</si>
  <si>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</si>
  <si>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</si>
  <si>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</si>
  <si>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</si>
  <si>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</si>
  <si>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</si>
  <si>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</si>
  <si>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</si>
  <si>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</si>
  <si>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</si>
  <si>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</si>
  <si>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</si>
  <si>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</si>
  <si>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</si>
  <si>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</si>
  <si>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</si>
  <si>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</si>
  <si>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</si>
  <si>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</si>
  <si>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</si>
  <si>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</si>
  <si>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</si>
  <si>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</si>
  <si>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</si>
  <si>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</si>
  <si>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</si>
  <si>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</si>
  <si>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</si>
  <si>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</si>
  <si>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</si>
  <si>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</si>
  <si>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</si>
  <si>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</si>
  <si>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</si>
  <si>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</si>
  <si>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</si>
  <si>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</si>
  <si>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</si>
  <si>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</si>
  <si>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</si>
  <si>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</si>
  <si>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</si>
  <si>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</si>
  <si>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</si>
  <si>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</si>
  <si>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</si>
  <si>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</si>
  <si>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</si>
  <si>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</si>
  <si>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</si>
  <si>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</si>
  <si>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</si>
  <si>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</si>
  <si>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</si>
  <si>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</si>
  <si>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</si>
  <si>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</si>
  <si>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</si>
  <si>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</si>
  <si>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</si>
  <si>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</si>
  <si>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</si>
  <si>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</si>
  <si>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</si>
  <si>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</si>
  <si>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</si>
  <si>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</si>
  <si>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</si>
  <si>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</si>
  <si>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</si>
  <si>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</si>
  <si>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</si>
  <si>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</si>
  <si>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</si>
  <si>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</si>
  <si>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</si>
  <si>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</si>
  <si>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</si>
  <si>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</si>
  <si>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</si>
  <si>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</si>
  <si>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</si>
  <si>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</si>
  <si>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</si>
  <si>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</si>
  <si>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</si>
  <si>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</si>
  <si>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</si>
  <si>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</si>
  <si>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</si>
  <si>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</si>
  <si>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</si>
  <si>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</si>
  <si>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</si>
  <si>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</si>
  <si>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</si>
  <si>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</si>
  <si>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</si>
  <si>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</si>
  <si>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</si>
  <si>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</si>
  <si>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</si>
  <si>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</si>
  <si>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</si>
  <si>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</si>
  <si>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</si>
  <si>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</si>
  <si>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</si>
  <si>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</si>
  <si>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</si>
  <si>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</si>
  <si>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</si>
  <si>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</si>
  <si>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</si>
  <si>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</si>
  <si>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</si>
  <si>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</si>
  <si>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</si>
  <si>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</si>
  <si>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</si>
  <si>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</si>
  <si>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</si>
  <si>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</si>
  <si>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</si>
  <si>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</si>
  <si>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</si>
  <si>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</si>
  <si>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</si>
  <si>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</si>
  <si>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</si>
  <si>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</si>
  <si>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</si>
  <si>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</si>
  <si>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</si>
  <si>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</si>
  <si>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</si>
  <si>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</si>
  <si>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</si>
  <si>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</si>
  <si>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</si>
  <si>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</si>
  <si>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</si>
  <si>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</si>
  <si>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</si>
  <si>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</si>
  <si>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</si>
  <si>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</si>
  <si>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</si>
  <si>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</si>
  <si>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</si>
  <si>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</si>
  <si>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</si>
  <si>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</si>
  <si>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</si>
  <si>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</si>
  <si>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</si>
  <si>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</si>
  <si>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</si>
  <si>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</si>
  <si>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</si>
  <si>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</si>
  <si>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</si>
  <si>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</si>
  <si>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</si>
  <si>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</si>
  <si>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</si>
  <si>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</si>
  <si>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</si>
  <si>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</si>
  <si>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</si>
  <si>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</si>
  <si>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</si>
  <si>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</si>
  <si>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</si>
  <si>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</si>
  <si>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</si>
  <si>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</si>
  <si>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</si>
  <si>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</si>
  <si>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</si>
  <si>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</si>
  <si>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</si>
  <si>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</si>
  <si>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</si>
  <si>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</si>
  <si>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</si>
  <si>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</si>
  <si>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</si>
  <si>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</si>
  <si>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</si>
  <si>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</si>
  <si>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</si>
  <si>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</si>
  <si>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</si>
  <si>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</si>
  <si>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</si>
  <si>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</si>
  <si>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</si>
  <si>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</si>
  <si>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</si>
  <si>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</si>
  <si>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</si>
  <si>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</si>
  <si>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</si>
  <si>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</si>
  <si>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</si>
  <si>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</si>
  <si>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</si>
  <si>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</si>
  <si>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</si>
  <si>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</si>
  <si>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</si>
  <si>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</si>
  <si>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</si>
  <si>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</si>
  <si>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</si>
  <si>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</si>
  <si>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</si>
  <si>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</si>
  <si>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</si>
  <si>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</si>
  <si>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</si>
  <si>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</si>
  <si>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</si>
  <si>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</si>
  <si>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</si>
  <si>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</si>
  <si>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</si>
  <si>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</si>
  <si>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</si>
  <si>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</si>
  <si>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</si>
  <si>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</si>
  <si>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</si>
  <si>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</si>
  <si>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</si>
  <si>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</si>
  <si>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</si>
  <si>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</si>
  <si>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</si>
  <si>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</si>
  <si>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</si>
  <si>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</si>
  <si>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</si>
  <si>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</si>
  <si>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</si>
  <si>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</si>
  <si>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</si>
  <si>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</si>
  <si>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</si>
  <si>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</si>
  <si>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</si>
  <si>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</si>
  <si>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</si>
  <si>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</si>
  <si>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</si>
  <si>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</si>
  <si>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</si>
  <si>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</si>
  <si>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</si>
  <si>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</si>
  <si>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</si>
  <si>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</si>
  <si>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</si>
  <si>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</si>
  <si>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</si>
  <si>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</si>
  <si>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</si>
  <si>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</si>
  <si>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</si>
  <si>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</si>
  <si>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</si>
  <si>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</si>
  <si>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</si>
  <si>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</si>
  <si>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</si>
  <si>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</si>
  <si>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</si>
  <si>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</si>
  <si>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</si>
  <si>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</si>
  <si>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</si>
  <si>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</si>
  <si>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</si>
  <si>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</si>
  <si>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</si>
  <si>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</si>
  <si>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</si>
  <si>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</si>
  <si>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</si>
  <si>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</si>
  <si>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</si>
  <si>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</si>
  <si>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Pacific Southwest Community Development Corporation</t>
  </si>
  <si>
    <t>Waterstone I</t>
  </si>
  <si>
    <t>Robert Laing</t>
  </si>
  <si>
    <t>Executive Director</t>
  </si>
  <si>
    <t>City of Atwater</t>
  </si>
  <si>
    <t>Lori Waterman</t>
  </si>
  <si>
    <t>750 Bellevue Rd</t>
  </si>
  <si>
    <t>Atwater</t>
  </si>
  <si>
    <t>209-357-6206</t>
  </si>
  <si>
    <t>lwaterman@atwater.org</t>
  </si>
  <si>
    <t>150-190-038-000</t>
  </si>
  <si>
    <t>NA</t>
  </si>
  <si>
    <t>16935 Rancho Bernado Rd #238</t>
  </si>
  <si>
    <t>CA</t>
  </si>
  <si>
    <t>858-675-0506</t>
  </si>
  <si>
    <t>robertlaing@pswcdc.org</t>
  </si>
  <si>
    <t>One or Two Story Garden</t>
  </si>
  <si>
    <t>Managing GP</t>
  </si>
  <si>
    <t>Chelsea Investment Corporation</t>
  </si>
  <si>
    <t>6339 Paseo Del Lago</t>
  </si>
  <si>
    <t>Carlsbad, CA 92011</t>
  </si>
  <si>
    <t>Cheri Hoffman</t>
  </si>
  <si>
    <t>760-456-6000</t>
  </si>
  <si>
    <t>760-456-6001</t>
  </si>
  <si>
    <t>cheri@chelseainvestco.com</t>
  </si>
  <si>
    <t>Emmerson Construction, Inc.</t>
  </si>
  <si>
    <t>Novogradac</t>
  </si>
  <si>
    <t>211 East Ocean Blvd., Suite 600</t>
  </si>
  <si>
    <t>Long Beach, CA 90802</t>
  </si>
  <si>
    <t>Raney Planning &amp; Management, Inc.</t>
  </si>
  <si>
    <t>1501 Sports Drive, Suite A</t>
  </si>
  <si>
    <t>Sacramento, CA 95834</t>
  </si>
  <si>
    <t>Stefanie Williams</t>
  </si>
  <si>
    <t>916-372-6100</t>
  </si>
  <si>
    <t>916-419-6108</t>
  </si>
  <si>
    <t>swilliams@laurinassociates.com</t>
  </si>
  <si>
    <t>ConAm Management Corporation</t>
  </si>
  <si>
    <t>3990 Ruffin Road, Suite 100</t>
  </si>
  <si>
    <t xml:space="preserve">San Diego, CA 92123 </t>
  </si>
  <si>
    <t>Wes Daniel</t>
  </si>
  <si>
    <t>(858) 614-7325</t>
  </si>
  <si>
    <t>wdaniel@conam.com</t>
  </si>
  <si>
    <t>TBD</t>
  </si>
  <si>
    <t>BSB Design, Inc.</t>
  </si>
  <si>
    <t>970 W 190th Street, Sutie 250</t>
  </si>
  <si>
    <t>Torrance, CA 90502</t>
  </si>
  <si>
    <t>Dirk D Thelen</t>
  </si>
  <si>
    <t>310-217-8885</t>
  </si>
  <si>
    <t>dthelen@bsbdesign.com</t>
  </si>
  <si>
    <t>Robert Waldau</t>
  </si>
  <si>
    <t>Equity Trust Company</t>
  </si>
  <si>
    <t>113 W. G Street, #609</t>
  </si>
  <si>
    <t>San Diego, CA 92101</t>
  </si>
  <si>
    <t>PD-32, 15-35 du/acre</t>
  </si>
  <si>
    <t>PD-32, Planned Development High Density Multi-Family Residential</t>
  </si>
  <si>
    <t>1.5 per unit</t>
  </si>
  <si>
    <t>35' or two-and-one-half stories</t>
  </si>
  <si>
    <t>HCD Serna</t>
  </si>
  <si>
    <t>Atwater: City Loan</t>
  </si>
  <si>
    <t>Pacific Southwest Community Development Corporation (Sole General Partner of "Waterstone I, LP")</t>
  </si>
  <si>
    <t>A1 &amp; W1 Bus Line</t>
  </si>
  <si>
    <t>Bellevue Road</t>
  </si>
  <si>
    <t>Atwater 95301</t>
  </si>
  <si>
    <t>Tara Rodriguez</t>
  </si>
  <si>
    <t>209-723-3100</t>
  </si>
  <si>
    <t>wwww.mercedthebus.com</t>
  </si>
  <si>
    <t>E.L. Walters Park</t>
  </si>
  <si>
    <t>Linden Street</t>
  </si>
  <si>
    <t>Atwater, 95301</t>
  </si>
  <si>
    <t>Gloria Perez</t>
  </si>
  <si>
    <t>209-357-6370</t>
  </si>
  <si>
    <t>www.atwater.org/departments/publicworks/</t>
  </si>
  <si>
    <t>Atwater Branch Library</t>
  </si>
  <si>
    <t>1600 Third Street</t>
  </si>
  <si>
    <t>Angelica Ellis-Roche</t>
  </si>
  <si>
    <t>209-358-6651</t>
  </si>
  <si>
    <t>https://librarytechnology.org/library/15180</t>
  </si>
  <si>
    <t>Food4Less</t>
  </si>
  <si>
    <t>2840 Shaffer Road</t>
  </si>
  <si>
    <t>Karina Mendoza</t>
  </si>
  <si>
    <t>209-357-5320</t>
  </si>
  <si>
    <t>https://food4lesscentralvalley.com/</t>
  </si>
  <si>
    <t>Elmer Wood Elementary School</t>
  </si>
  <si>
    <t>1271 Bellevue Road</t>
  </si>
  <si>
    <t>Laurie Havel</t>
  </si>
  <si>
    <t>209-357-6509</t>
  </si>
  <si>
    <t>www.aesd.edu/</t>
  </si>
  <si>
    <t>Rite Aid</t>
  </si>
  <si>
    <t>571 Bellevue Road</t>
  </si>
  <si>
    <t>209-358-6306</t>
  </si>
  <si>
    <t>www.riteaid.com/locations/ca/atwater/571-bellevue-road.html</t>
  </si>
  <si>
    <t>Juan Cisneros</t>
  </si>
  <si>
    <t>NE corner of Bellevue Rd and Redwood Ave</t>
  </si>
  <si>
    <t>40%/60%</t>
  </si>
  <si>
    <t>Odu &amp; Associates</t>
  </si>
  <si>
    <t>31805 Temecula Parkway #720</t>
  </si>
  <si>
    <t>Temecula, CA 92592</t>
  </si>
  <si>
    <t>Nkechi Odu</t>
  </si>
  <si>
    <t>951-251-6212</t>
  </si>
  <si>
    <t>nkechi@odulaw.com</t>
  </si>
  <si>
    <t>Cox Castle &amp; Nicholson LLP</t>
  </si>
  <si>
    <t>50 California St, Suite 3200</t>
  </si>
  <si>
    <t>San Francisco, CA 94111</t>
  </si>
  <si>
    <t>Ofer Elitzur</t>
  </si>
  <si>
    <t xml:space="preserve">415.262.5165 </t>
  </si>
  <si>
    <t>415-262-5199</t>
  </si>
  <si>
    <t>oelitzur@coxcastle.com</t>
  </si>
  <si>
    <t>Natalie Chavez</t>
  </si>
  <si>
    <t>natalie.chavez@novoco.com</t>
  </si>
  <si>
    <t>562-256-2329</t>
  </si>
  <si>
    <t>Citibank Construction Loan</t>
  </si>
  <si>
    <t>300 South Grand Ave, Suite 3110</t>
  </si>
  <si>
    <t>Los Angeles, CA 90071</t>
  </si>
  <si>
    <t>Hao Li</t>
  </si>
  <si>
    <t>213-239-1914</t>
  </si>
  <si>
    <t>Construction Loan</t>
  </si>
  <si>
    <t>City Housing Successor Loan</t>
  </si>
  <si>
    <t>Joe Serna, FWHG</t>
  </si>
  <si>
    <t>The Richman Group - Tax Credit Equity</t>
  </si>
  <si>
    <t>2020 W. El Camino Ave. Suite 670</t>
  </si>
  <si>
    <t>Mauro Lara</t>
  </si>
  <si>
    <t>916-562-7364</t>
  </si>
  <si>
    <t>Residual Receipts Loan</t>
  </si>
  <si>
    <t>App. Fees, Late, Etc.</t>
  </si>
  <si>
    <t>Christina Thurman</t>
  </si>
  <si>
    <t>209-357-6239</t>
  </si>
  <si>
    <t>7817 Herschel Ave Suite 102</t>
  </si>
  <si>
    <t>La Jolla</t>
  </si>
  <si>
    <t>Alok Lathi</t>
  </si>
  <si>
    <t>303-915-7437</t>
  </si>
  <si>
    <t>Tax credit Equity</t>
  </si>
  <si>
    <t>Fixed</t>
  </si>
  <si>
    <t>Variable</t>
  </si>
  <si>
    <t>Citi Community Capital - Permanent Loan</t>
  </si>
  <si>
    <t>City of Atwater, Housing Successor Loan</t>
  </si>
  <si>
    <t>Permanent Loan</t>
  </si>
  <si>
    <t>Residual Receipt Loans</t>
  </si>
  <si>
    <t>Deferred Developer Fee</t>
  </si>
  <si>
    <t>Heidi Mather</t>
  </si>
  <si>
    <t>Solar Tax Credit Equity - The Richman Group</t>
  </si>
  <si>
    <t>LIHTC Equity</t>
  </si>
  <si>
    <t>Housing Authority of the County of Merced, CA</t>
  </si>
  <si>
    <t xml:space="preserve">Equip, software, supplies etc. </t>
  </si>
  <si>
    <t>Benefits</t>
  </si>
  <si>
    <t>Supplies</t>
  </si>
  <si>
    <t>Other: Lender reports/Inspections</t>
  </si>
  <si>
    <t>Other: Sponsor Legal</t>
  </si>
  <si>
    <t>Other: GP Service Fee</t>
  </si>
  <si>
    <t>HCD Joe Serna FWHG</t>
  </si>
  <si>
    <t>City, Housing Successor Loan</t>
  </si>
  <si>
    <t xml:space="preserve">Other: </t>
  </si>
  <si>
    <t>661-406-9407</t>
  </si>
  <si>
    <t>Heidi W. Mather</t>
  </si>
  <si>
    <t>Developer</t>
  </si>
  <si>
    <t>hmather@chelseainvestco.com</t>
  </si>
  <si>
    <t>619-246-5336</t>
  </si>
  <si>
    <t>Robert Campbell</t>
  </si>
  <si>
    <t>760-795-5631</t>
  </si>
  <si>
    <t>rcampbell@emmersonconstruction.com</t>
  </si>
  <si>
    <t>The Richman Group</t>
  </si>
  <si>
    <t>777 West Putnam Avenue</t>
  </si>
  <si>
    <t>Greenwich, CT 06830</t>
  </si>
  <si>
    <t>Alok Lathi, Vice President</t>
  </si>
  <si>
    <t>lathia@richmancapital.com</t>
  </si>
  <si>
    <t>203-869-0900</t>
  </si>
  <si>
    <t>Deferred fees/costs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</si>
</sst>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8"/>
      <color theme="3"/>
      <name val="Cambri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9552">
    <xf numFmtId="0" fontId="0" fillId="0" borderId="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90" fillId="39" borderId="33" applyNumberFormat="0" applyAlignment="0" applyProtection="0"/>
    <xf numFmtId="0" fontId="90" fillId="39" borderId="33" applyNumberFormat="0" applyAlignment="0" applyProtection="0"/>
    <xf numFmtId="0" fontId="91"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2" fillId="0" borderId="0" applyNumberFormat="0" applyFill="0" applyBorder="0" applyAlignment="0" applyProtection="0"/>
    <xf numFmtId="0" fontId="93" fillId="41"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8" fillId="0" borderId="38" applyNumberFormat="0" applyFill="0" applyAlignment="0" applyProtection="0"/>
    <xf numFmtId="0" fontId="99" fillId="43"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13"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70" fontId="64" fillId="0" borderId="0"/>
    <xf numFmtId="0" fontId="87"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3" fillId="0" borderId="0"/>
    <xf numFmtId="0" fontId="63" fillId="0" borderId="0">
      <alignment vertical="top"/>
    </xf>
    <xf numFmtId="0" fontId="87" fillId="0" borderId="0"/>
    <xf numFmtId="0" fontId="87" fillId="0" borderId="0"/>
    <xf numFmtId="0" fontId="87" fillId="0" borderId="0"/>
    <xf numFmtId="0" fontId="87" fillId="0" borderId="0"/>
    <xf numFmtId="0" fontId="73" fillId="0" borderId="0"/>
    <xf numFmtId="0" fontId="13" fillId="0" borderId="0"/>
    <xf numFmtId="0" fontId="87" fillId="0" borderId="0"/>
    <xf numFmtId="0" fontId="13"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63" fillId="0" borderId="0">
      <alignment vertical="top"/>
    </xf>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102" fillId="39" borderId="40" applyNumberFormat="0" applyAlignment="0" applyProtection="0"/>
    <xf numFmtId="0" fontId="102" fillId="39" borderId="40" applyNumberFormat="0" applyAlignment="0" applyProtection="0"/>
    <xf numFmtId="0" fontId="9"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4"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14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03" fillId="0" borderId="0" applyNumberForma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44" fontId="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1958">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3" xfId="0" applyFont="1" applyBorder="1" applyAlignment="1">
      <alignment vertical="top" wrapText="1"/>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applyAlignment="1">
      <alignment horizontal="left" vertical="top" wrapText="1"/>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47" fillId="0" borderId="3" xfId="0" applyFont="1" applyBorder="1"/>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172" fontId="4" fillId="0" borderId="0" xfId="546" applyNumberFormat="1"/>
    <xf numFmtId="0" fontId="13" fillId="0" borderId="0" xfId="546" applyFont="1" applyAlignment="1">
      <alignment horizontal="left"/>
    </xf>
    <xf numFmtId="0" fontId="13" fillId="0" borderId="18" xfId="0" applyFont="1" applyBorder="1"/>
    <xf numFmtId="0" fontId="13" fillId="0" borderId="12" xfId="0" applyFont="1" applyBorder="1"/>
    <xf numFmtId="2" fontId="33" fillId="0" borderId="12" xfId="0" applyNumberFormat="1" applyFont="1" applyBorder="1"/>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0" fontId="4" fillId="0" borderId="0" xfId="0" applyFont="1" applyAlignment="1">
      <alignment horizontal="right" vertical="top"/>
    </xf>
    <xf numFmtId="0" fontId="4" fillId="0" borderId="13" xfId="0" applyFont="1" applyBorder="1" applyAlignment="1">
      <alignment horizontal="right" vertical="top"/>
    </xf>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169" fontId="4"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4" fillId="7" borderId="4" xfId="0" applyFont="1" applyFill="1" applyBorder="1" applyAlignment="1" applyProtection="1">
      <alignment horizontal="left" vertical="top"/>
      <protection locked="0"/>
    </xf>
    <xf numFmtId="0" fontId="4" fillId="7" borderId="8" xfId="0" applyFont="1" applyFill="1" applyBorder="1" applyAlignment="1" applyProtection="1">
      <alignment horizontal="left" vertical="top"/>
      <protection locked="0"/>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169" fontId="13" fillId="0" borderId="7" xfId="273" applyNumberFormat="1" applyBorder="1" applyAlignment="1">
      <alignment vertical="top"/>
    </xf>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65" fontId="33" fillId="0" borderId="9" xfId="0" applyNumberFormat="1" applyFont="1" applyBorder="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166"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165" fontId="11" fillId="0" borderId="0" xfId="273" applyNumberFormat="1" applyFont="1" applyAlignment="1">
      <alignment horizontal="center"/>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6"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4"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7" fillId="0" borderId="4" xfId="273" applyFont="1" applyBorder="1"/>
    <xf numFmtId="0" fontId="107" fillId="0" borderId="5" xfId="273" applyFont="1" applyBorder="1"/>
    <xf numFmtId="169" fontId="107"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7"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11"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115" fillId="0" borderId="0" xfId="0" applyFont="1" applyAlignment="1">
      <alignment vertical="center"/>
    </xf>
    <xf numFmtId="0" fontId="4" fillId="0" borderId="0" xfId="273" applyFont="1"/>
    <xf numFmtId="9" fontId="13" fillId="0" borderId="0" xfId="273" applyNumberForma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6" fillId="0" borderId="46" xfId="273" applyFont="1" applyBorder="1" applyAlignment="1">
      <alignment horizontal="left"/>
    </xf>
    <xf numFmtId="0" fontId="116" fillId="0" borderId="52" xfId="273" applyFont="1" applyBorder="1" applyAlignment="1">
      <alignment horizontal="left"/>
    </xf>
    <xf numFmtId="0" fontId="117" fillId="0" borderId="46" xfId="273" applyFont="1" applyBorder="1" applyAlignment="1">
      <alignment horizontal="left"/>
    </xf>
    <xf numFmtId="0" fontId="117"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9" fillId="0" borderId="0" xfId="0" applyFont="1" applyAlignment="1">
      <alignment horizontal="left" vertical="top"/>
    </xf>
    <xf numFmtId="2" fontId="13" fillId="0" borderId="0" xfId="573" applyNumberFormat="1" applyFont="1" applyFill="1"/>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169" fontId="9" fillId="0" borderId="0" xfId="273" applyNumberFormat="1" applyFont="1" applyAlignment="1">
      <alignment horizontal="left"/>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7" fillId="0" borderId="47" xfId="273" applyFont="1" applyBorder="1" applyAlignment="1">
      <alignment horizontal="left"/>
    </xf>
    <xf numFmtId="0" fontId="13" fillId="0" borderId="47" xfId="273" applyBorder="1"/>
    <xf numFmtId="0" fontId="116"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9"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5" fillId="0" borderId="0" xfId="245" applyProtection="1"/>
    <xf numFmtId="0" fontId="127" fillId="0" borderId="0" xfId="575" applyFont="1"/>
    <xf numFmtId="0" fontId="127" fillId="0" borderId="0" xfId="575" applyFont="1" applyAlignment="1">
      <alignment wrapText="1"/>
    </xf>
    <xf numFmtId="0" fontId="128" fillId="0" borderId="0" xfId="575" applyFont="1"/>
    <xf numFmtId="180" fontId="129" fillId="0" borderId="0" xfId="576" applyNumberFormat="1" applyFont="1"/>
    <xf numFmtId="0" fontId="130" fillId="0" borderId="0" xfId="575" applyFont="1" applyAlignment="1">
      <alignment vertical="center" wrapText="1"/>
    </xf>
    <xf numFmtId="49" fontId="127" fillId="0" borderId="0" xfId="575" applyNumberFormat="1" applyFont="1" applyAlignment="1">
      <alignment horizontal="center"/>
    </xf>
    <xf numFmtId="169" fontId="127" fillId="0" borderId="0" xfId="577" applyNumberFormat="1" applyFont="1" applyFill="1" applyBorder="1" applyAlignment="1">
      <alignment vertical="center"/>
    </xf>
    <xf numFmtId="181" fontId="127" fillId="0" borderId="0" xfId="575" applyNumberFormat="1" applyFont="1"/>
    <xf numFmtId="0" fontId="127" fillId="0" borderId="0" xfId="575" applyFont="1" applyAlignment="1">
      <alignment horizontal="center"/>
    </xf>
    <xf numFmtId="0" fontId="132" fillId="0" borderId="0" xfId="575" applyFont="1"/>
    <xf numFmtId="0" fontId="133" fillId="0" borderId="0" xfId="575" applyFont="1"/>
    <xf numFmtId="0" fontId="127" fillId="0" borderId="0" xfId="575" applyFont="1" applyAlignment="1">
      <alignment horizontal="left"/>
    </xf>
    <xf numFmtId="2" fontId="127" fillId="0" borderId="0" xfId="575" applyNumberFormat="1" applyFont="1" applyAlignment="1">
      <alignment horizontal="center"/>
    </xf>
    <xf numFmtId="180" fontId="127" fillId="0" borderId="0" xfId="575" applyNumberFormat="1" applyFont="1"/>
    <xf numFmtId="7" fontId="128" fillId="0" borderId="0" xfId="575" applyNumberFormat="1" applyFont="1"/>
    <xf numFmtId="165" fontId="129" fillId="0" borderId="0" xfId="577" applyNumberFormat="1" applyFont="1"/>
    <xf numFmtId="165" fontId="129" fillId="0" borderId="0" xfId="577" applyNumberFormat="1" applyFont="1" applyFill="1" applyBorder="1"/>
    <xf numFmtId="0" fontId="127" fillId="0" borderId="0" xfId="575" applyFont="1" applyAlignment="1">
      <alignment vertical="top" wrapText="1"/>
    </xf>
    <xf numFmtId="0" fontId="4" fillId="50" borderId="0" xfId="574" applyFill="1"/>
    <xf numFmtId="0" fontId="4" fillId="50" borderId="0" xfId="766" applyFill="1"/>
    <xf numFmtId="169" fontId="127" fillId="0" borderId="0" xfId="577" applyNumberFormat="1" applyFont="1" applyFill="1" applyBorder="1" applyAlignment="1" applyProtection="1">
      <alignment vertical="center"/>
    </xf>
    <xf numFmtId="5" fontId="127" fillId="51" borderId="5" xfId="164" applyNumberFormat="1" applyFont="1" applyFill="1" applyBorder="1" applyAlignment="1" applyProtection="1">
      <protection locked="0"/>
    </xf>
    <xf numFmtId="0" fontId="128" fillId="0" borderId="0" xfId="575" applyFont="1" applyAlignment="1">
      <alignment wrapText="1"/>
    </xf>
    <xf numFmtId="0" fontId="134"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5" fillId="0" borderId="0" xfId="0" applyFont="1"/>
    <xf numFmtId="0" fontId="9" fillId="51" borderId="0" xfId="273" applyFont="1" applyFill="1"/>
    <xf numFmtId="3" fontId="70" fillId="51" borderId="5" xfId="273" applyNumberFormat="1" applyFont="1" applyFill="1" applyBorder="1"/>
    <xf numFmtId="0" fontId="136" fillId="0" borderId="0" xfId="0" applyFont="1"/>
    <xf numFmtId="0" fontId="138" fillId="0" borderId="0" xfId="0" applyFont="1"/>
    <xf numFmtId="0" fontId="139"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40" fillId="0" borderId="0" xfId="0" applyFont="1" applyAlignment="1">
      <alignment horizontal="center" vertic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0" fontId="27" fillId="0" borderId="12" xfId="0" applyFont="1" applyBorder="1" applyAlignment="1" applyProtection="1">
      <alignment vertical="top" wrapText="1"/>
      <protection locked="0"/>
    </xf>
    <xf numFmtId="0" fontId="4" fillId="0" borderId="0" xfId="0" applyFont="1" applyAlignment="1">
      <alignment horizontal="left" vertical="top" wrapText="1"/>
    </xf>
    <xf numFmtId="0" fontId="109"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4" fillId="0" borderId="0" xfId="0" applyFont="1" applyAlignment="1">
      <alignment horizontal="left" wrapText="1"/>
    </xf>
    <xf numFmtId="0" fontId="13" fillId="0" borderId="0" xfId="0" applyFont="1" applyAlignment="1">
      <alignment horizontal="left" wrapText="1"/>
    </xf>
    <xf numFmtId="0" fontId="112" fillId="0" borderId="0" xfId="0" applyFont="1" applyAlignment="1">
      <alignment horizontal="left" wrapText="1"/>
    </xf>
    <xf numFmtId="0" fontId="13" fillId="0" borderId="0" xfId="0" applyFont="1" applyAlignment="1">
      <alignment horizontal="left" vertical="top" wrapText="1"/>
    </xf>
    <xf numFmtId="0" fontId="11" fillId="0" borderId="0" xfId="0" applyFont="1" applyAlignment="1">
      <alignment horizontal="left" vertical="top" wrapText="1"/>
    </xf>
    <xf numFmtId="0" fontId="37" fillId="0" borderId="0" xfId="0" applyFont="1" applyAlignment="1">
      <alignment horizontal="left" vertical="top" wrapText="1"/>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273" applyFont="1" applyAlignment="1">
      <alignment horizontal="left" vertical="top" wrapText="1"/>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13" fillId="0" borderId="0" xfId="0" applyFont="1" applyAlignment="1">
      <alignment wrapText="1"/>
    </xf>
    <xf numFmtId="0" fontId="0" fillId="0" borderId="0" xfId="0" applyAlignment="1">
      <alignment wrapText="1"/>
    </xf>
    <xf numFmtId="0" fontId="13" fillId="0" borderId="0" xfId="0" applyFont="1"/>
    <xf numFmtId="0" fontId="4" fillId="0" borderId="0" xfId="0" applyFont="1" applyAlignment="1">
      <alignment vertical="top" wrapText="1"/>
    </xf>
    <xf numFmtId="4" fontId="13" fillId="0" borderId="0" xfId="0" applyNumberFormat="1" applyFont="1" applyAlignment="1">
      <alignment horizontal="left" vertical="top" wrapText="1"/>
    </xf>
    <xf numFmtId="4" fontId="13" fillId="0" borderId="0" xfId="0" applyNumberFormat="1" applyFont="1" applyAlignment="1">
      <alignment horizontal="left"/>
    </xf>
    <xf numFmtId="0" fontId="13" fillId="0" borderId="0" xfId="0" applyFont="1" applyAlignment="1">
      <alignment horizontal="left"/>
    </xf>
    <xf numFmtId="0" fontId="23" fillId="0" borderId="0" xfId="0" applyFont="1" applyAlignment="1">
      <alignment horizontal="left"/>
    </xf>
    <xf numFmtId="0" fontId="4" fillId="0" borderId="0" xfId="0" applyFont="1" applyAlignment="1">
      <alignment horizontal="left"/>
    </xf>
    <xf numFmtId="4" fontId="13" fillId="0" borderId="0" xfId="273" applyNumberFormat="1" applyAlignment="1">
      <alignment horizontal="left" vertical="top" wrapText="1"/>
    </xf>
    <xf numFmtId="4" fontId="23" fillId="0" borderId="0" xfId="0" applyNumberFormat="1" applyFont="1" applyAlignment="1">
      <alignment horizontal="left"/>
    </xf>
    <xf numFmtId="49" fontId="4" fillId="0" borderId="0" xfId="0" applyNumberFormat="1" applyFont="1" applyAlignment="1">
      <alignment horizontal="left" vertical="top" wrapText="1"/>
    </xf>
    <xf numFmtId="49" fontId="13" fillId="0" borderId="0" xfId="0" applyNumberFormat="1" applyFont="1" applyAlignment="1">
      <alignment horizontal="left" vertical="top" wrapText="1"/>
    </xf>
    <xf numFmtId="0" fontId="23" fillId="0" borderId="0" xfId="0" applyFont="1" applyAlignment="1">
      <alignment horizontal="left" vertical="top" wrapText="1"/>
    </xf>
    <xf numFmtId="0" fontId="11" fillId="0" borderId="0" xfId="273" applyFont="1" applyAlignment="1">
      <alignment horizontal="left" vertical="top" wrapText="1"/>
    </xf>
    <xf numFmtId="0" fontId="23" fillId="0" borderId="0" xfId="273" applyFont="1" applyAlignment="1">
      <alignment horizontal="left" vertical="top" wrapText="1"/>
    </xf>
    <xf numFmtId="0" fontId="13" fillId="0" borderId="0" xfId="0" applyFont="1" applyAlignment="1">
      <alignment horizontal="left" vertical="top"/>
    </xf>
    <xf numFmtId="49" fontId="11" fillId="0" borderId="0" xfId="0" applyNumberFormat="1" applyFont="1" applyAlignment="1">
      <alignment horizontal="left" vertical="top"/>
    </xf>
    <xf numFmtId="0" fontId="11" fillId="0" borderId="4" xfId="0" applyFont="1" applyBorder="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0" fontId="13" fillId="0" borderId="0" xfId="273" applyAlignment="1">
      <alignment horizontal="left"/>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0" fontId="4" fillId="0" borderId="0" xfId="259" applyFont="1" applyAlignment="1">
      <alignment horizontal="left" vertical="top" wrapText="1"/>
    </xf>
    <xf numFmtId="4" fontId="5" fillId="0" borderId="0" xfId="245" applyNumberFormat="1" applyFill="1" applyAlignment="1" applyProtection="1">
      <alignment horizontal="left"/>
    </xf>
    <xf numFmtId="4" fontId="4" fillId="0" borderId="0" xfId="0" applyNumberFormat="1" applyFont="1" applyAlignment="1">
      <alignment horizontal="left" vertical="top" wrapText="1"/>
    </xf>
    <xf numFmtId="0" fontId="5" fillId="0" borderId="0" xfId="245" quotePrefix="1" applyAlignment="1" applyProtection="1">
      <alignment horizontal="left"/>
    </xf>
    <xf numFmtId="0" fontId="11" fillId="0" borderId="0" xfId="0" applyFont="1" applyAlignment="1">
      <alignment horizontal="left"/>
    </xf>
    <xf numFmtId="0" fontId="13" fillId="0" borderId="0" xfId="0" quotePrefix="1" applyFont="1" applyAlignment="1">
      <alignment horizontal="left" vertical="top" wrapText="1"/>
    </xf>
    <xf numFmtId="0" fontId="4" fillId="0" borderId="0" xfId="278" applyFont="1" applyAlignment="1">
      <alignment horizontal="left" vertical="top" wrapText="1"/>
    </xf>
    <xf numFmtId="0" fontId="13" fillId="0" borderId="0" xfId="278" applyAlignment="1">
      <alignment horizontal="left" vertical="top" wrapText="1"/>
    </xf>
    <xf numFmtId="0" fontId="5" fillId="0" borderId="0" xfId="245" applyNumberFormat="1" applyFill="1" applyAlignment="1" applyProtection="1">
      <alignment horizontal="left"/>
      <protection locked="0"/>
    </xf>
    <xf numFmtId="0" fontId="23" fillId="0" borderId="0" xfId="0" applyFont="1" applyAlignment="1">
      <alignment horizontal="left" vertical="top"/>
    </xf>
    <xf numFmtId="4" fontId="13" fillId="0" borderId="0" xfId="278" applyNumberFormat="1" applyAlignment="1">
      <alignment horizontal="left" vertical="top" wrapText="1"/>
    </xf>
    <xf numFmtId="0" fontId="13" fillId="0" borderId="0" xfId="0" applyFont="1" applyAlignment="1">
      <alignment vertical="top"/>
    </xf>
    <xf numFmtId="0" fontId="4" fillId="0" borderId="0" xfId="0" applyFont="1" applyAlignment="1">
      <alignment horizontal="left" vertical="top"/>
    </xf>
    <xf numFmtId="0" fontId="11" fillId="0" borderId="4" xfId="0" applyFont="1" applyBorder="1" applyAlignment="1">
      <alignment horizontal="left"/>
    </xf>
    <xf numFmtId="0" fontId="39" fillId="0" borderId="0" xfId="0" applyFont="1" applyAlignment="1">
      <alignment horizontal="left" vertical="top"/>
    </xf>
    <xf numFmtId="49" fontId="13" fillId="0" borderId="0" xfId="273" applyNumberFormat="1" applyAlignment="1">
      <alignment horizontal="left" vertical="top" wrapText="1"/>
    </xf>
    <xf numFmtId="0" fontId="13" fillId="0" borderId="0" xfId="273" applyAlignment="1">
      <alignment horizontal="left" vertical="top" wrapText="1"/>
    </xf>
    <xf numFmtId="0" fontId="39" fillId="0" borderId="0" xfId="0" applyFont="1" applyAlignment="1">
      <alignment horizontal="left"/>
    </xf>
    <xf numFmtId="4" fontId="4" fillId="0" borderId="0" xfId="0" applyNumberFormat="1" applyFont="1" applyAlignment="1">
      <alignment horizontal="left"/>
    </xf>
    <xf numFmtId="0" fontId="11" fillId="0" borderId="0" xfId="0" applyFont="1" applyAlignment="1">
      <alignment horizontal="left" vertical="top"/>
    </xf>
    <xf numFmtId="0" fontId="4" fillId="0" borderId="0" xfId="766" applyAlignment="1">
      <alignment horizontal="left"/>
    </xf>
    <xf numFmtId="0" fontId="13" fillId="0" borderId="0" xfId="273" applyAlignment="1">
      <alignment horizontal="left" wrapText="1"/>
    </xf>
    <xf numFmtId="0" fontId="0" fillId="0" borderId="0" xfId="0" applyAlignment="1">
      <alignment horizontal="left" vertical="top" wrapText="1"/>
    </xf>
    <xf numFmtId="0" fontId="23" fillId="0" borderId="0" xfId="0" applyFont="1" applyAlignment="1">
      <alignment horizontal="center"/>
    </xf>
    <xf numFmtId="0" fontId="11" fillId="0" borderId="0" xfId="273" applyFont="1" applyAlignment="1">
      <alignment horizontal="center"/>
    </xf>
    <xf numFmtId="0" fontId="13" fillId="0" borderId="0" xfId="273"/>
    <xf numFmtId="0" fontId="0" fillId="0" borderId="0" xfId="0" applyAlignment="1">
      <alignment horizontal="center"/>
    </xf>
    <xf numFmtId="0" fontId="23" fillId="0" borderId="0" xfId="0" applyFont="1" applyAlignment="1">
      <alignment horizontal="left" wrapText="1"/>
    </xf>
    <xf numFmtId="0" fontId="11" fillId="0" borderId="6" xfId="0" applyFont="1" applyBorder="1" applyAlignment="1">
      <alignment horizontal="left"/>
    </xf>
    <xf numFmtId="0" fontId="13" fillId="0" borderId="42" xfId="0" applyFont="1" applyBorder="1" applyAlignment="1">
      <alignment horizontal="left"/>
    </xf>
    <xf numFmtId="0" fontId="23" fillId="0" borderId="0" xfId="273" applyFont="1" applyAlignment="1">
      <alignment horizontal="left"/>
    </xf>
    <xf numFmtId="4" fontId="4" fillId="0" borderId="0" xfId="273" applyNumberFormat="1" applyFont="1" applyAlignment="1">
      <alignment horizontal="lef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5" fillId="0" borderId="0" xfId="245" applyAlignment="1" applyProtection="1">
      <alignment horizontal="left" vertical="top" wrapText="1"/>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11" fillId="0" borderId="7" xfId="546" applyFont="1" applyBorder="1" applyAlignment="1">
      <alignment horizontal="left" vertical="center" wrapText="1"/>
    </xf>
    <xf numFmtId="0" fontId="11" fillId="0" borderId="0" xfId="546" applyFont="1" applyAlignment="1">
      <alignment horizontal="left" vertical="center" wrapText="1"/>
    </xf>
    <xf numFmtId="0" fontId="11" fillId="0" borderId="13" xfId="546" applyFont="1" applyBorder="1" applyAlignment="1">
      <alignment horizontal="left" vertical="center" wrapText="1"/>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4" fillId="7" borderId="3" xfId="0" applyFont="1" applyFill="1" applyBorder="1" applyProtection="1">
      <protection locked="0"/>
    </xf>
    <xf numFmtId="0" fontId="13" fillId="0" borderId="4" xfId="0" applyFont="1" applyBorder="1" applyProtection="1">
      <protection locked="0"/>
    </xf>
    <xf numFmtId="0" fontId="13" fillId="0" borderId="8" xfId="0" applyFont="1" applyBorder="1" applyProtection="1">
      <protection locked="0"/>
    </xf>
    <xf numFmtId="164" fontId="12"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4"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4" fillId="0" borderId="0" xfId="546" applyNumberFormat="1" applyAlignment="1">
      <alignment horizontal="center"/>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5" borderId="0" xfId="0" applyFont="1" applyFill="1" applyAlignment="1">
      <alignment horizontal="center" vertical="center"/>
    </xf>
    <xf numFmtId="0" fontId="11" fillId="0" borderId="2" xfId="0" applyFont="1" applyBorder="1" applyAlignment="1">
      <alignment horizontal="center" wrapText="1"/>
    </xf>
    <xf numFmtId="0" fontId="11" fillId="0" borderId="11" xfId="0" applyFont="1" applyBorder="1" applyAlignment="1">
      <alignment horizontal="center" wrapText="1"/>
    </xf>
    <xf numFmtId="0" fontId="11" fillId="0" borderId="5" xfId="0" applyFont="1" applyBorder="1" applyAlignment="1">
      <alignment horizontal="center" wrapText="1"/>
    </xf>
    <xf numFmtId="0" fontId="11" fillId="0" borderId="10" xfId="0" applyFont="1" applyBorder="1" applyAlignment="1">
      <alignment horizontal="center" wrapText="1"/>
    </xf>
    <xf numFmtId="0" fontId="11" fillId="0" borderId="12" xfId="0" applyFon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3" fillId="0" borderId="3" xfId="0" applyFont="1" applyBorder="1" applyAlignment="1">
      <alignment horizontal="left"/>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0" fontId="13" fillId="7" borderId="5" xfId="273" applyFill="1" applyBorder="1" applyProtection="1">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3" fillId="7" borderId="4" xfId="0" applyNumberFormat="1" applyFont="1" applyFill="1" applyBorder="1" applyAlignment="1" applyProtection="1">
      <alignment horizontal="left"/>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9" fontId="4" fillId="7" borderId="3" xfId="573" applyFont="1" applyFill="1" applyBorder="1" applyAlignment="1" applyProtection="1">
      <alignment horizontal="center"/>
      <protection locked="0"/>
    </xf>
    <xf numFmtId="9" fontId="4" fillId="7" borderId="4" xfId="573" applyFont="1" applyFill="1" applyBorder="1" applyAlignment="1" applyProtection="1">
      <alignment horizontal="center"/>
      <protection locked="0"/>
    </xf>
    <xf numFmtId="9" fontId="4" fillId="7" borderId="8" xfId="573" applyFont="1" applyFill="1" applyBorder="1" applyAlignment="1" applyProtection="1">
      <alignment horizontal="center"/>
      <protection locked="0"/>
    </xf>
    <xf numFmtId="0" fontId="13" fillId="7" borderId="4" xfId="0" applyFont="1" applyFill="1" applyBorder="1" applyAlignment="1" applyProtection="1">
      <alignment horizontal="left"/>
      <protection locked="0"/>
    </xf>
    <xf numFmtId="167" fontId="4" fillId="7" borderId="4" xfId="0" applyNumberFormat="1" applyFont="1" applyFill="1" applyBorder="1" applyAlignment="1" applyProtection="1">
      <alignment horizontal="left"/>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8"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13" fillId="0" borderId="10" xfId="0" applyFont="1" applyBorder="1" applyAlignment="1">
      <alignment horizontal="center"/>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1" borderId="3" xfId="0" applyNumberFormat="1" applyFont="1" applyFill="1" applyBorder="1" applyAlignment="1" applyProtection="1">
      <alignment horizontal="center"/>
      <protection locked="0"/>
    </xf>
    <xf numFmtId="1" fontId="12" fillId="51" borderId="4" xfId="0" applyNumberFormat="1" applyFont="1" applyFill="1" applyBorder="1" applyAlignment="1" applyProtection="1">
      <alignment horizontal="center"/>
      <protection locked="0"/>
    </xf>
    <xf numFmtId="1" fontId="12" fillId="51" borderId="8" xfId="0" applyNumberFormat="1" applyFont="1" applyFill="1" applyBorder="1" applyAlignment="1" applyProtection="1">
      <alignment horizontal="center"/>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13" fillId="7" borderId="9" xfId="0" applyFont="1" applyFill="1" applyBorder="1" applyAlignment="1" applyProtection="1">
      <alignment horizontal="center"/>
      <protection locked="0"/>
    </xf>
    <xf numFmtId="0" fontId="13" fillId="7" borderId="5" xfId="0" applyFont="1"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2" fontId="0" fillId="0" borderId="5" xfId="0" applyNumberFormat="1" applyBorder="1" applyAlignment="1">
      <alignment horizontal="center"/>
    </xf>
    <xf numFmtId="10" fontId="4" fillId="7" borderId="4" xfId="0" applyNumberFormat="1" applyFont="1" applyFill="1" applyBorder="1" applyAlignment="1" applyProtection="1">
      <alignment horizontal="right"/>
      <protection locked="0"/>
    </xf>
    <xf numFmtId="0" fontId="4" fillId="7" borderId="8" xfId="0" applyFont="1" applyFill="1" applyBorder="1" applyAlignment="1" applyProtection="1">
      <alignment horizontal="center"/>
      <protection locked="0"/>
    </xf>
    <xf numFmtId="0" fontId="0" fillId="0" borderId="13" xfId="0" applyBorder="1" applyAlignment="1">
      <alignment horizontal="center"/>
    </xf>
    <xf numFmtId="0" fontId="4" fillId="7" borderId="3" xfId="0" applyFont="1" applyFill="1" applyBorder="1" applyAlignment="1" applyProtection="1">
      <alignment horizontal="right" vertical="top"/>
      <protection locked="0"/>
    </xf>
    <xf numFmtId="0" fontId="4" fillId="7" borderId="4" xfId="0" applyFont="1" applyFill="1" applyBorder="1" applyAlignment="1" applyProtection="1">
      <alignment horizontal="right" vertical="top"/>
      <protection locked="0"/>
    </xf>
    <xf numFmtId="0" fontId="4" fillId="7" borderId="8" xfId="0" applyFont="1" applyFill="1" applyBorder="1" applyAlignment="1" applyProtection="1">
      <alignment horizontal="right" vertical="top"/>
      <protection locked="0"/>
    </xf>
    <xf numFmtId="169" fontId="4" fillId="7" borderId="5"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0" fontId="12" fillId="51" borderId="5"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169" fontId="13"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3" fontId="13" fillId="7" borderId="12" xfId="0" applyNumberFormat="1" applyFont="1" applyFill="1" applyBorder="1" applyAlignment="1" applyProtection="1">
      <alignment horizontal="center"/>
      <protection locked="0"/>
    </xf>
    <xf numFmtId="169" fontId="4" fillId="0" borderId="0" xfId="0" applyNumberFormat="1" applyFont="1" applyAlignment="1">
      <alignment horizontal="right" vertical="top"/>
    </xf>
    <xf numFmtId="169" fontId="4" fillId="0" borderId="13" xfId="0" applyNumberFormat="1" applyFont="1" applyBorder="1" applyAlignment="1">
      <alignment horizontal="right" vertical="top"/>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169" fontId="13" fillId="0" borderId="12" xfId="0" applyNumberFormat="1" applyFont="1" applyBorder="1" applyAlignment="1">
      <alignment horizontal="center"/>
    </xf>
    <xf numFmtId="0" fontId="4" fillId="0" borderId="3" xfId="0" applyFont="1" applyBorder="1" applyAlignment="1">
      <alignment horizontal="left"/>
    </xf>
    <xf numFmtId="0" fontId="0" fillId="0" borderId="8" xfId="0" applyBorder="1" applyAlignment="1">
      <alignment horizontal="left"/>
    </xf>
    <xf numFmtId="9" fontId="13" fillId="0" borderId="12" xfId="0" applyNumberFormat="1" applyFont="1" applyBorder="1" applyAlignment="1">
      <alignment horizontal="center"/>
    </xf>
    <xf numFmtId="0" fontId="13" fillId="0" borderId="4" xfId="0" applyFont="1" applyBorder="1" applyAlignment="1">
      <alignment horizontal="left"/>
    </xf>
    <xf numFmtId="0" fontId="13"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3" fillId="0" borderId="3" xfId="0" applyNumberFormat="1" applyFont="1" applyBorder="1" applyAlignment="1">
      <alignment horizontal="left" vertical="top"/>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0" fontId="4" fillId="51" borderId="5" xfId="0"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12" fillId="0" borderId="0" xfId="0" applyNumberFormat="1" applyFont="1" applyAlignment="1">
      <alignment horizontal="left" vertical="top" wrapText="1"/>
    </xf>
    <xf numFmtId="0" fontId="13" fillId="7" borderId="3" xfId="0" applyFont="1" applyFill="1" applyBorder="1" applyAlignment="1" applyProtection="1">
      <alignment horizontal="right" vertical="top"/>
      <protection locked="0"/>
    </xf>
    <xf numFmtId="0" fontId="13" fillId="7" borderId="4" xfId="0" applyFont="1" applyFill="1" applyBorder="1" applyAlignment="1" applyProtection="1">
      <alignment horizontal="right" vertical="top"/>
      <protection locked="0"/>
    </xf>
    <xf numFmtId="0" fontId="13" fillId="7" borderId="8" xfId="0" applyFont="1" applyFill="1" applyBorder="1" applyAlignment="1" applyProtection="1">
      <alignment horizontal="right" vertical="top"/>
      <protection locked="0"/>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169" fontId="4" fillId="0" borderId="7" xfId="0" applyNumberFormat="1" applyFont="1" applyBorder="1" applyAlignment="1">
      <alignment horizontal="left" vertical="top"/>
    </xf>
    <xf numFmtId="169" fontId="4" fillId="0" borderId="0" xfId="0" applyNumberFormat="1" applyFont="1" applyAlignment="1">
      <alignment horizontal="left" vertical="top"/>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0" fontId="0" fillId="51" borderId="10" xfId="0" applyFill="1" applyBorder="1" applyAlignment="1" applyProtection="1">
      <alignment horizontal="left"/>
      <protection locked="0"/>
    </xf>
    <xf numFmtId="0" fontId="4" fillId="7" borderId="4" xfId="0" applyFont="1" applyFill="1" applyBorder="1" applyAlignment="1" applyProtection="1">
      <alignment vertical="center"/>
      <protection locked="0"/>
    </xf>
    <xf numFmtId="0" fontId="4" fillId="7" borderId="12" xfId="0" applyFont="1" applyFill="1" applyBorder="1" applyAlignment="1" applyProtection="1">
      <alignment horizontal="left" vertical="center"/>
      <protection locked="0"/>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4"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4" fillId="7" borderId="9" xfId="0" applyFont="1" applyFill="1" applyBorder="1" applyAlignment="1" applyProtection="1">
      <alignment horizontal="center"/>
      <protection locked="0"/>
    </xf>
    <xf numFmtId="0" fontId="4" fillId="7" borderId="5" xfId="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4"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3" fontId="1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0" fontId="24" fillId="7" borderId="5" xfId="0" applyFont="1" applyFill="1" applyBorder="1" applyAlignment="1" applyProtection="1">
      <alignment horizontal="left"/>
      <protection locked="0"/>
    </xf>
    <xf numFmtId="0" fontId="13" fillId="7" borderId="12" xfId="0" applyFont="1" applyFill="1" applyBorder="1" applyAlignment="1" applyProtection="1">
      <alignment horizontal="center"/>
      <protection locked="0"/>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0" fontId="44" fillId="0" borderId="0" xfId="0" applyFont="1" applyAlignment="1">
      <alignment horizontal="center" vertical="center"/>
    </xf>
    <xf numFmtId="169" fontId="0" fillId="0" borderId="5" xfId="0" applyNumberFormat="1" applyBorder="1" applyAlignment="1">
      <alignment horizontal="center"/>
    </xf>
    <xf numFmtId="0" fontId="22" fillId="0" borderId="0" xfId="0" applyFont="1" applyAlignment="1">
      <alignment horizontal="center"/>
    </xf>
    <xf numFmtId="0" fontId="4" fillId="7" borderId="5" xfId="0" applyFont="1" applyFill="1" applyBorder="1" applyAlignment="1" applyProtection="1">
      <alignment horizontal="left" wrapText="1"/>
      <protection locked="0"/>
    </xf>
    <xf numFmtId="0" fontId="13" fillId="7" borderId="5" xfId="0" applyFont="1" applyFill="1" applyBorder="1" applyAlignment="1" applyProtection="1">
      <alignment horizontal="left"/>
      <protection locked="0"/>
    </xf>
    <xf numFmtId="0" fontId="4" fillId="0" borderId="0" xfId="0" applyFont="1" applyAlignment="1">
      <alignment horizontal="center"/>
    </xf>
    <xf numFmtId="0" fontId="13" fillId="0" borderId="0" xfId="0" applyFont="1" applyAlignment="1">
      <alignment horizontal="center"/>
    </xf>
    <xf numFmtId="0" fontId="13" fillId="7" borderId="5" xfId="0" applyFont="1" applyFill="1" applyBorder="1" applyAlignment="1" applyProtection="1">
      <alignment horizontal="right"/>
      <protection locked="0"/>
    </xf>
    <xf numFmtId="0" fontId="12" fillId="0" borderId="0" xfId="0" applyFont="1" applyAlignment="1">
      <alignment horizontal="center"/>
    </xf>
    <xf numFmtId="167" fontId="13" fillId="7" borderId="5" xfId="0" applyNumberFormat="1" applyFont="1" applyFill="1" applyBorder="1" applyAlignment="1" applyProtection="1">
      <alignment horizontal="left"/>
      <protection locked="0"/>
    </xf>
    <xf numFmtId="0" fontId="138" fillId="0" borderId="0" xfId="0" applyFont="1" applyAlignment="1" applyProtection="1">
      <alignment horizontal="left" vertical="top" wrapText="1"/>
      <protection locked="0"/>
    </xf>
    <xf numFmtId="169" fontId="13" fillId="0" borderId="5" xfId="0" applyNumberFormat="1" applyFont="1" applyBorder="1" applyAlignment="1">
      <alignment horizontal="center"/>
    </xf>
    <xf numFmtId="0" fontId="13" fillId="0" borderId="5" xfId="0" applyFont="1" applyBorder="1" applyAlignment="1">
      <alignment horizontal="left" wrapText="1"/>
    </xf>
    <xf numFmtId="0" fontId="24" fillId="0" borderId="2" xfId="0" applyFont="1" applyBorder="1" applyAlignment="1">
      <alignment horizontal="center"/>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0" fontId="13" fillId="7" borderId="5" xfId="273"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4" fillId="7" borderId="12" xfId="0" applyFont="1" applyFill="1" applyBorder="1" applyAlignment="1" applyProtection="1">
      <alignment horizontal="center"/>
      <protection locked="0"/>
    </xf>
    <xf numFmtId="0" fontId="11" fillId="0" borderId="9" xfId="0" applyFont="1" applyBorder="1" applyAlignment="1">
      <alignment horizontal="right"/>
    </xf>
    <xf numFmtId="0" fontId="11" fillId="0" borderId="5" xfId="0" applyFont="1" applyBorder="1" applyAlignment="1">
      <alignment horizontal="right"/>
    </xf>
    <xf numFmtId="0" fontId="11" fillId="0" borderId="10" xfId="0" applyFont="1" applyBorder="1" applyAlignment="1">
      <alignment horizontal="right"/>
    </xf>
    <xf numFmtId="0" fontId="11" fillId="0" borderId="12" xfId="0" applyFont="1" applyBorder="1" applyAlignment="1">
      <alignment horizontal="center" vertical="center" wrapText="1"/>
    </xf>
    <xf numFmtId="176" fontId="27" fillId="7" borderId="3" xfId="0" applyNumberFormat="1" applyFont="1" applyFill="1" applyBorder="1" applyProtection="1">
      <protection locked="0"/>
    </xf>
    <xf numFmtId="176" fontId="27" fillId="7" borderId="4" xfId="0" applyNumberFormat="1" applyFont="1" applyFill="1" applyBorder="1" applyProtection="1">
      <protection locked="0"/>
    </xf>
    <xf numFmtId="176" fontId="27" fillId="7" borderId="8" xfId="0" applyNumberFormat="1" applyFont="1" applyFill="1" applyBorder="1" applyProtection="1">
      <protection locked="0"/>
    </xf>
    <xf numFmtId="0" fontId="4" fillId="7" borderId="12" xfId="0" applyFont="1" applyFill="1" applyBorder="1" applyProtection="1">
      <protection locked="0"/>
    </xf>
    <xf numFmtId="1" fontId="16" fillId="7" borderId="3" xfId="0" applyNumberFormat="1" applyFont="1" applyFill="1" applyBorder="1" applyProtection="1">
      <protection locked="0"/>
    </xf>
    <xf numFmtId="1" fontId="16" fillId="7" borderId="4" xfId="0" applyNumberFormat="1" applyFont="1" applyFill="1" applyBorder="1" applyProtection="1">
      <protection locked="0"/>
    </xf>
    <xf numFmtId="1" fontId="16" fillId="7" borderId="8" xfId="0" applyNumberFormat="1" applyFont="1" applyFill="1" applyBorder="1" applyProtection="1">
      <protection locked="0"/>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172" fontId="4" fillId="0" borderId="0" xfId="546" applyNumberFormat="1" applyAlignment="1">
      <alignment horizontal="center"/>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2" fontId="4" fillId="0" borderId="12" xfId="546" applyNumberFormat="1" applyBorder="1" applyAlignment="1">
      <alignment horizontal="center"/>
    </xf>
    <xf numFmtId="169" fontId="13" fillId="0" borderId="0" xfId="546" applyNumberFormat="1" applyFont="1" applyAlignment="1">
      <alignment horizontal="right" vertical="center" wrapText="1"/>
    </xf>
    <xf numFmtId="0" fontId="27" fillId="7" borderId="3" xfId="0" applyFont="1" applyFill="1" applyBorder="1" applyAlignment="1" applyProtection="1">
      <alignment horizontal="right"/>
      <protection locked="0"/>
    </xf>
    <xf numFmtId="0" fontId="27" fillId="7" borderId="4" xfId="0" applyFont="1" applyFill="1" applyBorder="1" applyAlignment="1" applyProtection="1">
      <alignment horizontal="right"/>
      <protection locked="0"/>
    </xf>
    <xf numFmtId="0" fontId="27"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9" fontId="4" fillId="0" borderId="7" xfId="546" applyNumberFormat="1" applyBorder="1" applyAlignment="1">
      <alignment horizontal="center"/>
    </xf>
    <xf numFmtId="9" fontId="4" fillId="0" borderId="0" xfId="546" applyNumberFormat="1" applyAlignment="1">
      <alignment horizontal="center"/>
    </xf>
    <xf numFmtId="0" fontId="4" fillId="0" borderId="12" xfId="546" applyBorder="1" applyAlignment="1">
      <alignment horizontal="center"/>
    </xf>
    <xf numFmtId="2" fontId="4" fillId="0" borderId="3" xfId="546" applyNumberFormat="1" applyBorder="1" applyAlignment="1">
      <alignment horizontal="center"/>
    </xf>
    <xf numFmtId="2" fontId="4" fillId="0" borderId="8" xfId="546" applyNumberFormat="1" applyBorder="1" applyAlignment="1">
      <alignment horizontal="center"/>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4"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1" fontId="13" fillId="7" borderId="5" xfId="273" applyNumberFormat="1" applyFill="1" applyBorder="1" applyAlignment="1" applyProtection="1">
      <alignment horizontal="center"/>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3" fillId="0" borderId="0" xfId="0" applyNumberFormat="1" applyFont="1" applyAlignment="1">
      <alignment horizontal="center"/>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167" fontId="4" fillId="7" borderId="5" xfId="0" applyNumberFormat="1" applyFont="1" applyFill="1" applyBorder="1" applyAlignment="1" applyProtection="1">
      <alignment horizontal="left"/>
      <protection locked="0"/>
    </xf>
    <xf numFmtId="0" fontId="13" fillId="7" borderId="5" xfId="0" applyFont="1" applyFill="1" applyBorder="1" applyAlignment="1" applyProtection="1">
      <alignment horizontal="left" wrapText="1"/>
      <protection locked="0"/>
    </xf>
    <xf numFmtId="0" fontId="4" fillId="7" borderId="4" xfId="0" applyFon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5" fillId="7" borderId="5" xfId="0" applyFont="1" applyFill="1" applyBorder="1" applyAlignment="1">
      <alignment horizontal="center"/>
    </xf>
    <xf numFmtId="0" fontId="4"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2" fillId="7" borderId="5" xfId="0" applyNumberFormat="1" applyFont="1" applyFill="1" applyBorder="1" applyAlignment="1" applyProtection="1">
      <alignment horizontal="center"/>
      <protection locked="0"/>
    </xf>
    <xf numFmtId="0" fontId="5"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0" fontId="13" fillId="7" borderId="8" xfId="0" applyFont="1" applyFill="1" applyBorder="1" applyAlignment="1" applyProtection="1">
      <alignment horizontal="center"/>
      <protection locked="0"/>
    </xf>
    <xf numFmtId="0" fontId="11" fillId="0" borderId="1" xfId="0" applyFont="1" applyBorder="1" applyAlignment="1">
      <alignment horizontal="center" wrapText="1"/>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9" xfId="0" applyFont="1" applyBorder="1" applyAlignment="1">
      <alignment horizontal="center" wrapText="1"/>
    </xf>
    <xf numFmtId="0" fontId="4" fillId="51" borderId="12" xfId="0" applyFont="1" applyFill="1" applyBorder="1" applyAlignment="1" applyProtection="1">
      <alignment horizontal="center"/>
      <protection locked="0"/>
    </xf>
    <xf numFmtId="0" fontId="4" fillId="0" borderId="12" xfId="0" applyFont="1" applyBorder="1" applyAlignment="1">
      <alignment horizontal="center"/>
    </xf>
    <xf numFmtId="0" fontId="11" fillId="0" borderId="0" xfId="0" applyFont="1" applyAlignment="1">
      <alignment horizontal="center" vertical="center"/>
    </xf>
    <xf numFmtId="0" fontId="11" fillId="0" borderId="13" xfId="0" applyFont="1" applyBorder="1" applyAlignment="1">
      <alignment horizontal="center" wrapText="1"/>
    </xf>
    <xf numFmtId="0" fontId="11" fillId="7" borderId="12" xfId="0" applyFont="1" applyFill="1" applyBorder="1" applyAlignment="1" applyProtection="1">
      <alignment horizontal="center"/>
      <protection locked="0"/>
    </xf>
    <xf numFmtId="0" fontId="4" fillId="0" borderId="12" xfId="0" applyFont="1" applyBorder="1" applyAlignment="1">
      <alignment horizontal="center" vertical="top" wrapText="1"/>
    </xf>
    <xf numFmtId="179" fontId="4" fillId="7" borderId="4" xfId="0" applyNumberFormat="1" applyFont="1" applyFill="1" applyBorder="1" applyAlignment="1" applyProtection="1">
      <alignment horizontal="right"/>
      <protection locked="0"/>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4"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0" fillId="0" borderId="12" xfId="0" applyNumberFormat="1" applyBorder="1"/>
    <xf numFmtId="0" fontId="0" fillId="7" borderId="5" xfId="0" applyFill="1" applyBorder="1" applyAlignment="1" applyProtection="1">
      <alignment horizontal="center" vertical="center"/>
      <protection locked="0"/>
    </xf>
    <xf numFmtId="0" fontId="11"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6" fillId="0" borderId="7" xfId="546" applyFont="1" applyBorder="1" applyAlignment="1">
      <alignment horizontal="center" vertical="center" wrapText="1"/>
    </xf>
    <xf numFmtId="0" fontId="126" fillId="0" borderId="0" xfId="546" applyFont="1" applyAlignment="1">
      <alignment horizontal="center" vertical="center" wrapText="1"/>
    </xf>
    <xf numFmtId="0" fontId="126" fillId="0" borderId="13" xfId="546" applyFont="1" applyBorder="1" applyAlignment="1">
      <alignment horizontal="center" vertical="center" wrapText="1"/>
    </xf>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27" fillId="7" borderId="3" xfId="0" applyFont="1" applyFill="1" applyBorder="1" applyAlignment="1" applyProtection="1">
      <alignment horizontal="center"/>
      <protection locked="0"/>
    </xf>
    <xf numFmtId="0" fontId="27" fillId="7" borderId="4" xfId="0" applyFont="1" applyFill="1" applyBorder="1" applyAlignment="1" applyProtection="1">
      <alignment horizontal="center"/>
      <protection locked="0"/>
    </xf>
    <xf numFmtId="0" fontId="27" fillId="7" borderId="8" xfId="0" applyFont="1" applyFill="1" applyBorder="1" applyAlignment="1" applyProtection="1">
      <alignment horizontal="center"/>
      <protection locked="0"/>
    </xf>
    <xf numFmtId="0" fontId="13" fillId="0" borderId="5" xfId="0" applyFont="1" applyBorder="1" applyAlignment="1">
      <alignment horizontal="left"/>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13" fillId="0" borderId="2" xfId="0" applyFont="1" applyBorder="1" applyAlignment="1">
      <alignment horizontal="left" vertical="top" wrapText="1"/>
    </xf>
    <xf numFmtId="178" fontId="13" fillId="7" borderId="5"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0" fillId="0" borderId="0" xfId="0" applyAlignment="1">
      <alignment vertical="top" wrapText="1"/>
    </xf>
    <xf numFmtId="0" fontId="13" fillId="0" borderId="0" xfId="0" applyFont="1" applyAlignment="1">
      <alignment vertical="top" wrapText="1"/>
    </xf>
    <xf numFmtId="0" fontId="13" fillId="0" borderId="5" xfId="0" applyFont="1" applyBorder="1" applyAlignment="1">
      <alignment horizontal="right" vertical="top" wrapText="1"/>
    </xf>
    <xf numFmtId="0" fontId="13" fillId="0" borderId="5" xfId="0" applyFont="1" applyBorder="1" applyAlignment="1">
      <alignment vertical="top" wrapText="1"/>
    </xf>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2" xfId="0" applyFont="1" applyBorder="1" applyAlignment="1">
      <alignment vertical="top" wrapText="1"/>
    </xf>
    <xf numFmtId="0" fontId="27" fillId="0" borderId="0" xfId="0" applyFont="1" applyAlignment="1">
      <alignment vertical="top" wrapText="1"/>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4"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1"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5" borderId="2" xfId="0" applyFont="1" applyFill="1" applyBorder="1" applyAlignment="1">
      <alignment horizontal="center" vertical="center" wrapText="1"/>
    </xf>
    <xf numFmtId="169" fontId="4"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Alignment="1">
      <alignment horizontal="left" wrapText="1"/>
    </xf>
    <xf numFmtId="0" fontId="12" fillId="0" borderId="2" xfId="0" applyFont="1" applyBorder="1" applyAlignment="1">
      <alignment horizontal="left"/>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0" fontId="11" fillId="0" borderId="0" xfId="0" applyFont="1" applyAlignment="1">
      <alignment horizontal="center"/>
    </xf>
    <xf numFmtId="10" fontId="0" fillId="0" borderId="12" xfId="0" applyNumberFormat="1" applyBorder="1" applyAlignment="1">
      <alignment horizontal="center"/>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44" fontId="128" fillId="0" borderId="3" xfId="164" applyFont="1" applyFill="1" applyBorder="1" applyAlignment="1">
      <alignment horizontal="center"/>
    </xf>
    <xf numFmtId="44" fontId="128" fillId="0" borderId="4" xfId="164" applyFont="1" applyFill="1" applyBorder="1" applyAlignment="1">
      <alignment horizontal="center"/>
    </xf>
    <xf numFmtId="44" fontId="128" fillId="0" borderId="8" xfId="164" applyFont="1" applyFill="1" applyBorder="1" applyAlignment="1">
      <alignment horizontal="center"/>
    </xf>
    <xf numFmtId="49" fontId="127" fillId="51" borderId="5" xfId="575" applyNumberFormat="1" applyFont="1" applyFill="1" applyBorder="1" applyAlignment="1" applyProtection="1">
      <alignment horizontal="center"/>
      <protection locked="0"/>
    </xf>
    <xf numFmtId="176" fontId="127" fillId="0" borderId="5" xfId="575" applyNumberFormat="1" applyFont="1" applyBorder="1" applyAlignment="1">
      <alignment horizontal="center"/>
    </xf>
    <xf numFmtId="0" fontId="131" fillId="52" borderId="0" xfId="575" applyFont="1" applyFill="1" applyAlignment="1">
      <alignment horizontal="center"/>
    </xf>
    <xf numFmtId="0" fontId="127" fillId="51" borderId="5" xfId="575" applyFont="1" applyFill="1" applyBorder="1" applyAlignment="1" applyProtection="1">
      <alignment horizontal="left"/>
      <protection locked="0"/>
    </xf>
    <xf numFmtId="169" fontId="127" fillId="0" borderId="0" xfId="577" applyNumberFormat="1" applyFont="1" applyFill="1" applyBorder="1" applyAlignment="1" applyProtection="1">
      <alignment horizontal="center" vertical="center"/>
    </xf>
    <xf numFmtId="1" fontId="127" fillId="0" borderId="2" xfId="575" applyNumberFormat="1" applyFont="1" applyBorder="1" applyAlignment="1">
      <alignment horizontal="center"/>
    </xf>
    <xf numFmtId="0" fontId="127" fillId="0" borderId="2" xfId="575" applyFont="1" applyBorder="1" applyAlignment="1">
      <alignment horizontal="center"/>
    </xf>
    <xf numFmtId="0" fontId="127" fillId="0" borderId="0" xfId="575" applyFont="1" applyAlignment="1">
      <alignment horizontal="center"/>
    </xf>
    <xf numFmtId="0" fontId="127" fillId="0" borderId="5" xfId="575" applyFont="1" applyBorder="1" applyAlignment="1">
      <alignment horizontal="center"/>
    </xf>
    <xf numFmtId="2" fontId="127" fillId="0" borderId="2" xfId="575" applyNumberFormat="1" applyFont="1" applyBorder="1" applyAlignment="1">
      <alignment horizontal="center"/>
    </xf>
    <xf numFmtId="2" fontId="127" fillId="0" borderId="0" xfId="575" applyNumberFormat="1" applyFont="1" applyAlignment="1">
      <alignment horizontal="center"/>
    </xf>
    <xf numFmtId="181" fontId="127" fillId="0" borderId="0" xfId="575" applyNumberFormat="1" applyFont="1" applyAlignment="1">
      <alignment horizontal="center"/>
    </xf>
    <xf numFmtId="0" fontId="127" fillId="51" borderId="5" xfId="575" applyFont="1" applyFill="1" applyBorder="1" applyAlignment="1" applyProtection="1">
      <alignment horizontal="center"/>
      <protection locked="0"/>
    </xf>
    <xf numFmtId="49" fontId="10" fillId="5" borderId="0" xfId="278" applyNumberFormat="1" applyFont="1" applyFill="1" applyAlignment="1">
      <alignment horizontal="center" vertical="center"/>
    </xf>
    <xf numFmtId="1" fontId="127" fillId="0" borderId="0" xfId="575" applyNumberFormat="1" applyFont="1" applyAlignment="1">
      <alignment horizontal="center"/>
    </xf>
    <xf numFmtId="1" fontId="127" fillId="0" borderId="5" xfId="575" applyNumberFormat="1" applyFont="1" applyBorder="1" applyAlignment="1">
      <alignment horizontal="center"/>
    </xf>
    <xf numFmtId="182" fontId="128" fillId="0" borderId="3" xfId="575" applyNumberFormat="1" applyFont="1" applyBorder="1" applyAlignment="1">
      <alignment horizontal="center"/>
    </xf>
    <xf numFmtId="182" fontId="128" fillId="0" borderId="4" xfId="575" applyNumberFormat="1" applyFont="1" applyBorder="1" applyAlignment="1">
      <alignment horizontal="center"/>
    </xf>
    <xf numFmtId="182" fontId="128" fillId="0" borderId="8" xfId="575" applyNumberFormat="1" applyFont="1" applyBorder="1" applyAlignment="1">
      <alignment horizontal="center"/>
    </xf>
    <xf numFmtId="2" fontId="127" fillId="0" borderId="5" xfId="575" applyNumberFormat="1" applyFont="1" applyBorder="1" applyAlignment="1">
      <alignment horizontal="center"/>
    </xf>
    <xf numFmtId="0" fontId="12" fillId="0" borderId="0" xfId="0" applyFont="1" applyAlignment="1">
      <alignment horizontal="left" vertical="top" wrapText="1"/>
    </xf>
    <xf numFmtId="0" fontId="13" fillId="0" borderId="13" xfId="0" applyFont="1" applyBorder="1" applyAlignment="1">
      <alignment horizontal="left" vertical="top" wrapText="1"/>
    </xf>
    <xf numFmtId="166" fontId="12" fillId="46" borderId="12" xfId="0" applyNumberFormat="1" applyFont="1" applyFill="1" applyBorder="1" applyAlignment="1">
      <alignment horizontal="center"/>
    </xf>
    <xf numFmtId="166" fontId="12" fillId="0" borderId="12" xfId="0" applyNumberFormat="1"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0" fontId="13" fillId="0" borderId="12" xfId="0" applyFont="1" applyBorder="1" applyAlignment="1">
      <alignment horizontal="center"/>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64" fontId="12"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50" xfId="0" applyFont="1" applyBorder="1" applyAlignment="1">
      <alignment horizontal="center"/>
    </xf>
    <xf numFmtId="0" fontId="0" fillId="7" borderId="51" xfId="0" applyFill="1" applyBorder="1" applyAlignment="1" applyProtection="1">
      <alignment horizontal="center"/>
      <protection locked="0"/>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2" fillId="0" borderId="12" xfId="0" applyNumberFormat="1" applyFont="1" applyBorder="1" applyAlignment="1">
      <alignment horizontal="center"/>
    </xf>
    <xf numFmtId="0" fontId="12"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2" fillId="0" borderId="53" xfId="0" applyFont="1" applyBorder="1" applyAlignment="1">
      <alignment horizontal="left" vertical="top" wrapText="1"/>
    </xf>
    <xf numFmtId="0" fontId="0" fillId="0" borderId="49" xfId="0" applyBorder="1" applyAlignment="1">
      <alignment horizontal="center"/>
    </xf>
    <xf numFmtId="9" fontId="12" fillId="7" borderId="5" xfId="0" applyNumberFormat="1" applyFont="1" applyFill="1" applyBorder="1" applyAlignment="1" applyProtection="1">
      <alignment horizontal="left"/>
      <protection locked="0"/>
    </xf>
    <xf numFmtId="9" fontId="21" fillId="0" borderId="12" xfId="0" applyNumberFormat="1" applyFont="1" applyBorder="1" applyAlignment="1">
      <alignment horizontal="center"/>
    </xf>
    <xf numFmtId="0" fontId="21" fillId="0" borderId="3" xfId="0" applyFont="1" applyBorder="1" applyAlignment="1">
      <alignment horizontal="center"/>
    </xf>
    <xf numFmtId="0" fontId="12" fillId="0" borderId="47" xfId="0" applyFont="1" applyBorder="1" applyAlignment="1">
      <alignment horizontal="left" vertical="top" wrapText="1"/>
    </xf>
    <xf numFmtId="9" fontId="21" fillId="0" borderId="17" xfId="0" applyNumberFormat="1" applyFont="1" applyBorder="1" applyAlignment="1">
      <alignment horizontal="center"/>
    </xf>
    <xf numFmtId="0" fontId="21" fillId="0" borderId="17" xfId="0" applyFont="1" applyBorder="1" applyAlignment="1">
      <alignment horizontal="center"/>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0" fontId="11" fillId="11" borderId="4" xfId="0" applyFont="1" applyFill="1" applyBorder="1" applyAlignment="1">
      <alignment horizontal="center"/>
    </xf>
    <xf numFmtId="0" fontId="21" fillId="0" borderId="7" xfId="0" applyFont="1" applyBorder="1" applyAlignment="1">
      <alignment horizontal="center" wrapText="1"/>
    </xf>
    <xf numFmtId="0" fontId="21" fillId="0" borderId="0" xfId="0" applyFont="1" applyAlignment="1">
      <alignment horizontal="center"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4" fillId="48" borderId="12" xfId="0" applyFont="1" applyFill="1" applyBorder="1" applyAlignment="1">
      <alignment horizontal="center"/>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1" fillId="0" borderId="0" xfId="0" applyFont="1" applyAlignment="1">
      <alignment horizontal="center" vertical="top"/>
    </xf>
    <xf numFmtId="0" fontId="12" fillId="0" borderId="47" xfId="574" applyFont="1" applyBorder="1" applyAlignment="1">
      <alignment horizontal="left" vertical="top" wrapText="1"/>
    </xf>
    <xf numFmtId="0" fontId="12" fillId="0" borderId="0" xfId="574" applyFont="1" applyAlignment="1">
      <alignment horizontal="left" vertical="top" wrapText="1"/>
    </xf>
    <xf numFmtId="0" fontId="54" fillId="0" borderId="0" xfId="0" applyFont="1" applyAlignment="1">
      <alignment horizontal="left" vertical="top"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1" fillId="0" borderId="50" xfId="0" applyFont="1" applyBorder="1" applyAlignment="1">
      <alignment horizontal="center" vertical="top"/>
    </xf>
    <xf numFmtId="0" fontId="24" fillId="0" borderId="3" xfId="546" applyFont="1" applyBorder="1" applyAlignment="1">
      <alignment horizontal="center"/>
    </xf>
    <xf numFmtId="0" fontId="24" fillId="0" borderId="4" xfId="546" applyFont="1" applyBorder="1" applyAlignment="1">
      <alignment horizontal="center"/>
    </xf>
    <xf numFmtId="0" fontId="24" fillId="0" borderId="8" xfId="546" applyFont="1" applyBorder="1" applyAlignment="1">
      <alignment horizontal="center"/>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166" fontId="12" fillId="0" borderId="21" xfId="0" applyNumberFormat="1" applyFont="1" applyBorder="1" applyAlignment="1">
      <alignment horizontal="center"/>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1" fontId="12" fillId="0" borderId="15" xfId="0" applyNumberFormat="1" applyFont="1" applyBorder="1" applyAlignment="1">
      <alignment horizontal="center"/>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0" fontId="21" fillId="46" borderId="17" xfId="0" applyFont="1" applyFill="1" applyBorder="1" applyAlignment="1">
      <alignment horizontal="center"/>
    </xf>
    <xf numFmtId="166" fontId="11" fillId="0" borderId="12" xfId="0" applyNumberFormat="1" applyFont="1" applyBorder="1" applyAlignment="1">
      <alignment horizontal="center"/>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1" fontId="11"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 fontId="13" fillId="0" borderId="12" xfId="0" applyNumberFormat="1" applyFont="1" applyBorder="1" applyAlignment="1">
      <alignment horizontal="center"/>
    </xf>
    <xf numFmtId="0" fontId="49" fillId="0" borderId="4" xfId="0" applyFont="1" applyBorder="1" applyAlignment="1">
      <alignment horizontal="left"/>
    </xf>
    <xf numFmtId="0" fontId="49" fillId="0" borderId="8" xfId="0" applyFont="1" applyBorder="1" applyAlignment="1">
      <alignment horizontal="left"/>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36" fillId="0" borderId="3" xfId="0" applyFont="1" applyBorder="1" applyAlignment="1">
      <alignment horizontal="center"/>
    </xf>
    <xf numFmtId="0" fontId="36" fillId="0" borderId="8" xfId="0" applyFont="1" applyBorder="1" applyAlignment="1">
      <alignment horizontal="center"/>
    </xf>
    <xf numFmtId="0" fontId="13" fillId="7" borderId="3" xfId="0" applyFont="1" applyFill="1" applyBorder="1" applyAlignment="1" applyProtection="1">
      <alignment horizontal="center" wrapText="1"/>
      <protection locked="0"/>
    </xf>
    <xf numFmtId="0" fontId="13" fillId="7" borderId="8" xfId="0" applyFont="1" applyFill="1" applyBorder="1" applyAlignment="1" applyProtection="1">
      <alignment horizontal="center" wrapText="1"/>
      <protection locked="0"/>
    </xf>
    <xf numFmtId="1" fontId="13" fillId="12" borderId="12" xfId="0" applyNumberFormat="1" applyFont="1" applyFill="1" applyBorder="1" applyAlignment="1">
      <alignment horizontal="center"/>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166" fontId="11" fillId="0" borderId="8"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72" fontId="24" fillId="2" borderId="3" xfId="546" applyNumberFormat="1" applyFont="1" applyFill="1" applyBorder="1" applyAlignment="1">
      <alignment horizontal="center"/>
    </xf>
    <xf numFmtId="172" fontId="24" fillId="2" borderId="4" xfId="546" applyNumberFormat="1" applyFont="1" applyFill="1" applyBorder="1" applyAlignment="1">
      <alignment horizontal="center"/>
    </xf>
    <xf numFmtId="172" fontId="24" fillId="2" borderId="8" xfId="546" applyNumberFormat="1" applyFont="1" applyFill="1" applyBorder="1" applyAlignment="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13" xfId="0" applyFont="1" applyBorder="1" applyAlignment="1">
      <alignment horizontal="center" wrapText="1"/>
    </xf>
    <xf numFmtId="164" fontId="12" fillId="0" borderId="46" xfId="0" applyNumberFormat="1" applyFont="1" applyBorder="1" applyAlignment="1">
      <alignment horizontal="center" vertical="top" wrapText="1"/>
    </xf>
    <xf numFmtId="164" fontId="12" fillId="0" borderId="47" xfId="0" applyNumberFormat="1" applyFont="1" applyBorder="1" applyAlignment="1">
      <alignment horizontal="center" vertical="top" wrapText="1"/>
    </xf>
    <xf numFmtId="164" fontId="12" fillId="0" borderId="48" xfId="0" applyNumberFormat="1" applyFont="1" applyBorder="1" applyAlignment="1">
      <alignment horizontal="center" vertical="top" wrapText="1"/>
    </xf>
    <xf numFmtId="164" fontId="12" fillId="0" borderId="49" xfId="0" applyNumberFormat="1" applyFont="1" applyBorder="1" applyAlignment="1">
      <alignment horizontal="center" vertical="top" wrapText="1"/>
    </xf>
    <xf numFmtId="164" fontId="12" fillId="0" borderId="0" xfId="0" applyNumberFormat="1" applyFont="1" applyAlignment="1">
      <alignment horizontal="center" vertical="top" wrapText="1"/>
    </xf>
    <xf numFmtId="164" fontId="12" fillId="0" borderId="50" xfId="0" applyNumberFormat="1" applyFont="1" applyBorder="1" applyAlignment="1">
      <alignment horizontal="center" vertical="top" wrapText="1"/>
    </xf>
    <xf numFmtId="164" fontId="12" fillId="0" borderId="52" xfId="0" applyNumberFormat="1" applyFont="1" applyBorder="1" applyAlignment="1">
      <alignment horizontal="center" vertical="top" wrapText="1"/>
    </xf>
    <xf numFmtId="164" fontId="12" fillId="0" borderId="53" xfId="0" applyNumberFormat="1" applyFont="1" applyBorder="1" applyAlignment="1">
      <alignment horizontal="center" vertical="top" wrapText="1"/>
    </xf>
    <xf numFmtId="164" fontId="12" fillId="0" borderId="54" xfId="0" applyNumberFormat="1" applyFont="1" applyBorder="1" applyAlignment="1">
      <alignment horizontal="center" vertical="top" wrapText="1"/>
    </xf>
    <xf numFmtId="0" fontId="11" fillId="0" borderId="12" xfId="0" applyFont="1" applyBorder="1" applyAlignment="1">
      <alignment horizontal="right"/>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0" fontId="24" fillId="7" borderId="5" xfId="0" applyFont="1" applyFill="1" applyBorder="1" applyAlignment="1" applyProtection="1">
      <alignment horizontal="center"/>
      <protection locked="0"/>
    </xf>
    <xf numFmtId="0" fontId="12" fillId="0" borderId="0" xfId="0" applyFont="1" applyAlignment="1">
      <alignment horizontal="left" vertical="top" wrapText="1" shrinkToFit="1"/>
    </xf>
    <xf numFmtId="0" fontId="11" fillId="0" borderId="0" xfId="0" applyFont="1" applyAlignment="1">
      <alignment horizontal="right"/>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center" wrapText="1" shrinkToFit="1"/>
    </xf>
    <xf numFmtId="0" fontId="12" fillId="0" borderId="5" xfId="0" applyFont="1" applyBorder="1" applyAlignment="1">
      <alignment horizontal="left" vertical="top" wrapText="1"/>
    </xf>
    <xf numFmtId="0" fontId="12" fillId="7" borderId="5" xfId="0" applyFont="1" applyFill="1" applyBorder="1" applyAlignment="1" applyProtection="1">
      <alignment horizontal="left" wrapText="1" shrinkToFit="1"/>
      <protection locked="0"/>
    </xf>
    <xf numFmtId="0" fontId="137" fillId="0" borderId="0" xfId="0" applyFont="1" applyAlignment="1">
      <alignment horizontal="left"/>
    </xf>
    <xf numFmtId="0" fontId="12" fillId="0" borderId="5" xfId="0" applyFont="1" applyBorder="1" applyAlignment="1">
      <alignment horizontal="left"/>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36" fillId="2" borderId="3" xfId="0" applyFont="1" applyFill="1" applyBorder="1" applyAlignment="1">
      <alignment horizontal="center"/>
    </xf>
    <xf numFmtId="0" fontId="36" fillId="2" borderId="8" xfId="0" applyFont="1" applyFill="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0" fillId="0" borderId="1" xfId="0" applyBorder="1" applyAlignment="1">
      <alignment horizontal="center" wrapTex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1" fillId="0" borderId="0" xfId="0" applyNumberFormat="1" applyFont="1" applyAlignment="1">
      <alignment horizontal="left" vertical="top" wrapText="1"/>
    </xf>
    <xf numFmtId="1" fontId="12" fillId="0" borderId="25"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166" fontId="12" fillId="0" borderId="25" xfId="0" applyNumberFormat="1" applyFon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1" fontId="12" fillId="0" borderId="20" xfId="0" applyNumberFormat="1" applyFont="1" applyBorder="1" applyAlignment="1">
      <alignment horizontal="center"/>
    </xf>
    <xf numFmtId="1" fontId="12" fillId="0" borderId="29" xfId="0" applyNumberFormat="1" applyFont="1" applyBorder="1" applyAlignment="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48" fillId="0" borderId="3" xfId="0" applyFont="1" applyBorder="1" applyAlignment="1">
      <alignment horizontal="left"/>
    </xf>
    <xf numFmtId="0" fontId="21" fillId="48" borderId="2" xfId="0" applyFont="1" applyFill="1" applyBorder="1" applyAlignment="1">
      <alignment horizontal="center"/>
    </xf>
    <xf numFmtId="0" fontId="21"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7" fillId="0" borderId="47" xfId="0" applyFont="1" applyBorder="1" applyAlignment="1">
      <alignment horizontal="left" wrapText="1"/>
    </xf>
    <xf numFmtId="0" fontId="27" fillId="0" borderId="0" xfId="0" applyFont="1" applyAlignment="1">
      <alignment horizontal="left" wrapText="1"/>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12" fillId="7" borderId="53" xfId="0" applyFont="1" applyFill="1" applyBorder="1" applyAlignment="1" applyProtection="1">
      <alignment horizontal="left" vertical="top" wrapText="1"/>
      <protection locked="0"/>
    </xf>
    <xf numFmtId="0" fontId="27" fillId="0" borderId="47" xfId="0" applyFont="1" applyBorder="1" applyAlignment="1">
      <alignment horizontal="left" vertical="top" wrapText="1"/>
    </xf>
    <xf numFmtId="0" fontId="27" fillId="0" borderId="0" xfId="0" applyFont="1" applyAlignment="1">
      <alignment horizontal="left" vertical="top" wrapText="1"/>
    </xf>
    <xf numFmtId="1" fontId="12" fillId="46" borderId="15" xfId="0" applyNumberFormat="1" applyFont="1" applyFill="1" applyBorder="1" applyAlignment="1">
      <alignment horizontal="center"/>
    </xf>
    <xf numFmtId="0" fontId="21" fillId="0" borderId="12" xfId="0" applyFont="1" applyBorder="1" applyAlignment="1">
      <alignment horizontal="center" vertical="center" wrapText="1"/>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44" fontId="12" fillId="0" borderId="0" xfId="164" applyFont="1" applyFill="1" applyBorder="1" applyAlignment="1" applyProtection="1">
      <alignment horizontal="left" vertical="top" wrapText="1"/>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1" fontId="12" fillId="0" borderId="30" xfId="0" applyNumberFormat="1" applyFont="1" applyBorder="1" applyAlignment="1">
      <alignment horizontal="center"/>
    </xf>
    <xf numFmtId="0" fontId="21" fillId="0" borderId="0" xfId="0" applyFont="1" applyAlignment="1">
      <alignment horizontal="left" vertical="top" wrapText="1"/>
    </xf>
    <xf numFmtId="166" fontId="12" fillId="0" borderId="15" xfId="0" applyNumberFormat="1" applyFont="1" applyBorder="1" applyAlignment="1">
      <alignment horizontal="center"/>
    </xf>
    <xf numFmtId="1" fontId="12" fillId="0" borderId="22" xfId="0" applyNumberFormat="1" applyFont="1" applyBorder="1" applyAlignment="1">
      <alignment horizontal="center"/>
    </xf>
    <xf numFmtId="2" fontId="9" fillId="0" borderId="31" xfId="273" applyNumberFormat="1" applyFont="1" applyBorder="1" applyAlignment="1">
      <alignment horizontal="center" vertical="center"/>
    </xf>
    <xf numFmtId="2" fontId="9" fillId="0" borderId="32" xfId="273" applyNumberFormat="1" applyFont="1" applyBorder="1" applyAlignment="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169" fontId="9" fillId="0" borderId="5" xfId="273" applyNumberFormat="1" applyFont="1" applyBorder="1" applyAlignment="1">
      <alignment horizontal="right"/>
    </xf>
    <xf numFmtId="0" fontId="57"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169" fontId="9" fillId="0" borderId="4" xfId="273" applyNumberFormat="1" applyFont="1" applyBorder="1" applyAlignment="1">
      <alignment horizontal="right"/>
    </xf>
    <xf numFmtId="169" fontId="9" fillId="0" borderId="0" xfId="273" applyNumberFormat="1" applyFont="1" applyAlignment="1">
      <alignment horizontal="left"/>
    </xf>
    <xf numFmtId="169" fontId="9" fillId="0" borderId="0" xfId="273" applyNumberFormat="1" applyFont="1" applyAlignment="1">
      <alignment horizontal="right"/>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center" vertical="center"/>
    </xf>
    <xf numFmtId="0" fontId="66" fillId="0" borderId="0" xfId="273" applyFont="1" applyAlignment="1">
      <alignment horizontal="right" vertical="center"/>
    </xf>
    <xf numFmtId="0" fontId="9" fillId="0" borderId="0" xfId="273" applyFont="1" applyAlignment="1">
      <alignment horizontal="right" vertical="center"/>
    </xf>
    <xf numFmtId="49" fontId="56" fillId="5" borderId="0" xfId="273" applyNumberFormat="1" applyFont="1" applyFill="1" applyAlignment="1">
      <alignment horizontal="center" vertical="center"/>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9" fillId="0" borderId="5" xfId="273" applyFont="1" applyBorder="1" applyAlignment="1">
      <alignment horizontal="left"/>
    </xf>
    <xf numFmtId="0" fontId="9" fillId="7" borderId="4" xfId="273" applyFont="1" applyFill="1" applyBorder="1" applyAlignment="1" applyProtection="1">
      <alignment horizontal="left"/>
      <protection locked="0"/>
    </xf>
    <xf numFmtId="0" fontId="59" fillId="0" borderId="2" xfId="273" applyFont="1" applyBorder="1" applyAlignment="1">
      <alignment horizontal="left"/>
    </xf>
    <xf numFmtId="0" fontId="57" fillId="0" borderId="0" xfId="273" applyFont="1" applyAlignment="1">
      <alignment horizontal="left" vertical="center"/>
    </xf>
    <xf numFmtId="0" fontId="9" fillId="0" borderId="0" xfId="273" applyFont="1" applyAlignment="1">
      <alignment horizontal="left"/>
    </xf>
    <xf numFmtId="1" fontId="9" fillId="7" borderId="0" xfId="273" applyNumberFormat="1" applyFont="1" applyFill="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0" fontId="9" fillId="0" borderId="4" xfId="273" applyFont="1" applyBorder="1" applyAlignment="1">
      <alignment horizontal="left"/>
    </xf>
    <xf numFmtId="3" fontId="9" fillId="0" borderId="5" xfId="273" applyNumberFormat="1" applyFont="1" applyBorder="1" applyAlignment="1">
      <alignment horizontal="center"/>
    </xf>
    <xf numFmtId="3" fontId="13" fillId="0" borderId="5" xfId="273" applyNumberFormat="1" applyBorder="1"/>
    <xf numFmtId="0" fontId="55" fillId="0" borderId="0" xfId="273" applyFont="1" applyAlignment="1">
      <alignment horizontal="center" vertical="center"/>
    </xf>
    <xf numFmtId="3" fontId="9" fillId="0" borderId="2" xfId="273" applyNumberFormat="1" applyFont="1" applyBorder="1" applyAlignment="1">
      <alignment horizontal="center"/>
    </xf>
    <xf numFmtId="3" fontId="13" fillId="0" borderId="0" xfId="273" applyNumberFormat="1"/>
    <xf numFmtId="1" fontId="9" fillId="7" borderId="4" xfId="273" applyNumberFormat="1" applyFont="1" applyFill="1" applyBorder="1" applyAlignment="1" applyProtection="1">
      <alignment horizontal="right"/>
      <protection locked="0"/>
    </xf>
    <xf numFmtId="0" fontId="9" fillId="0" borderId="2" xfId="273" applyFont="1" applyBorder="1" applyAlignment="1">
      <alignment horizontal="center" vertical="center"/>
    </xf>
    <xf numFmtId="3" fontId="13" fillId="0" borderId="0" xfId="273" applyNumberFormat="1" applyAlignment="1">
      <alignment horizontal="left" vertical="top" wrapText="1"/>
    </xf>
    <xf numFmtId="0" fontId="9" fillId="0" borderId="5" xfId="0" applyFont="1" applyBorder="1" applyAlignment="1">
      <alignment horizontal="center"/>
    </xf>
    <xf numFmtId="10" fontId="0" fillId="0" borderId="12" xfId="0" applyNumberFormat="1" applyBorder="1" applyAlignment="1" applyProtection="1">
      <alignment horizontal="center"/>
      <protection locked="0"/>
    </xf>
    <xf numFmtId="0" fontId="27" fillId="0" borderId="2" xfId="0" applyFont="1" applyBorder="1" applyAlignment="1">
      <alignment horizontal="left"/>
    </xf>
  </cellXfs>
  <cellStyles count="9552">
    <cellStyle name="20% - Accent1" xfId="1" builtinId="30" customBuiltin="1"/>
    <cellStyle name="20% - Accent1 10" xfId="5335" xr:uid="{00000000-0005-0000-0000-000001000000}"/>
    <cellStyle name="20% - Accent1 11" xfId="1031" xr:uid="{00000000-0005-0000-0000-000002000000}"/>
    <cellStyle name="20% - Accent1 2" xfId="2" xr:uid="{00000000-0005-0000-0000-000003000000}"/>
    <cellStyle name="20% - Accent1 2 10" xfId="1032" xr:uid="{00000000-0005-0000-0000-000004000000}"/>
    <cellStyle name="20% - Accent1 2 2" xfId="3" xr:uid="{00000000-0005-0000-0000-000005000000}"/>
    <cellStyle name="20% - Accent1 2 2 2" xfId="4" xr:uid="{00000000-0005-0000-0000-000006000000}"/>
    <cellStyle name="20% - Accent1 2 2 2 2" xfId="581" xr:uid="{00000000-0005-0000-0000-000007000000}"/>
    <cellStyle name="20% - Accent1 2 2 2 2 2" xfId="3679" xr:uid="{00000000-0005-0000-0000-000008000000}"/>
    <cellStyle name="20% - Accent1 2 2 2 2 2 2" xfId="7897" xr:uid="{00000000-0005-0000-0000-000009000000}"/>
    <cellStyle name="20% - Accent1 2 2 2 2 3" xfId="5752" xr:uid="{00000000-0005-0000-0000-00000A000000}"/>
    <cellStyle name="20% - Accent1 2 2 2 2 4" xfId="1448" xr:uid="{00000000-0005-0000-0000-00000B000000}"/>
    <cellStyle name="20% - Accent1 2 2 2 3" xfId="1863" xr:uid="{00000000-0005-0000-0000-00000C000000}"/>
    <cellStyle name="20% - Accent1 2 2 2 3 2" xfId="4092" xr:uid="{00000000-0005-0000-0000-00000D000000}"/>
    <cellStyle name="20% - Accent1 2 2 2 3 2 2" xfId="8310" xr:uid="{00000000-0005-0000-0000-00000E000000}"/>
    <cellStyle name="20% - Accent1 2 2 2 3 3" xfId="6165" xr:uid="{00000000-0005-0000-0000-00000F000000}"/>
    <cellStyle name="20% - Accent1 2 2 2 4" xfId="2276" xr:uid="{00000000-0005-0000-0000-000010000000}"/>
    <cellStyle name="20% - Accent1 2 2 2 4 2" xfId="4505" xr:uid="{00000000-0005-0000-0000-000011000000}"/>
    <cellStyle name="20% - Accent1 2 2 2 4 2 2" xfId="8723" xr:uid="{00000000-0005-0000-0000-000012000000}"/>
    <cellStyle name="20% - Accent1 2 2 2 4 3" xfId="6578" xr:uid="{00000000-0005-0000-0000-000013000000}"/>
    <cellStyle name="20% - Accent1 2 2 2 5" xfId="2689" xr:uid="{00000000-0005-0000-0000-000014000000}"/>
    <cellStyle name="20% - Accent1 2 2 2 5 2" xfId="4918" xr:uid="{00000000-0005-0000-0000-000015000000}"/>
    <cellStyle name="20% - Accent1 2 2 2 5 2 2" xfId="9136" xr:uid="{00000000-0005-0000-0000-000016000000}"/>
    <cellStyle name="20% - Accent1 2 2 2 5 3" xfId="6991" xr:uid="{00000000-0005-0000-0000-000017000000}"/>
    <cellStyle name="20% - Accent1 2 2 2 6" xfId="3102" xr:uid="{00000000-0005-0000-0000-000018000000}"/>
    <cellStyle name="20% - Accent1 2 2 2 6 2" xfId="7404" xr:uid="{00000000-0005-0000-0000-000019000000}"/>
    <cellStyle name="20% - Accent1 2 2 2 7" xfId="5338" xr:uid="{00000000-0005-0000-0000-00001A000000}"/>
    <cellStyle name="20% - Accent1 2 2 2 8" xfId="1034" xr:uid="{00000000-0005-0000-0000-00001B000000}"/>
    <cellStyle name="20% - Accent1 2 2 3" xfId="580" xr:uid="{00000000-0005-0000-0000-00001C000000}"/>
    <cellStyle name="20% - Accent1 2 2 3 2" xfId="3678" xr:uid="{00000000-0005-0000-0000-00001D000000}"/>
    <cellStyle name="20% - Accent1 2 2 3 2 2" xfId="7896" xr:uid="{00000000-0005-0000-0000-00001E000000}"/>
    <cellStyle name="20% - Accent1 2 2 3 3" xfId="5751" xr:uid="{00000000-0005-0000-0000-00001F000000}"/>
    <cellStyle name="20% - Accent1 2 2 3 4" xfId="1447" xr:uid="{00000000-0005-0000-0000-000020000000}"/>
    <cellStyle name="20% - Accent1 2 2 4" xfId="1862" xr:uid="{00000000-0005-0000-0000-000021000000}"/>
    <cellStyle name="20% - Accent1 2 2 4 2" xfId="4091" xr:uid="{00000000-0005-0000-0000-000022000000}"/>
    <cellStyle name="20% - Accent1 2 2 4 2 2" xfId="8309" xr:uid="{00000000-0005-0000-0000-000023000000}"/>
    <cellStyle name="20% - Accent1 2 2 4 3" xfId="6164" xr:uid="{00000000-0005-0000-0000-000024000000}"/>
    <cellStyle name="20% - Accent1 2 2 5" xfId="2275" xr:uid="{00000000-0005-0000-0000-000025000000}"/>
    <cellStyle name="20% - Accent1 2 2 5 2" xfId="4504" xr:uid="{00000000-0005-0000-0000-000026000000}"/>
    <cellStyle name="20% - Accent1 2 2 5 2 2" xfId="8722" xr:uid="{00000000-0005-0000-0000-000027000000}"/>
    <cellStyle name="20% - Accent1 2 2 5 3" xfId="6577" xr:uid="{00000000-0005-0000-0000-000028000000}"/>
    <cellStyle name="20% - Accent1 2 2 6" xfId="2688" xr:uid="{00000000-0005-0000-0000-000029000000}"/>
    <cellStyle name="20% - Accent1 2 2 6 2" xfId="4917" xr:uid="{00000000-0005-0000-0000-00002A000000}"/>
    <cellStyle name="20% - Accent1 2 2 6 2 2" xfId="9135" xr:uid="{00000000-0005-0000-0000-00002B000000}"/>
    <cellStyle name="20% - Accent1 2 2 6 3" xfId="6990" xr:uid="{00000000-0005-0000-0000-00002C000000}"/>
    <cellStyle name="20% - Accent1 2 2 7" xfId="3101" xr:uid="{00000000-0005-0000-0000-00002D000000}"/>
    <cellStyle name="20% - Accent1 2 2 7 2" xfId="7403" xr:uid="{00000000-0005-0000-0000-00002E000000}"/>
    <cellStyle name="20% - Accent1 2 2 8" xfId="5337" xr:uid="{00000000-0005-0000-0000-00002F000000}"/>
    <cellStyle name="20% - Accent1 2 2 9" xfId="1033" xr:uid="{00000000-0005-0000-0000-000030000000}"/>
    <cellStyle name="20% - Accent1 2 3" xfId="5" xr:uid="{00000000-0005-0000-0000-000031000000}"/>
    <cellStyle name="20% - Accent1 2 3 2" xfId="582" xr:uid="{00000000-0005-0000-0000-000032000000}"/>
    <cellStyle name="20% - Accent1 2 3 2 2" xfId="3680" xr:uid="{00000000-0005-0000-0000-000033000000}"/>
    <cellStyle name="20% - Accent1 2 3 2 2 2" xfId="7898" xr:uid="{00000000-0005-0000-0000-000034000000}"/>
    <cellStyle name="20% - Accent1 2 3 2 3" xfId="5753" xr:uid="{00000000-0005-0000-0000-000035000000}"/>
    <cellStyle name="20% - Accent1 2 3 2 4" xfId="1449" xr:uid="{00000000-0005-0000-0000-000036000000}"/>
    <cellStyle name="20% - Accent1 2 3 3" xfId="1864" xr:uid="{00000000-0005-0000-0000-000037000000}"/>
    <cellStyle name="20% - Accent1 2 3 3 2" xfId="4093" xr:uid="{00000000-0005-0000-0000-000038000000}"/>
    <cellStyle name="20% - Accent1 2 3 3 2 2" xfId="8311" xr:uid="{00000000-0005-0000-0000-000039000000}"/>
    <cellStyle name="20% - Accent1 2 3 3 3" xfId="6166" xr:uid="{00000000-0005-0000-0000-00003A000000}"/>
    <cellStyle name="20% - Accent1 2 3 4" xfId="2277" xr:uid="{00000000-0005-0000-0000-00003B000000}"/>
    <cellStyle name="20% - Accent1 2 3 4 2" xfId="4506" xr:uid="{00000000-0005-0000-0000-00003C000000}"/>
    <cellStyle name="20% - Accent1 2 3 4 2 2" xfId="8724" xr:uid="{00000000-0005-0000-0000-00003D000000}"/>
    <cellStyle name="20% - Accent1 2 3 4 3" xfId="6579" xr:uid="{00000000-0005-0000-0000-00003E000000}"/>
    <cellStyle name="20% - Accent1 2 3 5" xfId="2690" xr:uid="{00000000-0005-0000-0000-00003F000000}"/>
    <cellStyle name="20% - Accent1 2 3 5 2" xfId="4919" xr:uid="{00000000-0005-0000-0000-000040000000}"/>
    <cellStyle name="20% - Accent1 2 3 5 2 2" xfId="9137" xr:uid="{00000000-0005-0000-0000-000041000000}"/>
    <cellStyle name="20% - Accent1 2 3 5 3" xfId="6992" xr:uid="{00000000-0005-0000-0000-000042000000}"/>
    <cellStyle name="20% - Accent1 2 3 6" xfId="3103" xr:uid="{00000000-0005-0000-0000-000043000000}"/>
    <cellStyle name="20% - Accent1 2 3 6 2" xfId="7405" xr:uid="{00000000-0005-0000-0000-000044000000}"/>
    <cellStyle name="20% - Accent1 2 3 7" xfId="5339" xr:uid="{00000000-0005-0000-0000-000045000000}"/>
    <cellStyle name="20% - Accent1 2 3 8" xfId="1035" xr:uid="{00000000-0005-0000-0000-000046000000}"/>
    <cellStyle name="20% - Accent1 2 4" xfId="579" xr:uid="{00000000-0005-0000-0000-000047000000}"/>
    <cellStyle name="20% - Accent1 2 4 2" xfId="3677" xr:uid="{00000000-0005-0000-0000-000048000000}"/>
    <cellStyle name="20% - Accent1 2 4 2 2" xfId="7895" xr:uid="{00000000-0005-0000-0000-000049000000}"/>
    <cellStyle name="20% - Accent1 2 4 3" xfId="5750" xr:uid="{00000000-0005-0000-0000-00004A000000}"/>
    <cellStyle name="20% - Accent1 2 4 4" xfId="1446" xr:uid="{00000000-0005-0000-0000-00004B000000}"/>
    <cellStyle name="20% - Accent1 2 5" xfId="1861" xr:uid="{00000000-0005-0000-0000-00004C000000}"/>
    <cellStyle name="20% - Accent1 2 5 2" xfId="4090" xr:uid="{00000000-0005-0000-0000-00004D000000}"/>
    <cellStyle name="20% - Accent1 2 5 2 2" xfId="8308" xr:uid="{00000000-0005-0000-0000-00004E000000}"/>
    <cellStyle name="20% - Accent1 2 5 3" xfId="6163" xr:uid="{00000000-0005-0000-0000-00004F000000}"/>
    <cellStyle name="20% - Accent1 2 6" xfId="2274" xr:uid="{00000000-0005-0000-0000-000050000000}"/>
    <cellStyle name="20% - Accent1 2 6 2" xfId="4503" xr:uid="{00000000-0005-0000-0000-000051000000}"/>
    <cellStyle name="20% - Accent1 2 6 2 2" xfId="8721" xr:uid="{00000000-0005-0000-0000-000052000000}"/>
    <cellStyle name="20% - Accent1 2 6 3" xfId="6576" xr:uid="{00000000-0005-0000-0000-000053000000}"/>
    <cellStyle name="20% - Accent1 2 7" xfId="2687" xr:uid="{00000000-0005-0000-0000-000054000000}"/>
    <cellStyle name="20% - Accent1 2 7 2" xfId="4916" xr:uid="{00000000-0005-0000-0000-000055000000}"/>
    <cellStyle name="20% - Accent1 2 7 2 2" xfId="9134" xr:uid="{00000000-0005-0000-0000-000056000000}"/>
    <cellStyle name="20% - Accent1 2 7 3" xfId="6989" xr:uid="{00000000-0005-0000-0000-000057000000}"/>
    <cellStyle name="20% - Accent1 2 8" xfId="3100" xr:uid="{00000000-0005-0000-0000-000058000000}"/>
    <cellStyle name="20% - Accent1 2 8 2" xfId="7402" xr:uid="{00000000-0005-0000-0000-000059000000}"/>
    <cellStyle name="20% - Accent1 2 9" xfId="5336" xr:uid="{00000000-0005-0000-0000-00005A000000}"/>
    <cellStyle name="20% - Accent1 3" xfId="6" xr:uid="{00000000-0005-0000-0000-00005B000000}"/>
    <cellStyle name="20% - Accent1 3 2" xfId="7" xr:uid="{00000000-0005-0000-0000-00005C000000}"/>
    <cellStyle name="20% - Accent1 3 2 2" xfId="584" xr:uid="{00000000-0005-0000-0000-00005D000000}"/>
    <cellStyle name="20% - Accent1 3 2 2 2" xfId="3682" xr:uid="{00000000-0005-0000-0000-00005E000000}"/>
    <cellStyle name="20% - Accent1 3 2 2 2 2" xfId="7900" xr:uid="{00000000-0005-0000-0000-00005F000000}"/>
    <cellStyle name="20% - Accent1 3 2 2 3" xfId="5755" xr:uid="{00000000-0005-0000-0000-000060000000}"/>
    <cellStyle name="20% - Accent1 3 2 2 4" xfId="1451" xr:uid="{00000000-0005-0000-0000-000061000000}"/>
    <cellStyle name="20% - Accent1 3 2 3" xfId="1866" xr:uid="{00000000-0005-0000-0000-000062000000}"/>
    <cellStyle name="20% - Accent1 3 2 3 2" xfId="4095" xr:uid="{00000000-0005-0000-0000-000063000000}"/>
    <cellStyle name="20% - Accent1 3 2 3 2 2" xfId="8313" xr:uid="{00000000-0005-0000-0000-000064000000}"/>
    <cellStyle name="20% - Accent1 3 2 3 3" xfId="6168" xr:uid="{00000000-0005-0000-0000-000065000000}"/>
    <cellStyle name="20% - Accent1 3 2 4" xfId="2279" xr:uid="{00000000-0005-0000-0000-000066000000}"/>
    <cellStyle name="20% - Accent1 3 2 4 2" xfId="4508" xr:uid="{00000000-0005-0000-0000-000067000000}"/>
    <cellStyle name="20% - Accent1 3 2 4 2 2" xfId="8726" xr:uid="{00000000-0005-0000-0000-000068000000}"/>
    <cellStyle name="20% - Accent1 3 2 4 3" xfId="6581" xr:uid="{00000000-0005-0000-0000-000069000000}"/>
    <cellStyle name="20% - Accent1 3 2 5" xfId="2692" xr:uid="{00000000-0005-0000-0000-00006A000000}"/>
    <cellStyle name="20% - Accent1 3 2 5 2" xfId="4921" xr:uid="{00000000-0005-0000-0000-00006B000000}"/>
    <cellStyle name="20% - Accent1 3 2 5 2 2" xfId="9139" xr:uid="{00000000-0005-0000-0000-00006C000000}"/>
    <cellStyle name="20% - Accent1 3 2 5 3" xfId="6994" xr:uid="{00000000-0005-0000-0000-00006D000000}"/>
    <cellStyle name="20% - Accent1 3 2 6" xfId="3105" xr:uid="{00000000-0005-0000-0000-00006E000000}"/>
    <cellStyle name="20% - Accent1 3 2 6 2" xfId="7407" xr:uid="{00000000-0005-0000-0000-00006F000000}"/>
    <cellStyle name="20% - Accent1 3 2 7" xfId="5341" xr:uid="{00000000-0005-0000-0000-000070000000}"/>
    <cellStyle name="20% - Accent1 3 2 8" xfId="1037" xr:uid="{00000000-0005-0000-0000-000071000000}"/>
    <cellStyle name="20% - Accent1 3 3" xfId="583" xr:uid="{00000000-0005-0000-0000-000072000000}"/>
    <cellStyle name="20% - Accent1 3 3 2" xfId="3681" xr:uid="{00000000-0005-0000-0000-000073000000}"/>
    <cellStyle name="20% - Accent1 3 3 2 2" xfId="7899" xr:uid="{00000000-0005-0000-0000-000074000000}"/>
    <cellStyle name="20% - Accent1 3 3 3" xfId="5754" xr:uid="{00000000-0005-0000-0000-000075000000}"/>
    <cellStyle name="20% - Accent1 3 3 4" xfId="1450" xr:uid="{00000000-0005-0000-0000-000076000000}"/>
    <cellStyle name="20% - Accent1 3 4" xfId="1865" xr:uid="{00000000-0005-0000-0000-000077000000}"/>
    <cellStyle name="20% - Accent1 3 4 2" xfId="4094" xr:uid="{00000000-0005-0000-0000-000078000000}"/>
    <cellStyle name="20% - Accent1 3 4 2 2" xfId="8312" xr:uid="{00000000-0005-0000-0000-000079000000}"/>
    <cellStyle name="20% - Accent1 3 4 3" xfId="6167" xr:uid="{00000000-0005-0000-0000-00007A000000}"/>
    <cellStyle name="20% - Accent1 3 5" xfId="2278" xr:uid="{00000000-0005-0000-0000-00007B000000}"/>
    <cellStyle name="20% - Accent1 3 5 2" xfId="4507" xr:uid="{00000000-0005-0000-0000-00007C000000}"/>
    <cellStyle name="20% - Accent1 3 5 2 2" xfId="8725" xr:uid="{00000000-0005-0000-0000-00007D000000}"/>
    <cellStyle name="20% - Accent1 3 5 3" xfId="6580" xr:uid="{00000000-0005-0000-0000-00007E000000}"/>
    <cellStyle name="20% - Accent1 3 6" xfId="2691" xr:uid="{00000000-0005-0000-0000-00007F000000}"/>
    <cellStyle name="20% - Accent1 3 6 2" xfId="4920" xr:uid="{00000000-0005-0000-0000-000080000000}"/>
    <cellStyle name="20% - Accent1 3 6 2 2" xfId="9138" xr:uid="{00000000-0005-0000-0000-000081000000}"/>
    <cellStyle name="20% - Accent1 3 6 3" xfId="6993" xr:uid="{00000000-0005-0000-0000-000082000000}"/>
    <cellStyle name="20% - Accent1 3 7" xfId="3104" xr:uid="{00000000-0005-0000-0000-000083000000}"/>
    <cellStyle name="20% - Accent1 3 7 2" xfId="7406" xr:uid="{00000000-0005-0000-0000-000084000000}"/>
    <cellStyle name="20% - Accent1 3 8" xfId="5340" xr:uid="{00000000-0005-0000-0000-000085000000}"/>
    <cellStyle name="20% - Accent1 3 9" xfId="1036" xr:uid="{00000000-0005-0000-0000-000086000000}"/>
    <cellStyle name="20% - Accent1 4" xfId="8" xr:uid="{00000000-0005-0000-0000-000087000000}"/>
    <cellStyle name="20% - Accent1 4 2" xfId="585" xr:uid="{00000000-0005-0000-0000-000088000000}"/>
    <cellStyle name="20% - Accent1 4 2 2" xfId="3683" xr:uid="{00000000-0005-0000-0000-000089000000}"/>
    <cellStyle name="20% - Accent1 4 2 2 2" xfId="7901" xr:uid="{00000000-0005-0000-0000-00008A000000}"/>
    <cellStyle name="20% - Accent1 4 2 3" xfId="5756" xr:uid="{00000000-0005-0000-0000-00008B000000}"/>
    <cellStyle name="20% - Accent1 4 2 4" xfId="1452" xr:uid="{00000000-0005-0000-0000-00008C000000}"/>
    <cellStyle name="20% - Accent1 4 3" xfId="1867" xr:uid="{00000000-0005-0000-0000-00008D000000}"/>
    <cellStyle name="20% - Accent1 4 3 2" xfId="4096" xr:uid="{00000000-0005-0000-0000-00008E000000}"/>
    <cellStyle name="20% - Accent1 4 3 2 2" xfId="8314" xr:uid="{00000000-0005-0000-0000-00008F000000}"/>
    <cellStyle name="20% - Accent1 4 3 3" xfId="6169" xr:uid="{00000000-0005-0000-0000-000090000000}"/>
    <cellStyle name="20% - Accent1 4 4" xfId="2280" xr:uid="{00000000-0005-0000-0000-000091000000}"/>
    <cellStyle name="20% - Accent1 4 4 2" xfId="4509" xr:uid="{00000000-0005-0000-0000-000092000000}"/>
    <cellStyle name="20% - Accent1 4 4 2 2" xfId="8727" xr:uid="{00000000-0005-0000-0000-000093000000}"/>
    <cellStyle name="20% - Accent1 4 4 3" xfId="6582" xr:uid="{00000000-0005-0000-0000-000094000000}"/>
    <cellStyle name="20% - Accent1 4 5" xfId="2693" xr:uid="{00000000-0005-0000-0000-000095000000}"/>
    <cellStyle name="20% - Accent1 4 5 2" xfId="4922" xr:uid="{00000000-0005-0000-0000-000096000000}"/>
    <cellStyle name="20% - Accent1 4 5 2 2" xfId="9140" xr:uid="{00000000-0005-0000-0000-000097000000}"/>
    <cellStyle name="20% - Accent1 4 5 3" xfId="6995" xr:uid="{00000000-0005-0000-0000-000098000000}"/>
    <cellStyle name="20% - Accent1 4 6" xfId="3106" xr:uid="{00000000-0005-0000-0000-000099000000}"/>
    <cellStyle name="20% - Accent1 4 6 2" xfId="7408" xr:uid="{00000000-0005-0000-0000-00009A000000}"/>
    <cellStyle name="20% - Accent1 4 7" xfId="5342" xr:uid="{00000000-0005-0000-0000-00009B000000}"/>
    <cellStyle name="20% - Accent1 4 8" xfId="1038" xr:uid="{00000000-0005-0000-0000-00009C000000}"/>
    <cellStyle name="20% - Accent1 5" xfId="578" xr:uid="{00000000-0005-0000-0000-00009D000000}"/>
    <cellStyle name="20% - Accent1 5 2" xfId="3676" xr:uid="{00000000-0005-0000-0000-00009E000000}"/>
    <cellStyle name="20% - Accent1 5 2 2" xfId="7894" xr:uid="{00000000-0005-0000-0000-00009F000000}"/>
    <cellStyle name="20% - Accent1 5 3" xfId="5749" xr:uid="{00000000-0005-0000-0000-0000A0000000}"/>
    <cellStyle name="20% - Accent1 5 4" xfId="1445" xr:uid="{00000000-0005-0000-0000-0000A1000000}"/>
    <cellStyle name="20% - Accent1 6" xfId="1860" xr:uid="{00000000-0005-0000-0000-0000A2000000}"/>
    <cellStyle name="20% - Accent1 6 2" xfId="4089" xr:uid="{00000000-0005-0000-0000-0000A3000000}"/>
    <cellStyle name="20% - Accent1 6 2 2" xfId="8307" xr:uid="{00000000-0005-0000-0000-0000A4000000}"/>
    <cellStyle name="20% - Accent1 6 3" xfId="6162" xr:uid="{00000000-0005-0000-0000-0000A5000000}"/>
    <cellStyle name="20% - Accent1 7" xfId="2273" xr:uid="{00000000-0005-0000-0000-0000A6000000}"/>
    <cellStyle name="20% - Accent1 7 2" xfId="4502" xr:uid="{00000000-0005-0000-0000-0000A7000000}"/>
    <cellStyle name="20% - Accent1 7 2 2" xfId="8720" xr:uid="{00000000-0005-0000-0000-0000A8000000}"/>
    <cellStyle name="20% - Accent1 7 3" xfId="6575" xr:uid="{00000000-0005-0000-0000-0000A9000000}"/>
    <cellStyle name="20% - Accent1 8" xfId="2686" xr:uid="{00000000-0005-0000-0000-0000AA000000}"/>
    <cellStyle name="20% - Accent1 8 2" xfId="4915" xr:uid="{00000000-0005-0000-0000-0000AB000000}"/>
    <cellStyle name="20% - Accent1 8 2 2" xfId="9133" xr:uid="{00000000-0005-0000-0000-0000AC000000}"/>
    <cellStyle name="20% - Accent1 8 3" xfId="6988" xr:uid="{00000000-0005-0000-0000-0000AD000000}"/>
    <cellStyle name="20% - Accent1 9" xfId="3099" xr:uid="{00000000-0005-0000-0000-0000AE000000}"/>
    <cellStyle name="20% - Accent1 9 2" xfId="7401" xr:uid="{00000000-0005-0000-0000-0000AF000000}"/>
    <cellStyle name="20% - Accent2" xfId="9" builtinId="34" customBuiltin="1"/>
    <cellStyle name="20% - Accent2 10" xfId="5343" xr:uid="{00000000-0005-0000-0000-0000B1000000}"/>
    <cellStyle name="20% - Accent2 11" xfId="1039" xr:uid="{00000000-0005-0000-0000-0000B2000000}"/>
    <cellStyle name="20% - Accent2 2" xfId="10" xr:uid="{00000000-0005-0000-0000-0000B3000000}"/>
    <cellStyle name="20% - Accent2 2 10" xfId="1040" xr:uid="{00000000-0005-0000-0000-0000B4000000}"/>
    <cellStyle name="20% - Accent2 2 2" xfId="11" xr:uid="{00000000-0005-0000-0000-0000B5000000}"/>
    <cellStyle name="20% - Accent2 2 2 2" xfId="12" xr:uid="{00000000-0005-0000-0000-0000B6000000}"/>
    <cellStyle name="20% - Accent2 2 2 2 2" xfId="589" xr:uid="{00000000-0005-0000-0000-0000B7000000}"/>
    <cellStyle name="20% - Accent2 2 2 2 2 2" xfId="3687" xr:uid="{00000000-0005-0000-0000-0000B8000000}"/>
    <cellStyle name="20% - Accent2 2 2 2 2 2 2" xfId="7905" xr:uid="{00000000-0005-0000-0000-0000B9000000}"/>
    <cellStyle name="20% - Accent2 2 2 2 2 3" xfId="5760" xr:uid="{00000000-0005-0000-0000-0000BA000000}"/>
    <cellStyle name="20% - Accent2 2 2 2 2 4" xfId="1456" xr:uid="{00000000-0005-0000-0000-0000BB000000}"/>
    <cellStyle name="20% - Accent2 2 2 2 3" xfId="1871" xr:uid="{00000000-0005-0000-0000-0000BC000000}"/>
    <cellStyle name="20% - Accent2 2 2 2 3 2" xfId="4100" xr:uid="{00000000-0005-0000-0000-0000BD000000}"/>
    <cellStyle name="20% - Accent2 2 2 2 3 2 2" xfId="8318" xr:uid="{00000000-0005-0000-0000-0000BE000000}"/>
    <cellStyle name="20% - Accent2 2 2 2 3 3" xfId="6173" xr:uid="{00000000-0005-0000-0000-0000BF000000}"/>
    <cellStyle name="20% - Accent2 2 2 2 4" xfId="2284" xr:uid="{00000000-0005-0000-0000-0000C0000000}"/>
    <cellStyle name="20% - Accent2 2 2 2 4 2" xfId="4513" xr:uid="{00000000-0005-0000-0000-0000C1000000}"/>
    <cellStyle name="20% - Accent2 2 2 2 4 2 2" xfId="8731" xr:uid="{00000000-0005-0000-0000-0000C2000000}"/>
    <cellStyle name="20% - Accent2 2 2 2 4 3" xfId="6586" xr:uid="{00000000-0005-0000-0000-0000C3000000}"/>
    <cellStyle name="20% - Accent2 2 2 2 5" xfId="2697" xr:uid="{00000000-0005-0000-0000-0000C4000000}"/>
    <cellStyle name="20% - Accent2 2 2 2 5 2" xfId="4926" xr:uid="{00000000-0005-0000-0000-0000C5000000}"/>
    <cellStyle name="20% - Accent2 2 2 2 5 2 2" xfId="9144" xr:uid="{00000000-0005-0000-0000-0000C6000000}"/>
    <cellStyle name="20% - Accent2 2 2 2 5 3" xfId="6999" xr:uid="{00000000-0005-0000-0000-0000C7000000}"/>
    <cellStyle name="20% - Accent2 2 2 2 6" xfId="3110" xr:uid="{00000000-0005-0000-0000-0000C8000000}"/>
    <cellStyle name="20% - Accent2 2 2 2 6 2" xfId="7412" xr:uid="{00000000-0005-0000-0000-0000C9000000}"/>
    <cellStyle name="20% - Accent2 2 2 2 7" xfId="5346" xr:uid="{00000000-0005-0000-0000-0000CA000000}"/>
    <cellStyle name="20% - Accent2 2 2 2 8" xfId="1042" xr:uid="{00000000-0005-0000-0000-0000CB000000}"/>
    <cellStyle name="20% - Accent2 2 2 3" xfId="588" xr:uid="{00000000-0005-0000-0000-0000CC000000}"/>
    <cellStyle name="20% - Accent2 2 2 3 2" xfId="3686" xr:uid="{00000000-0005-0000-0000-0000CD000000}"/>
    <cellStyle name="20% - Accent2 2 2 3 2 2" xfId="7904" xr:uid="{00000000-0005-0000-0000-0000CE000000}"/>
    <cellStyle name="20% - Accent2 2 2 3 3" xfId="5759" xr:uid="{00000000-0005-0000-0000-0000CF000000}"/>
    <cellStyle name="20% - Accent2 2 2 3 4" xfId="1455" xr:uid="{00000000-0005-0000-0000-0000D0000000}"/>
    <cellStyle name="20% - Accent2 2 2 4" xfId="1870" xr:uid="{00000000-0005-0000-0000-0000D1000000}"/>
    <cellStyle name="20% - Accent2 2 2 4 2" xfId="4099" xr:uid="{00000000-0005-0000-0000-0000D2000000}"/>
    <cellStyle name="20% - Accent2 2 2 4 2 2" xfId="8317" xr:uid="{00000000-0005-0000-0000-0000D3000000}"/>
    <cellStyle name="20% - Accent2 2 2 4 3" xfId="6172" xr:uid="{00000000-0005-0000-0000-0000D4000000}"/>
    <cellStyle name="20% - Accent2 2 2 5" xfId="2283" xr:uid="{00000000-0005-0000-0000-0000D5000000}"/>
    <cellStyle name="20% - Accent2 2 2 5 2" xfId="4512" xr:uid="{00000000-0005-0000-0000-0000D6000000}"/>
    <cellStyle name="20% - Accent2 2 2 5 2 2" xfId="8730" xr:uid="{00000000-0005-0000-0000-0000D7000000}"/>
    <cellStyle name="20% - Accent2 2 2 5 3" xfId="6585" xr:uid="{00000000-0005-0000-0000-0000D8000000}"/>
    <cellStyle name="20% - Accent2 2 2 6" xfId="2696" xr:uid="{00000000-0005-0000-0000-0000D9000000}"/>
    <cellStyle name="20% - Accent2 2 2 6 2" xfId="4925" xr:uid="{00000000-0005-0000-0000-0000DA000000}"/>
    <cellStyle name="20% - Accent2 2 2 6 2 2" xfId="9143" xr:uid="{00000000-0005-0000-0000-0000DB000000}"/>
    <cellStyle name="20% - Accent2 2 2 6 3" xfId="6998" xr:uid="{00000000-0005-0000-0000-0000DC000000}"/>
    <cellStyle name="20% - Accent2 2 2 7" xfId="3109" xr:uid="{00000000-0005-0000-0000-0000DD000000}"/>
    <cellStyle name="20% - Accent2 2 2 7 2" xfId="7411" xr:uid="{00000000-0005-0000-0000-0000DE000000}"/>
    <cellStyle name="20% - Accent2 2 2 8" xfId="5345" xr:uid="{00000000-0005-0000-0000-0000DF000000}"/>
    <cellStyle name="20% - Accent2 2 2 9" xfId="1041" xr:uid="{00000000-0005-0000-0000-0000E0000000}"/>
    <cellStyle name="20% - Accent2 2 3" xfId="13" xr:uid="{00000000-0005-0000-0000-0000E1000000}"/>
    <cellStyle name="20% - Accent2 2 3 2" xfId="590" xr:uid="{00000000-0005-0000-0000-0000E2000000}"/>
    <cellStyle name="20% - Accent2 2 3 2 2" xfId="3688" xr:uid="{00000000-0005-0000-0000-0000E3000000}"/>
    <cellStyle name="20% - Accent2 2 3 2 2 2" xfId="7906" xr:uid="{00000000-0005-0000-0000-0000E4000000}"/>
    <cellStyle name="20% - Accent2 2 3 2 3" xfId="5761" xr:uid="{00000000-0005-0000-0000-0000E5000000}"/>
    <cellStyle name="20% - Accent2 2 3 2 4" xfId="1457" xr:uid="{00000000-0005-0000-0000-0000E6000000}"/>
    <cellStyle name="20% - Accent2 2 3 3" xfId="1872" xr:uid="{00000000-0005-0000-0000-0000E7000000}"/>
    <cellStyle name="20% - Accent2 2 3 3 2" xfId="4101" xr:uid="{00000000-0005-0000-0000-0000E8000000}"/>
    <cellStyle name="20% - Accent2 2 3 3 2 2" xfId="8319" xr:uid="{00000000-0005-0000-0000-0000E9000000}"/>
    <cellStyle name="20% - Accent2 2 3 3 3" xfId="6174" xr:uid="{00000000-0005-0000-0000-0000EA000000}"/>
    <cellStyle name="20% - Accent2 2 3 4" xfId="2285" xr:uid="{00000000-0005-0000-0000-0000EB000000}"/>
    <cellStyle name="20% - Accent2 2 3 4 2" xfId="4514" xr:uid="{00000000-0005-0000-0000-0000EC000000}"/>
    <cellStyle name="20% - Accent2 2 3 4 2 2" xfId="8732" xr:uid="{00000000-0005-0000-0000-0000ED000000}"/>
    <cellStyle name="20% - Accent2 2 3 4 3" xfId="6587" xr:uid="{00000000-0005-0000-0000-0000EE000000}"/>
    <cellStyle name="20% - Accent2 2 3 5" xfId="2698" xr:uid="{00000000-0005-0000-0000-0000EF000000}"/>
    <cellStyle name="20% - Accent2 2 3 5 2" xfId="4927" xr:uid="{00000000-0005-0000-0000-0000F0000000}"/>
    <cellStyle name="20% - Accent2 2 3 5 2 2" xfId="9145" xr:uid="{00000000-0005-0000-0000-0000F1000000}"/>
    <cellStyle name="20% - Accent2 2 3 5 3" xfId="7000" xr:uid="{00000000-0005-0000-0000-0000F2000000}"/>
    <cellStyle name="20% - Accent2 2 3 6" xfId="3111" xr:uid="{00000000-0005-0000-0000-0000F3000000}"/>
    <cellStyle name="20% - Accent2 2 3 6 2" xfId="7413" xr:uid="{00000000-0005-0000-0000-0000F4000000}"/>
    <cellStyle name="20% - Accent2 2 3 7" xfId="5347" xr:uid="{00000000-0005-0000-0000-0000F5000000}"/>
    <cellStyle name="20% - Accent2 2 3 8" xfId="1043" xr:uid="{00000000-0005-0000-0000-0000F6000000}"/>
    <cellStyle name="20% - Accent2 2 4" xfId="587" xr:uid="{00000000-0005-0000-0000-0000F7000000}"/>
    <cellStyle name="20% - Accent2 2 4 2" xfId="3685" xr:uid="{00000000-0005-0000-0000-0000F8000000}"/>
    <cellStyle name="20% - Accent2 2 4 2 2" xfId="7903" xr:uid="{00000000-0005-0000-0000-0000F9000000}"/>
    <cellStyle name="20% - Accent2 2 4 3" xfId="5758" xr:uid="{00000000-0005-0000-0000-0000FA000000}"/>
    <cellStyle name="20% - Accent2 2 4 4" xfId="1454" xr:uid="{00000000-0005-0000-0000-0000FB000000}"/>
    <cellStyle name="20% - Accent2 2 5" xfId="1869" xr:uid="{00000000-0005-0000-0000-0000FC000000}"/>
    <cellStyle name="20% - Accent2 2 5 2" xfId="4098" xr:uid="{00000000-0005-0000-0000-0000FD000000}"/>
    <cellStyle name="20% - Accent2 2 5 2 2" xfId="8316" xr:uid="{00000000-0005-0000-0000-0000FE000000}"/>
    <cellStyle name="20% - Accent2 2 5 3" xfId="6171" xr:uid="{00000000-0005-0000-0000-0000FF000000}"/>
    <cellStyle name="20% - Accent2 2 6" xfId="2282" xr:uid="{00000000-0005-0000-0000-000000010000}"/>
    <cellStyle name="20% - Accent2 2 6 2" xfId="4511" xr:uid="{00000000-0005-0000-0000-000001010000}"/>
    <cellStyle name="20% - Accent2 2 6 2 2" xfId="8729" xr:uid="{00000000-0005-0000-0000-000002010000}"/>
    <cellStyle name="20% - Accent2 2 6 3" xfId="6584" xr:uid="{00000000-0005-0000-0000-000003010000}"/>
    <cellStyle name="20% - Accent2 2 7" xfId="2695" xr:uid="{00000000-0005-0000-0000-000004010000}"/>
    <cellStyle name="20% - Accent2 2 7 2" xfId="4924" xr:uid="{00000000-0005-0000-0000-000005010000}"/>
    <cellStyle name="20% - Accent2 2 7 2 2" xfId="9142" xr:uid="{00000000-0005-0000-0000-000006010000}"/>
    <cellStyle name="20% - Accent2 2 7 3" xfId="6997" xr:uid="{00000000-0005-0000-0000-000007010000}"/>
    <cellStyle name="20% - Accent2 2 8" xfId="3108" xr:uid="{00000000-0005-0000-0000-000008010000}"/>
    <cellStyle name="20% - Accent2 2 8 2" xfId="7410" xr:uid="{00000000-0005-0000-0000-000009010000}"/>
    <cellStyle name="20% - Accent2 2 9" xfId="5344" xr:uid="{00000000-0005-0000-0000-00000A010000}"/>
    <cellStyle name="20% - Accent2 3" xfId="14" xr:uid="{00000000-0005-0000-0000-00000B010000}"/>
    <cellStyle name="20% - Accent2 3 2" xfId="15" xr:uid="{00000000-0005-0000-0000-00000C010000}"/>
    <cellStyle name="20% - Accent2 3 2 2" xfId="592" xr:uid="{00000000-0005-0000-0000-00000D010000}"/>
    <cellStyle name="20% - Accent2 3 2 2 2" xfId="3690" xr:uid="{00000000-0005-0000-0000-00000E010000}"/>
    <cellStyle name="20% - Accent2 3 2 2 2 2" xfId="7908" xr:uid="{00000000-0005-0000-0000-00000F010000}"/>
    <cellStyle name="20% - Accent2 3 2 2 3" xfId="5763" xr:uid="{00000000-0005-0000-0000-000010010000}"/>
    <cellStyle name="20% - Accent2 3 2 2 4" xfId="1459" xr:uid="{00000000-0005-0000-0000-000011010000}"/>
    <cellStyle name="20% - Accent2 3 2 3" xfId="1874" xr:uid="{00000000-0005-0000-0000-000012010000}"/>
    <cellStyle name="20% - Accent2 3 2 3 2" xfId="4103" xr:uid="{00000000-0005-0000-0000-000013010000}"/>
    <cellStyle name="20% - Accent2 3 2 3 2 2" xfId="8321" xr:uid="{00000000-0005-0000-0000-000014010000}"/>
    <cellStyle name="20% - Accent2 3 2 3 3" xfId="6176" xr:uid="{00000000-0005-0000-0000-000015010000}"/>
    <cellStyle name="20% - Accent2 3 2 4" xfId="2287" xr:uid="{00000000-0005-0000-0000-000016010000}"/>
    <cellStyle name="20% - Accent2 3 2 4 2" xfId="4516" xr:uid="{00000000-0005-0000-0000-000017010000}"/>
    <cellStyle name="20% - Accent2 3 2 4 2 2" xfId="8734" xr:uid="{00000000-0005-0000-0000-000018010000}"/>
    <cellStyle name="20% - Accent2 3 2 4 3" xfId="6589" xr:uid="{00000000-0005-0000-0000-000019010000}"/>
    <cellStyle name="20% - Accent2 3 2 5" xfId="2700" xr:uid="{00000000-0005-0000-0000-00001A010000}"/>
    <cellStyle name="20% - Accent2 3 2 5 2" xfId="4929" xr:uid="{00000000-0005-0000-0000-00001B010000}"/>
    <cellStyle name="20% - Accent2 3 2 5 2 2" xfId="9147" xr:uid="{00000000-0005-0000-0000-00001C010000}"/>
    <cellStyle name="20% - Accent2 3 2 5 3" xfId="7002" xr:uid="{00000000-0005-0000-0000-00001D010000}"/>
    <cellStyle name="20% - Accent2 3 2 6" xfId="3113" xr:uid="{00000000-0005-0000-0000-00001E010000}"/>
    <cellStyle name="20% - Accent2 3 2 6 2" xfId="7415" xr:uid="{00000000-0005-0000-0000-00001F010000}"/>
    <cellStyle name="20% - Accent2 3 2 7" xfId="5349" xr:uid="{00000000-0005-0000-0000-000020010000}"/>
    <cellStyle name="20% - Accent2 3 2 8" xfId="1045" xr:uid="{00000000-0005-0000-0000-000021010000}"/>
    <cellStyle name="20% - Accent2 3 3" xfId="591" xr:uid="{00000000-0005-0000-0000-000022010000}"/>
    <cellStyle name="20% - Accent2 3 3 2" xfId="3689" xr:uid="{00000000-0005-0000-0000-000023010000}"/>
    <cellStyle name="20% - Accent2 3 3 2 2" xfId="7907" xr:uid="{00000000-0005-0000-0000-000024010000}"/>
    <cellStyle name="20% - Accent2 3 3 3" xfId="5762" xr:uid="{00000000-0005-0000-0000-000025010000}"/>
    <cellStyle name="20% - Accent2 3 3 4" xfId="1458" xr:uid="{00000000-0005-0000-0000-000026010000}"/>
    <cellStyle name="20% - Accent2 3 4" xfId="1873" xr:uid="{00000000-0005-0000-0000-000027010000}"/>
    <cellStyle name="20% - Accent2 3 4 2" xfId="4102" xr:uid="{00000000-0005-0000-0000-000028010000}"/>
    <cellStyle name="20% - Accent2 3 4 2 2" xfId="8320" xr:uid="{00000000-0005-0000-0000-000029010000}"/>
    <cellStyle name="20% - Accent2 3 4 3" xfId="6175" xr:uid="{00000000-0005-0000-0000-00002A010000}"/>
    <cellStyle name="20% - Accent2 3 5" xfId="2286" xr:uid="{00000000-0005-0000-0000-00002B010000}"/>
    <cellStyle name="20% - Accent2 3 5 2" xfId="4515" xr:uid="{00000000-0005-0000-0000-00002C010000}"/>
    <cellStyle name="20% - Accent2 3 5 2 2" xfId="8733" xr:uid="{00000000-0005-0000-0000-00002D010000}"/>
    <cellStyle name="20% - Accent2 3 5 3" xfId="6588" xr:uid="{00000000-0005-0000-0000-00002E010000}"/>
    <cellStyle name="20% - Accent2 3 6" xfId="2699" xr:uid="{00000000-0005-0000-0000-00002F010000}"/>
    <cellStyle name="20% - Accent2 3 6 2" xfId="4928" xr:uid="{00000000-0005-0000-0000-000030010000}"/>
    <cellStyle name="20% - Accent2 3 6 2 2" xfId="9146" xr:uid="{00000000-0005-0000-0000-000031010000}"/>
    <cellStyle name="20% - Accent2 3 6 3" xfId="7001" xr:uid="{00000000-0005-0000-0000-000032010000}"/>
    <cellStyle name="20% - Accent2 3 7" xfId="3112" xr:uid="{00000000-0005-0000-0000-000033010000}"/>
    <cellStyle name="20% - Accent2 3 7 2" xfId="7414" xr:uid="{00000000-0005-0000-0000-000034010000}"/>
    <cellStyle name="20% - Accent2 3 8" xfId="5348" xr:uid="{00000000-0005-0000-0000-000035010000}"/>
    <cellStyle name="20% - Accent2 3 9" xfId="1044" xr:uid="{00000000-0005-0000-0000-000036010000}"/>
    <cellStyle name="20% - Accent2 4" xfId="16" xr:uid="{00000000-0005-0000-0000-000037010000}"/>
    <cellStyle name="20% - Accent2 4 2" xfId="593" xr:uid="{00000000-0005-0000-0000-000038010000}"/>
    <cellStyle name="20% - Accent2 4 2 2" xfId="3691" xr:uid="{00000000-0005-0000-0000-000039010000}"/>
    <cellStyle name="20% - Accent2 4 2 2 2" xfId="7909" xr:uid="{00000000-0005-0000-0000-00003A010000}"/>
    <cellStyle name="20% - Accent2 4 2 3" xfId="5764" xr:uid="{00000000-0005-0000-0000-00003B010000}"/>
    <cellStyle name="20% - Accent2 4 2 4" xfId="1460" xr:uid="{00000000-0005-0000-0000-00003C010000}"/>
    <cellStyle name="20% - Accent2 4 3" xfId="1875" xr:uid="{00000000-0005-0000-0000-00003D010000}"/>
    <cellStyle name="20% - Accent2 4 3 2" xfId="4104" xr:uid="{00000000-0005-0000-0000-00003E010000}"/>
    <cellStyle name="20% - Accent2 4 3 2 2" xfId="8322" xr:uid="{00000000-0005-0000-0000-00003F010000}"/>
    <cellStyle name="20% - Accent2 4 3 3" xfId="6177" xr:uid="{00000000-0005-0000-0000-000040010000}"/>
    <cellStyle name="20% - Accent2 4 4" xfId="2288" xr:uid="{00000000-0005-0000-0000-000041010000}"/>
    <cellStyle name="20% - Accent2 4 4 2" xfId="4517" xr:uid="{00000000-0005-0000-0000-000042010000}"/>
    <cellStyle name="20% - Accent2 4 4 2 2" xfId="8735" xr:uid="{00000000-0005-0000-0000-000043010000}"/>
    <cellStyle name="20% - Accent2 4 4 3" xfId="6590" xr:uid="{00000000-0005-0000-0000-000044010000}"/>
    <cellStyle name="20% - Accent2 4 5" xfId="2701" xr:uid="{00000000-0005-0000-0000-000045010000}"/>
    <cellStyle name="20% - Accent2 4 5 2" xfId="4930" xr:uid="{00000000-0005-0000-0000-000046010000}"/>
    <cellStyle name="20% - Accent2 4 5 2 2" xfId="9148" xr:uid="{00000000-0005-0000-0000-000047010000}"/>
    <cellStyle name="20% - Accent2 4 5 3" xfId="7003" xr:uid="{00000000-0005-0000-0000-000048010000}"/>
    <cellStyle name="20% - Accent2 4 6" xfId="3114" xr:uid="{00000000-0005-0000-0000-000049010000}"/>
    <cellStyle name="20% - Accent2 4 6 2" xfId="7416" xr:uid="{00000000-0005-0000-0000-00004A010000}"/>
    <cellStyle name="20% - Accent2 4 7" xfId="5350" xr:uid="{00000000-0005-0000-0000-00004B010000}"/>
    <cellStyle name="20% - Accent2 4 8" xfId="1046" xr:uid="{00000000-0005-0000-0000-00004C010000}"/>
    <cellStyle name="20% - Accent2 5" xfId="586" xr:uid="{00000000-0005-0000-0000-00004D010000}"/>
    <cellStyle name="20% - Accent2 5 2" xfId="3684" xr:uid="{00000000-0005-0000-0000-00004E010000}"/>
    <cellStyle name="20% - Accent2 5 2 2" xfId="7902" xr:uid="{00000000-0005-0000-0000-00004F010000}"/>
    <cellStyle name="20% - Accent2 5 3" xfId="5757" xr:uid="{00000000-0005-0000-0000-000050010000}"/>
    <cellStyle name="20% - Accent2 5 4" xfId="1453" xr:uid="{00000000-0005-0000-0000-000051010000}"/>
    <cellStyle name="20% - Accent2 6" xfId="1868" xr:uid="{00000000-0005-0000-0000-000052010000}"/>
    <cellStyle name="20% - Accent2 6 2" xfId="4097" xr:uid="{00000000-0005-0000-0000-000053010000}"/>
    <cellStyle name="20% - Accent2 6 2 2" xfId="8315" xr:uid="{00000000-0005-0000-0000-000054010000}"/>
    <cellStyle name="20% - Accent2 6 3" xfId="6170" xr:uid="{00000000-0005-0000-0000-000055010000}"/>
    <cellStyle name="20% - Accent2 7" xfId="2281" xr:uid="{00000000-0005-0000-0000-000056010000}"/>
    <cellStyle name="20% - Accent2 7 2" xfId="4510" xr:uid="{00000000-0005-0000-0000-000057010000}"/>
    <cellStyle name="20% - Accent2 7 2 2" xfId="8728" xr:uid="{00000000-0005-0000-0000-000058010000}"/>
    <cellStyle name="20% - Accent2 7 3" xfId="6583" xr:uid="{00000000-0005-0000-0000-000059010000}"/>
    <cellStyle name="20% - Accent2 8" xfId="2694" xr:uid="{00000000-0005-0000-0000-00005A010000}"/>
    <cellStyle name="20% - Accent2 8 2" xfId="4923" xr:uid="{00000000-0005-0000-0000-00005B010000}"/>
    <cellStyle name="20% - Accent2 8 2 2" xfId="9141" xr:uid="{00000000-0005-0000-0000-00005C010000}"/>
    <cellStyle name="20% - Accent2 8 3" xfId="6996" xr:uid="{00000000-0005-0000-0000-00005D010000}"/>
    <cellStyle name="20% - Accent2 9" xfId="3107" xr:uid="{00000000-0005-0000-0000-00005E010000}"/>
    <cellStyle name="20% - Accent2 9 2" xfId="7409" xr:uid="{00000000-0005-0000-0000-00005F010000}"/>
    <cellStyle name="20% - Accent3" xfId="17" builtinId="38" customBuiltin="1"/>
    <cellStyle name="20% - Accent3 10" xfId="5351" xr:uid="{00000000-0005-0000-0000-000061010000}"/>
    <cellStyle name="20% - Accent3 11" xfId="1047" xr:uid="{00000000-0005-0000-0000-000062010000}"/>
    <cellStyle name="20% - Accent3 2" xfId="18" xr:uid="{00000000-0005-0000-0000-000063010000}"/>
    <cellStyle name="20% - Accent3 2 10" xfId="1048" xr:uid="{00000000-0005-0000-0000-000064010000}"/>
    <cellStyle name="20% - Accent3 2 2" xfId="19" xr:uid="{00000000-0005-0000-0000-000065010000}"/>
    <cellStyle name="20% - Accent3 2 2 2" xfId="20" xr:uid="{00000000-0005-0000-0000-000066010000}"/>
    <cellStyle name="20% - Accent3 2 2 2 2" xfId="597" xr:uid="{00000000-0005-0000-0000-000067010000}"/>
    <cellStyle name="20% - Accent3 2 2 2 2 2" xfId="3695" xr:uid="{00000000-0005-0000-0000-000068010000}"/>
    <cellStyle name="20% - Accent3 2 2 2 2 2 2" xfId="7913" xr:uid="{00000000-0005-0000-0000-000069010000}"/>
    <cellStyle name="20% - Accent3 2 2 2 2 3" xfId="5768" xr:uid="{00000000-0005-0000-0000-00006A010000}"/>
    <cellStyle name="20% - Accent3 2 2 2 2 4" xfId="1464" xr:uid="{00000000-0005-0000-0000-00006B010000}"/>
    <cellStyle name="20% - Accent3 2 2 2 3" xfId="1879" xr:uid="{00000000-0005-0000-0000-00006C010000}"/>
    <cellStyle name="20% - Accent3 2 2 2 3 2" xfId="4108" xr:uid="{00000000-0005-0000-0000-00006D010000}"/>
    <cellStyle name="20% - Accent3 2 2 2 3 2 2" xfId="8326" xr:uid="{00000000-0005-0000-0000-00006E010000}"/>
    <cellStyle name="20% - Accent3 2 2 2 3 3" xfId="6181" xr:uid="{00000000-0005-0000-0000-00006F010000}"/>
    <cellStyle name="20% - Accent3 2 2 2 4" xfId="2292" xr:uid="{00000000-0005-0000-0000-000070010000}"/>
    <cellStyle name="20% - Accent3 2 2 2 4 2" xfId="4521" xr:uid="{00000000-0005-0000-0000-000071010000}"/>
    <cellStyle name="20% - Accent3 2 2 2 4 2 2" xfId="8739" xr:uid="{00000000-0005-0000-0000-000072010000}"/>
    <cellStyle name="20% - Accent3 2 2 2 4 3" xfId="6594" xr:uid="{00000000-0005-0000-0000-000073010000}"/>
    <cellStyle name="20% - Accent3 2 2 2 5" xfId="2705" xr:uid="{00000000-0005-0000-0000-000074010000}"/>
    <cellStyle name="20% - Accent3 2 2 2 5 2" xfId="4934" xr:uid="{00000000-0005-0000-0000-000075010000}"/>
    <cellStyle name="20% - Accent3 2 2 2 5 2 2" xfId="9152" xr:uid="{00000000-0005-0000-0000-000076010000}"/>
    <cellStyle name="20% - Accent3 2 2 2 5 3" xfId="7007" xr:uid="{00000000-0005-0000-0000-000077010000}"/>
    <cellStyle name="20% - Accent3 2 2 2 6" xfId="3118" xr:uid="{00000000-0005-0000-0000-000078010000}"/>
    <cellStyle name="20% - Accent3 2 2 2 6 2" xfId="7420" xr:uid="{00000000-0005-0000-0000-000079010000}"/>
    <cellStyle name="20% - Accent3 2 2 2 7" xfId="5354" xr:uid="{00000000-0005-0000-0000-00007A010000}"/>
    <cellStyle name="20% - Accent3 2 2 2 8" xfId="1050" xr:uid="{00000000-0005-0000-0000-00007B010000}"/>
    <cellStyle name="20% - Accent3 2 2 3" xfId="596" xr:uid="{00000000-0005-0000-0000-00007C010000}"/>
    <cellStyle name="20% - Accent3 2 2 3 2" xfId="3694" xr:uid="{00000000-0005-0000-0000-00007D010000}"/>
    <cellStyle name="20% - Accent3 2 2 3 2 2" xfId="7912" xr:uid="{00000000-0005-0000-0000-00007E010000}"/>
    <cellStyle name="20% - Accent3 2 2 3 3" xfId="5767" xr:uid="{00000000-0005-0000-0000-00007F010000}"/>
    <cellStyle name="20% - Accent3 2 2 3 4" xfId="1463" xr:uid="{00000000-0005-0000-0000-000080010000}"/>
    <cellStyle name="20% - Accent3 2 2 4" xfId="1878" xr:uid="{00000000-0005-0000-0000-000081010000}"/>
    <cellStyle name="20% - Accent3 2 2 4 2" xfId="4107" xr:uid="{00000000-0005-0000-0000-000082010000}"/>
    <cellStyle name="20% - Accent3 2 2 4 2 2" xfId="8325" xr:uid="{00000000-0005-0000-0000-000083010000}"/>
    <cellStyle name="20% - Accent3 2 2 4 3" xfId="6180" xr:uid="{00000000-0005-0000-0000-000084010000}"/>
    <cellStyle name="20% - Accent3 2 2 5" xfId="2291" xr:uid="{00000000-0005-0000-0000-000085010000}"/>
    <cellStyle name="20% - Accent3 2 2 5 2" xfId="4520" xr:uid="{00000000-0005-0000-0000-000086010000}"/>
    <cellStyle name="20% - Accent3 2 2 5 2 2" xfId="8738" xr:uid="{00000000-0005-0000-0000-000087010000}"/>
    <cellStyle name="20% - Accent3 2 2 5 3" xfId="6593" xr:uid="{00000000-0005-0000-0000-000088010000}"/>
    <cellStyle name="20% - Accent3 2 2 6" xfId="2704" xr:uid="{00000000-0005-0000-0000-000089010000}"/>
    <cellStyle name="20% - Accent3 2 2 6 2" xfId="4933" xr:uid="{00000000-0005-0000-0000-00008A010000}"/>
    <cellStyle name="20% - Accent3 2 2 6 2 2" xfId="9151" xr:uid="{00000000-0005-0000-0000-00008B010000}"/>
    <cellStyle name="20% - Accent3 2 2 6 3" xfId="7006" xr:uid="{00000000-0005-0000-0000-00008C010000}"/>
    <cellStyle name="20% - Accent3 2 2 7" xfId="3117" xr:uid="{00000000-0005-0000-0000-00008D010000}"/>
    <cellStyle name="20% - Accent3 2 2 7 2" xfId="7419" xr:uid="{00000000-0005-0000-0000-00008E010000}"/>
    <cellStyle name="20% - Accent3 2 2 8" xfId="5353" xr:uid="{00000000-0005-0000-0000-00008F010000}"/>
    <cellStyle name="20% - Accent3 2 2 9" xfId="1049" xr:uid="{00000000-0005-0000-0000-000090010000}"/>
    <cellStyle name="20% - Accent3 2 3" xfId="21" xr:uid="{00000000-0005-0000-0000-000091010000}"/>
    <cellStyle name="20% - Accent3 2 3 2" xfId="598" xr:uid="{00000000-0005-0000-0000-000092010000}"/>
    <cellStyle name="20% - Accent3 2 3 2 2" xfId="3696" xr:uid="{00000000-0005-0000-0000-000093010000}"/>
    <cellStyle name="20% - Accent3 2 3 2 2 2" xfId="7914" xr:uid="{00000000-0005-0000-0000-000094010000}"/>
    <cellStyle name="20% - Accent3 2 3 2 3" xfId="5769" xr:uid="{00000000-0005-0000-0000-000095010000}"/>
    <cellStyle name="20% - Accent3 2 3 2 4" xfId="1465" xr:uid="{00000000-0005-0000-0000-000096010000}"/>
    <cellStyle name="20% - Accent3 2 3 3" xfId="1880" xr:uid="{00000000-0005-0000-0000-000097010000}"/>
    <cellStyle name="20% - Accent3 2 3 3 2" xfId="4109" xr:uid="{00000000-0005-0000-0000-000098010000}"/>
    <cellStyle name="20% - Accent3 2 3 3 2 2" xfId="8327" xr:uid="{00000000-0005-0000-0000-000099010000}"/>
    <cellStyle name="20% - Accent3 2 3 3 3" xfId="6182" xr:uid="{00000000-0005-0000-0000-00009A010000}"/>
    <cellStyle name="20% - Accent3 2 3 4" xfId="2293" xr:uid="{00000000-0005-0000-0000-00009B010000}"/>
    <cellStyle name="20% - Accent3 2 3 4 2" xfId="4522" xr:uid="{00000000-0005-0000-0000-00009C010000}"/>
    <cellStyle name="20% - Accent3 2 3 4 2 2" xfId="8740" xr:uid="{00000000-0005-0000-0000-00009D010000}"/>
    <cellStyle name="20% - Accent3 2 3 4 3" xfId="6595" xr:uid="{00000000-0005-0000-0000-00009E010000}"/>
    <cellStyle name="20% - Accent3 2 3 5" xfId="2706" xr:uid="{00000000-0005-0000-0000-00009F010000}"/>
    <cellStyle name="20% - Accent3 2 3 5 2" xfId="4935" xr:uid="{00000000-0005-0000-0000-0000A0010000}"/>
    <cellStyle name="20% - Accent3 2 3 5 2 2" xfId="9153" xr:uid="{00000000-0005-0000-0000-0000A1010000}"/>
    <cellStyle name="20% - Accent3 2 3 5 3" xfId="7008" xr:uid="{00000000-0005-0000-0000-0000A2010000}"/>
    <cellStyle name="20% - Accent3 2 3 6" xfId="3119" xr:uid="{00000000-0005-0000-0000-0000A3010000}"/>
    <cellStyle name="20% - Accent3 2 3 6 2" xfId="7421" xr:uid="{00000000-0005-0000-0000-0000A4010000}"/>
    <cellStyle name="20% - Accent3 2 3 7" xfId="5355" xr:uid="{00000000-0005-0000-0000-0000A5010000}"/>
    <cellStyle name="20% - Accent3 2 3 8" xfId="1051" xr:uid="{00000000-0005-0000-0000-0000A6010000}"/>
    <cellStyle name="20% - Accent3 2 4" xfId="595" xr:uid="{00000000-0005-0000-0000-0000A7010000}"/>
    <cellStyle name="20% - Accent3 2 4 2" xfId="3693" xr:uid="{00000000-0005-0000-0000-0000A8010000}"/>
    <cellStyle name="20% - Accent3 2 4 2 2" xfId="7911" xr:uid="{00000000-0005-0000-0000-0000A9010000}"/>
    <cellStyle name="20% - Accent3 2 4 3" xfId="5766" xr:uid="{00000000-0005-0000-0000-0000AA010000}"/>
    <cellStyle name="20% - Accent3 2 4 4" xfId="1462" xr:uid="{00000000-0005-0000-0000-0000AB010000}"/>
    <cellStyle name="20% - Accent3 2 5" xfId="1877" xr:uid="{00000000-0005-0000-0000-0000AC010000}"/>
    <cellStyle name="20% - Accent3 2 5 2" xfId="4106" xr:uid="{00000000-0005-0000-0000-0000AD010000}"/>
    <cellStyle name="20% - Accent3 2 5 2 2" xfId="8324" xr:uid="{00000000-0005-0000-0000-0000AE010000}"/>
    <cellStyle name="20% - Accent3 2 5 3" xfId="6179" xr:uid="{00000000-0005-0000-0000-0000AF010000}"/>
    <cellStyle name="20% - Accent3 2 6" xfId="2290" xr:uid="{00000000-0005-0000-0000-0000B0010000}"/>
    <cellStyle name="20% - Accent3 2 6 2" xfId="4519" xr:uid="{00000000-0005-0000-0000-0000B1010000}"/>
    <cellStyle name="20% - Accent3 2 6 2 2" xfId="8737" xr:uid="{00000000-0005-0000-0000-0000B2010000}"/>
    <cellStyle name="20% - Accent3 2 6 3" xfId="6592" xr:uid="{00000000-0005-0000-0000-0000B3010000}"/>
    <cellStyle name="20% - Accent3 2 7" xfId="2703" xr:uid="{00000000-0005-0000-0000-0000B4010000}"/>
    <cellStyle name="20% - Accent3 2 7 2" xfId="4932" xr:uid="{00000000-0005-0000-0000-0000B5010000}"/>
    <cellStyle name="20% - Accent3 2 7 2 2" xfId="9150" xr:uid="{00000000-0005-0000-0000-0000B6010000}"/>
    <cellStyle name="20% - Accent3 2 7 3" xfId="7005" xr:uid="{00000000-0005-0000-0000-0000B7010000}"/>
    <cellStyle name="20% - Accent3 2 8" xfId="3116" xr:uid="{00000000-0005-0000-0000-0000B8010000}"/>
    <cellStyle name="20% - Accent3 2 8 2" xfId="7418" xr:uid="{00000000-0005-0000-0000-0000B9010000}"/>
    <cellStyle name="20% - Accent3 2 9" xfId="5352" xr:uid="{00000000-0005-0000-0000-0000BA010000}"/>
    <cellStyle name="20% - Accent3 3" xfId="22" xr:uid="{00000000-0005-0000-0000-0000BB010000}"/>
    <cellStyle name="20% - Accent3 3 2" xfId="23" xr:uid="{00000000-0005-0000-0000-0000BC010000}"/>
    <cellStyle name="20% - Accent3 3 2 2" xfId="600" xr:uid="{00000000-0005-0000-0000-0000BD010000}"/>
    <cellStyle name="20% - Accent3 3 2 2 2" xfId="3698" xr:uid="{00000000-0005-0000-0000-0000BE010000}"/>
    <cellStyle name="20% - Accent3 3 2 2 2 2" xfId="7916" xr:uid="{00000000-0005-0000-0000-0000BF010000}"/>
    <cellStyle name="20% - Accent3 3 2 2 3" xfId="5771" xr:uid="{00000000-0005-0000-0000-0000C0010000}"/>
    <cellStyle name="20% - Accent3 3 2 2 4" xfId="1467" xr:uid="{00000000-0005-0000-0000-0000C1010000}"/>
    <cellStyle name="20% - Accent3 3 2 3" xfId="1882" xr:uid="{00000000-0005-0000-0000-0000C2010000}"/>
    <cellStyle name="20% - Accent3 3 2 3 2" xfId="4111" xr:uid="{00000000-0005-0000-0000-0000C3010000}"/>
    <cellStyle name="20% - Accent3 3 2 3 2 2" xfId="8329" xr:uid="{00000000-0005-0000-0000-0000C4010000}"/>
    <cellStyle name="20% - Accent3 3 2 3 3" xfId="6184" xr:uid="{00000000-0005-0000-0000-0000C5010000}"/>
    <cellStyle name="20% - Accent3 3 2 4" xfId="2295" xr:uid="{00000000-0005-0000-0000-0000C6010000}"/>
    <cellStyle name="20% - Accent3 3 2 4 2" xfId="4524" xr:uid="{00000000-0005-0000-0000-0000C7010000}"/>
    <cellStyle name="20% - Accent3 3 2 4 2 2" xfId="8742" xr:uid="{00000000-0005-0000-0000-0000C8010000}"/>
    <cellStyle name="20% - Accent3 3 2 4 3" xfId="6597" xr:uid="{00000000-0005-0000-0000-0000C9010000}"/>
    <cellStyle name="20% - Accent3 3 2 5" xfId="2708" xr:uid="{00000000-0005-0000-0000-0000CA010000}"/>
    <cellStyle name="20% - Accent3 3 2 5 2" xfId="4937" xr:uid="{00000000-0005-0000-0000-0000CB010000}"/>
    <cellStyle name="20% - Accent3 3 2 5 2 2" xfId="9155" xr:uid="{00000000-0005-0000-0000-0000CC010000}"/>
    <cellStyle name="20% - Accent3 3 2 5 3" xfId="7010" xr:uid="{00000000-0005-0000-0000-0000CD010000}"/>
    <cellStyle name="20% - Accent3 3 2 6" xfId="3121" xr:uid="{00000000-0005-0000-0000-0000CE010000}"/>
    <cellStyle name="20% - Accent3 3 2 6 2" xfId="7423" xr:uid="{00000000-0005-0000-0000-0000CF010000}"/>
    <cellStyle name="20% - Accent3 3 2 7" xfId="5357" xr:uid="{00000000-0005-0000-0000-0000D0010000}"/>
    <cellStyle name="20% - Accent3 3 2 8" xfId="1053" xr:uid="{00000000-0005-0000-0000-0000D1010000}"/>
    <cellStyle name="20% - Accent3 3 3" xfId="599" xr:uid="{00000000-0005-0000-0000-0000D2010000}"/>
    <cellStyle name="20% - Accent3 3 3 2" xfId="3697" xr:uid="{00000000-0005-0000-0000-0000D3010000}"/>
    <cellStyle name="20% - Accent3 3 3 2 2" xfId="7915" xr:uid="{00000000-0005-0000-0000-0000D4010000}"/>
    <cellStyle name="20% - Accent3 3 3 3" xfId="5770" xr:uid="{00000000-0005-0000-0000-0000D5010000}"/>
    <cellStyle name="20% - Accent3 3 3 4" xfId="1466" xr:uid="{00000000-0005-0000-0000-0000D6010000}"/>
    <cellStyle name="20% - Accent3 3 4" xfId="1881" xr:uid="{00000000-0005-0000-0000-0000D7010000}"/>
    <cellStyle name="20% - Accent3 3 4 2" xfId="4110" xr:uid="{00000000-0005-0000-0000-0000D8010000}"/>
    <cellStyle name="20% - Accent3 3 4 2 2" xfId="8328" xr:uid="{00000000-0005-0000-0000-0000D9010000}"/>
    <cellStyle name="20% - Accent3 3 4 3" xfId="6183" xr:uid="{00000000-0005-0000-0000-0000DA010000}"/>
    <cellStyle name="20% - Accent3 3 5" xfId="2294" xr:uid="{00000000-0005-0000-0000-0000DB010000}"/>
    <cellStyle name="20% - Accent3 3 5 2" xfId="4523" xr:uid="{00000000-0005-0000-0000-0000DC010000}"/>
    <cellStyle name="20% - Accent3 3 5 2 2" xfId="8741" xr:uid="{00000000-0005-0000-0000-0000DD010000}"/>
    <cellStyle name="20% - Accent3 3 5 3" xfId="6596" xr:uid="{00000000-0005-0000-0000-0000DE010000}"/>
    <cellStyle name="20% - Accent3 3 6" xfId="2707" xr:uid="{00000000-0005-0000-0000-0000DF010000}"/>
    <cellStyle name="20% - Accent3 3 6 2" xfId="4936" xr:uid="{00000000-0005-0000-0000-0000E0010000}"/>
    <cellStyle name="20% - Accent3 3 6 2 2" xfId="9154" xr:uid="{00000000-0005-0000-0000-0000E1010000}"/>
    <cellStyle name="20% - Accent3 3 6 3" xfId="7009" xr:uid="{00000000-0005-0000-0000-0000E2010000}"/>
    <cellStyle name="20% - Accent3 3 7" xfId="3120" xr:uid="{00000000-0005-0000-0000-0000E3010000}"/>
    <cellStyle name="20% - Accent3 3 7 2" xfId="7422" xr:uid="{00000000-0005-0000-0000-0000E4010000}"/>
    <cellStyle name="20% - Accent3 3 8" xfId="5356" xr:uid="{00000000-0005-0000-0000-0000E5010000}"/>
    <cellStyle name="20% - Accent3 3 9" xfId="1052" xr:uid="{00000000-0005-0000-0000-0000E6010000}"/>
    <cellStyle name="20% - Accent3 4" xfId="24" xr:uid="{00000000-0005-0000-0000-0000E7010000}"/>
    <cellStyle name="20% - Accent3 4 2" xfId="601" xr:uid="{00000000-0005-0000-0000-0000E8010000}"/>
    <cellStyle name="20% - Accent3 4 2 2" xfId="3699" xr:uid="{00000000-0005-0000-0000-0000E9010000}"/>
    <cellStyle name="20% - Accent3 4 2 2 2" xfId="7917" xr:uid="{00000000-0005-0000-0000-0000EA010000}"/>
    <cellStyle name="20% - Accent3 4 2 3" xfId="5772" xr:uid="{00000000-0005-0000-0000-0000EB010000}"/>
    <cellStyle name="20% - Accent3 4 2 4" xfId="1468" xr:uid="{00000000-0005-0000-0000-0000EC010000}"/>
    <cellStyle name="20% - Accent3 4 3" xfId="1883" xr:uid="{00000000-0005-0000-0000-0000ED010000}"/>
    <cellStyle name="20% - Accent3 4 3 2" xfId="4112" xr:uid="{00000000-0005-0000-0000-0000EE010000}"/>
    <cellStyle name="20% - Accent3 4 3 2 2" xfId="8330" xr:uid="{00000000-0005-0000-0000-0000EF010000}"/>
    <cellStyle name="20% - Accent3 4 3 3" xfId="6185" xr:uid="{00000000-0005-0000-0000-0000F0010000}"/>
    <cellStyle name="20% - Accent3 4 4" xfId="2296" xr:uid="{00000000-0005-0000-0000-0000F1010000}"/>
    <cellStyle name="20% - Accent3 4 4 2" xfId="4525" xr:uid="{00000000-0005-0000-0000-0000F2010000}"/>
    <cellStyle name="20% - Accent3 4 4 2 2" xfId="8743" xr:uid="{00000000-0005-0000-0000-0000F3010000}"/>
    <cellStyle name="20% - Accent3 4 4 3" xfId="6598" xr:uid="{00000000-0005-0000-0000-0000F4010000}"/>
    <cellStyle name="20% - Accent3 4 5" xfId="2709" xr:uid="{00000000-0005-0000-0000-0000F5010000}"/>
    <cellStyle name="20% - Accent3 4 5 2" xfId="4938" xr:uid="{00000000-0005-0000-0000-0000F6010000}"/>
    <cellStyle name="20% - Accent3 4 5 2 2" xfId="9156" xr:uid="{00000000-0005-0000-0000-0000F7010000}"/>
    <cellStyle name="20% - Accent3 4 5 3" xfId="7011" xr:uid="{00000000-0005-0000-0000-0000F8010000}"/>
    <cellStyle name="20% - Accent3 4 6" xfId="3122" xr:uid="{00000000-0005-0000-0000-0000F9010000}"/>
    <cellStyle name="20% - Accent3 4 6 2" xfId="7424" xr:uid="{00000000-0005-0000-0000-0000FA010000}"/>
    <cellStyle name="20% - Accent3 4 7" xfId="5358" xr:uid="{00000000-0005-0000-0000-0000FB010000}"/>
    <cellStyle name="20% - Accent3 4 8" xfId="1054" xr:uid="{00000000-0005-0000-0000-0000FC010000}"/>
    <cellStyle name="20% - Accent3 5" xfId="594" xr:uid="{00000000-0005-0000-0000-0000FD010000}"/>
    <cellStyle name="20% - Accent3 5 2" xfId="3692" xr:uid="{00000000-0005-0000-0000-0000FE010000}"/>
    <cellStyle name="20% - Accent3 5 2 2" xfId="7910" xr:uid="{00000000-0005-0000-0000-0000FF010000}"/>
    <cellStyle name="20% - Accent3 5 3" xfId="5765" xr:uid="{00000000-0005-0000-0000-000000020000}"/>
    <cellStyle name="20% - Accent3 5 4" xfId="1461" xr:uid="{00000000-0005-0000-0000-000001020000}"/>
    <cellStyle name="20% - Accent3 6" xfId="1876" xr:uid="{00000000-0005-0000-0000-000002020000}"/>
    <cellStyle name="20% - Accent3 6 2" xfId="4105" xr:uid="{00000000-0005-0000-0000-000003020000}"/>
    <cellStyle name="20% - Accent3 6 2 2" xfId="8323" xr:uid="{00000000-0005-0000-0000-000004020000}"/>
    <cellStyle name="20% - Accent3 6 3" xfId="6178" xr:uid="{00000000-0005-0000-0000-000005020000}"/>
    <cellStyle name="20% - Accent3 7" xfId="2289" xr:uid="{00000000-0005-0000-0000-000006020000}"/>
    <cellStyle name="20% - Accent3 7 2" xfId="4518" xr:uid="{00000000-0005-0000-0000-000007020000}"/>
    <cellStyle name="20% - Accent3 7 2 2" xfId="8736" xr:uid="{00000000-0005-0000-0000-000008020000}"/>
    <cellStyle name="20% - Accent3 7 3" xfId="6591" xr:uid="{00000000-0005-0000-0000-000009020000}"/>
    <cellStyle name="20% - Accent3 8" xfId="2702" xr:uid="{00000000-0005-0000-0000-00000A020000}"/>
    <cellStyle name="20% - Accent3 8 2" xfId="4931" xr:uid="{00000000-0005-0000-0000-00000B020000}"/>
    <cellStyle name="20% - Accent3 8 2 2" xfId="9149" xr:uid="{00000000-0005-0000-0000-00000C020000}"/>
    <cellStyle name="20% - Accent3 8 3" xfId="7004" xr:uid="{00000000-0005-0000-0000-00000D020000}"/>
    <cellStyle name="20% - Accent3 9" xfId="3115" xr:uid="{00000000-0005-0000-0000-00000E020000}"/>
    <cellStyle name="20% - Accent3 9 2" xfId="7417" xr:uid="{00000000-0005-0000-0000-00000F020000}"/>
    <cellStyle name="20% - Accent4" xfId="25" builtinId="42" customBuiltin="1"/>
    <cellStyle name="20% - Accent4 10" xfId="5359" xr:uid="{00000000-0005-0000-0000-000011020000}"/>
    <cellStyle name="20% - Accent4 11" xfId="1055" xr:uid="{00000000-0005-0000-0000-000012020000}"/>
    <cellStyle name="20% - Accent4 2" xfId="26" xr:uid="{00000000-0005-0000-0000-000013020000}"/>
    <cellStyle name="20% - Accent4 2 10" xfId="1056" xr:uid="{00000000-0005-0000-0000-000014020000}"/>
    <cellStyle name="20% - Accent4 2 2" xfId="27" xr:uid="{00000000-0005-0000-0000-000015020000}"/>
    <cellStyle name="20% - Accent4 2 2 2" xfId="28" xr:uid="{00000000-0005-0000-0000-000016020000}"/>
    <cellStyle name="20% - Accent4 2 2 2 2" xfId="605" xr:uid="{00000000-0005-0000-0000-000017020000}"/>
    <cellStyle name="20% - Accent4 2 2 2 2 2" xfId="3703" xr:uid="{00000000-0005-0000-0000-000018020000}"/>
    <cellStyle name="20% - Accent4 2 2 2 2 2 2" xfId="7921" xr:uid="{00000000-0005-0000-0000-000019020000}"/>
    <cellStyle name="20% - Accent4 2 2 2 2 3" xfId="5776" xr:uid="{00000000-0005-0000-0000-00001A020000}"/>
    <cellStyle name="20% - Accent4 2 2 2 2 4" xfId="1472" xr:uid="{00000000-0005-0000-0000-00001B020000}"/>
    <cellStyle name="20% - Accent4 2 2 2 3" xfId="1887" xr:uid="{00000000-0005-0000-0000-00001C020000}"/>
    <cellStyle name="20% - Accent4 2 2 2 3 2" xfId="4116" xr:uid="{00000000-0005-0000-0000-00001D020000}"/>
    <cellStyle name="20% - Accent4 2 2 2 3 2 2" xfId="8334" xr:uid="{00000000-0005-0000-0000-00001E020000}"/>
    <cellStyle name="20% - Accent4 2 2 2 3 3" xfId="6189" xr:uid="{00000000-0005-0000-0000-00001F020000}"/>
    <cellStyle name="20% - Accent4 2 2 2 4" xfId="2300" xr:uid="{00000000-0005-0000-0000-000020020000}"/>
    <cellStyle name="20% - Accent4 2 2 2 4 2" xfId="4529" xr:uid="{00000000-0005-0000-0000-000021020000}"/>
    <cellStyle name="20% - Accent4 2 2 2 4 2 2" xfId="8747" xr:uid="{00000000-0005-0000-0000-000022020000}"/>
    <cellStyle name="20% - Accent4 2 2 2 4 3" xfId="6602" xr:uid="{00000000-0005-0000-0000-000023020000}"/>
    <cellStyle name="20% - Accent4 2 2 2 5" xfId="2713" xr:uid="{00000000-0005-0000-0000-000024020000}"/>
    <cellStyle name="20% - Accent4 2 2 2 5 2" xfId="4942" xr:uid="{00000000-0005-0000-0000-000025020000}"/>
    <cellStyle name="20% - Accent4 2 2 2 5 2 2" xfId="9160" xr:uid="{00000000-0005-0000-0000-000026020000}"/>
    <cellStyle name="20% - Accent4 2 2 2 5 3" xfId="7015" xr:uid="{00000000-0005-0000-0000-000027020000}"/>
    <cellStyle name="20% - Accent4 2 2 2 6" xfId="3126" xr:uid="{00000000-0005-0000-0000-000028020000}"/>
    <cellStyle name="20% - Accent4 2 2 2 6 2" xfId="7428" xr:uid="{00000000-0005-0000-0000-000029020000}"/>
    <cellStyle name="20% - Accent4 2 2 2 7" xfId="5362" xr:uid="{00000000-0005-0000-0000-00002A020000}"/>
    <cellStyle name="20% - Accent4 2 2 2 8" xfId="1058" xr:uid="{00000000-0005-0000-0000-00002B020000}"/>
    <cellStyle name="20% - Accent4 2 2 3" xfId="604" xr:uid="{00000000-0005-0000-0000-00002C020000}"/>
    <cellStyle name="20% - Accent4 2 2 3 2" xfId="3702" xr:uid="{00000000-0005-0000-0000-00002D020000}"/>
    <cellStyle name="20% - Accent4 2 2 3 2 2" xfId="7920" xr:uid="{00000000-0005-0000-0000-00002E020000}"/>
    <cellStyle name="20% - Accent4 2 2 3 3" xfId="5775" xr:uid="{00000000-0005-0000-0000-00002F020000}"/>
    <cellStyle name="20% - Accent4 2 2 3 4" xfId="1471" xr:uid="{00000000-0005-0000-0000-000030020000}"/>
    <cellStyle name="20% - Accent4 2 2 4" xfId="1886" xr:uid="{00000000-0005-0000-0000-000031020000}"/>
    <cellStyle name="20% - Accent4 2 2 4 2" xfId="4115" xr:uid="{00000000-0005-0000-0000-000032020000}"/>
    <cellStyle name="20% - Accent4 2 2 4 2 2" xfId="8333" xr:uid="{00000000-0005-0000-0000-000033020000}"/>
    <cellStyle name="20% - Accent4 2 2 4 3" xfId="6188" xr:uid="{00000000-0005-0000-0000-000034020000}"/>
    <cellStyle name="20% - Accent4 2 2 5" xfId="2299" xr:uid="{00000000-0005-0000-0000-000035020000}"/>
    <cellStyle name="20% - Accent4 2 2 5 2" xfId="4528" xr:uid="{00000000-0005-0000-0000-000036020000}"/>
    <cellStyle name="20% - Accent4 2 2 5 2 2" xfId="8746" xr:uid="{00000000-0005-0000-0000-000037020000}"/>
    <cellStyle name="20% - Accent4 2 2 5 3" xfId="6601" xr:uid="{00000000-0005-0000-0000-000038020000}"/>
    <cellStyle name="20% - Accent4 2 2 6" xfId="2712" xr:uid="{00000000-0005-0000-0000-000039020000}"/>
    <cellStyle name="20% - Accent4 2 2 6 2" xfId="4941" xr:uid="{00000000-0005-0000-0000-00003A020000}"/>
    <cellStyle name="20% - Accent4 2 2 6 2 2" xfId="9159" xr:uid="{00000000-0005-0000-0000-00003B020000}"/>
    <cellStyle name="20% - Accent4 2 2 6 3" xfId="7014" xr:uid="{00000000-0005-0000-0000-00003C020000}"/>
    <cellStyle name="20% - Accent4 2 2 7" xfId="3125" xr:uid="{00000000-0005-0000-0000-00003D020000}"/>
    <cellStyle name="20% - Accent4 2 2 7 2" xfId="7427" xr:uid="{00000000-0005-0000-0000-00003E020000}"/>
    <cellStyle name="20% - Accent4 2 2 8" xfId="5361" xr:uid="{00000000-0005-0000-0000-00003F020000}"/>
    <cellStyle name="20% - Accent4 2 2 9" xfId="1057" xr:uid="{00000000-0005-0000-0000-000040020000}"/>
    <cellStyle name="20% - Accent4 2 3" xfId="29" xr:uid="{00000000-0005-0000-0000-000041020000}"/>
    <cellStyle name="20% - Accent4 2 3 2" xfId="606" xr:uid="{00000000-0005-0000-0000-000042020000}"/>
    <cellStyle name="20% - Accent4 2 3 2 2" xfId="3704" xr:uid="{00000000-0005-0000-0000-000043020000}"/>
    <cellStyle name="20% - Accent4 2 3 2 2 2" xfId="7922" xr:uid="{00000000-0005-0000-0000-000044020000}"/>
    <cellStyle name="20% - Accent4 2 3 2 3" xfId="5777" xr:uid="{00000000-0005-0000-0000-000045020000}"/>
    <cellStyle name="20% - Accent4 2 3 2 4" xfId="1473" xr:uid="{00000000-0005-0000-0000-000046020000}"/>
    <cellStyle name="20% - Accent4 2 3 3" xfId="1888" xr:uid="{00000000-0005-0000-0000-000047020000}"/>
    <cellStyle name="20% - Accent4 2 3 3 2" xfId="4117" xr:uid="{00000000-0005-0000-0000-000048020000}"/>
    <cellStyle name="20% - Accent4 2 3 3 2 2" xfId="8335" xr:uid="{00000000-0005-0000-0000-000049020000}"/>
    <cellStyle name="20% - Accent4 2 3 3 3" xfId="6190" xr:uid="{00000000-0005-0000-0000-00004A020000}"/>
    <cellStyle name="20% - Accent4 2 3 4" xfId="2301" xr:uid="{00000000-0005-0000-0000-00004B020000}"/>
    <cellStyle name="20% - Accent4 2 3 4 2" xfId="4530" xr:uid="{00000000-0005-0000-0000-00004C020000}"/>
    <cellStyle name="20% - Accent4 2 3 4 2 2" xfId="8748" xr:uid="{00000000-0005-0000-0000-00004D020000}"/>
    <cellStyle name="20% - Accent4 2 3 4 3" xfId="6603" xr:uid="{00000000-0005-0000-0000-00004E020000}"/>
    <cellStyle name="20% - Accent4 2 3 5" xfId="2714" xr:uid="{00000000-0005-0000-0000-00004F020000}"/>
    <cellStyle name="20% - Accent4 2 3 5 2" xfId="4943" xr:uid="{00000000-0005-0000-0000-000050020000}"/>
    <cellStyle name="20% - Accent4 2 3 5 2 2" xfId="9161" xr:uid="{00000000-0005-0000-0000-000051020000}"/>
    <cellStyle name="20% - Accent4 2 3 5 3" xfId="7016" xr:uid="{00000000-0005-0000-0000-000052020000}"/>
    <cellStyle name="20% - Accent4 2 3 6" xfId="3127" xr:uid="{00000000-0005-0000-0000-000053020000}"/>
    <cellStyle name="20% - Accent4 2 3 6 2" xfId="7429" xr:uid="{00000000-0005-0000-0000-000054020000}"/>
    <cellStyle name="20% - Accent4 2 3 7" xfId="5363" xr:uid="{00000000-0005-0000-0000-000055020000}"/>
    <cellStyle name="20% - Accent4 2 3 8" xfId="1059" xr:uid="{00000000-0005-0000-0000-000056020000}"/>
    <cellStyle name="20% - Accent4 2 4" xfId="603" xr:uid="{00000000-0005-0000-0000-000057020000}"/>
    <cellStyle name="20% - Accent4 2 4 2" xfId="3701" xr:uid="{00000000-0005-0000-0000-000058020000}"/>
    <cellStyle name="20% - Accent4 2 4 2 2" xfId="7919" xr:uid="{00000000-0005-0000-0000-000059020000}"/>
    <cellStyle name="20% - Accent4 2 4 3" xfId="5774" xr:uid="{00000000-0005-0000-0000-00005A020000}"/>
    <cellStyle name="20% - Accent4 2 4 4" xfId="1470" xr:uid="{00000000-0005-0000-0000-00005B020000}"/>
    <cellStyle name="20% - Accent4 2 5" xfId="1885" xr:uid="{00000000-0005-0000-0000-00005C020000}"/>
    <cellStyle name="20% - Accent4 2 5 2" xfId="4114" xr:uid="{00000000-0005-0000-0000-00005D020000}"/>
    <cellStyle name="20% - Accent4 2 5 2 2" xfId="8332" xr:uid="{00000000-0005-0000-0000-00005E020000}"/>
    <cellStyle name="20% - Accent4 2 5 3" xfId="6187" xr:uid="{00000000-0005-0000-0000-00005F020000}"/>
    <cellStyle name="20% - Accent4 2 6" xfId="2298" xr:uid="{00000000-0005-0000-0000-000060020000}"/>
    <cellStyle name="20% - Accent4 2 6 2" xfId="4527" xr:uid="{00000000-0005-0000-0000-000061020000}"/>
    <cellStyle name="20% - Accent4 2 6 2 2" xfId="8745" xr:uid="{00000000-0005-0000-0000-000062020000}"/>
    <cellStyle name="20% - Accent4 2 6 3" xfId="6600" xr:uid="{00000000-0005-0000-0000-000063020000}"/>
    <cellStyle name="20% - Accent4 2 7" xfId="2711" xr:uid="{00000000-0005-0000-0000-000064020000}"/>
    <cellStyle name="20% - Accent4 2 7 2" xfId="4940" xr:uid="{00000000-0005-0000-0000-000065020000}"/>
    <cellStyle name="20% - Accent4 2 7 2 2" xfId="9158" xr:uid="{00000000-0005-0000-0000-000066020000}"/>
    <cellStyle name="20% - Accent4 2 7 3" xfId="7013" xr:uid="{00000000-0005-0000-0000-000067020000}"/>
    <cellStyle name="20% - Accent4 2 8" xfId="3124" xr:uid="{00000000-0005-0000-0000-000068020000}"/>
    <cellStyle name="20% - Accent4 2 8 2" xfId="7426" xr:uid="{00000000-0005-0000-0000-000069020000}"/>
    <cellStyle name="20% - Accent4 2 9" xfId="5360" xr:uid="{00000000-0005-0000-0000-00006A020000}"/>
    <cellStyle name="20% - Accent4 3" xfId="30" xr:uid="{00000000-0005-0000-0000-00006B020000}"/>
    <cellStyle name="20% - Accent4 3 2" xfId="31" xr:uid="{00000000-0005-0000-0000-00006C020000}"/>
    <cellStyle name="20% - Accent4 3 2 2" xfId="608" xr:uid="{00000000-0005-0000-0000-00006D020000}"/>
    <cellStyle name="20% - Accent4 3 2 2 2" xfId="3706" xr:uid="{00000000-0005-0000-0000-00006E020000}"/>
    <cellStyle name="20% - Accent4 3 2 2 2 2" xfId="7924" xr:uid="{00000000-0005-0000-0000-00006F020000}"/>
    <cellStyle name="20% - Accent4 3 2 2 3" xfId="5779" xr:uid="{00000000-0005-0000-0000-000070020000}"/>
    <cellStyle name="20% - Accent4 3 2 2 4" xfId="1475" xr:uid="{00000000-0005-0000-0000-000071020000}"/>
    <cellStyle name="20% - Accent4 3 2 3" xfId="1890" xr:uid="{00000000-0005-0000-0000-000072020000}"/>
    <cellStyle name="20% - Accent4 3 2 3 2" xfId="4119" xr:uid="{00000000-0005-0000-0000-000073020000}"/>
    <cellStyle name="20% - Accent4 3 2 3 2 2" xfId="8337" xr:uid="{00000000-0005-0000-0000-000074020000}"/>
    <cellStyle name="20% - Accent4 3 2 3 3" xfId="6192" xr:uid="{00000000-0005-0000-0000-000075020000}"/>
    <cellStyle name="20% - Accent4 3 2 4" xfId="2303" xr:uid="{00000000-0005-0000-0000-000076020000}"/>
    <cellStyle name="20% - Accent4 3 2 4 2" xfId="4532" xr:uid="{00000000-0005-0000-0000-000077020000}"/>
    <cellStyle name="20% - Accent4 3 2 4 2 2" xfId="8750" xr:uid="{00000000-0005-0000-0000-000078020000}"/>
    <cellStyle name="20% - Accent4 3 2 4 3" xfId="6605" xr:uid="{00000000-0005-0000-0000-000079020000}"/>
    <cellStyle name="20% - Accent4 3 2 5" xfId="2716" xr:uid="{00000000-0005-0000-0000-00007A020000}"/>
    <cellStyle name="20% - Accent4 3 2 5 2" xfId="4945" xr:uid="{00000000-0005-0000-0000-00007B020000}"/>
    <cellStyle name="20% - Accent4 3 2 5 2 2" xfId="9163" xr:uid="{00000000-0005-0000-0000-00007C020000}"/>
    <cellStyle name="20% - Accent4 3 2 5 3" xfId="7018" xr:uid="{00000000-0005-0000-0000-00007D020000}"/>
    <cellStyle name="20% - Accent4 3 2 6" xfId="3129" xr:uid="{00000000-0005-0000-0000-00007E020000}"/>
    <cellStyle name="20% - Accent4 3 2 6 2" xfId="7431" xr:uid="{00000000-0005-0000-0000-00007F020000}"/>
    <cellStyle name="20% - Accent4 3 2 7" xfId="5365" xr:uid="{00000000-0005-0000-0000-000080020000}"/>
    <cellStyle name="20% - Accent4 3 2 8" xfId="1061" xr:uid="{00000000-0005-0000-0000-000081020000}"/>
    <cellStyle name="20% - Accent4 3 3" xfId="607" xr:uid="{00000000-0005-0000-0000-000082020000}"/>
    <cellStyle name="20% - Accent4 3 3 2" xfId="3705" xr:uid="{00000000-0005-0000-0000-000083020000}"/>
    <cellStyle name="20% - Accent4 3 3 2 2" xfId="7923" xr:uid="{00000000-0005-0000-0000-000084020000}"/>
    <cellStyle name="20% - Accent4 3 3 3" xfId="5778" xr:uid="{00000000-0005-0000-0000-000085020000}"/>
    <cellStyle name="20% - Accent4 3 3 4" xfId="1474" xr:uid="{00000000-0005-0000-0000-000086020000}"/>
    <cellStyle name="20% - Accent4 3 4" xfId="1889" xr:uid="{00000000-0005-0000-0000-000087020000}"/>
    <cellStyle name="20% - Accent4 3 4 2" xfId="4118" xr:uid="{00000000-0005-0000-0000-000088020000}"/>
    <cellStyle name="20% - Accent4 3 4 2 2" xfId="8336" xr:uid="{00000000-0005-0000-0000-000089020000}"/>
    <cellStyle name="20% - Accent4 3 4 3" xfId="6191" xr:uid="{00000000-0005-0000-0000-00008A020000}"/>
    <cellStyle name="20% - Accent4 3 5" xfId="2302" xr:uid="{00000000-0005-0000-0000-00008B020000}"/>
    <cellStyle name="20% - Accent4 3 5 2" xfId="4531" xr:uid="{00000000-0005-0000-0000-00008C020000}"/>
    <cellStyle name="20% - Accent4 3 5 2 2" xfId="8749" xr:uid="{00000000-0005-0000-0000-00008D020000}"/>
    <cellStyle name="20% - Accent4 3 5 3" xfId="6604" xr:uid="{00000000-0005-0000-0000-00008E020000}"/>
    <cellStyle name="20% - Accent4 3 6" xfId="2715" xr:uid="{00000000-0005-0000-0000-00008F020000}"/>
    <cellStyle name="20% - Accent4 3 6 2" xfId="4944" xr:uid="{00000000-0005-0000-0000-000090020000}"/>
    <cellStyle name="20% - Accent4 3 6 2 2" xfId="9162" xr:uid="{00000000-0005-0000-0000-000091020000}"/>
    <cellStyle name="20% - Accent4 3 6 3" xfId="7017" xr:uid="{00000000-0005-0000-0000-000092020000}"/>
    <cellStyle name="20% - Accent4 3 7" xfId="3128" xr:uid="{00000000-0005-0000-0000-000093020000}"/>
    <cellStyle name="20% - Accent4 3 7 2" xfId="7430" xr:uid="{00000000-0005-0000-0000-000094020000}"/>
    <cellStyle name="20% - Accent4 3 8" xfId="5364" xr:uid="{00000000-0005-0000-0000-000095020000}"/>
    <cellStyle name="20% - Accent4 3 9" xfId="1060" xr:uid="{00000000-0005-0000-0000-000096020000}"/>
    <cellStyle name="20% - Accent4 4" xfId="32" xr:uid="{00000000-0005-0000-0000-000097020000}"/>
    <cellStyle name="20% - Accent4 4 2" xfId="609" xr:uid="{00000000-0005-0000-0000-000098020000}"/>
    <cellStyle name="20% - Accent4 4 2 2" xfId="3707" xr:uid="{00000000-0005-0000-0000-000099020000}"/>
    <cellStyle name="20% - Accent4 4 2 2 2" xfId="7925" xr:uid="{00000000-0005-0000-0000-00009A020000}"/>
    <cellStyle name="20% - Accent4 4 2 3" xfId="5780" xr:uid="{00000000-0005-0000-0000-00009B020000}"/>
    <cellStyle name="20% - Accent4 4 2 4" xfId="1476" xr:uid="{00000000-0005-0000-0000-00009C020000}"/>
    <cellStyle name="20% - Accent4 4 3" xfId="1891" xr:uid="{00000000-0005-0000-0000-00009D020000}"/>
    <cellStyle name="20% - Accent4 4 3 2" xfId="4120" xr:uid="{00000000-0005-0000-0000-00009E020000}"/>
    <cellStyle name="20% - Accent4 4 3 2 2" xfId="8338" xr:uid="{00000000-0005-0000-0000-00009F020000}"/>
    <cellStyle name="20% - Accent4 4 3 3" xfId="6193" xr:uid="{00000000-0005-0000-0000-0000A0020000}"/>
    <cellStyle name="20% - Accent4 4 4" xfId="2304" xr:uid="{00000000-0005-0000-0000-0000A1020000}"/>
    <cellStyle name="20% - Accent4 4 4 2" xfId="4533" xr:uid="{00000000-0005-0000-0000-0000A2020000}"/>
    <cellStyle name="20% - Accent4 4 4 2 2" xfId="8751" xr:uid="{00000000-0005-0000-0000-0000A3020000}"/>
    <cellStyle name="20% - Accent4 4 4 3" xfId="6606" xr:uid="{00000000-0005-0000-0000-0000A4020000}"/>
    <cellStyle name="20% - Accent4 4 5" xfId="2717" xr:uid="{00000000-0005-0000-0000-0000A5020000}"/>
    <cellStyle name="20% - Accent4 4 5 2" xfId="4946" xr:uid="{00000000-0005-0000-0000-0000A6020000}"/>
    <cellStyle name="20% - Accent4 4 5 2 2" xfId="9164" xr:uid="{00000000-0005-0000-0000-0000A7020000}"/>
    <cellStyle name="20% - Accent4 4 5 3" xfId="7019" xr:uid="{00000000-0005-0000-0000-0000A8020000}"/>
    <cellStyle name="20% - Accent4 4 6" xfId="3130" xr:uid="{00000000-0005-0000-0000-0000A9020000}"/>
    <cellStyle name="20% - Accent4 4 6 2" xfId="7432" xr:uid="{00000000-0005-0000-0000-0000AA020000}"/>
    <cellStyle name="20% - Accent4 4 7" xfId="5366" xr:uid="{00000000-0005-0000-0000-0000AB020000}"/>
    <cellStyle name="20% - Accent4 4 8" xfId="1062" xr:uid="{00000000-0005-0000-0000-0000AC020000}"/>
    <cellStyle name="20% - Accent4 5" xfId="602" xr:uid="{00000000-0005-0000-0000-0000AD020000}"/>
    <cellStyle name="20% - Accent4 5 2" xfId="3700" xr:uid="{00000000-0005-0000-0000-0000AE020000}"/>
    <cellStyle name="20% - Accent4 5 2 2" xfId="7918" xr:uid="{00000000-0005-0000-0000-0000AF020000}"/>
    <cellStyle name="20% - Accent4 5 3" xfId="5773" xr:uid="{00000000-0005-0000-0000-0000B0020000}"/>
    <cellStyle name="20% - Accent4 5 4" xfId="1469" xr:uid="{00000000-0005-0000-0000-0000B1020000}"/>
    <cellStyle name="20% - Accent4 6" xfId="1884" xr:uid="{00000000-0005-0000-0000-0000B2020000}"/>
    <cellStyle name="20% - Accent4 6 2" xfId="4113" xr:uid="{00000000-0005-0000-0000-0000B3020000}"/>
    <cellStyle name="20% - Accent4 6 2 2" xfId="8331" xr:uid="{00000000-0005-0000-0000-0000B4020000}"/>
    <cellStyle name="20% - Accent4 6 3" xfId="6186" xr:uid="{00000000-0005-0000-0000-0000B5020000}"/>
    <cellStyle name="20% - Accent4 7" xfId="2297" xr:uid="{00000000-0005-0000-0000-0000B6020000}"/>
    <cellStyle name="20% - Accent4 7 2" xfId="4526" xr:uid="{00000000-0005-0000-0000-0000B7020000}"/>
    <cellStyle name="20% - Accent4 7 2 2" xfId="8744" xr:uid="{00000000-0005-0000-0000-0000B8020000}"/>
    <cellStyle name="20% - Accent4 7 3" xfId="6599" xr:uid="{00000000-0005-0000-0000-0000B9020000}"/>
    <cellStyle name="20% - Accent4 8" xfId="2710" xr:uid="{00000000-0005-0000-0000-0000BA020000}"/>
    <cellStyle name="20% - Accent4 8 2" xfId="4939" xr:uid="{00000000-0005-0000-0000-0000BB020000}"/>
    <cellStyle name="20% - Accent4 8 2 2" xfId="9157" xr:uid="{00000000-0005-0000-0000-0000BC020000}"/>
    <cellStyle name="20% - Accent4 8 3" xfId="7012" xr:uid="{00000000-0005-0000-0000-0000BD020000}"/>
    <cellStyle name="20% - Accent4 9" xfId="3123" xr:uid="{00000000-0005-0000-0000-0000BE020000}"/>
    <cellStyle name="20% - Accent4 9 2" xfId="7425" xr:uid="{00000000-0005-0000-0000-0000BF020000}"/>
    <cellStyle name="20% - Accent5" xfId="33" builtinId="46" customBuiltin="1"/>
    <cellStyle name="20% - Accent5 10" xfId="5367" xr:uid="{00000000-0005-0000-0000-0000C1020000}"/>
    <cellStyle name="20% - Accent5 11" xfId="1063" xr:uid="{00000000-0005-0000-0000-0000C2020000}"/>
    <cellStyle name="20% - Accent5 2" xfId="34" xr:uid="{00000000-0005-0000-0000-0000C3020000}"/>
    <cellStyle name="20% - Accent5 2 10" xfId="1064" xr:uid="{00000000-0005-0000-0000-0000C4020000}"/>
    <cellStyle name="20% - Accent5 2 2" xfId="35" xr:uid="{00000000-0005-0000-0000-0000C5020000}"/>
    <cellStyle name="20% - Accent5 2 2 2" xfId="36" xr:uid="{00000000-0005-0000-0000-0000C6020000}"/>
    <cellStyle name="20% - Accent5 2 2 2 2" xfId="613" xr:uid="{00000000-0005-0000-0000-0000C7020000}"/>
    <cellStyle name="20% - Accent5 2 2 2 2 2" xfId="3711" xr:uid="{00000000-0005-0000-0000-0000C8020000}"/>
    <cellStyle name="20% - Accent5 2 2 2 2 2 2" xfId="7929" xr:uid="{00000000-0005-0000-0000-0000C9020000}"/>
    <cellStyle name="20% - Accent5 2 2 2 2 3" xfId="5784" xr:uid="{00000000-0005-0000-0000-0000CA020000}"/>
    <cellStyle name="20% - Accent5 2 2 2 2 4" xfId="1480" xr:uid="{00000000-0005-0000-0000-0000CB020000}"/>
    <cellStyle name="20% - Accent5 2 2 2 3" xfId="1895" xr:uid="{00000000-0005-0000-0000-0000CC020000}"/>
    <cellStyle name="20% - Accent5 2 2 2 3 2" xfId="4124" xr:uid="{00000000-0005-0000-0000-0000CD020000}"/>
    <cellStyle name="20% - Accent5 2 2 2 3 2 2" xfId="8342" xr:uid="{00000000-0005-0000-0000-0000CE020000}"/>
    <cellStyle name="20% - Accent5 2 2 2 3 3" xfId="6197" xr:uid="{00000000-0005-0000-0000-0000CF020000}"/>
    <cellStyle name="20% - Accent5 2 2 2 4" xfId="2308" xr:uid="{00000000-0005-0000-0000-0000D0020000}"/>
    <cellStyle name="20% - Accent5 2 2 2 4 2" xfId="4537" xr:uid="{00000000-0005-0000-0000-0000D1020000}"/>
    <cellStyle name="20% - Accent5 2 2 2 4 2 2" xfId="8755" xr:uid="{00000000-0005-0000-0000-0000D2020000}"/>
    <cellStyle name="20% - Accent5 2 2 2 4 3" xfId="6610" xr:uid="{00000000-0005-0000-0000-0000D3020000}"/>
    <cellStyle name="20% - Accent5 2 2 2 5" xfId="2721" xr:uid="{00000000-0005-0000-0000-0000D4020000}"/>
    <cellStyle name="20% - Accent5 2 2 2 5 2" xfId="4950" xr:uid="{00000000-0005-0000-0000-0000D5020000}"/>
    <cellStyle name="20% - Accent5 2 2 2 5 2 2" xfId="9168" xr:uid="{00000000-0005-0000-0000-0000D6020000}"/>
    <cellStyle name="20% - Accent5 2 2 2 5 3" xfId="7023" xr:uid="{00000000-0005-0000-0000-0000D7020000}"/>
    <cellStyle name="20% - Accent5 2 2 2 6" xfId="3134" xr:uid="{00000000-0005-0000-0000-0000D8020000}"/>
    <cellStyle name="20% - Accent5 2 2 2 6 2" xfId="7436" xr:uid="{00000000-0005-0000-0000-0000D9020000}"/>
    <cellStyle name="20% - Accent5 2 2 2 7" xfId="5370" xr:uid="{00000000-0005-0000-0000-0000DA020000}"/>
    <cellStyle name="20% - Accent5 2 2 2 8" xfId="1066" xr:uid="{00000000-0005-0000-0000-0000DB020000}"/>
    <cellStyle name="20% - Accent5 2 2 3" xfId="612" xr:uid="{00000000-0005-0000-0000-0000DC020000}"/>
    <cellStyle name="20% - Accent5 2 2 3 2" xfId="3710" xr:uid="{00000000-0005-0000-0000-0000DD020000}"/>
    <cellStyle name="20% - Accent5 2 2 3 2 2" xfId="7928" xr:uid="{00000000-0005-0000-0000-0000DE020000}"/>
    <cellStyle name="20% - Accent5 2 2 3 3" xfId="5783" xr:uid="{00000000-0005-0000-0000-0000DF020000}"/>
    <cellStyle name="20% - Accent5 2 2 3 4" xfId="1479" xr:uid="{00000000-0005-0000-0000-0000E0020000}"/>
    <cellStyle name="20% - Accent5 2 2 4" xfId="1894" xr:uid="{00000000-0005-0000-0000-0000E1020000}"/>
    <cellStyle name="20% - Accent5 2 2 4 2" xfId="4123" xr:uid="{00000000-0005-0000-0000-0000E2020000}"/>
    <cellStyle name="20% - Accent5 2 2 4 2 2" xfId="8341" xr:uid="{00000000-0005-0000-0000-0000E3020000}"/>
    <cellStyle name="20% - Accent5 2 2 4 3" xfId="6196" xr:uid="{00000000-0005-0000-0000-0000E4020000}"/>
    <cellStyle name="20% - Accent5 2 2 5" xfId="2307" xr:uid="{00000000-0005-0000-0000-0000E5020000}"/>
    <cellStyle name="20% - Accent5 2 2 5 2" xfId="4536" xr:uid="{00000000-0005-0000-0000-0000E6020000}"/>
    <cellStyle name="20% - Accent5 2 2 5 2 2" xfId="8754" xr:uid="{00000000-0005-0000-0000-0000E7020000}"/>
    <cellStyle name="20% - Accent5 2 2 5 3" xfId="6609" xr:uid="{00000000-0005-0000-0000-0000E8020000}"/>
    <cellStyle name="20% - Accent5 2 2 6" xfId="2720" xr:uid="{00000000-0005-0000-0000-0000E9020000}"/>
    <cellStyle name="20% - Accent5 2 2 6 2" xfId="4949" xr:uid="{00000000-0005-0000-0000-0000EA020000}"/>
    <cellStyle name="20% - Accent5 2 2 6 2 2" xfId="9167" xr:uid="{00000000-0005-0000-0000-0000EB020000}"/>
    <cellStyle name="20% - Accent5 2 2 6 3" xfId="7022" xr:uid="{00000000-0005-0000-0000-0000EC020000}"/>
    <cellStyle name="20% - Accent5 2 2 7" xfId="3133" xr:uid="{00000000-0005-0000-0000-0000ED020000}"/>
    <cellStyle name="20% - Accent5 2 2 7 2" xfId="7435" xr:uid="{00000000-0005-0000-0000-0000EE020000}"/>
    <cellStyle name="20% - Accent5 2 2 8" xfId="5369" xr:uid="{00000000-0005-0000-0000-0000EF020000}"/>
    <cellStyle name="20% - Accent5 2 2 9" xfId="1065" xr:uid="{00000000-0005-0000-0000-0000F0020000}"/>
    <cellStyle name="20% - Accent5 2 3" xfId="37" xr:uid="{00000000-0005-0000-0000-0000F1020000}"/>
    <cellStyle name="20% - Accent5 2 3 2" xfId="614" xr:uid="{00000000-0005-0000-0000-0000F2020000}"/>
    <cellStyle name="20% - Accent5 2 3 2 2" xfId="3712" xr:uid="{00000000-0005-0000-0000-0000F3020000}"/>
    <cellStyle name="20% - Accent5 2 3 2 2 2" xfId="7930" xr:uid="{00000000-0005-0000-0000-0000F4020000}"/>
    <cellStyle name="20% - Accent5 2 3 2 3" xfId="5785" xr:uid="{00000000-0005-0000-0000-0000F5020000}"/>
    <cellStyle name="20% - Accent5 2 3 2 4" xfId="1481" xr:uid="{00000000-0005-0000-0000-0000F6020000}"/>
    <cellStyle name="20% - Accent5 2 3 3" xfId="1896" xr:uid="{00000000-0005-0000-0000-0000F7020000}"/>
    <cellStyle name="20% - Accent5 2 3 3 2" xfId="4125" xr:uid="{00000000-0005-0000-0000-0000F8020000}"/>
    <cellStyle name="20% - Accent5 2 3 3 2 2" xfId="8343" xr:uid="{00000000-0005-0000-0000-0000F9020000}"/>
    <cellStyle name="20% - Accent5 2 3 3 3" xfId="6198" xr:uid="{00000000-0005-0000-0000-0000FA020000}"/>
    <cellStyle name="20% - Accent5 2 3 4" xfId="2309" xr:uid="{00000000-0005-0000-0000-0000FB020000}"/>
    <cellStyle name="20% - Accent5 2 3 4 2" xfId="4538" xr:uid="{00000000-0005-0000-0000-0000FC020000}"/>
    <cellStyle name="20% - Accent5 2 3 4 2 2" xfId="8756" xr:uid="{00000000-0005-0000-0000-0000FD020000}"/>
    <cellStyle name="20% - Accent5 2 3 4 3" xfId="6611" xr:uid="{00000000-0005-0000-0000-0000FE020000}"/>
    <cellStyle name="20% - Accent5 2 3 5" xfId="2722" xr:uid="{00000000-0005-0000-0000-0000FF020000}"/>
    <cellStyle name="20% - Accent5 2 3 5 2" xfId="4951" xr:uid="{00000000-0005-0000-0000-000000030000}"/>
    <cellStyle name="20% - Accent5 2 3 5 2 2" xfId="9169" xr:uid="{00000000-0005-0000-0000-000001030000}"/>
    <cellStyle name="20% - Accent5 2 3 5 3" xfId="7024" xr:uid="{00000000-0005-0000-0000-000002030000}"/>
    <cellStyle name="20% - Accent5 2 3 6" xfId="3135" xr:uid="{00000000-0005-0000-0000-000003030000}"/>
    <cellStyle name="20% - Accent5 2 3 6 2" xfId="7437" xr:uid="{00000000-0005-0000-0000-000004030000}"/>
    <cellStyle name="20% - Accent5 2 3 7" xfId="5371" xr:uid="{00000000-0005-0000-0000-000005030000}"/>
    <cellStyle name="20% - Accent5 2 3 8" xfId="1067" xr:uid="{00000000-0005-0000-0000-000006030000}"/>
    <cellStyle name="20% - Accent5 2 4" xfId="611" xr:uid="{00000000-0005-0000-0000-000007030000}"/>
    <cellStyle name="20% - Accent5 2 4 2" xfId="3709" xr:uid="{00000000-0005-0000-0000-000008030000}"/>
    <cellStyle name="20% - Accent5 2 4 2 2" xfId="7927" xr:uid="{00000000-0005-0000-0000-000009030000}"/>
    <cellStyle name="20% - Accent5 2 4 3" xfId="5782" xr:uid="{00000000-0005-0000-0000-00000A030000}"/>
    <cellStyle name="20% - Accent5 2 4 4" xfId="1478" xr:uid="{00000000-0005-0000-0000-00000B030000}"/>
    <cellStyle name="20% - Accent5 2 5" xfId="1893" xr:uid="{00000000-0005-0000-0000-00000C030000}"/>
    <cellStyle name="20% - Accent5 2 5 2" xfId="4122" xr:uid="{00000000-0005-0000-0000-00000D030000}"/>
    <cellStyle name="20% - Accent5 2 5 2 2" xfId="8340" xr:uid="{00000000-0005-0000-0000-00000E030000}"/>
    <cellStyle name="20% - Accent5 2 5 3" xfId="6195" xr:uid="{00000000-0005-0000-0000-00000F030000}"/>
    <cellStyle name="20% - Accent5 2 6" xfId="2306" xr:uid="{00000000-0005-0000-0000-000010030000}"/>
    <cellStyle name="20% - Accent5 2 6 2" xfId="4535" xr:uid="{00000000-0005-0000-0000-000011030000}"/>
    <cellStyle name="20% - Accent5 2 6 2 2" xfId="8753" xr:uid="{00000000-0005-0000-0000-000012030000}"/>
    <cellStyle name="20% - Accent5 2 6 3" xfId="6608" xr:uid="{00000000-0005-0000-0000-000013030000}"/>
    <cellStyle name="20% - Accent5 2 7" xfId="2719" xr:uid="{00000000-0005-0000-0000-000014030000}"/>
    <cellStyle name="20% - Accent5 2 7 2" xfId="4948" xr:uid="{00000000-0005-0000-0000-000015030000}"/>
    <cellStyle name="20% - Accent5 2 7 2 2" xfId="9166" xr:uid="{00000000-0005-0000-0000-000016030000}"/>
    <cellStyle name="20% - Accent5 2 7 3" xfId="7021" xr:uid="{00000000-0005-0000-0000-000017030000}"/>
    <cellStyle name="20% - Accent5 2 8" xfId="3132" xr:uid="{00000000-0005-0000-0000-000018030000}"/>
    <cellStyle name="20% - Accent5 2 8 2" xfId="7434" xr:uid="{00000000-0005-0000-0000-000019030000}"/>
    <cellStyle name="20% - Accent5 2 9" xfId="5368" xr:uid="{00000000-0005-0000-0000-00001A030000}"/>
    <cellStyle name="20% - Accent5 3" xfId="38" xr:uid="{00000000-0005-0000-0000-00001B030000}"/>
    <cellStyle name="20% - Accent5 3 2" xfId="39" xr:uid="{00000000-0005-0000-0000-00001C030000}"/>
    <cellStyle name="20% - Accent5 3 2 2" xfId="616" xr:uid="{00000000-0005-0000-0000-00001D030000}"/>
    <cellStyle name="20% - Accent5 3 2 2 2" xfId="3714" xr:uid="{00000000-0005-0000-0000-00001E030000}"/>
    <cellStyle name="20% - Accent5 3 2 2 2 2" xfId="7932" xr:uid="{00000000-0005-0000-0000-00001F030000}"/>
    <cellStyle name="20% - Accent5 3 2 2 3" xfId="5787" xr:uid="{00000000-0005-0000-0000-000020030000}"/>
    <cellStyle name="20% - Accent5 3 2 2 4" xfId="1483" xr:uid="{00000000-0005-0000-0000-000021030000}"/>
    <cellStyle name="20% - Accent5 3 2 3" xfId="1898" xr:uid="{00000000-0005-0000-0000-000022030000}"/>
    <cellStyle name="20% - Accent5 3 2 3 2" xfId="4127" xr:uid="{00000000-0005-0000-0000-000023030000}"/>
    <cellStyle name="20% - Accent5 3 2 3 2 2" xfId="8345" xr:uid="{00000000-0005-0000-0000-000024030000}"/>
    <cellStyle name="20% - Accent5 3 2 3 3" xfId="6200" xr:uid="{00000000-0005-0000-0000-000025030000}"/>
    <cellStyle name="20% - Accent5 3 2 4" xfId="2311" xr:uid="{00000000-0005-0000-0000-000026030000}"/>
    <cellStyle name="20% - Accent5 3 2 4 2" xfId="4540" xr:uid="{00000000-0005-0000-0000-000027030000}"/>
    <cellStyle name="20% - Accent5 3 2 4 2 2" xfId="8758" xr:uid="{00000000-0005-0000-0000-000028030000}"/>
    <cellStyle name="20% - Accent5 3 2 4 3" xfId="6613" xr:uid="{00000000-0005-0000-0000-000029030000}"/>
    <cellStyle name="20% - Accent5 3 2 5" xfId="2724" xr:uid="{00000000-0005-0000-0000-00002A030000}"/>
    <cellStyle name="20% - Accent5 3 2 5 2" xfId="4953" xr:uid="{00000000-0005-0000-0000-00002B030000}"/>
    <cellStyle name="20% - Accent5 3 2 5 2 2" xfId="9171" xr:uid="{00000000-0005-0000-0000-00002C030000}"/>
    <cellStyle name="20% - Accent5 3 2 5 3" xfId="7026" xr:uid="{00000000-0005-0000-0000-00002D030000}"/>
    <cellStyle name="20% - Accent5 3 2 6" xfId="3137" xr:uid="{00000000-0005-0000-0000-00002E030000}"/>
    <cellStyle name="20% - Accent5 3 2 6 2" xfId="7439" xr:uid="{00000000-0005-0000-0000-00002F030000}"/>
    <cellStyle name="20% - Accent5 3 2 7" xfId="5373" xr:uid="{00000000-0005-0000-0000-000030030000}"/>
    <cellStyle name="20% - Accent5 3 2 8" xfId="1069" xr:uid="{00000000-0005-0000-0000-000031030000}"/>
    <cellStyle name="20% - Accent5 3 3" xfId="615" xr:uid="{00000000-0005-0000-0000-000032030000}"/>
    <cellStyle name="20% - Accent5 3 3 2" xfId="3713" xr:uid="{00000000-0005-0000-0000-000033030000}"/>
    <cellStyle name="20% - Accent5 3 3 2 2" xfId="7931" xr:uid="{00000000-0005-0000-0000-000034030000}"/>
    <cellStyle name="20% - Accent5 3 3 3" xfId="5786" xr:uid="{00000000-0005-0000-0000-000035030000}"/>
    <cellStyle name="20% - Accent5 3 3 4" xfId="1482" xr:uid="{00000000-0005-0000-0000-000036030000}"/>
    <cellStyle name="20% - Accent5 3 4" xfId="1897" xr:uid="{00000000-0005-0000-0000-000037030000}"/>
    <cellStyle name="20% - Accent5 3 4 2" xfId="4126" xr:uid="{00000000-0005-0000-0000-000038030000}"/>
    <cellStyle name="20% - Accent5 3 4 2 2" xfId="8344" xr:uid="{00000000-0005-0000-0000-000039030000}"/>
    <cellStyle name="20% - Accent5 3 4 3" xfId="6199" xr:uid="{00000000-0005-0000-0000-00003A030000}"/>
    <cellStyle name="20% - Accent5 3 5" xfId="2310" xr:uid="{00000000-0005-0000-0000-00003B030000}"/>
    <cellStyle name="20% - Accent5 3 5 2" xfId="4539" xr:uid="{00000000-0005-0000-0000-00003C030000}"/>
    <cellStyle name="20% - Accent5 3 5 2 2" xfId="8757" xr:uid="{00000000-0005-0000-0000-00003D030000}"/>
    <cellStyle name="20% - Accent5 3 5 3" xfId="6612" xr:uid="{00000000-0005-0000-0000-00003E030000}"/>
    <cellStyle name="20% - Accent5 3 6" xfId="2723" xr:uid="{00000000-0005-0000-0000-00003F030000}"/>
    <cellStyle name="20% - Accent5 3 6 2" xfId="4952" xr:uid="{00000000-0005-0000-0000-000040030000}"/>
    <cellStyle name="20% - Accent5 3 6 2 2" xfId="9170" xr:uid="{00000000-0005-0000-0000-000041030000}"/>
    <cellStyle name="20% - Accent5 3 6 3" xfId="7025" xr:uid="{00000000-0005-0000-0000-000042030000}"/>
    <cellStyle name="20% - Accent5 3 7" xfId="3136" xr:uid="{00000000-0005-0000-0000-000043030000}"/>
    <cellStyle name="20% - Accent5 3 7 2" xfId="7438" xr:uid="{00000000-0005-0000-0000-000044030000}"/>
    <cellStyle name="20% - Accent5 3 8" xfId="5372" xr:uid="{00000000-0005-0000-0000-000045030000}"/>
    <cellStyle name="20% - Accent5 3 9" xfId="1068" xr:uid="{00000000-0005-0000-0000-000046030000}"/>
    <cellStyle name="20% - Accent5 4" xfId="40" xr:uid="{00000000-0005-0000-0000-000047030000}"/>
    <cellStyle name="20% - Accent5 4 2" xfId="617" xr:uid="{00000000-0005-0000-0000-000048030000}"/>
    <cellStyle name="20% - Accent5 4 2 2" xfId="3715" xr:uid="{00000000-0005-0000-0000-000049030000}"/>
    <cellStyle name="20% - Accent5 4 2 2 2" xfId="7933" xr:uid="{00000000-0005-0000-0000-00004A030000}"/>
    <cellStyle name="20% - Accent5 4 2 3" xfId="5788" xr:uid="{00000000-0005-0000-0000-00004B030000}"/>
    <cellStyle name="20% - Accent5 4 2 4" xfId="1484" xr:uid="{00000000-0005-0000-0000-00004C030000}"/>
    <cellStyle name="20% - Accent5 4 3" xfId="1899" xr:uid="{00000000-0005-0000-0000-00004D030000}"/>
    <cellStyle name="20% - Accent5 4 3 2" xfId="4128" xr:uid="{00000000-0005-0000-0000-00004E030000}"/>
    <cellStyle name="20% - Accent5 4 3 2 2" xfId="8346" xr:uid="{00000000-0005-0000-0000-00004F030000}"/>
    <cellStyle name="20% - Accent5 4 3 3" xfId="6201" xr:uid="{00000000-0005-0000-0000-000050030000}"/>
    <cellStyle name="20% - Accent5 4 4" xfId="2312" xr:uid="{00000000-0005-0000-0000-000051030000}"/>
    <cellStyle name="20% - Accent5 4 4 2" xfId="4541" xr:uid="{00000000-0005-0000-0000-000052030000}"/>
    <cellStyle name="20% - Accent5 4 4 2 2" xfId="8759" xr:uid="{00000000-0005-0000-0000-000053030000}"/>
    <cellStyle name="20% - Accent5 4 4 3" xfId="6614" xr:uid="{00000000-0005-0000-0000-000054030000}"/>
    <cellStyle name="20% - Accent5 4 5" xfId="2725" xr:uid="{00000000-0005-0000-0000-000055030000}"/>
    <cellStyle name="20% - Accent5 4 5 2" xfId="4954" xr:uid="{00000000-0005-0000-0000-000056030000}"/>
    <cellStyle name="20% - Accent5 4 5 2 2" xfId="9172" xr:uid="{00000000-0005-0000-0000-000057030000}"/>
    <cellStyle name="20% - Accent5 4 5 3" xfId="7027" xr:uid="{00000000-0005-0000-0000-000058030000}"/>
    <cellStyle name="20% - Accent5 4 6" xfId="3138" xr:uid="{00000000-0005-0000-0000-000059030000}"/>
    <cellStyle name="20% - Accent5 4 6 2" xfId="7440" xr:uid="{00000000-0005-0000-0000-00005A030000}"/>
    <cellStyle name="20% - Accent5 4 7" xfId="5374" xr:uid="{00000000-0005-0000-0000-00005B030000}"/>
    <cellStyle name="20% - Accent5 4 8" xfId="1070" xr:uid="{00000000-0005-0000-0000-00005C030000}"/>
    <cellStyle name="20% - Accent5 5" xfId="610" xr:uid="{00000000-0005-0000-0000-00005D030000}"/>
    <cellStyle name="20% - Accent5 5 2" xfId="3708" xr:uid="{00000000-0005-0000-0000-00005E030000}"/>
    <cellStyle name="20% - Accent5 5 2 2" xfId="7926" xr:uid="{00000000-0005-0000-0000-00005F030000}"/>
    <cellStyle name="20% - Accent5 5 3" xfId="5781" xr:uid="{00000000-0005-0000-0000-000060030000}"/>
    <cellStyle name="20% - Accent5 5 4" xfId="1477" xr:uid="{00000000-0005-0000-0000-000061030000}"/>
    <cellStyle name="20% - Accent5 6" xfId="1892" xr:uid="{00000000-0005-0000-0000-000062030000}"/>
    <cellStyle name="20% - Accent5 6 2" xfId="4121" xr:uid="{00000000-0005-0000-0000-000063030000}"/>
    <cellStyle name="20% - Accent5 6 2 2" xfId="8339" xr:uid="{00000000-0005-0000-0000-000064030000}"/>
    <cellStyle name="20% - Accent5 6 3" xfId="6194" xr:uid="{00000000-0005-0000-0000-000065030000}"/>
    <cellStyle name="20% - Accent5 7" xfId="2305" xr:uid="{00000000-0005-0000-0000-000066030000}"/>
    <cellStyle name="20% - Accent5 7 2" xfId="4534" xr:uid="{00000000-0005-0000-0000-000067030000}"/>
    <cellStyle name="20% - Accent5 7 2 2" xfId="8752" xr:uid="{00000000-0005-0000-0000-000068030000}"/>
    <cellStyle name="20% - Accent5 7 3" xfId="6607" xr:uid="{00000000-0005-0000-0000-000069030000}"/>
    <cellStyle name="20% - Accent5 8" xfId="2718" xr:uid="{00000000-0005-0000-0000-00006A030000}"/>
    <cellStyle name="20% - Accent5 8 2" xfId="4947" xr:uid="{00000000-0005-0000-0000-00006B030000}"/>
    <cellStyle name="20% - Accent5 8 2 2" xfId="9165" xr:uid="{00000000-0005-0000-0000-00006C030000}"/>
    <cellStyle name="20% - Accent5 8 3" xfId="7020" xr:uid="{00000000-0005-0000-0000-00006D030000}"/>
    <cellStyle name="20% - Accent5 9" xfId="3131" xr:uid="{00000000-0005-0000-0000-00006E030000}"/>
    <cellStyle name="20% - Accent5 9 2" xfId="7433" xr:uid="{00000000-0005-0000-0000-00006F030000}"/>
    <cellStyle name="20% - Accent6" xfId="41" builtinId="50" customBuiltin="1"/>
    <cellStyle name="20% - Accent6 10" xfId="5375" xr:uid="{00000000-0005-0000-0000-000071030000}"/>
    <cellStyle name="20% - Accent6 11" xfId="1071" xr:uid="{00000000-0005-0000-0000-000072030000}"/>
    <cellStyle name="20% - Accent6 2" xfId="42" xr:uid="{00000000-0005-0000-0000-000073030000}"/>
    <cellStyle name="20% - Accent6 2 10" xfId="1072" xr:uid="{00000000-0005-0000-0000-000074030000}"/>
    <cellStyle name="20% - Accent6 2 2" xfId="43" xr:uid="{00000000-0005-0000-0000-000075030000}"/>
    <cellStyle name="20% - Accent6 2 2 2" xfId="44" xr:uid="{00000000-0005-0000-0000-000076030000}"/>
    <cellStyle name="20% - Accent6 2 2 2 2" xfId="621" xr:uid="{00000000-0005-0000-0000-000077030000}"/>
    <cellStyle name="20% - Accent6 2 2 2 2 2" xfId="3719" xr:uid="{00000000-0005-0000-0000-000078030000}"/>
    <cellStyle name="20% - Accent6 2 2 2 2 2 2" xfId="7937" xr:uid="{00000000-0005-0000-0000-000079030000}"/>
    <cellStyle name="20% - Accent6 2 2 2 2 3" xfId="5792" xr:uid="{00000000-0005-0000-0000-00007A030000}"/>
    <cellStyle name="20% - Accent6 2 2 2 2 4" xfId="1488" xr:uid="{00000000-0005-0000-0000-00007B030000}"/>
    <cellStyle name="20% - Accent6 2 2 2 3" xfId="1903" xr:uid="{00000000-0005-0000-0000-00007C030000}"/>
    <cellStyle name="20% - Accent6 2 2 2 3 2" xfId="4132" xr:uid="{00000000-0005-0000-0000-00007D030000}"/>
    <cellStyle name="20% - Accent6 2 2 2 3 2 2" xfId="8350" xr:uid="{00000000-0005-0000-0000-00007E030000}"/>
    <cellStyle name="20% - Accent6 2 2 2 3 3" xfId="6205" xr:uid="{00000000-0005-0000-0000-00007F030000}"/>
    <cellStyle name="20% - Accent6 2 2 2 4" xfId="2316" xr:uid="{00000000-0005-0000-0000-000080030000}"/>
    <cellStyle name="20% - Accent6 2 2 2 4 2" xfId="4545" xr:uid="{00000000-0005-0000-0000-000081030000}"/>
    <cellStyle name="20% - Accent6 2 2 2 4 2 2" xfId="8763" xr:uid="{00000000-0005-0000-0000-000082030000}"/>
    <cellStyle name="20% - Accent6 2 2 2 4 3" xfId="6618" xr:uid="{00000000-0005-0000-0000-000083030000}"/>
    <cellStyle name="20% - Accent6 2 2 2 5" xfId="2729" xr:uid="{00000000-0005-0000-0000-000084030000}"/>
    <cellStyle name="20% - Accent6 2 2 2 5 2" xfId="4958" xr:uid="{00000000-0005-0000-0000-000085030000}"/>
    <cellStyle name="20% - Accent6 2 2 2 5 2 2" xfId="9176" xr:uid="{00000000-0005-0000-0000-000086030000}"/>
    <cellStyle name="20% - Accent6 2 2 2 5 3" xfId="7031" xr:uid="{00000000-0005-0000-0000-000087030000}"/>
    <cellStyle name="20% - Accent6 2 2 2 6" xfId="3142" xr:uid="{00000000-0005-0000-0000-000088030000}"/>
    <cellStyle name="20% - Accent6 2 2 2 6 2" xfId="7444" xr:uid="{00000000-0005-0000-0000-000089030000}"/>
    <cellStyle name="20% - Accent6 2 2 2 7" xfId="5378" xr:uid="{00000000-0005-0000-0000-00008A030000}"/>
    <cellStyle name="20% - Accent6 2 2 2 8" xfId="1074" xr:uid="{00000000-0005-0000-0000-00008B030000}"/>
    <cellStyle name="20% - Accent6 2 2 3" xfId="620" xr:uid="{00000000-0005-0000-0000-00008C030000}"/>
    <cellStyle name="20% - Accent6 2 2 3 2" xfId="3718" xr:uid="{00000000-0005-0000-0000-00008D030000}"/>
    <cellStyle name="20% - Accent6 2 2 3 2 2" xfId="7936" xr:uid="{00000000-0005-0000-0000-00008E030000}"/>
    <cellStyle name="20% - Accent6 2 2 3 3" xfId="5791" xr:uid="{00000000-0005-0000-0000-00008F030000}"/>
    <cellStyle name="20% - Accent6 2 2 3 4" xfId="1487" xr:uid="{00000000-0005-0000-0000-000090030000}"/>
    <cellStyle name="20% - Accent6 2 2 4" xfId="1902" xr:uid="{00000000-0005-0000-0000-000091030000}"/>
    <cellStyle name="20% - Accent6 2 2 4 2" xfId="4131" xr:uid="{00000000-0005-0000-0000-000092030000}"/>
    <cellStyle name="20% - Accent6 2 2 4 2 2" xfId="8349" xr:uid="{00000000-0005-0000-0000-000093030000}"/>
    <cellStyle name="20% - Accent6 2 2 4 3" xfId="6204" xr:uid="{00000000-0005-0000-0000-000094030000}"/>
    <cellStyle name="20% - Accent6 2 2 5" xfId="2315" xr:uid="{00000000-0005-0000-0000-000095030000}"/>
    <cellStyle name="20% - Accent6 2 2 5 2" xfId="4544" xr:uid="{00000000-0005-0000-0000-000096030000}"/>
    <cellStyle name="20% - Accent6 2 2 5 2 2" xfId="8762" xr:uid="{00000000-0005-0000-0000-000097030000}"/>
    <cellStyle name="20% - Accent6 2 2 5 3" xfId="6617" xr:uid="{00000000-0005-0000-0000-000098030000}"/>
    <cellStyle name="20% - Accent6 2 2 6" xfId="2728" xr:uid="{00000000-0005-0000-0000-000099030000}"/>
    <cellStyle name="20% - Accent6 2 2 6 2" xfId="4957" xr:uid="{00000000-0005-0000-0000-00009A030000}"/>
    <cellStyle name="20% - Accent6 2 2 6 2 2" xfId="9175" xr:uid="{00000000-0005-0000-0000-00009B030000}"/>
    <cellStyle name="20% - Accent6 2 2 6 3" xfId="7030" xr:uid="{00000000-0005-0000-0000-00009C030000}"/>
    <cellStyle name="20% - Accent6 2 2 7" xfId="3141" xr:uid="{00000000-0005-0000-0000-00009D030000}"/>
    <cellStyle name="20% - Accent6 2 2 7 2" xfId="7443" xr:uid="{00000000-0005-0000-0000-00009E030000}"/>
    <cellStyle name="20% - Accent6 2 2 8" xfId="5377" xr:uid="{00000000-0005-0000-0000-00009F030000}"/>
    <cellStyle name="20% - Accent6 2 2 9" xfId="1073" xr:uid="{00000000-0005-0000-0000-0000A0030000}"/>
    <cellStyle name="20% - Accent6 2 3" xfId="45" xr:uid="{00000000-0005-0000-0000-0000A1030000}"/>
    <cellStyle name="20% - Accent6 2 3 2" xfId="622" xr:uid="{00000000-0005-0000-0000-0000A2030000}"/>
    <cellStyle name="20% - Accent6 2 3 2 2" xfId="3720" xr:uid="{00000000-0005-0000-0000-0000A3030000}"/>
    <cellStyle name="20% - Accent6 2 3 2 2 2" xfId="7938" xr:uid="{00000000-0005-0000-0000-0000A4030000}"/>
    <cellStyle name="20% - Accent6 2 3 2 3" xfId="5793" xr:uid="{00000000-0005-0000-0000-0000A5030000}"/>
    <cellStyle name="20% - Accent6 2 3 2 4" xfId="1489" xr:uid="{00000000-0005-0000-0000-0000A6030000}"/>
    <cellStyle name="20% - Accent6 2 3 3" xfId="1904" xr:uid="{00000000-0005-0000-0000-0000A7030000}"/>
    <cellStyle name="20% - Accent6 2 3 3 2" xfId="4133" xr:uid="{00000000-0005-0000-0000-0000A8030000}"/>
    <cellStyle name="20% - Accent6 2 3 3 2 2" xfId="8351" xr:uid="{00000000-0005-0000-0000-0000A9030000}"/>
    <cellStyle name="20% - Accent6 2 3 3 3" xfId="6206" xr:uid="{00000000-0005-0000-0000-0000AA030000}"/>
    <cellStyle name="20% - Accent6 2 3 4" xfId="2317" xr:uid="{00000000-0005-0000-0000-0000AB030000}"/>
    <cellStyle name="20% - Accent6 2 3 4 2" xfId="4546" xr:uid="{00000000-0005-0000-0000-0000AC030000}"/>
    <cellStyle name="20% - Accent6 2 3 4 2 2" xfId="8764" xr:uid="{00000000-0005-0000-0000-0000AD030000}"/>
    <cellStyle name="20% - Accent6 2 3 4 3" xfId="6619" xr:uid="{00000000-0005-0000-0000-0000AE030000}"/>
    <cellStyle name="20% - Accent6 2 3 5" xfId="2730" xr:uid="{00000000-0005-0000-0000-0000AF030000}"/>
    <cellStyle name="20% - Accent6 2 3 5 2" xfId="4959" xr:uid="{00000000-0005-0000-0000-0000B0030000}"/>
    <cellStyle name="20% - Accent6 2 3 5 2 2" xfId="9177" xr:uid="{00000000-0005-0000-0000-0000B1030000}"/>
    <cellStyle name="20% - Accent6 2 3 5 3" xfId="7032" xr:uid="{00000000-0005-0000-0000-0000B2030000}"/>
    <cellStyle name="20% - Accent6 2 3 6" xfId="3143" xr:uid="{00000000-0005-0000-0000-0000B3030000}"/>
    <cellStyle name="20% - Accent6 2 3 6 2" xfId="7445" xr:uid="{00000000-0005-0000-0000-0000B4030000}"/>
    <cellStyle name="20% - Accent6 2 3 7" xfId="5379" xr:uid="{00000000-0005-0000-0000-0000B5030000}"/>
    <cellStyle name="20% - Accent6 2 3 8" xfId="1075" xr:uid="{00000000-0005-0000-0000-0000B6030000}"/>
    <cellStyle name="20% - Accent6 2 4" xfId="619" xr:uid="{00000000-0005-0000-0000-0000B7030000}"/>
    <cellStyle name="20% - Accent6 2 4 2" xfId="3717" xr:uid="{00000000-0005-0000-0000-0000B8030000}"/>
    <cellStyle name="20% - Accent6 2 4 2 2" xfId="7935" xr:uid="{00000000-0005-0000-0000-0000B9030000}"/>
    <cellStyle name="20% - Accent6 2 4 3" xfId="5790" xr:uid="{00000000-0005-0000-0000-0000BA030000}"/>
    <cellStyle name="20% - Accent6 2 4 4" xfId="1486" xr:uid="{00000000-0005-0000-0000-0000BB030000}"/>
    <cellStyle name="20% - Accent6 2 5" xfId="1901" xr:uid="{00000000-0005-0000-0000-0000BC030000}"/>
    <cellStyle name="20% - Accent6 2 5 2" xfId="4130" xr:uid="{00000000-0005-0000-0000-0000BD030000}"/>
    <cellStyle name="20% - Accent6 2 5 2 2" xfId="8348" xr:uid="{00000000-0005-0000-0000-0000BE030000}"/>
    <cellStyle name="20% - Accent6 2 5 3" xfId="6203" xr:uid="{00000000-0005-0000-0000-0000BF030000}"/>
    <cellStyle name="20% - Accent6 2 6" xfId="2314" xr:uid="{00000000-0005-0000-0000-0000C0030000}"/>
    <cellStyle name="20% - Accent6 2 6 2" xfId="4543" xr:uid="{00000000-0005-0000-0000-0000C1030000}"/>
    <cellStyle name="20% - Accent6 2 6 2 2" xfId="8761" xr:uid="{00000000-0005-0000-0000-0000C2030000}"/>
    <cellStyle name="20% - Accent6 2 6 3" xfId="6616" xr:uid="{00000000-0005-0000-0000-0000C3030000}"/>
    <cellStyle name="20% - Accent6 2 7" xfId="2727" xr:uid="{00000000-0005-0000-0000-0000C4030000}"/>
    <cellStyle name="20% - Accent6 2 7 2" xfId="4956" xr:uid="{00000000-0005-0000-0000-0000C5030000}"/>
    <cellStyle name="20% - Accent6 2 7 2 2" xfId="9174" xr:uid="{00000000-0005-0000-0000-0000C6030000}"/>
    <cellStyle name="20% - Accent6 2 7 3" xfId="7029" xr:uid="{00000000-0005-0000-0000-0000C7030000}"/>
    <cellStyle name="20% - Accent6 2 8" xfId="3140" xr:uid="{00000000-0005-0000-0000-0000C8030000}"/>
    <cellStyle name="20% - Accent6 2 8 2" xfId="7442" xr:uid="{00000000-0005-0000-0000-0000C9030000}"/>
    <cellStyle name="20% - Accent6 2 9" xfId="5376" xr:uid="{00000000-0005-0000-0000-0000CA030000}"/>
    <cellStyle name="20% - Accent6 3" xfId="46" xr:uid="{00000000-0005-0000-0000-0000CB030000}"/>
    <cellStyle name="20% - Accent6 3 2" xfId="47" xr:uid="{00000000-0005-0000-0000-0000CC030000}"/>
    <cellStyle name="20% - Accent6 3 2 2" xfId="624" xr:uid="{00000000-0005-0000-0000-0000CD030000}"/>
    <cellStyle name="20% - Accent6 3 2 2 2" xfId="3722" xr:uid="{00000000-0005-0000-0000-0000CE030000}"/>
    <cellStyle name="20% - Accent6 3 2 2 2 2" xfId="7940" xr:uid="{00000000-0005-0000-0000-0000CF030000}"/>
    <cellStyle name="20% - Accent6 3 2 2 3" xfId="5795" xr:uid="{00000000-0005-0000-0000-0000D0030000}"/>
    <cellStyle name="20% - Accent6 3 2 2 4" xfId="1491" xr:uid="{00000000-0005-0000-0000-0000D1030000}"/>
    <cellStyle name="20% - Accent6 3 2 3" xfId="1906" xr:uid="{00000000-0005-0000-0000-0000D2030000}"/>
    <cellStyle name="20% - Accent6 3 2 3 2" xfId="4135" xr:uid="{00000000-0005-0000-0000-0000D3030000}"/>
    <cellStyle name="20% - Accent6 3 2 3 2 2" xfId="8353" xr:uid="{00000000-0005-0000-0000-0000D4030000}"/>
    <cellStyle name="20% - Accent6 3 2 3 3" xfId="6208" xr:uid="{00000000-0005-0000-0000-0000D5030000}"/>
    <cellStyle name="20% - Accent6 3 2 4" xfId="2319" xr:uid="{00000000-0005-0000-0000-0000D6030000}"/>
    <cellStyle name="20% - Accent6 3 2 4 2" xfId="4548" xr:uid="{00000000-0005-0000-0000-0000D7030000}"/>
    <cellStyle name="20% - Accent6 3 2 4 2 2" xfId="8766" xr:uid="{00000000-0005-0000-0000-0000D8030000}"/>
    <cellStyle name="20% - Accent6 3 2 4 3" xfId="6621" xr:uid="{00000000-0005-0000-0000-0000D9030000}"/>
    <cellStyle name="20% - Accent6 3 2 5" xfId="2732" xr:uid="{00000000-0005-0000-0000-0000DA030000}"/>
    <cellStyle name="20% - Accent6 3 2 5 2" xfId="4961" xr:uid="{00000000-0005-0000-0000-0000DB030000}"/>
    <cellStyle name="20% - Accent6 3 2 5 2 2" xfId="9179" xr:uid="{00000000-0005-0000-0000-0000DC030000}"/>
    <cellStyle name="20% - Accent6 3 2 5 3" xfId="7034" xr:uid="{00000000-0005-0000-0000-0000DD030000}"/>
    <cellStyle name="20% - Accent6 3 2 6" xfId="3145" xr:uid="{00000000-0005-0000-0000-0000DE030000}"/>
    <cellStyle name="20% - Accent6 3 2 6 2" xfId="7447" xr:uid="{00000000-0005-0000-0000-0000DF030000}"/>
    <cellStyle name="20% - Accent6 3 2 7" xfId="5381" xr:uid="{00000000-0005-0000-0000-0000E0030000}"/>
    <cellStyle name="20% - Accent6 3 2 8" xfId="1077" xr:uid="{00000000-0005-0000-0000-0000E1030000}"/>
    <cellStyle name="20% - Accent6 3 3" xfId="623" xr:uid="{00000000-0005-0000-0000-0000E2030000}"/>
    <cellStyle name="20% - Accent6 3 3 2" xfId="3721" xr:uid="{00000000-0005-0000-0000-0000E3030000}"/>
    <cellStyle name="20% - Accent6 3 3 2 2" xfId="7939" xr:uid="{00000000-0005-0000-0000-0000E4030000}"/>
    <cellStyle name="20% - Accent6 3 3 3" xfId="5794" xr:uid="{00000000-0005-0000-0000-0000E5030000}"/>
    <cellStyle name="20% - Accent6 3 3 4" xfId="1490" xr:uid="{00000000-0005-0000-0000-0000E6030000}"/>
    <cellStyle name="20% - Accent6 3 4" xfId="1905" xr:uid="{00000000-0005-0000-0000-0000E7030000}"/>
    <cellStyle name="20% - Accent6 3 4 2" xfId="4134" xr:uid="{00000000-0005-0000-0000-0000E8030000}"/>
    <cellStyle name="20% - Accent6 3 4 2 2" xfId="8352" xr:uid="{00000000-0005-0000-0000-0000E9030000}"/>
    <cellStyle name="20% - Accent6 3 4 3" xfId="6207" xr:uid="{00000000-0005-0000-0000-0000EA030000}"/>
    <cellStyle name="20% - Accent6 3 5" xfId="2318" xr:uid="{00000000-0005-0000-0000-0000EB030000}"/>
    <cellStyle name="20% - Accent6 3 5 2" xfId="4547" xr:uid="{00000000-0005-0000-0000-0000EC030000}"/>
    <cellStyle name="20% - Accent6 3 5 2 2" xfId="8765" xr:uid="{00000000-0005-0000-0000-0000ED030000}"/>
    <cellStyle name="20% - Accent6 3 5 3" xfId="6620" xr:uid="{00000000-0005-0000-0000-0000EE030000}"/>
    <cellStyle name="20% - Accent6 3 6" xfId="2731" xr:uid="{00000000-0005-0000-0000-0000EF030000}"/>
    <cellStyle name="20% - Accent6 3 6 2" xfId="4960" xr:uid="{00000000-0005-0000-0000-0000F0030000}"/>
    <cellStyle name="20% - Accent6 3 6 2 2" xfId="9178" xr:uid="{00000000-0005-0000-0000-0000F1030000}"/>
    <cellStyle name="20% - Accent6 3 6 3" xfId="7033" xr:uid="{00000000-0005-0000-0000-0000F2030000}"/>
    <cellStyle name="20% - Accent6 3 7" xfId="3144" xr:uid="{00000000-0005-0000-0000-0000F3030000}"/>
    <cellStyle name="20% - Accent6 3 7 2" xfId="7446" xr:uid="{00000000-0005-0000-0000-0000F4030000}"/>
    <cellStyle name="20% - Accent6 3 8" xfId="5380" xr:uid="{00000000-0005-0000-0000-0000F5030000}"/>
    <cellStyle name="20% - Accent6 3 9" xfId="1076" xr:uid="{00000000-0005-0000-0000-0000F6030000}"/>
    <cellStyle name="20% - Accent6 4" xfId="48" xr:uid="{00000000-0005-0000-0000-0000F7030000}"/>
    <cellStyle name="20% - Accent6 4 2" xfId="625" xr:uid="{00000000-0005-0000-0000-0000F8030000}"/>
    <cellStyle name="20% - Accent6 4 2 2" xfId="3723" xr:uid="{00000000-0005-0000-0000-0000F9030000}"/>
    <cellStyle name="20% - Accent6 4 2 2 2" xfId="7941" xr:uid="{00000000-0005-0000-0000-0000FA030000}"/>
    <cellStyle name="20% - Accent6 4 2 3" xfId="5796" xr:uid="{00000000-0005-0000-0000-0000FB030000}"/>
    <cellStyle name="20% - Accent6 4 2 4" xfId="1492" xr:uid="{00000000-0005-0000-0000-0000FC030000}"/>
    <cellStyle name="20% - Accent6 4 3" xfId="1907" xr:uid="{00000000-0005-0000-0000-0000FD030000}"/>
    <cellStyle name="20% - Accent6 4 3 2" xfId="4136" xr:uid="{00000000-0005-0000-0000-0000FE030000}"/>
    <cellStyle name="20% - Accent6 4 3 2 2" xfId="8354" xr:uid="{00000000-0005-0000-0000-0000FF030000}"/>
    <cellStyle name="20% - Accent6 4 3 3" xfId="6209" xr:uid="{00000000-0005-0000-0000-000000040000}"/>
    <cellStyle name="20% - Accent6 4 4" xfId="2320" xr:uid="{00000000-0005-0000-0000-000001040000}"/>
    <cellStyle name="20% - Accent6 4 4 2" xfId="4549" xr:uid="{00000000-0005-0000-0000-000002040000}"/>
    <cellStyle name="20% - Accent6 4 4 2 2" xfId="8767" xr:uid="{00000000-0005-0000-0000-000003040000}"/>
    <cellStyle name="20% - Accent6 4 4 3" xfId="6622" xr:uid="{00000000-0005-0000-0000-000004040000}"/>
    <cellStyle name="20% - Accent6 4 5" xfId="2733" xr:uid="{00000000-0005-0000-0000-000005040000}"/>
    <cellStyle name="20% - Accent6 4 5 2" xfId="4962" xr:uid="{00000000-0005-0000-0000-000006040000}"/>
    <cellStyle name="20% - Accent6 4 5 2 2" xfId="9180" xr:uid="{00000000-0005-0000-0000-000007040000}"/>
    <cellStyle name="20% - Accent6 4 5 3" xfId="7035" xr:uid="{00000000-0005-0000-0000-000008040000}"/>
    <cellStyle name="20% - Accent6 4 6" xfId="3146" xr:uid="{00000000-0005-0000-0000-000009040000}"/>
    <cellStyle name="20% - Accent6 4 6 2" xfId="7448" xr:uid="{00000000-0005-0000-0000-00000A040000}"/>
    <cellStyle name="20% - Accent6 4 7" xfId="5382" xr:uid="{00000000-0005-0000-0000-00000B040000}"/>
    <cellStyle name="20% - Accent6 4 8" xfId="1078" xr:uid="{00000000-0005-0000-0000-00000C040000}"/>
    <cellStyle name="20% - Accent6 5" xfId="618" xr:uid="{00000000-0005-0000-0000-00000D040000}"/>
    <cellStyle name="20% - Accent6 5 2" xfId="3716" xr:uid="{00000000-0005-0000-0000-00000E040000}"/>
    <cellStyle name="20% - Accent6 5 2 2" xfId="7934" xr:uid="{00000000-0005-0000-0000-00000F040000}"/>
    <cellStyle name="20% - Accent6 5 3" xfId="5789" xr:uid="{00000000-0005-0000-0000-000010040000}"/>
    <cellStyle name="20% - Accent6 5 4" xfId="1485" xr:uid="{00000000-0005-0000-0000-000011040000}"/>
    <cellStyle name="20% - Accent6 6" xfId="1900" xr:uid="{00000000-0005-0000-0000-000012040000}"/>
    <cellStyle name="20% - Accent6 6 2" xfId="4129" xr:uid="{00000000-0005-0000-0000-000013040000}"/>
    <cellStyle name="20% - Accent6 6 2 2" xfId="8347" xr:uid="{00000000-0005-0000-0000-000014040000}"/>
    <cellStyle name="20% - Accent6 6 3" xfId="6202" xr:uid="{00000000-0005-0000-0000-000015040000}"/>
    <cellStyle name="20% - Accent6 7" xfId="2313" xr:uid="{00000000-0005-0000-0000-000016040000}"/>
    <cellStyle name="20% - Accent6 7 2" xfId="4542" xr:uid="{00000000-0005-0000-0000-000017040000}"/>
    <cellStyle name="20% - Accent6 7 2 2" xfId="8760" xr:uid="{00000000-0005-0000-0000-000018040000}"/>
    <cellStyle name="20% - Accent6 7 3" xfId="6615" xr:uid="{00000000-0005-0000-0000-000019040000}"/>
    <cellStyle name="20% - Accent6 8" xfId="2726" xr:uid="{00000000-0005-0000-0000-00001A040000}"/>
    <cellStyle name="20% - Accent6 8 2" xfId="4955" xr:uid="{00000000-0005-0000-0000-00001B040000}"/>
    <cellStyle name="20% - Accent6 8 2 2" xfId="9173" xr:uid="{00000000-0005-0000-0000-00001C040000}"/>
    <cellStyle name="20% - Accent6 8 3" xfId="7028" xr:uid="{00000000-0005-0000-0000-00001D040000}"/>
    <cellStyle name="20% - Accent6 9" xfId="3139" xr:uid="{00000000-0005-0000-0000-00001E040000}"/>
    <cellStyle name="20% - Accent6 9 2" xfId="7441" xr:uid="{00000000-0005-0000-0000-00001F040000}"/>
    <cellStyle name="40% - Accent1" xfId="49" builtinId="31" customBuiltin="1"/>
    <cellStyle name="40% - Accent1 10" xfId="5383" xr:uid="{00000000-0005-0000-0000-000021040000}"/>
    <cellStyle name="40% - Accent1 11" xfId="1079" xr:uid="{00000000-0005-0000-0000-000022040000}"/>
    <cellStyle name="40% - Accent1 2" xfId="50" xr:uid="{00000000-0005-0000-0000-000023040000}"/>
    <cellStyle name="40% - Accent1 2 10" xfId="1080" xr:uid="{00000000-0005-0000-0000-000024040000}"/>
    <cellStyle name="40% - Accent1 2 2" xfId="51" xr:uid="{00000000-0005-0000-0000-000025040000}"/>
    <cellStyle name="40% - Accent1 2 2 2" xfId="52" xr:uid="{00000000-0005-0000-0000-000026040000}"/>
    <cellStyle name="40% - Accent1 2 2 2 2" xfId="629" xr:uid="{00000000-0005-0000-0000-000027040000}"/>
    <cellStyle name="40% - Accent1 2 2 2 2 2" xfId="3727" xr:uid="{00000000-0005-0000-0000-000028040000}"/>
    <cellStyle name="40% - Accent1 2 2 2 2 2 2" xfId="7945" xr:uid="{00000000-0005-0000-0000-000029040000}"/>
    <cellStyle name="40% - Accent1 2 2 2 2 3" xfId="5800" xr:uid="{00000000-0005-0000-0000-00002A040000}"/>
    <cellStyle name="40% - Accent1 2 2 2 2 4" xfId="1496" xr:uid="{00000000-0005-0000-0000-00002B040000}"/>
    <cellStyle name="40% - Accent1 2 2 2 3" xfId="1911" xr:uid="{00000000-0005-0000-0000-00002C040000}"/>
    <cellStyle name="40% - Accent1 2 2 2 3 2" xfId="4140" xr:uid="{00000000-0005-0000-0000-00002D040000}"/>
    <cellStyle name="40% - Accent1 2 2 2 3 2 2" xfId="8358" xr:uid="{00000000-0005-0000-0000-00002E040000}"/>
    <cellStyle name="40% - Accent1 2 2 2 3 3" xfId="6213" xr:uid="{00000000-0005-0000-0000-00002F040000}"/>
    <cellStyle name="40% - Accent1 2 2 2 4" xfId="2324" xr:uid="{00000000-0005-0000-0000-000030040000}"/>
    <cellStyle name="40% - Accent1 2 2 2 4 2" xfId="4553" xr:uid="{00000000-0005-0000-0000-000031040000}"/>
    <cellStyle name="40% - Accent1 2 2 2 4 2 2" xfId="8771" xr:uid="{00000000-0005-0000-0000-000032040000}"/>
    <cellStyle name="40% - Accent1 2 2 2 4 3" xfId="6626" xr:uid="{00000000-0005-0000-0000-000033040000}"/>
    <cellStyle name="40% - Accent1 2 2 2 5" xfId="2737" xr:uid="{00000000-0005-0000-0000-000034040000}"/>
    <cellStyle name="40% - Accent1 2 2 2 5 2" xfId="4966" xr:uid="{00000000-0005-0000-0000-000035040000}"/>
    <cellStyle name="40% - Accent1 2 2 2 5 2 2" xfId="9184" xr:uid="{00000000-0005-0000-0000-000036040000}"/>
    <cellStyle name="40% - Accent1 2 2 2 5 3" xfId="7039" xr:uid="{00000000-0005-0000-0000-000037040000}"/>
    <cellStyle name="40% - Accent1 2 2 2 6" xfId="3150" xr:uid="{00000000-0005-0000-0000-000038040000}"/>
    <cellStyle name="40% - Accent1 2 2 2 6 2" xfId="7452" xr:uid="{00000000-0005-0000-0000-000039040000}"/>
    <cellStyle name="40% - Accent1 2 2 2 7" xfId="5386" xr:uid="{00000000-0005-0000-0000-00003A040000}"/>
    <cellStyle name="40% - Accent1 2 2 2 8" xfId="1082" xr:uid="{00000000-0005-0000-0000-00003B040000}"/>
    <cellStyle name="40% - Accent1 2 2 3" xfId="628" xr:uid="{00000000-0005-0000-0000-00003C040000}"/>
    <cellStyle name="40% - Accent1 2 2 3 2" xfId="3726" xr:uid="{00000000-0005-0000-0000-00003D040000}"/>
    <cellStyle name="40% - Accent1 2 2 3 2 2" xfId="7944" xr:uid="{00000000-0005-0000-0000-00003E040000}"/>
    <cellStyle name="40% - Accent1 2 2 3 3" xfId="5799" xr:uid="{00000000-0005-0000-0000-00003F040000}"/>
    <cellStyle name="40% - Accent1 2 2 3 4" xfId="1495" xr:uid="{00000000-0005-0000-0000-000040040000}"/>
    <cellStyle name="40% - Accent1 2 2 4" xfId="1910" xr:uid="{00000000-0005-0000-0000-000041040000}"/>
    <cellStyle name="40% - Accent1 2 2 4 2" xfId="4139" xr:uid="{00000000-0005-0000-0000-000042040000}"/>
    <cellStyle name="40% - Accent1 2 2 4 2 2" xfId="8357" xr:uid="{00000000-0005-0000-0000-000043040000}"/>
    <cellStyle name="40% - Accent1 2 2 4 3" xfId="6212" xr:uid="{00000000-0005-0000-0000-000044040000}"/>
    <cellStyle name="40% - Accent1 2 2 5" xfId="2323" xr:uid="{00000000-0005-0000-0000-000045040000}"/>
    <cellStyle name="40% - Accent1 2 2 5 2" xfId="4552" xr:uid="{00000000-0005-0000-0000-000046040000}"/>
    <cellStyle name="40% - Accent1 2 2 5 2 2" xfId="8770" xr:uid="{00000000-0005-0000-0000-000047040000}"/>
    <cellStyle name="40% - Accent1 2 2 5 3" xfId="6625" xr:uid="{00000000-0005-0000-0000-000048040000}"/>
    <cellStyle name="40% - Accent1 2 2 6" xfId="2736" xr:uid="{00000000-0005-0000-0000-000049040000}"/>
    <cellStyle name="40% - Accent1 2 2 6 2" xfId="4965" xr:uid="{00000000-0005-0000-0000-00004A040000}"/>
    <cellStyle name="40% - Accent1 2 2 6 2 2" xfId="9183" xr:uid="{00000000-0005-0000-0000-00004B040000}"/>
    <cellStyle name="40% - Accent1 2 2 6 3" xfId="7038" xr:uid="{00000000-0005-0000-0000-00004C040000}"/>
    <cellStyle name="40% - Accent1 2 2 7" xfId="3149" xr:uid="{00000000-0005-0000-0000-00004D040000}"/>
    <cellStyle name="40% - Accent1 2 2 7 2" xfId="7451" xr:uid="{00000000-0005-0000-0000-00004E040000}"/>
    <cellStyle name="40% - Accent1 2 2 8" xfId="5385" xr:uid="{00000000-0005-0000-0000-00004F040000}"/>
    <cellStyle name="40% - Accent1 2 2 9" xfId="1081" xr:uid="{00000000-0005-0000-0000-000050040000}"/>
    <cellStyle name="40% - Accent1 2 3" xfId="53" xr:uid="{00000000-0005-0000-0000-000051040000}"/>
    <cellStyle name="40% - Accent1 2 3 2" xfId="630" xr:uid="{00000000-0005-0000-0000-000052040000}"/>
    <cellStyle name="40% - Accent1 2 3 2 2" xfId="3728" xr:uid="{00000000-0005-0000-0000-000053040000}"/>
    <cellStyle name="40% - Accent1 2 3 2 2 2" xfId="7946" xr:uid="{00000000-0005-0000-0000-000054040000}"/>
    <cellStyle name="40% - Accent1 2 3 2 3" xfId="5801" xr:uid="{00000000-0005-0000-0000-000055040000}"/>
    <cellStyle name="40% - Accent1 2 3 2 4" xfId="1497" xr:uid="{00000000-0005-0000-0000-000056040000}"/>
    <cellStyle name="40% - Accent1 2 3 3" xfId="1912" xr:uid="{00000000-0005-0000-0000-000057040000}"/>
    <cellStyle name="40% - Accent1 2 3 3 2" xfId="4141" xr:uid="{00000000-0005-0000-0000-000058040000}"/>
    <cellStyle name="40% - Accent1 2 3 3 2 2" xfId="8359" xr:uid="{00000000-0005-0000-0000-000059040000}"/>
    <cellStyle name="40% - Accent1 2 3 3 3" xfId="6214" xr:uid="{00000000-0005-0000-0000-00005A040000}"/>
    <cellStyle name="40% - Accent1 2 3 4" xfId="2325" xr:uid="{00000000-0005-0000-0000-00005B040000}"/>
    <cellStyle name="40% - Accent1 2 3 4 2" xfId="4554" xr:uid="{00000000-0005-0000-0000-00005C040000}"/>
    <cellStyle name="40% - Accent1 2 3 4 2 2" xfId="8772" xr:uid="{00000000-0005-0000-0000-00005D040000}"/>
    <cellStyle name="40% - Accent1 2 3 4 3" xfId="6627" xr:uid="{00000000-0005-0000-0000-00005E040000}"/>
    <cellStyle name="40% - Accent1 2 3 5" xfId="2738" xr:uid="{00000000-0005-0000-0000-00005F040000}"/>
    <cellStyle name="40% - Accent1 2 3 5 2" xfId="4967" xr:uid="{00000000-0005-0000-0000-000060040000}"/>
    <cellStyle name="40% - Accent1 2 3 5 2 2" xfId="9185" xr:uid="{00000000-0005-0000-0000-000061040000}"/>
    <cellStyle name="40% - Accent1 2 3 5 3" xfId="7040" xr:uid="{00000000-0005-0000-0000-000062040000}"/>
    <cellStyle name="40% - Accent1 2 3 6" xfId="3151" xr:uid="{00000000-0005-0000-0000-000063040000}"/>
    <cellStyle name="40% - Accent1 2 3 6 2" xfId="7453" xr:uid="{00000000-0005-0000-0000-000064040000}"/>
    <cellStyle name="40% - Accent1 2 3 7" xfId="5387" xr:uid="{00000000-0005-0000-0000-000065040000}"/>
    <cellStyle name="40% - Accent1 2 3 8" xfId="1083" xr:uid="{00000000-0005-0000-0000-000066040000}"/>
    <cellStyle name="40% - Accent1 2 4" xfId="627" xr:uid="{00000000-0005-0000-0000-000067040000}"/>
    <cellStyle name="40% - Accent1 2 4 2" xfId="3725" xr:uid="{00000000-0005-0000-0000-000068040000}"/>
    <cellStyle name="40% - Accent1 2 4 2 2" xfId="7943" xr:uid="{00000000-0005-0000-0000-000069040000}"/>
    <cellStyle name="40% - Accent1 2 4 3" xfId="5798" xr:uid="{00000000-0005-0000-0000-00006A040000}"/>
    <cellStyle name="40% - Accent1 2 4 4" xfId="1494" xr:uid="{00000000-0005-0000-0000-00006B040000}"/>
    <cellStyle name="40% - Accent1 2 5" xfId="1909" xr:uid="{00000000-0005-0000-0000-00006C040000}"/>
    <cellStyle name="40% - Accent1 2 5 2" xfId="4138" xr:uid="{00000000-0005-0000-0000-00006D040000}"/>
    <cellStyle name="40% - Accent1 2 5 2 2" xfId="8356" xr:uid="{00000000-0005-0000-0000-00006E040000}"/>
    <cellStyle name="40% - Accent1 2 5 3" xfId="6211" xr:uid="{00000000-0005-0000-0000-00006F040000}"/>
    <cellStyle name="40% - Accent1 2 6" xfId="2322" xr:uid="{00000000-0005-0000-0000-000070040000}"/>
    <cellStyle name="40% - Accent1 2 6 2" xfId="4551" xr:uid="{00000000-0005-0000-0000-000071040000}"/>
    <cellStyle name="40% - Accent1 2 6 2 2" xfId="8769" xr:uid="{00000000-0005-0000-0000-000072040000}"/>
    <cellStyle name="40% - Accent1 2 6 3" xfId="6624" xr:uid="{00000000-0005-0000-0000-000073040000}"/>
    <cellStyle name="40% - Accent1 2 7" xfId="2735" xr:uid="{00000000-0005-0000-0000-000074040000}"/>
    <cellStyle name="40% - Accent1 2 7 2" xfId="4964" xr:uid="{00000000-0005-0000-0000-000075040000}"/>
    <cellStyle name="40% - Accent1 2 7 2 2" xfId="9182" xr:uid="{00000000-0005-0000-0000-000076040000}"/>
    <cellStyle name="40% - Accent1 2 7 3" xfId="7037" xr:uid="{00000000-0005-0000-0000-000077040000}"/>
    <cellStyle name="40% - Accent1 2 8" xfId="3148" xr:uid="{00000000-0005-0000-0000-000078040000}"/>
    <cellStyle name="40% - Accent1 2 8 2" xfId="7450" xr:uid="{00000000-0005-0000-0000-000079040000}"/>
    <cellStyle name="40% - Accent1 2 9" xfId="5384" xr:uid="{00000000-0005-0000-0000-00007A040000}"/>
    <cellStyle name="40% - Accent1 3" xfId="54" xr:uid="{00000000-0005-0000-0000-00007B040000}"/>
    <cellStyle name="40% - Accent1 3 2" xfId="55" xr:uid="{00000000-0005-0000-0000-00007C040000}"/>
    <cellStyle name="40% - Accent1 3 2 2" xfId="632" xr:uid="{00000000-0005-0000-0000-00007D040000}"/>
    <cellStyle name="40% - Accent1 3 2 2 2" xfId="3730" xr:uid="{00000000-0005-0000-0000-00007E040000}"/>
    <cellStyle name="40% - Accent1 3 2 2 2 2" xfId="7948" xr:uid="{00000000-0005-0000-0000-00007F040000}"/>
    <cellStyle name="40% - Accent1 3 2 2 3" xfId="5803" xr:uid="{00000000-0005-0000-0000-000080040000}"/>
    <cellStyle name="40% - Accent1 3 2 2 4" xfId="1499" xr:uid="{00000000-0005-0000-0000-000081040000}"/>
    <cellStyle name="40% - Accent1 3 2 3" xfId="1914" xr:uid="{00000000-0005-0000-0000-000082040000}"/>
    <cellStyle name="40% - Accent1 3 2 3 2" xfId="4143" xr:uid="{00000000-0005-0000-0000-000083040000}"/>
    <cellStyle name="40% - Accent1 3 2 3 2 2" xfId="8361" xr:uid="{00000000-0005-0000-0000-000084040000}"/>
    <cellStyle name="40% - Accent1 3 2 3 3" xfId="6216" xr:uid="{00000000-0005-0000-0000-000085040000}"/>
    <cellStyle name="40% - Accent1 3 2 4" xfId="2327" xr:uid="{00000000-0005-0000-0000-000086040000}"/>
    <cellStyle name="40% - Accent1 3 2 4 2" xfId="4556" xr:uid="{00000000-0005-0000-0000-000087040000}"/>
    <cellStyle name="40% - Accent1 3 2 4 2 2" xfId="8774" xr:uid="{00000000-0005-0000-0000-000088040000}"/>
    <cellStyle name="40% - Accent1 3 2 4 3" xfId="6629" xr:uid="{00000000-0005-0000-0000-000089040000}"/>
    <cellStyle name="40% - Accent1 3 2 5" xfId="2740" xr:uid="{00000000-0005-0000-0000-00008A040000}"/>
    <cellStyle name="40% - Accent1 3 2 5 2" xfId="4969" xr:uid="{00000000-0005-0000-0000-00008B040000}"/>
    <cellStyle name="40% - Accent1 3 2 5 2 2" xfId="9187" xr:uid="{00000000-0005-0000-0000-00008C040000}"/>
    <cellStyle name="40% - Accent1 3 2 5 3" xfId="7042" xr:uid="{00000000-0005-0000-0000-00008D040000}"/>
    <cellStyle name="40% - Accent1 3 2 6" xfId="3153" xr:uid="{00000000-0005-0000-0000-00008E040000}"/>
    <cellStyle name="40% - Accent1 3 2 6 2" xfId="7455" xr:uid="{00000000-0005-0000-0000-00008F040000}"/>
    <cellStyle name="40% - Accent1 3 2 7" xfId="5389" xr:uid="{00000000-0005-0000-0000-000090040000}"/>
    <cellStyle name="40% - Accent1 3 2 8" xfId="1085" xr:uid="{00000000-0005-0000-0000-000091040000}"/>
    <cellStyle name="40% - Accent1 3 3" xfId="631" xr:uid="{00000000-0005-0000-0000-000092040000}"/>
    <cellStyle name="40% - Accent1 3 3 2" xfId="3729" xr:uid="{00000000-0005-0000-0000-000093040000}"/>
    <cellStyle name="40% - Accent1 3 3 2 2" xfId="7947" xr:uid="{00000000-0005-0000-0000-000094040000}"/>
    <cellStyle name="40% - Accent1 3 3 3" xfId="5802" xr:uid="{00000000-0005-0000-0000-000095040000}"/>
    <cellStyle name="40% - Accent1 3 3 4" xfId="1498" xr:uid="{00000000-0005-0000-0000-000096040000}"/>
    <cellStyle name="40% - Accent1 3 4" xfId="1913" xr:uid="{00000000-0005-0000-0000-000097040000}"/>
    <cellStyle name="40% - Accent1 3 4 2" xfId="4142" xr:uid="{00000000-0005-0000-0000-000098040000}"/>
    <cellStyle name="40% - Accent1 3 4 2 2" xfId="8360" xr:uid="{00000000-0005-0000-0000-000099040000}"/>
    <cellStyle name="40% - Accent1 3 4 3" xfId="6215" xr:uid="{00000000-0005-0000-0000-00009A040000}"/>
    <cellStyle name="40% - Accent1 3 5" xfId="2326" xr:uid="{00000000-0005-0000-0000-00009B040000}"/>
    <cellStyle name="40% - Accent1 3 5 2" xfId="4555" xr:uid="{00000000-0005-0000-0000-00009C040000}"/>
    <cellStyle name="40% - Accent1 3 5 2 2" xfId="8773" xr:uid="{00000000-0005-0000-0000-00009D040000}"/>
    <cellStyle name="40% - Accent1 3 5 3" xfId="6628" xr:uid="{00000000-0005-0000-0000-00009E040000}"/>
    <cellStyle name="40% - Accent1 3 6" xfId="2739" xr:uid="{00000000-0005-0000-0000-00009F040000}"/>
    <cellStyle name="40% - Accent1 3 6 2" xfId="4968" xr:uid="{00000000-0005-0000-0000-0000A0040000}"/>
    <cellStyle name="40% - Accent1 3 6 2 2" xfId="9186" xr:uid="{00000000-0005-0000-0000-0000A1040000}"/>
    <cellStyle name="40% - Accent1 3 6 3" xfId="7041" xr:uid="{00000000-0005-0000-0000-0000A2040000}"/>
    <cellStyle name="40% - Accent1 3 7" xfId="3152" xr:uid="{00000000-0005-0000-0000-0000A3040000}"/>
    <cellStyle name="40% - Accent1 3 7 2" xfId="7454" xr:uid="{00000000-0005-0000-0000-0000A4040000}"/>
    <cellStyle name="40% - Accent1 3 8" xfId="5388" xr:uid="{00000000-0005-0000-0000-0000A5040000}"/>
    <cellStyle name="40% - Accent1 3 9" xfId="1084" xr:uid="{00000000-0005-0000-0000-0000A6040000}"/>
    <cellStyle name="40% - Accent1 4" xfId="56" xr:uid="{00000000-0005-0000-0000-0000A7040000}"/>
    <cellStyle name="40% - Accent1 4 2" xfId="633" xr:uid="{00000000-0005-0000-0000-0000A8040000}"/>
    <cellStyle name="40% - Accent1 4 2 2" xfId="3731" xr:uid="{00000000-0005-0000-0000-0000A9040000}"/>
    <cellStyle name="40% - Accent1 4 2 2 2" xfId="7949" xr:uid="{00000000-0005-0000-0000-0000AA040000}"/>
    <cellStyle name="40% - Accent1 4 2 3" xfId="5804" xr:uid="{00000000-0005-0000-0000-0000AB040000}"/>
    <cellStyle name="40% - Accent1 4 2 4" xfId="1500" xr:uid="{00000000-0005-0000-0000-0000AC040000}"/>
    <cellStyle name="40% - Accent1 4 3" xfId="1915" xr:uid="{00000000-0005-0000-0000-0000AD040000}"/>
    <cellStyle name="40% - Accent1 4 3 2" xfId="4144" xr:uid="{00000000-0005-0000-0000-0000AE040000}"/>
    <cellStyle name="40% - Accent1 4 3 2 2" xfId="8362" xr:uid="{00000000-0005-0000-0000-0000AF040000}"/>
    <cellStyle name="40% - Accent1 4 3 3" xfId="6217" xr:uid="{00000000-0005-0000-0000-0000B0040000}"/>
    <cellStyle name="40% - Accent1 4 4" xfId="2328" xr:uid="{00000000-0005-0000-0000-0000B1040000}"/>
    <cellStyle name="40% - Accent1 4 4 2" xfId="4557" xr:uid="{00000000-0005-0000-0000-0000B2040000}"/>
    <cellStyle name="40% - Accent1 4 4 2 2" xfId="8775" xr:uid="{00000000-0005-0000-0000-0000B3040000}"/>
    <cellStyle name="40% - Accent1 4 4 3" xfId="6630" xr:uid="{00000000-0005-0000-0000-0000B4040000}"/>
    <cellStyle name="40% - Accent1 4 5" xfId="2741" xr:uid="{00000000-0005-0000-0000-0000B5040000}"/>
    <cellStyle name="40% - Accent1 4 5 2" xfId="4970" xr:uid="{00000000-0005-0000-0000-0000B6040000}"/>
    <cellStyle name="40% - Accent1 4 5 2 2" xfId="9188" xr:uid="{00000000-0005-0000-0000-0000B7040000}"/>
    <cellStyle name="40% - Accent1 4 5 3" xfId="7043" xr:uid="{00000000-0005-0000-0000-0000B8040000}"/>
    <cellStyle name="40% - Accent1 4 6" xfId="3154" xr:uid="{00000000-0005-0000-0000-0000B9040000}"/>
    <cellStyle name="40% - Accent1 4 6 2" xfId="7456" xr:uid="{00000000-0005-0000-0000-0000BA040000}"/>
    <cellStyle name="40% - Accent1 4 7" xfId="5390" xr:uid="{00000000-0005-0000-0000-0000BB040000}"/>
    <cellStyle name="40% - Accent1 4 8" xfId="1086" xr:uid="{00000000-0005-0000-0000-0000BC040000}"/>
    <cellStyle name="40% - Accent1 5" xfId="626" xr:uid="{00000000-0005-0000-0000-0000BD040000}"/>
    <cellStyle name="40% - Accent1 5 2" xfId="3724" xr:uid="{00000000-0005-0000-0000-0000BE040000}"/>
    <cellStyle name="40% - Accent1 5 2 2" xfId="7942" xr:uid="{00000000-0005-0000-0000-0000BF040000}"/>
    <cellStyle name="40% - Accent1 5 3" xfId="5797" xr:uid="{00000000-0005-0000-0000-0000C0040000}"/>
    <cellStyle name="40% - Accent1 5 4" xfId="1493" xr:uid="{00000000-0005-0000-0000-0000C1040000}"/>
    <cellStyle name="40% - Accent1 6" xfId="1908" xr:uid="{00000000-0005-0000-0000-0000C2040000}"/>
    <cellStyle name="40% - Accent1 6 2" xfId="4137" xr:uid="{00000000-0005-0000-0000-0000C3040000}"/>
    <cellStyle name="40% - Accent1 6 2 2" xfId="8355" xr:uid="{00000000-0005-0000-0000-0000C4040000}"/>
    <cellStyle name="40% - Accent1 6 3" xfId="6210" xr:uid="{00000000-0005-0000-0000-0000C5040000}"/>
    <cellStyle name="40% - Accent1 7" xfId="2321" xr:uid="{00000000-0005-0000-0000-0000C6040000}"/>
    <cellStyle name="40% - Accent1 7 2" xfId="4550" xr:uid="{00000000-0005-0000-0000-0000C7040000}"/>
    <cellStyle name="40% - Accent1 7 2 2" xfId="8768" xr:uid="{00000000-0005-0000-0000-0000C8040000}"/>
    <cellStyle name="40% - Accent1 7 3" xfId="6623" xr:uid="{00000000-0005-0000-0000-0000C9040000}"/>
    <cellStyle name="40% - Accent1 8" xfId="2734" xr:uid="{00000000-0005-0000-0000-0000CA040000}"/>
    <cellStyle name="40% - Accent1 8 2" xfId="4963" xr:uid="{00000000-0005-0000-0000-0000CB040000}"/>
    <cellStyle name="40% - Accent1 8 2 2" xfId="9181" xr:uid="{00000000-0005-0000-0000-0000CC040000}"/>
    <cellStyle name="40% - Accent1 8 3" xfId="7036" xr:uid="{00000000-0005-0000-0000-0000CD040000}"/>
    <cellStyle name="40% - Accent1 9" xfId="3147" xr:uid="{00000000-0005-0000-0000-0000CE040000}"/>
    <cellStyle name="40% - Accent1 9 2" xfId="7449" xr:uid="{00000000-0005-0000-0000-0000CF040000}"/>
    <cellStyle name="40% - Accent2" xfId="57" builtinId="35" customBuiltin="1"/>
    <cellStyle name="40% - Accent2 10" xfId="5391" xr:uid="{00000000-0005-0000-0000-0000D1040000}"/>
    <cellStyle name="40% - Accent2 11" xfId="1087" xr:uid="{00000000-0005-0000-0000-0000D2040000}"/>
    <cellStyle name="40% - Accent2 2" xfId="58" xr:uid="{00000000-0005-0000-0000-0000D3040000}"/>
    <cellStyle name="40% - Accent2 2 10" xfId="1088" xr:uid="{00000000-0005-0000-0000-0000D4040000}"/>
    <cellStyle name="40% - Accent2 2 2" xfId="59" xr:uid="{00000000-0005-0000-0000-0000D5040000}"/>
    <cellStyle name="40% - Accent2 2 2 2" xfId="60" xr:uid="{00000000-0005-0000-0000-0000D6040000}"/>
    <cellStyle name="40% - Accent2 2 2 2 2" xfId="637" xr:uid="{00000000-0005-0000-0000-0000D7040000}"/>
    <cellStyle name="40% - Accent2 2 2 2 2 2" xfId="3735" xr:uid="{00000000-0005-0000-0000-0000D8040000}"/>
    <cellStyle name="40% - Accent2 2 2 2 2 2 2" xfId="7953" xr:uid="{00000000-0005-0000-0000-0000D9040000}"/>
    <cellStyle name="40% - Accent2 2 2 2 2 3" xfId="5808" xr:uid="{00000000-0005-0000-0000-0000DA040000}"/>
    <cellStyle name="40% - Accent2 2 2 2 2 4" xfId="1504" xr:uid="{00000000-0005-0000-0000-0000DB040000}"/>
    <cellStyle name="40% - Accent2 2 2 2 3" xfId="1919" xr:uid="{00000000-0005-0000-0000-0000DC040000}"/>
    <cellStyle name="40% - Accent2 2 2 2 3 2" xfId="4148" xr:uid="{00000000-0005-0000-0000-0000DD040000}"/>
    <cellStyle name="40% - Accent2 2 2 2 3 2 2" xfId="8366" xr:uid="{00000000-0005-0000-0000-0000DE040000}"/>
    <cellStyle name="40% - Accent2 2 2 2 3 3" xfId="6221" xr:uid="{00000000-0005-0000-0000-0000DF040000}"/>
    <cellStyle name="40% - Accent2 2 2 2 4" xfId="2332" xr:uid="{00000000-0005-0000-0000-0000E0040000}"/>
    <cellStyle name="40% - Accent2 2 2 2 4 2" xfId="4561" xr:uid="{00000000-0005-0000-0000-0000E1040000}"/>
    <cellStyle name="40% - Accent2 2 2 2 4 2 2" xfId="8779" xr:uid="{00000000-0005-0000-0000-0000E2040000}"/>
    <cellStyle name="40% - Accent2 2 2 2 4 3" xfId="6634" xr:uid="{00000000-0005-0000-0000-0000E3040000}"/>
    <cellStyle name="40% - Accent2 2 2 2 5" xfId="2745" xr:uid="{00000000-0005-0000-0000-0000E4040000}"/>
    <cellStyle name="40% - Accent2 2 2 2 5 2" xfId="4974" xr:uid="{00000000-0005-0000-0000-0000E5040000}"/>
    <cellStyle name="40% - Accent2 2 2 2 5 2 2" xfId="9192" xr:uid="{00000000-0005-0000-0000-0000E6040000}"/>
    <cellStyle name="40% - Accent2 2 2 2 5 3" xfId="7047" xr:uid="{00000000-0005-0000-0000-0000E7040000}"/>
    <cellStyle name="40% - Accent2 2 2 2 6" xfId="3158" xr:uid="{00000000-0005-0000-0000-0000E8040000}"/>
    <cellStyle name="40% - Accent2 2 2 2 6 2" xfId="7460" xr:uid="{00000000-0005-0000-0000-0000E9040000}"/>
    <cellStyle name="40% - Accent2 2 2 2 7" xfId="5394" xr:uid="{00000000-0005-0000-0000-0000EA040000}"/>
    <cellStyle name="40% - Accent2 2 2 2 8" xfId="1090" xr:uid="{00000000-0005-0000-0000-0000EB040000}"/>
    <cellStyle name="40% - Accent2 2 2 3" xfId="636" xr:uid="{00000000-0005-0000-0000-0000EC040000}"/>
    <cellStyle name="40% - Accent2 2 2 3 2" xfId="3734" xr:uid="{00000000-0005-0000-0000-0000ED040000}"/>
    <cellStyle name="40% - Accent2 2 2 3 2 2" xfId="7952" xr:uid="{00000000-0005-0000-0000-0000EE040000}"/>
    <cellStyle name="40% - Accent2 2 2 3 3" xfId="5807" xr:uid="{00000000-0005-0000-0000-0000EF040000}"/>
    <cellStyle name="40% - Accent2 2 2 3 4" xfId="1503" xr:uid="{00000000-0005-0000-0000-0000F0040000}"/>
    <cellStyle name="40% - Accent2 2 2 4" xfId="1918" xr:uid="{00000000-0005-0000-0000-0000F1040000}"/>
    <cellStyle name="40% - Accent2 2 2 4 2" xfId="4147" xr:uid="{00000000-0005-0000-0000-0000F2040000}"/>
    <cellStyle name="40% - Accent2 2 2 4 2 2" xfId="8365" xr:uid="{00000000-0005-0000-0000-0000F3040000}"/>
    <cellStyle name="40% - Accent2 2 2 4 3" xfId="6220" xr:uid="{00000000-0005-0000-0000-0000F4040000}"/>
    <cellStyle name="40% - Accent2 2 2 5" xfId="2331" xr:uid="{00000000-0005-0000-0000-0000F5040000}"/>
    <cellStyle name="40% - Accent2 2 2 5 2" xfId="4560" xr:uid="{00000000-0005-0000-0000-0000F6040000}"/>
    <cellStyle name="40% - Accent2 2 2 5 2 2" xfId="8778" xr:uid="{00000000-0005-0000-0000-0000F7040000}"/>
    <cellStyle name="40% - Accent2 2 2 5 3" xfId="6633" xr:uid="{00000000-0005-0000-0000-0000F8040000}"/>
    <cellStyle name="40% - Accent2 2 2 6" xfId="2744" xr:uid="{00000000-0005-0000-0000-0000F9040000}"/>
    <cellStyle name="40% - Accent2 2 2 6 2" xfId="4973" xr:uid="{00000000-0005-0000-0000-0000FA040000}"/>
    <cellStyle name="40% - Accent2 2 2 6 2 2" xfId="9191" xr:uid="{00000000-0005-0000-0000-0000FB040000}"/>
    <cellStyle name="40% - Accent2 2 2 6 3" xfId="7046" xr:uid="{00000000-0005-0000-0000-0000FC040000}"/>
    <cellStyle name="40% - Accent2 2 2 7" xfId="3157" xr:uid="{00000000-0005-0000-0000-0000FD040000}"/>
    <cellStyle name="40% - Accent2 2 2 7 2" xfId="7459" xr:uid="{00000000-0005-0000-0000-0000FE040000}"/>
    <cellStyle name="40% - Accent2 2 2 8" xfId="5393" xr:uid="{00000000-0005-0000-0000-0000FF040000}"/>
    <cellStyle name="40% - Accent2 2 2 9" xfId="1089" xr:uid="{00000000-0005-0000-0000-000000050000}"/>
    <cellStyle name="40% - Accent2 2 3" xfId="61" xr:uid="{00000000-0005-0000-0000-000001050000}"/>
    <cellStyle name="40% - Accent2 2 3 2" xfId="638" xr:uid="{00000000-0005-0000-0000-000002050000}"/>
    <cellStyle name="40% - Accent2 2 3 2 2" xfId="3736" xr:uid="{00000000-0005-0000-0000-000003050000}"/>
    <cellStyle name="40% - Accent2 2 3 2 2 2" xfId="7954" xr:uid="{00000000-0005-0000-0000-000004050000}"/>
    <cellStyle name="40% - Accent2 2 3 2 3" xfId="5809" xr:uid="{00000000-0005-0000-0000-000005050000}"/>
    <cellStyle name="40% - Accent2 2 3 2 4" xfId="1505" xr:uid="{00000000-0005-0000-0000-000006050000}"/>
    <cellStyle name="40% - Accent2 2 3 3" xfId="1920" xr:uid="{00000000-0005-0000-0000-000007050000}"/>
    <cellStyle name="40% - Accent2 2 3 3 2" xfId="4149" xr:uid="{00000000-0005-0000-0000-000008050000}"/>
    <cellStyle name="40% - Accent2 2 3 3 2 2" xfId="8367" xr:uid="{00000000-0005-0000-0000-000009050000}"/>
    <cellStyle name="40% - Accent2 2 3 3 3" xfId="6222" xr:uid="{00000000-0005-0000-0000-00000A050000}"/>
    <cellStyle name="40% - Accent2 2 3 4" xfId="2333" xr:uid="{00000000-0005-0000-0000-00000B050000}"/>
    <cellStyle name="40% - Accent2 2 3 4 2" xfId="4562" xr:uid="{00000000-0005-0000-0000-00000C050000}"/>
    <cellStyle name="40% - Accent2 2 3 4 2 2" xfId="8780" xr:uid="{00000000-0005-0000-0000-00000D050000}"/>
    <cellStyle name="40% - Accent2 2 3 4 3" xfId="6635" xr:uid="{00000000-0005-0000-0000-00000E050000}"/>
    <cellStyle name="40% - Accent2 2 3 5" xfId="2746" xr:uid="{00000000-0005-0000-0000-00000F050000}"/>
    <cellStyle name="40% - Accent2 2 3 5 2" xfId="4975" xr:uid="{00000000-0005-0000-0000-000010050000}"/>
    <cellStyle name="40% - Accent2 2 3 5 2 2" xfId="9193" xr:uid="{00000000-0005-0000-0000-000011050000}"/>
    <cellStyle name="40% - Accent2 2 3 5 3" xfId="7048" xr:uid="{00000000-0005-0000-0000-000012050000}"/>
    <cellStyle name="40% - Accent2 2 3 6" xfId="3159" xr:uid="{00000000-0005-0000-0000-000013050000}"/>
    <cellStyle name="40% - Accent2 2 3 6 2" xfId="7461" xr:uid="{00000000-0005-0000-0000-000014050000}"/>
    <cellStyle name="40% - Accent2 2 3 7" xfId="5395" xr:uid="{00000000-0005-0000-0000-000015050000}"/>
    <cellStyle name="40% - Accent2 2 3 8" xfId="1091" xr:uid="{00000000-0005-0000-0000-000016050000}"/>
    <cellStyle name="40% - Accent2 2 4" xfId="635" xr:uid="{00000000-0005-0000-0000-000017050000}"/>
    <cellStyle name="40% - Accent2 2 4 2" xfId="3733" xr:uid="{00000000-0005-0000-0000-000018050000}"/>
    <cellStyle name="40% - Accent2 2 4 2 2" xfId="7951" xr:uid="{00000000-0005-0000-0000-000019050000}"/>
    <cellStyle name="40% - Accent2 2 4 3" xfId="5806" xr:uid="{00000000-0005-0000-0000-00001A050000}"/>
    <cellStyle name="40% - Accent2 2 4 4" xfId="1502" xr:uid="{00000000-0005-0000-0000-00001B050000}"/>
    <cellStyle name="40% - Accent2 2 5" xfId="1917" xr:uid="{00000000-0005-0000-0000-00001C050000}"/>
    <cellStyle name="40% - Accent2 2 5 2" xfId="4146" xr:uid="{00000000-0005-0000-0000-00001D050000}"/>
    <cellStyle name="40% - Accent2 2 5 2 2" xfId="8364" xr:uid="{00000000-0005-0000-0000-00001E050000}"/>
    <cellStyle name="40% - Accent2 2 5 3" xfId="6219" xr:uid="{00000000-0005-0000-0000-00001F050000}"/>
    <cellStyle name="40% - Accent2 2 6" xfId="2330" xr:uid="{00000000-0005-0000-0000-000020050000}"/>
    <cellStyle name="40% - Accent2 2 6 2" xfId="4559" xr:uid="{00000000-0005-0000-0000-000021050000}"/>
    <cellStyle name="40% - Accent2 2 6 2 2" xfId="8777" xr:uid="{00000000-0005-0000-0000-000022050000}"/>
    <cellStyle name="40% - Accent2 2 6 3" xfId="6632" xr:uid="{00000000-0005-0000-0000-000023050000}"/>
    <cellStyle name="40% - Accent2 2 7" xfId="2743" xr:uid="{00000000-0005-0000-0000-000024050000}"/>
    <cellStyle name="40% - Accent2 2 7 2" xfId="4972" xr:uid="{00000000-0005-0000-0000-000025050000}"/>
    <cellStyle name="40% - Accent2 2 7 2 2" xfId="9190" xr:uid="{00000000-0005-0000-0000-000026050000}"/>
    <cellStyle name="40% - Accent2 2 7 3" xfId="7045" xr:uid="{00000000-0005-0000-0000-000027050000}"/>
    <cellStyle name="40% - Accent2 2 8" xfId="3156" xr:uid="{00000000-0005-0000-0000-000028050000}"/>
    <cellStyle name="40% - Accent2 2 8 2" xfId="7458" xr:uid="{00000000-0005-0000-0000-000029050000}"/>
    <cellStyle name="40% - Accent2 2 9" xfId="5392" xr:uid="{00000000-0005-0000-0000-00002A050000}"/>
    <cellStyle name="40% - Accent2 3" xfId="62" xr:uid="{00000000-0005-0000-0000-00002B050000}"/>
    <cellStyle name="40% - Accent2 3 2" xfId="63" xr:uid="{00000000-0005-0000-0000-00002C050000}"/>
    <cellStyle name="40% - Accent2 3 2 2" xfId="640" xr:uid="{00000000-0005-0000-0000-00002D050000}"/>
    <cellStyle name="40% - Accent2 3 2 2 2" xfId="3738" xr:uid="{00000000-0005-0000-0000-00002E050000}"/>
    <cellStyle name="40% - Accent2 3 2 2 2 2" xfId="7956" xr:uid="{00000000-0005-0000-0000-00002F050000}"/>
    <cellStyle name="40% - Accent2 3 2 2 3" xfId="5811" xr:uid="{00000000-0005-0000-0000-000030050000}"/>
    <cellStyle name="40% - Accent2 3 2 2 4" xfId="1507" xr:uid="{00000000-0005-0000-0000-000031050000}"/>
    <cellStyle name="40% - Accent2 3 2 3" xfId="1922" xr:uid="{00000000-0005-0000-0000-000032050000}"/>
    <cellStyle name="40% - Accent2 3 2 3 2" xfId="4151" xr:uid="{00000000-0005-0000-0000-000033050000}"/>
    <cellStyle name="40% - Accent2 3 2 3 2 2" xfId="8369" xr:uid="{00000000-0005-0000-0000-000034050000}"/>
    <cellStyle name="40% - Accent2 3 2 3 3" xfId="6224" xr:uid="{00000000-0005-0000-0000-000035050000}"/>
    <cellStyle name="40% - Accent2 3 2 4" xfId="2335" xr:uid="{00000000-0005-0000-0000-000036050000}"/>
    <cellStyle name="40% - Accent2 3 2 4 2" xfId="4564" xr:uid="{00000000-0005-0000-0000-000037050000}"/>
    <cellStyle name="40% - Accent2 3 2 4 2 2" xfId="8782" xr:uid="{00000000-0005-0000-0000-000038050000}"/>
    <cellStyle name="40% - Accent2 3 2 4 3" xfId="6637" xr:uid="{00000000-0005-0000-0000-000039050000}"/>
    <cellStyle name="40% - Accent2 3 2 5" xfId="2748" xr:uid="{00000000-0005-0000-0000-00003A050000}"/>
    <cellStyle name="40% - Accent2 3 2 5 2" xfId="4977" xr:uid="{00000000-0005-0000-0000-00003B050000}"/>
    <cellStyle name="40% - Accent2 3 2 5 2 2" xfId="9195" xr:uid="{00000000-0005-0000-0000-00003C050000}"/>
    <cellStyle name="40% - Accent2 3 2 5 3" xfId="7050" xr:uid="{00000000-0005-0000-0000-00003D050000}"/>
    <cellStyle name="40% - Accent2 3 2 6" xfId="3161" xr:uid="{00000000-0005-0000-0000-00003E050000}"/>
    <cellStyle name="40% - Accent2 3 2 6 2" xfId="7463" xr:uid="{00000000-0005-0000-0000-00003F050000}"/>
    <cellStyle name="40% - Accent2 3 2 7" xfId="5397" xr:uid="{00000000-0005-0000-0000-000040050000}"/>
    <cellStyle name="40% - Accent2 3 2 8" xfId="1093" xr:uid="{00000000-0005-0000-0000-000041050000}"/>
    <cellStyle name="40% - Accent2 3 3" xfId="639" xr:uid="{00000000-0005-0000-0000-000042050000}"/>
    <cellStyle name="40% - Accent2 3 3 2" xfId="3737" xr:uid="{00000000-0005-0000-0000-000043050000}"/>
    <cellStyle name="40% - Accent2 3 3 2 2" xfId="7955" xr:uid="{00000000-0005-0000-0000-000044050000}"/>
    <cellStyle name="40% - Accent2 3 3 3" xfId="5810" xr:uid="{00000000-0005-0000-0000-000045050000}"/>
    <cellStyle name="40% - Accent2 3 3 4" xfId="1506" xr:uid="{00000000-0005-0000-0000-000046050000}"/>
    <cellStyle name="40% - Accent2 3 4" xfId="1921" xr:uid="{00000000-0005-0000-0000-000047050000}"/>
    <cellStyle name="40% - Accent2 3 4 2" xfId="4150" xr:uid="{00000000-0005-0000-0000-000048050000}"/>
    <cellStyle name="40% - Accent2 3 4 2 2" xfId="8368" xr:uid="{00000000-0005-0000-0000-000049050000}"/>
    <cellStyle name="40% - Accent2 3 4 3" xfId="6223" xr:uid="{00000000-0005-0000-0000-00004A050000}"/>
    <cellStyle name="40% - Accent2 3 5" xfId="2334" xr:uid="{00000000-0005-0000-0000-00004B050000}"/>
    <cellStyle name="40% - Accent2 3 5 2" xfId="4563" xr:uid="{00000000-0005-0000-0000-00004C050000}"/>
    <cellStyle name="40% - Accent2 3 5 2 2" xfId="8781" xr:uid="{00000000-0005-0000-0000-00004D050000}"/>
    <cellStyle name="40% - Accent2 3 5 3" xfId="6636" xr:uid="{00000000-0005-0000-0000-00004E050000}"/>
    <cellStyle name="40% - Accent2 3 6" xfId="2747" xr:uid="{00000000-0005-0000-0000-00004F050000}"/>
    <cellStyle name="40% - Accent2 3 6 2" xfId="4976" xr:uid="{00000000-0005-0000-0000-000050050000}"/>
    <cellStyle name="40% - Accent2 3 6 2 2" xfId="9194" xr:uid="{00000000-0005-0000-0000-000051050000}"/>
    <cellStyle name="40% - Accent2 3 6 3" xfId="7049" xr:uid="{00000000-0005-0000-0000-000052050000}"/>
    <cellStyle name="40% - Accent2 3 7" xfId="3160" xr:uid="{00000000-0005-0000-0000-000053050000}"/>
    <cellStyle name="40% - Accent2 3 7 2" xfId="7462" xr:uid="{00000000-0005-0000-0000-000054050000}"/>
    <cellStyle name="40% - Accent2 3 8" xfId="5396" xr:uid="{00000000-0005-0000-0000-000055050000}"/>
    <cellStyle name="40% - Accent2 3 9" xfId="1092" xr:uid="{00000000-0005-0000-0000-000056050000}"/>
    <cellStyle name="40% - Accent2 4" xfId="64" xr:uid="{00000000-0005-0000-0000-000057050000}"/>
    <cellStyle name="40% - Accent2 4 2" xfId="641" xr:uid="{00000000-0005-0000-0000-000058050000}"/>
    <cellStyle name="40% - Accent2 4 2 2" xfId="3739" xr:uid="{00000000-0005-0000-0000-000059050000}"/>
    <cellStyle name="40% - Accent2 4 2 2 2" xfId="7957" xr:uid="{00000000-0005-0000-0000-00005A050000}"/>
    <cellStyle name="40% - Accent2 4 2 3" xfId="5812" xr:uid="{00000000-0005-0000-0000-00005B050000}"/>
    <cellStyle name="40% - Accent2 4 2 4" xfId="1508" xr:uid="{00000000-0005-0000-0000-00005C050000}"/>
    <cellStyle name="40% - Accent2 4 3" xfId="1923" xr:uid="{00000000-0005-0000-0000-00005D050000}"/>
    <cellStyle name="40% - Accent2 4 3 2" xfId="4152" xr:uid="{00000000-0005-0000-0000-00005E050000}"/>
    <cellStyle name="40% - Accent2 4 3 2 2" xfId="8370" xr:uid="{00000000-0005-0000-0000-00005F050000}"/>
    <cellStyle name="40% - Accent2 4 3 3" xfId="6225" xr:uid="{00000000-0005-0000-0000-000060050000}"/>
    <cellStyle name="40% - Accent2 4 4" xfId="2336" xr:uid="{00000000-0005-0000-0000-000061050000}"/>
    <cellStyle name="40% - Accent2 4 4 2" xfId="4565" xr:uid="{00000000-0005-0000-0000-000062050000}"/>
    <cellStyle name="40% - Accent2 4 4 2 2" xfId="8783" xr:uid="{00000000-0005-0000-0000-000063050000}"/>
    <cellStyle name="40% - Accent2 4 4 3" xfId="6638" xr:uid="{00000000-0005-0000-0000-000064050000}"/>
    <cellStyle name="40% - Accent2 4 5" xfId="2749" xr:uid="{00000000-0005-0000-0000-000065050000}"/>
    <cellStyle name="40% - Accent2 4 5 2" xfId="4978" xr:uid="{00000000-0005-0000-0000-000066050000}"/>
    <cellStyle name="40% - Accent2 4 5 2 2" xfId="9196" xr:uid="{00000000-0005-0000-0000-000067050000}"/>
    <cellStyle name="40% - Accent2 4 5 3" xfId="7051" xr:uid="{00000000-0005-0000-0000-000068050000}"/>
    <cellStyle name="40% - Accent2 4 6" xfId="3162" xr:uid="{00000000-0005-0000-0000-000069050000}"/>
    <cellStyle name="40% - Accent2 4 6 2" xfId="7464" xr:uid="{00000000-0005-0000-0000-00006A050000}"/>
    <cellStyle name="40% - Accent2 4 7" xfId="5398" xr:uid="{00000000-0005-0000-0000-00006B050000}"/>
    <cellStyle name="40% - Accent2 4 8" xfId="1094" xr:uid="{00000000-0005-0000-0000-00006C050000}"/>
    <cellStyle name="40% - Accent2 5" xfId="634" xr:uid="{00000000-0005-0000-0000-00006D050000}"/>
    <cellStyle name="40% - Accent2 5 2" xfId="3732" xr:uid="{00000000-0005-0000-0000-00006E050000}"/>
    <cellStyle name="40% - Accent2 5 2 2" xfId="7950" xr:uid="{00000000-0005-0000-0000-00006F050000}"/>
    <cellStyle name="40% - Accent2 5 3" xfId="5805" xr:uid="{00000000-0005-0000-0000-000070050000}"/>
    <cellStyle name="40% - Accent2 5 4" xfId="1501" xr:uid="{00000000-0005-0000-0000-000071050000}"/>
    <cellStyle name="40% - Accent2 6" xfId="1916" xr:uid="{00000000-0005-0000-0000-000072050000}"/>
    <cellStyle name="40% - Accent2 6 2" xfId="4145" xr:uid="{00000000-0005-0000-0000-000073050000}"/>
    <cellStyle name="40% - Accent2 6 2 2" xfId="8363" xr:uid="{00000000-0005-0000-0000-000074050000}"/>
    <cellStyle name="40% - Accent2 6 3" xfId="6218" xr:uid="{00000000-0005-0000-0000-000075050000}"/>
    <cellStyle name="40% - Accent2 7" xfId="2329" xr:uid="{00000000-0005-0000-0000-000076050000}"/>
    <cellStyle name="40% - Accent2 7 2" xfId="4558" xr:uid="{00000000-0005-0000-0000-000077050000}"/>
    <cellStyle name="40% - Accent2 7 2 2" xfId="8776" xr:uid="{00000000-0005-0000-0000-000078050000}"/>
    <cellStyle name="40% - Accent2 7 3" xfId="6631" xr:uid="{00000000-0005-0000-0000-000079050000}"/>
    <cellStyle name="40% - Accent2 8" xfId="2742" xr:uid="{00000000-0005-0000-0000-00007A050000}"/>
    <cellStyle name="40% - Accent2 8 2" xfId="4971" xr:uid="{00000000-0005-0000-0000-00007B050000}"/>
    <cellStyle name="40% - Accent2 8 2 2" xfId="9189" xr:uid="{00000000-0005-0000-0000-00007C050000}"/>
    <cellStyle name="40% - Accent2 8 3" xfId="7044" xr:uid="{00000000-0005-0000-0000-00007D050000}"/>
    <cellStyle name="40% - Accent2 9" xfId="3155" xr:uid="{00000000-0005-0000-0000-00007E050000}"/>
    <cellStyle name="40% - Accent2 9 2" xfId="7457" xr:uid="{00000000-0005-0000-0000-00007F050000}"/>
    <cellStyle name="40% - Accent3" xfId="65" builtinId="39" customBuiltin="1"/>
    <cellStyle name="40% - Accent3 10" xfId="5399" xr:uid="{00000000-0005-0000-0000-000081050000}"/>
    <cellStyle name="40% - Accent3 11" xfId="1095" xr:uid="{00000000-0005-0000-0000-000082050000}"/>
    <cellStyle name="40% - Accent3 2" xfId="66" xr:uid="{00000000-0005-0000-0000-000083050000}"/>
    <cellStyle name="40% - Accent3 2 10" xfId="1096" xr:uid="{00000000-0005-0000-0000-000084050000}"/>
    <cellStyle name="40% - Accent3 2 2" xfId="67" xr:uid="{00000000-0005-0000-0000-000085050000}"/>
    <cellStyle name="40% - Accent3 2 2 2" xfId="68" xr:uid="{00000000-0005-0000-0000-000086050000}"/>
    <cellStyle name="40% - Accent3 2 2 2 2" xfId="645" xr:uid="{00000000-0005-0000-0000-000087050000}"/>
    <cellStyle name="40% - Accent3 2 2 2 2 2" xfId="3743" xr:uid="{00000000-0005-0000-0000-000088050000}"/>
    <cellStyle name="40% - Accent3 2 2 2 2 2 2" xfId="7961" xr:uid="{00000000-0005-0000-0000-000089050000}"/>
    <cellStyle name="40% - Accent3 2 2 2 2 3" xfId="5816" xr:uid="{00000000-0005-0000-0000-00008A050000}"/>
    <cellStyle name="40% - Accent3 2 2 2 2 4" xfId="1512" xr:uid="{00000000-0005-0000-0000-00008B050000}"/>
    <cellStyle name="40% - Accent3 2 2 2 3" xfId="1927" xr:uid="{00000000-0005-0000-0000-00008C050000}"/>
    <cellStyle name="40% - Accent3 2 2 2 3 2" xfId="4156" xr:uid="{00000000-0005-0000-0000-00008D050000}"/>
    <cellStyle name="40% - Accent3 2 2 2 3 2 2" xfId="8374" xr:uid="{00000000-0005-0000-0000-00008E050000}"/>
    <cellStyle name="40% - Accent3 2 2 2 3 3" xfId="6229" xr:uid="{00000000-0005-0000-0000-00008F050000}"/>
    <cellStyle name="40% - Accent3 2 2 2 4" xfId="2340" xr:uid="{00000000-0005-0000-0000-000090050000}"/>
    <cellStyle name="40% - Accent3 2 2 2 4 2" xfId="4569" xr:uid="{00000000-0005-0000-0000-000091050000}"/>
    <cellStyle name="40% - Accent3 2 2 2 4 2 2" xfId="8787" xr:uid="{00000000-0005-0000-0000-000092050000}"/>
    <cellStyle name="40% - Accent3 2 2 2 4 3" xfId="6642" xr:uid="{00000000-0005-0000-0000-000093050000}"/>
    <cellStyle name="40% - Accent3 2 2 2 5" xfId="2753" xr:uid="{00000000-0005-0000-0000-000094050000}"/>
    <cellStyle name="40% - Accent3 2 2 2 5 2" xfId="4982" xr:uid="{00000000-0005-0000-0000-000095050000}"/>
    <cellStyle name="40% - Accent3 2 2 2 5 2 2" xfId="9200" xr:uid="{00000000-0005-0000-0000-000096050000}"/>
    <cellStyle name="40% - Accent3 2 2 2 5 3" xfId="7055" xr:uid="{00000000-0005-0000-0000-000097050000}"/>
    <cellStyle name="40% - Accent3 2 2 2 6" xfId="3166" xr:uid="{00000000-0005-0000-0000-000098050000}"/>
    <cellStyle name="40% - Accent3 2 2 2 6 2" xfId="7468" xr:uid="{00000000-0005-0000-0000-000099050000}"/>
    <cellStyle name="40% - Accent3 2 2 2 7" xfId="5402" xr:uid="{00000000-0005-0000-0000-00009A050000}"/>
    <cellStyle name="40% - Accent3 2 2 2 8" xfId="1098" xr:uid="{00000000-0005-0000-0000-00009B050000}"/>
    <cellStyle name="40% - Accent3 2 2 3" xfId="644" xr:uid="{00000000-0005-0000-0000-00009C050000}"/>
    <cellStyle name="40% - Accent3 2 2 3 2" xfId="3742" xr:uid="{00000000-0005-0000-0000-00009D050000}"/>
    <cellStyle name="40% - Accent3 2 2 3 2 2" xfId="7960" xr:uid="{00000000-0005-0000-0000-00009E050000}"/>
    <cellStyle name="40% - Accent3 2 2 3 3" xfId="5815" xr:uid="{00000000-0005-0000-0000-00009F050000}"/>
    <cellStyle name="40% - Accent3 2 2 3 4" xfId="1511" xr:uid="{00000000-0005-0000-0000-0000A0050000}"/>
    <cellStyle name="40% - Accent3 2 2 4" xfId="1926" xr:uid="{00000000-0005-0000-0000-0000A1050000}"/>
    <cellStyle name="40% - Accent3 2 2 4 2" xfId="4155" xr:uid="{00000000-0005-0000-0000-0000A2050000}"/>
    <cellStyle name="40% - Accent3 2 2 4 2 2" xfId="8373" xr:uid="{00000000-0005-0000-0000-0000A3050000}"/>
    <cellStyle name="40% - Accent3 2 2 4 3" xfId="6228" xr:uid="{00000000-0005-0000-0000-0000A4050000}"/>
    <cellStyle name="40% - Accent3 2 2 5" xfId="2339" xr:uid="{00000000-0005-0000-0000-0000A5050000}"/>
    <cellStyle name="40% - Accent3 2 2 5 2" xfId="4568" xr:uid="{00000000-0005-0000-0000-0000A6050000}"/>
    <cellStyle name="40% - Accent3 2 2 5 2 2" xfId="8786" xr:uid="{00000000-0005-0000-0000-0000A7050000}"/>
    <cellStyle name="40% - Accent3 2 2 5 3" xfId="6641" xr:uid="{00000000-0005-0000-0000-0000A8050000}"/>
    <cellStyle name="40% - Accent3 2 2 6" xfId="2752" xr:uid="{00000000-0005-0000-0000-0000A9050000}"/>
    <cellStyle name="40% - Accent3 2 2 6 2" xfId="4981" xr:uid="{00000000-0005-0000-0000-0000AA050000}"/>
    <cellStyle name="40% - Accent3 2 2 6 2 2" xfId="9199" xr:uid="{00000000-0005-0000-0000-0000AB050000}"/>
    <cellStyle name="40% - Accent3 2 2 6 3" xfId="7054" xr:uid="{00000000-0005-0000-0000-0000AC050000}"/>
    <cellStyle name="40% - Accent3 2 2 7" xfId="3165" xr:uid="{00000000-0005-0000-0000-0000AD050000}"/>
    <cellStyle name="40% - Accent3 2 2 7 2" xfId="7467" xr:uid="{00000000-0005-0000-0000-0000AE050000}"/>
    <cellStyle name="40% - Accent3 2 2 8" xfId="5401" xr:uid="{00000000-0005-0000-0000-0000AF050000}"/>
    <cellStyle name="40% - Accent3 2 2 9" xfId="1097" xr:uid="{00000000-0005-0000-0000-0000B0050000}"/>
    <cellStyle name="40% - Accent3 2 3" xfId="69" xr:uid="{00000000-0005-0000-0000-0000B1050000}"/>
    <cellStyle name="40% - Accent3 2 3 2" xfId="646" xr:uid="{00000000-0005-0000-0000-0000B2050000}"/>
    <cellStyle name="40% - Accent3 2 3 2 2" xfId="3744" xr:uid="{00000000-0005-0000-0000-0000B3050000}"/>
    <cellStyle name="40% - Accent3 2 3 2 2 2" xfId="7962" xr:uid="{00000000-0005-0000-0000-0000B4050000}"/>
    <cellStyle name="40% - Accent3 2 3 2 3" xfId="5817" xr:uid="{00000000-0005-0000-0000-0000B5050000}"/>
    <cellStyle name="40% - Accent3 2 3 2 4" xfId="1513" xr:uid="{00000000-0005-0000-0000-0000B6050000}"/>
    <cellStyle name="40% - Accent3 2 3 3" xfId="1928" xr:uid="{00000000-0005-0000-0000-0000B7050000}"/>
    <cellStyle name="40% - Accent3 2 3 3 2" xfId="4157" xr:uid="{00000000-0005-0000-0000-0000B8050000}"/>
    <cellStyle name="40% - Accent3 2 3 3 2 2" xfId="8375" xr:uid="{00000000-0005-0000-0000-0000B9050000}"/>
    <cellStyle name="40% - Accent3 2 3 3 3" xfId="6230" xr:uid="{00000000-0005-0000-0000-0000BA050000}"/>
    <cellStyle name="40% - Accent3 2 3 4" xfId="2341" xr:uid="{00000000-0005-0000-0000-0000BB050000}"/>
    <cellStyle name="40% - Accent3 2 3 4 2" xfId="4570" xr:uid="{00000000-0005-0000-0000-0000BC050000}"/>
    <cellStyle name="40% - Accent3 2 3 4 2 2" xfId="8788" xr:uid="{00000000-0005-0000-0000-0000BD050000}"/>
    <cellStyle name="40% - Accent3 2 3 4 3" xfId="6643" xr:uid="{00000000-0005-0000-0000-0000BE050000}"/>
    <cellStyle name="40% - Accent3 2 3 5" xfId="2754" xr:uid="{00000000-0005-0000-0000-0000BF050000}"/>
    <cellStyle name="40% - Accent3 2 3 5 2" xfId="4983" xr:uid="{00000000-0005-0000-0000-0000C0050000}"/>
    <cellStyle name="40% - Accent3 2 3 5 2 2" xfId="9201" xr:uid="{00000000-0005-0000-0000-0000C1050000}"/>
    <cellStyle name="40% - Accent3 2 3 5 3" xfId="7056" xr:uid="{00000000-0005-0000-0000-0000C2050000}"/>
    <cellStyle name="40% - Accent3 2 3 6" xfId="3167" xr:uid="{00000000-0005-0000-0000-0000C3050000}"/>
    <cellStyle name="40% - Accent3 2 3 6 2" xfId="7469" xr:uid="{00000000-0005-0000-0000-0000C4050000}"/>
    <cellStyle name="40% - Accent3 2 3 7" xfId="5403" xr:uid="{00000000-0005-0000-0000-0000C5050000}"/>
    <cellStyle name="40% - Accent3 2 3 8" xfId="1099" xr:uid="{00000000-0005-0000-0000-0000C6050000}"/>
    <cellStyle name="40% - Accent3 2 4" xfId="643" xr:uid="{00000000-0005-0000-0000-0000C7050000}"/>
    <cellStyle name="40% - Accent3 2 4 2" xfId="3741" xr:uid="{00000000-0005-0000-0000-0000C8050000}"/>
    <cellStyle name="40% - Accent3 2 4 2 2" xfId="7959" xr:uid="{00000000-0005-0000-0000-0000C9050000}"/>
    <cellStyle name="40% - Accent3 2 4 3" xfId="5814" xr:uid="{00000000-0005-0000-0000-0000CA050000}"/>
    <cellStyle name="40% - Accent3 2 4 4" xfId="1510" xr:uid="{00000000-0005-0000-0000-0000CB050000}"/>
    <cellStyle name="40% - Accent3 2 5" xfId="1925" xr:uid="{00000000-0005-0000-0000-0000CC050000}"/>
    <cellStyle name="40% - Accent3 2 5 2" xfId="4154" xr:uid="{00000000-0005-0000-0000-0000CD050000}"/>
    <cellStyle name="40% - Accent3 2 5 2 2" xfId="8372" xr:uid="{00000000-0005-0000-0000-0000CE050000}"/>
    <cellStyle name="40% - Accent3 2 5 3" xfId="6227" xr:uid="{00000000-0005-0000-0000-0000CF050000}"/>
    <cellStyle name="40% - Accent3 2 6" xfId="2338" xr:uid="{00000000-0005-0000-0000-0000D0050000}"/>
    <cellStyle name="40% - Accent3 2 6 2" xfId="4567" xr:uid="{00000000-0005-0000-0000-0000D1050000}"/>
    <cellStyle name="40% - Accent3 2 6 2 2" xfId="8785" xr:uid="{00000000-0005-0000-0000-0000D2050000}"/>
    <cellStyle name="40% - Accent3 2 6 3" xfId="6640" xr:uid="{00000000-0005-0000-0000-0000D3050000}"/>
    <cellStyle name="40% - Accent3 2 7" xfId="2751" xr:uid="{00000000-0005-0000-0000-0000D4050000}"/>
    <cellStyle name="40% - Accent3 2 7 2" xfId="4980" xr:uid="{00000000-0005-0000-0000-0000D5050000}"/>
    <cellStyle name="40% - Accent3 2 7 2 2" xfId="9198" xr:uid="{00000000-0005-0000-0000-0000D6050000}"/>
    <cellStyle name="40% - Accent3 2 7 3" xfId="7053" xr:uid="{00000000-0005-0000-0000-0000D7050000}"/>
    <cellStyle name="40% - Accent3 2 8" xfId="3164" xr:uid="{00000000-0005-0000-0000-0000D8050000}"/>
    <cellStyle name="40% - Accent3 2 8 2" xfId="7466" xr:uid="{00000000-0005-0000-0000-0000D9050000}"/>
    <cellStyle name="40% - Accent3 2 9" xfId="5400" xr:uid="{00000000-0005-0000-0000-0000DA050000}"/>
    <cellStyle name="40% - Accent3 3" xfId="70" xr:uid="{00000000-0005-0000-0000-0000DB050000}"/>
    <cellStyle name="40% - Accent3 3 2" xfId="71" xr:uid="{00000000-0005-0000-0000-0000DC050000}"/>
    <cellStyle name="40% - Accent3 3 2 2" xfId="648" xr:uid="{00000000-0005-0000-0000-0000DD050000}"/>
    <cellStyle name="40% - Accent3 3 2 2 2" xfId="3746" xr:uid="{00000000-0005-0000-0000-0000DE050000}"/>
    <cellStyle name="40% - Accent3 3 2 2 2 2" xfId="7964" xr:uid="{00000000-0005-0000-0000-0000DF050000}"/>
    <cellStyle name="40% - Accent3 3 2 2 3" xfId="5819" xr:uid="{00000000-0005-0000-0000-0000E0050000}"/>
    <cellStyle name="40% - Accent3 3 2 2 4" xfId="1515" xr:uid="{00000000-0005-0000-0000-0000E1050000}"/>
    <cellStyle name="40% - Accent3 3 2 3" xfId="1930" xr:uid="{00000000-0005-0000-0000-0000E2050000}"/>
    <cellStyle name="40% - Accent3 3 2 3 2" xfId="4159" xr:uid="{00000000-0005-0000-0000-0000E3050000}"/>
    <cellStyle name="40% - Accent3 3 2 3 2 2" xfId="8377" xr:uid="{00000000-0005-0000-0000-0000E4050000}"/>
    <cellStyle name="40% - Accent3 3 2 3 3" xfId="6232" xr:uid="{00000000-0005-0000-0000-0000E5050000}"/>
    <cellStyle name="40% - Accent3 3 2 4" xfId="2343" xr:uid="{00000000-0005-0000-0000-0000E6050000}"/>
    <cellStyle name="40% - Accent3 3 2 4 2" xfId="4572" xr:uid="{00000000-0005-0000-0000-0000E7050000}"/>
    <cellStyle name="40% - Accent3 3 2 4 2 2" xfId="8790" xr:uid="{00000000-0005-0000-0000-0000E8050000}"/>
    <cellStyle name="40% - Accent3 3 2 4 3" xfId="6645" xr:uid="{00000000-0005-0000-0000-0000E9050000}"/>
    <cellStyle name="40% - Accent3 3 2 5" xfId="2756" xr:uid="{00000000-0005-0000-0000-0000EA050000}"/>
    <cellStyle name="40% - Accent3 3 2 5 2" xfId="4985" xr:uid="{00000000-0005-0000-0000-0000EB050000}"/>
    <cellStyle name="40% - Accent3 3 2 5 2 2" xfId="9203" xr:uid="{00000000-0005-0000-0000-0000EC050000}"/>
    <cellStyle name="40% - Accent3 3 2 5 3" xfId="7058" xr:uid="{00000000-0005-0000-0000-0000ED050000}"/>
    <cellStyle name="40% - Accent3 3 2 6" xfId="3169" xr:uid="{00000000-0005-0000-0000-0000EE050000}"/>
    <cellStyle name="40% - Accent3 3 2 6 2" xfId="7471" xr:uid="{00000000-0005-0000-0000-0000EF050000}"/>
    <cellStyle name="40% - Accent3 3 2 7" xfId="5405" xr:uid="{00000000-0005-0000-0000-0000F0050000}"/>
    <cellStyle name="40% - Accent3 3 2 8" xfId="1101" xr:uid="{00000000-0005-0000-0000-0000F1050000}"/>
    <cellStyle name="40% - Accent3 3 3" xfId="647" xr:uid="{00000000-0005-0000-0000-0000F2050000}"/>
    <cellStyle name="40% - Accent3 3 3 2" xfId="3745" xr:uid="{00000000-0005-0000-0000-0000F3050000}"/>
    <cellStyle name="40% - Accent3 3 3 2 2" xfId="7963" xr:uid="{00000000-0005-0000-0000-0000F4050000}"/>
    <cellStyle name="40% - Accent3 3 3 3" xfId="5818" xr:uid="{00000000-0005-0000-0000-0000F5050000}"/>
    <cellStyle name="40% - Accent3 3 3 4" xfId="1514" xr:uid="{00000000-0005-0000-0000-0000F6050000}"/>
    <cellStyle name="40% - Accent3 3 4" xfId="1929" xr:uid="{00000000-0005-0000-0000-0000F7050000}"/>
    <cellStyle name="40% - Accent3 3 4 2" xfId="4158" xr:uid="{00000000-0005-0000-0000-0000F8050000}"/>
    <cellStyle name="40% - Accent3 3 4 2 2" xfId="8376" xr:uid="{00000000-0005-0000-0000-0000F9050000}"/>
    <cellStyle name="40% - Accent3 3 4 3" xfId="6231" xr:uid="{00000000-0005-0000-0000-0000FA050000}"/>
    <cellStyle name="40% - Accent3 3 5" xfId="2342" xr:uid="{00000000-0005-0000-0000-0000FB050000}"/>
    <cellStyle name="40% - Accent3 3 5 2" xfId="4571" xr:uid="{00000000-0005-0000-0000-0000FC050000}"/>
    <cellStyle name="40% - Accent3 3 5 2 2" xfId="8789" xr:uid="{00000000-0005-0000-0000-0000FD050000}"/>
    <cellStyle name="40% - Accent3 3 5 3" xfId="6644" xr:uid="{00000000-0005-0000-0000-0000FE050000}"/>
    <cellStyle name="40% - Accent3 3 6" xfId="2755" xr:uid="{00000000-0005-0000-0000-0000FF050000}"/>
    <cellStyle name="40% - Accent3 3 6 2" xfId="4984" xr:uid="{00000000-0005-0000-0000-000000060000}"/>
    <cellStyle name="40% - Accent3 3 6 2 2" xfId="9202" xr:uid="{00000000-0005-0000-0000-000001060000}"/>
    <cellStyle name="40% - Accent3 3 6 3" xfId="7057" xr:uid="{00000000-0005-0000-0000-000002060000}"/>
    <cellStyle name="40% - Accent3 3 7" xfId="3168" xr:uid="{00000000-0005-0000-0000-000003060000}"/>
    <cellStyle name="40% - Accent3 3 7 2" xfId="7470" xr:uid="{00000000-0005-0000-0000-000004060000}"/>
    <cellStyle name="40% - Accent3 3 8" xfId="5404" xr:uid="{00000000-0005-0000-0000-000005060000}"/>
    <cellStyle name="40% - Accent3 3 9" xfId="1100" xr:uid="{00000000-0005-0000-0000-000006060000}"/>
    <cellStyle name="40% - Accent3 4" xfId="72" xr:uid="{00000000-0005-0000-0000-000007060000}"/>
    <cellStyle name="40% - Accent3 4 2" xfId="649" xr:uid="{00000000-0005-0000-0000-000008060000}"/>
    <cellStyle name="40% - Accent3 4 2 2" xfId="3747" xr:uid="{00000000-0005-0000-0000-000009060000}"/>
    <cellStyle name="40% - Accent3 4 2 2 2" xfId="7965" xr:uid="{00000000-0005-0000-0000-00000A060000}"/>
    <cellStyle name="40% - Accent3 4 2 3" xfId="5820" xr:uid="{00000000-0005-0000-0000-00000B060000}"/>
    <cellStyle name="40% - Accent3 4 2 4" xfId="1516" xr:uid="{00000000-0005-0000-0000-00000C060000}"/>
    <cellStyle name="40% - Accent3 4 3" xfId="1931" xr:uid="{00000000-0005-0000-0000-00000D060000}"/>
    <cellStyle name="40% - Accent3 4 3 2" xfId="4160" xr:uid="{00000000-0005-0000-0000-00000E060000}"/>
    <cellStyle name="40% - Accent3 4 3 2 2" xfId="8378" xr:uid="{00000000-0005-0000-0000-00000F060000}"/>
    <cellStyle name="40% - Accent3 4 3 3" xfId="6233" xr:uid="{00000000-0005-0000-0000-000010060000}"/>
    <cellStyle name="40% - Accent3 4 4" xfId="2344" xr:uid="{00000000-0005-0000-0000-000011060000}"/>
    <cellStyle name="40% - Accent3 4 4 2" xfId="4573" xr:uid="{00000000-0005-0000-0000-000012060000}"/>
    <cellStyle name="40% - Accent3 4 4 2 2" xfId="8791" xr:uid="{00000000-0005-0000-0000-000013060000}"/>
    <cellStyle name="40% - Accent3 4 4 3" xfId="6646" xr:uid="{00000000-0005-0000-0000-000014060000}"/>
    <cellStyle name="40% - Accent3 4 5" xfId="2757" xr:uid="{00000000-0005-0000-0000-000015060000}"/>
    <cellStyle name="40% - Accent3 4 5 2" xfId="4986" xr:uid="{00000000-0005-0000-0000-000016060000}"/>
    <cellStyle name="40% - Accent3 4 5 2 2" xfId="9204" xr:uid="{00000000-0005-0000-0000-000017060000}"/>
    <cellStyle name="40% - Accent3 4 5 3" xfId="7059" xr:uid="{00000000-0005-0000-0000-000018060000}"/>
    <cellStyle name="40% - Accent3 4 6" xfId="3170" xr:uid="{00000000-0005-0000-0000-000019060000}"/>
    <cellStyle name="40% - Accent3 4 6 2" xfId="7472" xr:uid="{00000000-0005-0000-0000-00001A060000}"/>
    <cellStyle name="40% - Accent3 4 7" xfId="5406" xr:uid="{00000000-0005-0000-0000-00001B060000}"/>
    <cellStyle name="40% - Accent3 4 8" xfId="1102" xr:uid="{00000000-0005-0000-0000-00001C060000}"/>
    <cellStyle name="40% - Accent3 5" xfId="642" xr:uid="{00000000-0005-0000-0000-00001D060000}"/>
    <cellStyle name="40% - Accent3 5 2" xfId="3740" xr:uid="{00000000-0005-0000-0000-00001E060000}"/>
    <cellStyle name="40% - Accent3 5 2 2" xfId="7958" xr:uid="{00000000-0005-0000-0000-00001F060000}"/>
    <cellStyle name="40% - Accent3 5 3" xfId="5813" xr:uid="{00000000-0005-0000-0000-000020060000}"/>
    <cellStyle name="40% - Accent3 5 4" xfId="1509" xr:uid="{00000000-0005-0000-0000-000021060000}"/>
    <cellStyle name="40% - Accent3 6" xfId="1924" xr:uid="{00000000-0005-0000-0000-000022060000}"/>
    <cellStyle name="40% - Accent3 6 2" xfId="4153" xr:uid="{00000000-0005-0000-0000-000023060000}"/>
    <cellStyle name="40% - Accent3 6 2 2" xfId="8371" xr:uid="{00000000-0005-0000-0000-000024060000}"/>
    <cellStyle name="40% - Accent3 6 3" xfId="6226" xr:uid="{00000000-0005-0000-0000-000025060000}"/>
    <cellStyle name="40% - Accent3 7" xfId="2337" xr:uid="{00000000-0005-0000-0000-000026060000}"/>
    <cellStyle name="40% - Accent3 7 2" xfId="4566" xr:uid="{00000000-0005-0000-0000-000027060000}"/>
    <cellStyle name="40% - Accent3 7 2 2" xfId="8784" xr:uid="{00000000-0005-0000-0000-000028060000}"/>
    <cellStyle name="40% - Accent3 7 3" xfId="6639" xr:uid="{00000000-0005-0000-0000-000029060000}"/>
    <cellStyle name="40% - Accent3 8" xfId="2750" xr:uid="{00000000-0005-0000-0000-00002A060000}"/>
    <cellStyle name="40% - Accent3 8 2" xfId="4979" xr:uid="{00000000-0005-0000-0000-00002B060000}"/>
    <cellStyle name="40% - Accent3 8 2 2" xfId="9197" xr:uid="{00000000-0005-0000-0000-00002C060000}"/>
    <cellStyle name="40% - Accent3 8 3" xfId="7052" xr:uid="{00000000-0005-0000-0000-00002D060000}"/>
    <cellStyle name="40% - Accent3 9" xfId="3163" xr:uid="{00000000-0005-0000-0000-00002E060000}"/>
    <cellStyle name="40% - Accent3 9 2" xfId="7465" xr:uid="{00000000-0005-0000-0000-00002F060000}"/>
    <cellStyle name="40% - Accent4" xfId="73" builtinId="43" customBuiltin="1"/>
    <cellStyle name="40% - Accent4 10" xfId="5407" xr:uid="{00000000-0005-0000-0000-000031060000}"/>
    <cellStyle name="40% - Accent4 11" xfId="1103" xr:uid="{00000000-0005-0000-0000-000032060000}"/>
    <cellStyle name="40% - Accent4 2" xfId="74" xr:uid="{00000000-0005-0000-0000-000033060000}"/>
    <cellStyle name="40% - Accent4 2 10" xfId="1104" xr:uid="{00000000-0005-0000-0000-000034060000}"/>
    <cellStyle name="40% - Accent4 2 2" xfId="75" xr:uid="{00000000-0005-0000-0000-000035060000}"/>
    <cellStyle name="40% - Accent4 2 2 2" xfId="76" xr:uid="{00000000-0005-0000-0000-000036060000}"/>
    <cellStyle name="40% - Accent4 2 2 2 2" xfId="653" xr:uid="{00000000-0005-0000-0000-000037060000}"/>
    <cellStyle name="40% - Accent4 2 2 2 2 2" xfId="3751" xr:uid="{00000000-0005-0000-0000-000038060000}"/>
    <cellStyle name="40% - Accent4 2 2 2 2 2 2" xfId="7969" xr:uid="{00000000-0005-0000-0000-000039060000}"/>
    <cellStyle name="40% - Accent4 2 2 2 2 3" xfId="5824" xr:uid="{00000000-0005-0000-0000-00003A060000}"/>
    <cellStyle name="40% - Accent4 2 2 2 2 4" xfId="1520" xr:uid="{00000000-0005-0000-0000-00003B060000}"/>
    <cellStyle name="40% - Accent4 2 2 2 3" xfId="1935" xr:uid="{00000000-0005-0000-0000-00003C060000}"/>
    <cellStyle name="40% - Accent4 2 2 2 3 2" xfId="4164" xr:uid="{00000000-0005-0000-0000-00003D060000}"/>
    <cellStyle name="40% - Accent4 2 2 2 3 2 2" xfId="8382" xr:uid="{00000000-0005-0000-0000-00003E060000}"/>
    <cellStyle name="40% - Accent4 2 2 2 3 3" xfId="6237" xr:uid="{00000000-0005-0000-0000-00003F060000}"/>
    <cellStyle name="40% - Accent4 2 2 2 4" xfId="2348" xr:uid="{00000000-0005-0000-0000-000040060000}"/>
    <cellStyle name="40% - Accent4 2 2 2 4 2" xfId="4577" xr:uid="{00000000-0005-0000-0000-000041060000}"/>
    <cellStyle name="40% - Accent4 2 2 2 4 2 2" xfId="8795" xr:uid="{00000000-0005-0000-0000-000042060000}"/>
    <cellStyle name="40% - Accent4 2 2 2 4 3" xfId="6650" xr:uid="{00000000-0005-0000-0000-000043060000}"/>
    <cellStyle name="40% - Accent4 2 2 2 5" xfId="2761" xr:uid="{00000000-0005-0000-0000-000044060000}"/>
    <cellStyle name="40% - Accent4 2 2 2 5 2" xfId="4990" xr:uid="{00000000-0005-0000-0000-000045060000}"/>
    <cellStyle name="40% - Accent4 2 2 2 5 2 2" xfId="9208" xr:uid="{00000000-0005-0000-0000-000046060000}"/>
    <cellStyle name="40% - Accent4 2 2 2 5 3" xfId="7063" xr:uid="{00000000-0005-0000-0000-000047060000}"/>
    <cellStyle name="40% - Accent4 2 2 2 6" xfId="3174" xr:uid="{00000000-0005-0000-0000-000048060000}"/>
    <cellStyle name="40% - Accent4 2 2 2 6 2" xfId="7476" xr:uid="{00000000-0005-0000-0000-000049060000}"/>
    <cellStyle name="40% - Accent4 2 2 2 7" xfId="5410" xr:uid="{00000000-0005-0000-0000-00004A060000}"/>
    <cellStyle name="40% - Accent4 2 2 2 8" xfId="1106" xr:uid="{00000000-0005-0000-0000-00004B060000}"/>
    <cellStyle name="40% - Accent4 2 2 3" xfId="652" xr:uid="{00000000-0005-0000-0000-00004C060000}"/>
    <cellStyle name="40% - Accent4 2 2 3 2" xfId="3750" xr:uid="{00000000-0005-0000-0000-00004D060000}"/>
    <cellStyle name="40% - Accent4 2 2 3 2 2" xfId="7968" xr:uid="{00000000-0005-0000-0000-00004E060000}"/>
    <cellStyle name="40% - Accent4 2 2 3 3" xfId="5823" xr:uid="{00000000-0005-0000-0000-00004F060000}"/>
    <cellStyle name="40% - Accent4 2 2 3 4" xfId="1519" xr:uid="{00000000-0005-0000-0000-000050060000}"/>
    <cellStyle name="40% - Accent4 2 2 4" xfId="1934" xr:uid="{00000000-0005-0000-0000-000051060000}"/>
    <cellStyle name="40% - Accent4 2 2 4 2" xfId="4163" xr:uid="{00000000-0005-0000-0000-000052060000}"/>
    <cellStyle name="40% - Accent4 2 2 4 2 2" xfId="8381" xr:uid="{00000000-0005-0000-0000-000053060000}"/>
    <cellStyle name="40% - Accent4 2 2 4 3" xfId="6236" xr:uid="{00000000-0005-0000-0000-000054060000}"/>
    <cellStyle name="40% - Accent4 2 2 5" xfId="2347" xr:uid="{00000000-0005-0000-0000-000055060000}"/>
    <cellStyle name="40% - Accent4 2 2 5 2" xfId="4576" xr:uid="{00000000-0005-0000-0000-000056060000}"/>
    <cellStyle name="40% - Accent4 2 2 5 2 2" xfId="8794" xr:uid="{00000000-0005-0000-0000-000057060000}"/>
    <cellStyle name="40% - Accent4 2 2 5 3" xfId="6649" xr:uid="{00000000-0005-0000-0000-000058060000}"/>
    <cellStyle name="40% - Accent4 2 2 6" xfId="2760" xr:uid="{00000000-0005-0000-0000-000059060000}"/>
    <cellStyle name="40% - Accent4 2 2 6 2" xfId="4989" xr:uid="{00000000-0005-0000-0000-00005A060000}"/>
    <cellStyle name="40% - Accent4 2 2 6 2 2" xfId="9207" xr:uid="{00000000-0005-0000-0000-00005B060000}"/>
    <cellStyle name="40% - Accent4 2 2 6 3" xfId="7062" xr:uid="{00000000-0005-0000-0000-00005C060000}"/>
    <cellStyle name="40% - Accent4 2 2 7" xfId="3173" xr:uid="{00000000-0005-0000-0000-00005D060000}"/>
    <cellStyle name="40% - Accent4 2 2 7 2" xfId="7475" xr:uid="{00000000-0005-0000-0000-00005E060000}"/>
    <cellStyle name="40% - Accent4 2 2 8" xfId="5409" xr:uid="{00000000-0005-0000-0000-00005F060000}"/>
    <cellStyle name="40% - Accent4 2 2 9" xfId="1105" xr:uid="{00000000-0005-0000-0000-000060060000}"/>
    <cellStyle name="40% - Accent4 2 3" xfId="77" xr:uid="{00000000-0005-0000-0000-000061060000}"/>
    <cellStyle name="40% - Accent4 2 3 2" xfId="654" xr:uid="{00000000-0005-0000-0000-000062060000}"/>
    <cellStyle name="40% - Accent4 2 3 2 2" xfId="3752" xr:uid="{00000000-0005-0000-0000-000063060000}"/>
    <cellStyle name="40% - Accent4 2 3 2 2 2" xfId="7970" xr:uid="{00000000-0005-0000-0000-000064060000}"/>
    <cellStyle name="40% - Accent4 2 3 2 3" xfId="5825" xr:uid="{00000000-0005-0000-0000-000065060000}"/>
    <cellStyle name="40% - Accent4 2 3 2 4" xfId="1521" xr:uid="{00000000-0005-0000-0000-000066060000}"/>
    <cellStyle name="40% - Accent4 2 3 3" xfId="1936" xr:uid="{00000000-0005-0000-0000-000067060000}"/>
    <cellStyle name="40% - Accent4 2 3 3 2" xfId="4165" xr:uid="{00000000-0005-0000-0000-000068060000}"/>
    <cellStyle name="40% - Accent4 2 3 3 2 2" xfId="8383" xr:uid="{00000000-0005-0000-0000-000069060000}"/>
    <cellStyle name="40% - Accent4 2 3 3 3" xfId="6238" xr:uid="{00000000-0005-0000-0000-00006A060000}"/>
    <cellStyle name="40% - Accent4 2 3 4" xfId="2349" xr:uid="{00000000-0005-0000-0000-00006B060000}"/>
    <cellStyle name="40% - Accent4 2 3 4 2" xfId="4578" xr:uid="{00000000-0005-0000-0000-00006C060000}"/>
    <cellStyle name="40% - Accent4 2 3 4 2 2" xfId="8796" xr:uid="{00000000-0005-0000-0000-00006D060000}"/>
    <cellStyle name="40% - Accent4 2 3 4 3" xfId="6651" xr:uid="{00000000-0005-0000-0000-00006E060000}"/>
    <cellStyle name="40% - Accent4 2 3 5" xfId="2762" xr:uid="{00000000-0005-0000-0000-00006F060000}"/>
    <cellStyle name="40% - Accent4 2 3 5 2" xfId="4991" xr:uid="{00000000-0005-0000-0000-000070060000}"/>
    <cellStyle name="40% - Accent4 2 3 5 2 2" xfId="9209" xr:uid="{00000000-0005-0000-0000-000071060000}"/>
    <cellStyle name="40% - Accent4 2 3 5 3" xfId="7064" xr:uid="{00000000-0005-0000-0000-000072060000}"/>
    <cellStyle name="40% - Accent4 2 3 6" xfId="3175" xr:uid="{00000000-0005-0000-0000-000073060000}"/>
    <cellStyle name="40% - Accent4 2 3 6 2" xfId="7477" xr:uid="{00000000-0005-0000-0000-000074060000}"/>
    <cellStyle name="40% - Accent4 2 3 7" xfId="5411" xr:uid="{00000000-0005-0000-0000-000075060000}"/>
    <cellStyle name="40% - Accent4 2 3 8" xfId="1107" xr:uid="{00000000-0005-0000-0000-000076060000}"/>
    <cellStyle name="40% - Accent4 2 4" xfId="651" xr:uid="{00000000-0005-0000-0000-000077060000}"/>
    <cellStyle name="40% - Accent4 2 4 2" xfId="3749" xr:uid="{00000000-0005-0000-0000-000078060000}"/>
    <cellStyle name="40% - Accent4 2 4 2 2" xfId="7967" xr:uid="{00000000-0005-0000-0000-000079060000}"/>
    <cellStyle name="40% - Accent4 2 4 3" xfId="5822" xr:uid="{00000000-0005-0000-0000-00007A060000}"/>
    <cellStyle name="40% - Accent4 2 4 4" xfId="1518" xr:uid="{00000000-0005-0000-0000-00007B060000}"/>
    <cellStyle name="40% - Accent4 2 5" xfId="1933" xr:uid="{00000000-0005-0000-0000-00007C060000}"/>
    <cellStyle name="40% - Accent4 2 5 2" xfId="4162" xr:uid="{00000000-0005-0000-0000-00007D060000}"/>
    <cellStyle name="40% - Accent4 2 5 2 2" xfId="8380" xr:uid="{00000000-0005-0000-0000-00007E060000}"/>
    <cellStyle name="40% - Accent4 2 5 3" xfId="6235" xr:uid="{00000000-0005-0000-0000-00007F060000}"/>
    <cellStyle name="40% - Accent4 2 6" xfId="2346" xr:uid="{00000000-0005-0000-0000-000080060000}"/>
    <cellStyle name="40% - Accent4 2 6 2" xfId="4575" xr:uid="{00000000-0005-0000-0000-000081060000}"/>
    <cellStyle name="40% - Accent4 2 6 2 2" xfId="8793" xr:uid="{00000000-0005-0000-0000-000082060000}"/>
    <cellStyle name="40% - Accent4 2 6 3" xfId="6648" xr:uid="{00000000-0005-0000-0000-000083060000}"/>
    <cellStyle name="40% - Accent4 2 7" xfId="2759" xr:uid="{00000000-0005-0000-0000-000084060000}"/>
    <cellStyle name="40% - Accent4 2 7 2" xfId="4988" xr:uid="{00000000-0005-0000-0000-000085060000}"/>
    <cellStyle name="40% - Accent4 2 7 2 2" xfId="9206" xr:uid="{00000000-0005-0000-0000-000086060000}"/>
    <cellStyle name="40% - Accent4 2 7 3" xfId="7061" xr:uid="{00000000-0005-0000-0000-000087060000}"/>
    <cellStyle name="40% - Accent4 2 8" xfId="3172" xr:uid="{00000000-0005-0000-0000-000088060000}"/>
    <cellStyle name="40% - Accent4 2 8 2" xfId="7474" xr:uid="{00000000-0005-0000-0000-000089060000}"/>
    <cellStyle name="40% - Accent4 2 9" xfId="5408" xr:uid="{00000000-0005-0000-0000-00008A060000}"/>
    <cellStyle name="40% - Accent4 3" xfId="78" xr:uid="{00000000-0005-0000-0000-00008B060000}"/>
    <cellStyle name="40% - Accent4 3 2" xfId="79" xr:uid="{00000000-0005-0000-0000-00008C060000}"/>
    <cellStyle name="40% - Accent4 3 2 2" xfId="656" xr:uid="{00000000-0005-0000-0000-00008D060000}"/>
    <cellStyle name="40% - Accent4 3 2 2 2" xfId="3754" xr:uid="{00000000-0005-0000-0000-00008E060000}"/>
    <cellStyle name="40% - Accent4 3 2 2 2 2" xfId="7972" xr:uid="{00000000-0005-0000-0000-00008F060000}"/>
    <cellStyle name="40% - Accent4 3 2 2 3" xfId="5827" xr:uid="{00000000-0005-0000-0000-000090060000}"/>
    <cellStyle name="40% - Accent4 3 2 2 4" xfId="1523" xr:uid="{00000000-0005-0000-0000-000091060000}"/>
    <cellStyle name="40% - Accent4 3 2 3" xfId="1938" xr:uid="{00000000-0005-0000-0000-000092060000}"/>
    <cellStyle name="40% - Accent4 3 2 3 2" xfId="4167" xr:uid="{00000000-0005-0000-0000-000093060000}"/>
    <cellStyle name="40% - Accent4 3 2 3 2 2" xfId="8385" xr:uid="{00000000-0005-0000-0000-000094060000}"/>
    <cellStyle name="40% - Accent4 3 2 3 3" xfId="6240" xr:uid="{00000000-0005-0000-0000-000095060000}"/>
    <cellStyle name="40% - Accent4 3 2 4" xfId="2351" xr:uid="{00000000-0005-0000-0000-000096060000}"/>
    <cellStyle name="40% - Accent4 3 2 4 2" xfId="4580" xr:uid="{00000000-0005-0000-0000-000097060000}"/>
    <cellStyle name="40% - Accent4 3 2 4 2 2" xfId="8798" xr:uid="{00000000-0005-0000-0000-000098060000}"/>
    <cellStyle name="40% - Accent4 3 2 4 3" xfId="6653" xr:uid="{00000000-0005-0000-0000-000099060000}"/>
    <cellStyle name="40% - Accent4 3 2 5" xfId="2764" xr:uid="{00000000-0005-0000-0000-00009A060000}"/>
    <cellStyle name="40% - Accent4 3 2 5 2" xfId="4993" xr:uid="{00000000-0005-0000-0000-00009B060000}"/>
    <cellStyle name="40% - Accent4 3 2 5 2 2" xfId="9211" xr:uid="{00000000-0005-0000-0000-00009C060000}"/>
    <cellStyle name="40% - Accent4 3 2 5 3" xfId="7066" xr:uid="{00000000-0005-0000-0000-00009D060000}"/>
    <cellStyle name="40% - Accent4 3 2 6" xfId="3177" xr:uid="{00000000-0005-0000-0000-00009E060000}"/>
    <cellStyle name="40% - Accent4 3 2 6 2" xfId="7479" xr:uid="{00000000-0005-0000-0000-00009F060000}"/>
    <cellStyle name="40% - Accent4 3 2 7" xfId="5413" xr:uid="{00000000-0005-0000-0000-0000A0060000}"/>
    <cellStyle name="40% - Accent4 3 2 8" xfId="1109" xr:uid="{00000000-0005-0000-0000-0000A1060000}"/>
    <cellStyle name="40% - Accent4 3 3" xfId="655" xr:uid="{00000000-0005-0000-0000-0000A2060000}"/>
    <cellStyle name="40% - Accent4 3 3 2" xfId="3753" xr:uid="{00000000-0005-0000-0000-0000A3060000}"/>
    <cellStyle name="40% - Accent4 3 3 2 2" xfId="7971" xr:uid="{00000000-0005-0000-0000-0000A4060000}"/>
    <cellStyle name="40% - Accent4 3 3 3" xfId="5826" xr:uid="{00000000-0005-0000-0000-0000A5060000}"/>
    <cellStyle name="40% - Accent4 3 3 4" xfId="1522" xr:uid="{00000000-0005-0000-0000-0000A6060000}"/>
    <cellStyle name="40% - Accent4 3 4" xfId="1937" xr:uid="{00000000-0005-0000-0000-0000A7060000}"/>
    <cellStyle name="40% - Accent4 3 4 2" xfId="4166" xr:uid="{00000000-0005-0000-0000-0000A8060000}"/>
    <cellStyle name="40% - Accent4 3 4 2 2" xfId="8384" xr:uid="{00000000-0005-0000-0000-0000A9060000}"/>
    <cellStyle name="40% - Accent4 3 4 3" xfId="6239" xr:uid="{00000000-0005-0000-0000-0000AA060000}"/>
    <cellStyle name="40% - Accent4 3 5" xfId="2350" xr:uid="{00000000-0005-0000-0000-0000AB060000}"/>
    <cellStyle name="40% - Accent4 3 5 2" xfId="4579" xr:uid="{00000000-0005-0000-0000-0000AC060000}"/>
    <cellStyle name="40% - Accent4 3 5 2 2" xfId="8797" xr:uid="{00000000-0005-0000-0000-0000AD060000}"/>
    <cellStyle name="40% - Accent4 3 5 3" xfId="6652" xr:uid="{00000000-0005-0000-0000-0000AE060000}"/>
    <cellStyle name="40% - Accent4 3 6" xfId="2763" xr:uid="{00000000-0005-0000-0000-0000AF060000}"/>
    <cellStyle name="40% - Accent4 3 6 2" xfId="4992" xr:uid="{00000000-0005-0000-0000-0000B0060000}"/>
    <cellStyle name="40% - Accent4 3 6 2 2" xfId="9210" xr:uid="{00000000-0005-0000-0000-0000B1060000}"/>
    <cellStyle name="40% - Accent4 3 6 3" xfId="7065" xr:uid="{00000000-0005-0000-0000-0000B2060000}"/>
    <cellStyle name="40% - Accent4 3 7" xfId="3176" xr:uid="{00000000-0005-0000-0000-0000B3060000}"/>
    <cellStyle name="40% - Accent4 3 7 2" xfId="7478" xr:uid="{00000000-0005-0000-0000-0000B4060000}"/>
    <cellStyle name="40% - Accent4 3 8" xfId="5412" xr:uid="{00000000-0005-0000-0000-0000B5060000}"/>
    <cellStyle name="40% - Accent4 3 9" xfId="1108" xr:uid="{00000000-0005-0000-0000-0000B6060000}"/>
    <cellStyle name="40% - Accent4 4" xfId="80" xr:uid="{00000000-0005-0000-0000-0000B7060000}"/>
    <cellStyle name="40% - Accent4 4 2" xfId="657" xr:uid="{00000000-0005-0000-0000-0000B8060000}"/>
    <cellStyle name="40% - Accent4 4 2 2" xfId="3755" xr:uid="{00000000-0005-0000-0000-0000B9060000}"/>
    <cellStyle name="40% - Accent4 4 2 2 2" xfId="7973" xr:uid="{00000000-0005-0000-0000-0000BA060000}"/>
    <cellStyle name="40% - Accent4 4 2 3" xfId="5828" xr:uid="{00000000-0005-0000-0000-0000BB060000}"/>
    <cellStyle name="40% - Accent4 4 2 4" xfId="1524" xr:uid="{00000000-0005-0000-0000-0000BC060000}"/>
    <cellStyle name="40% - Accent4 4 3" xfId="1939" xr:uid="{00000000-0005-0000-0000-0000BD060000}"/>
    <cellStyle name="40% - Accent4 4 3 2" xfId="4168" xr:uid="{00000000-0005-0000-0000-0000BE060000}"/>
    <cellStyle name="40% - Accent4 4 3 2 2" xfId="8386" xr:uid="{00000000-0005-0000-0000-0000BF060000}"/>
    <cellStyle name="40% - Accent4 4 3 3" xfId="6241" xr:uid="{00000000-0005-0000-0000-0000C0060000}"/>
    <cellStyle name="40% - Accent4 4 4" xfId="2352" xr:uid="{00000000-0005-0000-0000-0000C1060000}"/>
    <cellStyle name="40% - Accent4 4 4 2" xfId="4581" xr:uid="{00000000-0005-0000-0000-0000C2060000}"/>
    <cellStyle name="40% - Accent4 4 4 2 2" xfId="8799" xr:uid="{00000000-0005-0000-0000-0000C3060000}"/>
    <cellStyle name="40% - Accent4 4 4 3" xfId="6654" xr:uid="{00000000-0005-0000-0000-0000C4060000}"/>
    <cellStyle name="40% - Accent4 4 5" xfId="2765" xr:uid="{00000000-0005-0000-0000-0000C5060000}"/>
    <cellStyle name="40% - Accent4 4 5 2" xfId="4994" xr:uid="{00000000-0005-0000-0000-0000C6060000}"/>
    <cellStyle name="40% - Accent4 4 5 2 2" xfId="9212" xr:uid="{00000000-0005-0000-0000-0000C7060000}"/>
    <cellStyle name="40% - Accent4 4 5 3" xfId="7067" xr:uid="{00000000-0005-0000-0000-0000C8060000}"/>
    <cellStyle name="40% - Accent4 4 6" xfId="3178" xr:uid="{00000000-0005-0000-0000-0000C9060000}"/>
    <cellStyle name="40% - Accent4 4 6 2" xfId="7480" xr:uid="{00000000-0005-0000-0000-0000CA060000}"/>
    <cellStyle name="40% - Accent4 4 7" xfId="5414" xr:uid="{00000000-0005-0000-0000-0000CB060000}"/>
    <cellStyle name="40% - Accent4 4 8" xfId="1110" xr:uid="{00000000-0005-0000-0000-0000CC060000}"/>
    <cellStyle name="40% - Accent4 5" xfId="650" xr:uid="{00000000-0005-0000-0000-0000CD060000}"/>
    <cellStyle name="40% - Accent4 5 2" xfId="3748" xr:uid="{00000000-0005-0000-0000-0000CE060000}"/>
    <cellStyle name="40% - Accent4 5 2 2" xfId="7966" xr:uid="{00000000-0005-0000-0000-0000CF060000}"/>
    <cellStyle name="40% - Accent4 5 3" xfId="5821" xr:uid="{00000000-0005-0000-0000-0000D0060000}"/>
    <cellStyle name="40% - Accent4 5 4" xfId="1517" xr:uid="{00000000-0005-0000-0000-0000D1060000}"/>
    <cellStyle name="40% - Accent4 6" xfId="1932" xr:uid="{00000000-0005-0000-0000-0000D2060000}"/>
    <cellStyle name="40% - Accent4 6 2" xfId="4161" xr:uid="{00000000-0005-0000-0000-0000D3060000}"/>
    <cellStyle name="40% - Accent4 6 2 2" xfId="8379" xr:uid="{00000000-0005-0000-0000-0000D4060000}"/>
    <cellStyle name="40% - Accent4 6 3" xfId="6234" xr:uid="{00000000-0005-0000-0000-0000D5060000}"/>
    <cellStyle name="40% - Accent4 7" xfId="2345" xr:uid="{00000000-0005-0000-0000-0000D6060000}"/>
    <cellStyle name="40% - Accent4 7 2" xfId="4574" xr:uid="{00000000-0005-0000-0000-0000D7060000}"/>
    <cellStyle name="40% - Accent4 7 2 2" xfId="8792" xr:uid="{00000000-0005-0000-0000-0000D8060000}"/>
    <cellStyle name="40% - Accent4 7 3" xfId="6647" xr:uid="{00000000-0005-0000-0000-0000D9060000}"/>
    <cellStyle name="40% - Accent4 8" xfId="2758" xr:uid="{00000000-0005-0000-0000-0000DA060000}"/>
    <cellStyle name="40% - Accent4 8 2" xfId="4987" xr:uid="{00000000-0005-0000-0000-0000DB060000}"/>
    <cellStyle name="40% - Accent4 8 2 2" xfId="9205" xr:uid="{00000000-0005-0000-0000-0000DC060000}"/>
    <cellStyle name="40% - Accent4 8 3" xfId="7060" xr:uid="{00000000-0005-0000-0000-0000DD060000}"/>
    <cellStyle name="40% - Accent4 9" xfId="3171" xr:uid="{00000000-0005-0000-0000-0000DE060000}"/>
    <cellStyle name="40% - Accent4 9 2" xfId="7473" xr:uid="{00000000-0005-0000-0000-0000DF060000}"/>
    <cellStyle name="40% - Accent5" xfId="81" builtinId="47" customBuiltin="1"/>
    <cellStyle name="40% - Accent5 10" xfId="5415" xr:uid="{00000000-0005-0000-0000-0000E1060000}"/>
    <cellStyle name="40% - Accent5 11" xfId="1111" xr:uid="{00000000-0005-0000-0000-0000E2060000}"/>
    <cellStyle name="40% - Accent5 2" xfId="82" xr:uid="{00000000-0005-0000-0000-0000E3060000}"/>
    <cellStyle name="40% - Accent5 2 10" xfId="1112" xr:uid="{00000000-0005-0000-0000-0000E4060000}"/>
    <cellStyle name="40% - Accent5 2 2" xfId="83" xr:uid="{00000000-0005-0000-0000-0000E5060000}"/>
    <cellStyle name="40% - Accent5 2 2 2" xfId="84" xr:uid="{00000000-0005-0000-0000-0000E6060000}"/>
    <cellStyle name="40% - Accent5 2 2 2 2" xfId="661" xr:uid="{00000000-0005-0000-0000-0000E7060000}"/>
    <cellStyle name="40% - Accent5 2 2 2 2 2" xfId="3759" xr:uid="{00000000-0005-0000-0000-0000E8060000}"/>
    <cellStyle name="40% - Accent5 2 2 2 2 2 2" xfId="7977" xr:uid="{00000000-0005-0000-0000-0000E9060000}"/>
    <cellStyle name="40% - Accent5 2 2 2 2 3" xfId="5832" xr:uid="{00000000-0005-0000-0000-0000EA060000}"/>
    <cellStyle name="40% - Accent5 2 2 2 2 4" xfId="1528" xr:uid="{00000000-0005-0000-0000-0000EB060000}"/>
    <cellStyle name="40% - Accent5 2 2 2 3" xfId="1943" xr:uid="{00000000-0005-0000-0000-0000EC060000}"/>
    <cellStyle name="40% - Accent5 2 2 2 3 2" xfId="4172" xr:uid="{00000000-0005-0000-0000-0000ED060000}"/>
    <cellStyle name="40% - Accent5 2 2 2 3 2 2" xfId="8390" xr:uid="{00000000-0005-0000-0000-0000EE060000}"/>
    <cellStyle name="40% - Accent5 2 2 2 3 3" xfId="6245" xr:uid="{00000000-0005-0000-0000-0000EF060000}"/>
    <cellStyle name="40% - Accent5 2 2 2 4" xfId="2356" xr:uid="{00000000-0005-0000-0000-0000F0060000}"/>
    <cellStyle name="40% - Accent5 2 2 2 4 2" xfId="4585" xr:uid="{00000000-0005-0000-0000-0000F1060000}"/>
    <cellStyle name="40% - Accent5 2 2 2 4 2 2" xfId="8803" xr:uid="{00000000-0005-0000-0000-0000F2060000}"/>
    <cellStyle name="40% - Accent5 2 2 2 4 3" xfId="6658" xr:uid="{00000000-0005-0000-0000-0000F3060000}"/>
    <cellStyle name="40% - Accent5 2 2 2 5" xfId="2769" xr:uid="{00000000-0005-0000-0000-0000F4060000}"/>
    <cellStyle name="40% - Accent5 2 2 2 5 2" xfId="4998" xr:uid="{00000000-0005-0000-0000-0000F5060000}"/>
    <cellStyle name="40% - Accent5 2 2 2 5 2 2" xfId="9216" xr:uid="{00000000-0005-0000-0000-0000F6060000}"/>
    <cellStyle name="40% - Accent5 2 2 2 5 3" xfId="7071" xr:uid="{00000000-0005-0000-0000-0000F7060000}"/>
    <cellStyle name="40% - Accent5 2 2 2 6" xfId="3182" xr:uid="{00000000-0005-0000-0000-0000F8060000}"/>
    <cellStyle name="40% - Accent5 2 2 2 6 2" xfId="7484" xr:uid="{00000000-0005-0000-0000-0000F9060000}"/>
    <cellStyle name="40% - Accent5 2 2 2 7" xfId="5418" xr:uid="{00000000-0005-0000-0000-0000FA060000}"/>
    <cellStyle name="40% - Accent5 2 2 2 8" xfId="1114" xr:uid="{00000000-0005-0000-0000-0000FB060000}"/>
    <cellStyle name="40% - Accent5 2 2 3" xfId="660" xr:uid="{00000000-0005-0000-0000-0000FC060000}"/>
    <cellStyle name="40% - Accent5 2 2 3 2" xfId="3758" xr:uid="{00000000-0005-0000-0000-0000FD060000}"/>
    <cellStyle name="40% - Accent5 2 2 3 2 2" xfId="7976" xr:uid="{00000000-0005-0000-0000-0000FE060000}"/>
    <cellStyle name="40% - Accent5 2 2 3 3" xfId="5831" xr:uid="{00000000-0005-0000-0000-0000FF060000}"/>
    <cellStyle name="40% - Accent5 2 2 3 4" xfId="1527" xr:uid="{00000000-0005-0000-0000-000000070000}"/>
    <cellStyle name="40% - Accent5 2 2 4" xfId="1942" xr:uid="{00000000-0005-0000-0000-000001070000}"/>
    <cellStyle name="40% - Accent5 2 2 4 2" xfId="4171" xr:uid="{00000000-0005-0000-0000-000002070000}"/>
    <cellStyle name="40% - Accent5 2 2 4 2 2" xfId="8389" xr:uid="{00000000-0005-0000-0000-000003070000}"/>
    <cellStyle name="40% - Accent5 2 2 4 3" xfId="6244" xr:uid="{00000000-0005-0000-0000-000004070000}"/>
    <cellStyle name="40% - Accent5 2 2 5" xfId="2355" xr:uid="{00000000-0005-0000-0000-000005070000}"/>
    <cellStyle name="40% - Accent5 2 2 5 2" xfId="4584" xr:uid="{00000000-0005-0000-0000-000006070000}"/>
    <cellStyle name="40% - Accent5 2 2 5 2 2" xfId="8802" xr:uid="{00000000-0005-0000-0000-000007070000}"/>
    <cellStyle name="40% - Accent5 2 2 5 3" xfId="6657" xr:uid="{00000000-0005-0000-0000-000008070000}"/>
    <cellStyle name="40% - Accent5 2 2 6" xfId="2768" xr:uid="{00000000-0005-0000-0000-000009070000}"/>
    <cellStyle name="40% - Accent5 2 2 6 2" xfId="4997" xr:uid="{00000000-0005-0000-0000-00000A070000}"/>
    <cellStyle name="40% - Accent5 2 2 6 2 2" xfId="9215" xr:uid="{00000000-0005-0000-0000-00000B070000}"/>
    <cellStyle name="40% - Accent5 2 2 6 3" xfId="7070" xr:uid="{00000000-0005-0000-0000-00000C070000}"/>
    <cellStyle name="40% - Accent5 2 2 7" xfId="3181" xr:uid="{00000000-0005-0000-0000-00000D070000}"/>
    <cellStyle name="40% - Accent5 2 2 7 2" xfId="7483" xr:uid="{00000000-0005-0000-0000-00000E070000}"/>
    <cellStyle name="40% - Accent5 2 2 8" xfId="5417" xr:uid="{00000000-0005-0000-0000-00000F070000}"/>
    <cellStyle name="40% - Accent5 2 2 9" xfId="1113" xr:uid="{00000000-0005-0000-0000-000010070000}"/>
    <cellStyle name="40% - Accent5 2 3" xfId="85" xr:uid="{00000000-0005-0000-0000-000011070000}"/>
    <cellStyle name="40% - Accent5 2 3 2" xfId="662" xr:uid="{00000000-0005-0000-0000-000012070000}"/>
    <cellStyle name="40% - Accent5 2 3 2 2" xfId="3760" xr:uid="{00000000-0005-0000-0000-000013070000}"/>
    <cellStyle name="40% - Accent5 2 3 2 2 2" xfId="7978" xr:uid="{00000000-0005-0000-0000-000014070000}"/>
    <cellStyle name="40% - Accent5 2 3 2 3" xfId="5833" xr:uid="{00000000-0005-0000-0000-000015070000}"/>
    <cellStyle name="40% - Accent5 2 3 2 4" xfId="1529" xr:uid="{00000000-0005-0000-0000-000016070000}"/>
    <cellStyle name="40% - Accent5 2 3 3" xfId="1944" xr:uid="{00000000-0005-0000-0000-000017070000}"/>
    <cellStyle name="40% - Accent5 2 3 3 2" xfId="4173" xr:uid="{00000000-0005-0000-0000-000018070000}"/>
    <cellStyle name="40% - Accent5 2 3 3 2 2" xfId="8391" xr:uid="{00000000-0005-0000-0000-000019070000}"/>
    <cellStyle name="40% - Accent5 2 3 3 3" xfId="6246" xr:uid="{00000000-0005-0000-0000-00001A070000}"/>
    <cellStyle name="40% - Accent5 2 3 4" xfId="2357" xr:uid="{00000000-0005-0000-0000-00001B070000}"/>
    <cellStyle name="40% - Accent5 2 3 4 2" xfId="4586" xr:uid="{00000000-0005-0000-0000-00001C070000}"/>
    <cellStyle name="40% - Accent5 2 3 4 2 2" xfId="8804" xr:uid="{00000000-0005-0000-0000-00001D070000}"/>
    <cellStyle name="40% - Accent5 2 3 4 3" xfId="6659" xr:uid="{00000000-0005-0000-0000-00001E070000}"/>
    <cellStyle name="40% - Accent5 2 3 5" xfId="2770" xr:uid="{00000000-0005-0000-0000-00001F070000}"/>
    <cellStyle name="40% - Accent5 2 3 5 2" xfId="4999" xr:uid="{00000000-0005-0000-0000-000020070000}"/>
    <cellStyle name="40% - Accent5 2 3 5 2 2" xfId="9217" xr:uid="{00000000-0005-0000-0000-000021070000}"/>
    <cellStyle name="40% - Accent5 2 3 5 3" xfId="7072" xr:uid="{00000000-0005-0000-0000-000022070000}"/>
    <cellStyle name="40% - Accent5 2 3 6" xfId="3183" xr:uid="{00000000-0005-0000-0000-000023070000}"/>
    <cellStyle name="40% - Accent5 2 3 6 2" xfId="7485" xr:uid="{00000000-0005-0000-0000-000024070000}"/>
    <cellStyle name="40% - Accent5 2 3 7" xfId="5419" xr:uid="{00000000-0005-0000-0000-000025070000}"/>
    <cellStyle name="40% - Accent5 2 3 8" xfId="1115" xr:uid="{00000000-0005-0000-0000-000026070000}"/>
    <cellStyle name="40% - Accent5 2 4" xfId="659" xr:uid="{00000000-0005-0000-0000-000027070000}"/>
    <cellStyle name="40% - Accent5 2 4 2" xfId="3757" xr:uid="{00000000-0005-0000-0000-000028070000}"/>
    <cellStyle name="40% - Accent5 2 4 2 2" xfId="7975" xr:uid="{00000000-0005-0000-0000-000029070000}"/>
    <cellStyle name="40% - Accent5 2 4 3" xfId="5830" xr:uid="{00000000-0005-0000-0000-00002A070000}"/>
    <cellStyle name="40% - Accent5 2 4 4" xfId="1526" xr:uid="{00000000-0005-0000-0000-00002B070000}"/>
    <cellStyle name="40% - Accent5 2 5" xfId="1941" xr:uid="{00000000-0005-0000-0000-00002C070000}"/>
    <cellStyle name="40% - Accent5 2 5 2" xfId="4170" xr:uid="{00000000-0005-0000-0000-00002D070000}"/>
    <cellStyle name="40% - Accent5 2 5 2 2" xfId="8388" xr:uid="{00000000-0005-0000-0000-00002E070000}"/>
    <cellStyle name="40% - Accent5 2 5 3" xfId="6243" xr:uid="{00000000-0005-0000-0000-00002F070000}"/>
    <cellStyle name="40% - Accent5 2 6" xfId="2354" xr:uid="{00000000-0005-0000-0000-000030070000}"/>
    <cellStyle name="40% - Accent5 2 6 2" xfId="4583" xr:uid="{00000000-0005-0000-0000-000031070000}"/>
    <cellStyle name="40% - Accent5 2 6 2 2" xfId="8801" xr:uid="{00000000-0005-0000-0000-000032070000}"/>
    <cellStyle name="40% - Accent5 2 6 3" xfId="6656" xr:uid="{00000000-0005-0000-0000-000033070000}"/>
    <cellStyle name="40% - Accent5 2 7" xfId="2767" xr:uid="{00000000-0005-0000-0000-000034070000}"/>
    <cellStyle name="40% - Accent5 2 7 2" xfId="4996" xr:uid="{00000000-0005-0000-0000-000035070000}"/>
    <cellStyle name="40% - Accent5 2 7 2 2" xfId="9214" xr:uid="{00000000-0005-0000-0000-000036070000}"/>
    <cellStyle name="40% - Accent5 2 7 3" xfId="7069" xr:uid="{00000000-0005-0000-0000-000037070000}"/>
    <cellStyle name="40% - Accent5 2 8" xfId="3180" xr:uid="{00000000-0005-0000-0000-000038070000}"/>
    <cellStyle name="40% - Accent5 2 8 2" xfId="7482" xr:uid="{00000000-0005-0000-0000-000039070000}"/>
    <cellStyle name="40% - Accent5 2 9" xfId="5416" xr:uid="{00000000-0005-0000-0000-00003A070000}"/>
    <cellStyle name="40% - Accent5 3" xfId="86" xr:uid="{00000000-0005-0000-0000-00003B070000}"/>
    <cellStyle name="40% - Accent5 3 2" xfId="87" xr:uid="{00000000-0005-0000-0000-00003C070000}"/>
    <cellStyle name="40% - Accent5 3 2 2" xfId="664" xr:uid="{00000000-0005-0000-0000-00003D070000}"/>
    <cellStyle name="40% - Accent5 3 2 2 2" xfId="3762" xr:uid="{00000000-0005-0000-0000-00003E070000}"/>
    <cellStyle name="40% - Accent5 3 2 2 2 2" xfId="7980" xr:uid="{00000000-0005-0000-0000-00003F070000}"/>
    <cellStyle name="40% - Accent5 3 2 2 3" xfId="5835" xr:uid="{00000000-0005-0000-0000-000040070000}"/>
    <cellStyle name="40% - Accent5 3 2 2 4" xfId="1531" xr:uid="{00000000-0005-0000-0000-000041070000}"/>
    <cellStyle name="40% - Accent5 3 2 3" xfId="1946" xr:uid="{00000000-0005-0000-0000-000042070000}"/>
    <cellStyle name="40% - Accent5 3 2 3 2" xfId="4175" xr:uid="{00000000-0005-0000-0000-000043070000}"/>
    <cellStyle name="40% - Accent5 3 2 3 2 2" xfId="8393" xr:uid="{00000000-0005-0000-0000-000044070000}"/>
    <cellStyle name="40% - Accent5 3 2 3 3" xfId="6248" xr:uid="{00000000-0005-0000-0000-000045070000}"/>
    <cellStyle name="40% - Accent5 3 2 4" xfId="2359" xr:uid="{00000000-0005-0000-0000-000046070000}"/>
    <cellStyle name="40% - Accent5 3 2 4 2" xfId="4588" xr:uid="{00000000-0005-0000-0000-000047070000}"/>
    <cellStyle name="40% - Accent5 3 2 4 2 2" xfId="8806" xr:uid="{00000000-0005-0000-0000-000048070000}"/>
    <cellStyle name="40% - Accent5 3 2 4 3" xfId="6661" xr:uid="{00000000-0005-0000-0000-000049070000}"/>
    <cellStyle name="40% - Accent5 3 2 5" xfId="2772" xr:uid="{00000000-0005-0000-0000-00004A070000}"/>
    <cellStyle name="40% - Accent5 3 2 5 2" xfId="5001" xr:uid="{00000000-0005-0000-0000-00004B070000}"/>
    <cellStyle name="40% - Accent5 3 2 5 2 2" xfId="9219" xr:uid="{00000000-0005-0000-0000-00004C070000}"/>
    <cellStyle name="40% - Accent5 3 2 5 3" xfId="7074" xr:uid="{00000000-0005-0000-0000-00004D070000}"/>
    <cellStyle name="40% - Accent5 3 2 6" xfId="3185" xr:uid="{00000000-0005-0000-0000-00004E070000}"/>
    <cellStyle name="40% - Accent5 3 2 6 2" xfId="7487" xr:uid="{00000000-0005-0000-0000-00004F070000}"/>
    <cellStyle name="40% - Accent5 3 2 7" xfId="5421" xr:uid="{00000000-0005-0000-0000-000050070000}"/>
    <cellStyle name="40% - Accent5 3 2 8" xfId="1117" xr:uid="{00000000-0005-0000-0000-000051070000}"/>
    <cellStyle name="40% - Accent5 3 3" xfId="663" xr:uid="{00000000-0005-0000-0000-000052070000}"/>
    <cellStyle name="40% - Accent5 3 3 2" xfId="3761" xr:uid="{00000000-0005-0000-0000-000053070000}"/>
    <cellStyle name="40% - Accent5 3 3 2 2" xfId="7979" xr:uid="{00000000-0005-0000-0000-000054070000}"/>
    <cellStyle name="40% - Accent5 3 3 3" xfId="5834" xr:uid="{00000000-0005-0000-0000-000055070000}"/>
    <cellStyle name="40% - Accent5 3 3 4" xfId="1530" xr:uid="{00000000-0005-0000-0000-000056070000}"/>
    <cellStyle name="40% - Accent5 3 4" xfId="1945" xr:uid="{00000000-0005-0000-0000-000057070000}"/>
    <cellStyle name="40% - Accent5 3 4 2" xfId="4174" xr:uid="{00000000-0005-0000-0000-000058070000}"/>
    <cellStyle name="40% - Accent5 3 4 2 2" xfId="8392" xr:uid="{00000000-0005-0000-0000-000059070000}"/>
    <cellStyle name="40% - Accent5 3 4 3" xfId="6247" xr:uid="{00000000-0005-0000-0000-00005A070000}"/>
    <cellStyle name="40% - Accent5 3 5" xfId="2358" xr:uid="{00000000-0005-0000-0000-00005B070000}"/>
    <cellStyle name="40% - Accent5 3 5 2" xfId="4587" xr:uid="{00000000-0005-0000-0000-00005C070000}"/>
    <cellStyle name="40% - Accent5 3 5 2 2" xfId="8805" xr:uid="{00000000-0005-0000-0000-00005D070000}"/>
    <cellStyle name="40% - Accent5 3 5 3" xfId="6660" xr:uid="{00000000-0005-0000-0000-00005E070000}"/>
    <cellStyle name="40% - Accent5 3 6" xfId="2771" xr:uid="{00000000-0005-0000-0000-00005F070000}"/>
    <cellStyle name="40% - Accent5 3 6 2" xfId="5000" xr:uid="{00000000-0005-0000-0000-000060070000}"/>
    <cellStyle name="40% - Accent5 3 6 2 2" xfId="9218" xr:uid="{00000000-0005-0000-0000-000061070000}"/>
    <cellStyle name="40% - Accent5 3 6 3" xfId="7073" xr:uid="{00000000-0005-0000-0000-000062070000}"/>
    <cellStyle name="40% - Accent5 3 7" xfId="3184" xr:uid="{00000000-0005-0000-0000-000063070000}"/>
    <cellStyle name="40% - Accent5 3 7 2" xfId="7486" xr:uid="{00000000-0005-0000-0000-000064070000}"/>
    <cellStyle name="40% - Accent5 3 8" xfId="5420" xr:uid="{00000000-0005-0000-0000-000065070000}"/>
    <cellStyle name="40% - Accent5 3 9" xfId="1116" xr:uid="{00000000-0005-0000-0000-000066070000}"/>
    <cellStyle name="40% - Accent5 4" xfId="88" xr:uid="{00000000-0005-0000-0000-000067070000}"/>
    <cellStyle name="40% - Accent5 4 2" xfId="665" xr:uid="{00000000-0005-0000-0000-000068070000}"/>
    <cellStyle name="40% - Accent5 4 2 2" xfId="3763" xr:uid="{00000000-0005-0000-0000-000069070000}"/>
    <cellStyle name="40% - Accent5 4 2 2 2" xfId="7981" xr:uid="{00000000-0005-0000-0000-00006A070000}"/>
    <cellStyle name="40% - Accent5 4 2 3" xfId="5836" xr:uid="{00000000-0005-0000-0000-00006B070000}"/>
    <cellStyle name="40% - Accent5 4 2 4" xfId="1532" xr:uid="{00000000-0005-0000-0000-00006C070000}"/>
    <cellStyle name="40% - Accent5 4 3" xfId="1947" xr:uid="{00000000-0005-0000-0000-00006D070000}"/>
    <cellStyle name="40% - Accent5 4 3 2" xfId="4176" xr:uid="{00000000-0005-0000-0000-00006E070000}"/>
    <cellStyle name="40% - Accent5 4 3 2 2" xfId="8394" xr:uid="{00000000-0005-0000-0000-00006F070000}"/>
    <cellStyle name="40% - Accent5 4 3 3" xfId="6249" xr:uid="{00000000-0005-0000-0000-000070070000}"/>
    <cellStyle name="40% - Accent5 4 4" xfId="2360" xr:uid="{00000000-0005-0000-0000-000071070000}"/>
    <cellStyle name="40% - Accent5 4 4 2" xfId="4589" xr:uid="{00000000-0005-0000-0000-000072070000}"/>
    <cellStyle name="40% - Accent5 4 4 2 2" xfId="8807" xr:uid="{00000000-0005-0000-0000-000073070000}"/>
    <cellStyle name="40% - Accent5 4 4 3" xfId="6662" xr:uid="{00000000-0005-0000-0000-000074070000}"/>
    <cellStyle name="40% - Accent5 4 5" xfId="2773" xr:uid="{00000000-0005-0000-0000-000075070000}"/>
    <cellStyle name="40% - Accent5 4 5 2" xfId="5002" xr:uid="{00000000-0005-0000-0000-000076070000}"/>
    <cellStyle name="40% - Accent5 4 5 2 2" xfId="9220" xr:uid="{00000000-0005-0000-0000-000077070000}"/>
    <cellStyle name="40% - Accent5 4 5 3" xfId="7075" xr:uid="{00000000-0005-0000-0000-000078070000}"/>
    <cellStyle name="40% - Accent5 4 6" xfId="3186" xr:uid="{00000000-0005-0000-0000-000079070000}"/>
    <cellStyle name="40% - Accent5 4 6 2" xfId="7488" xr:uid="{00000000-0005-0000-0000-00007A070000}"/>
    <cellStyle name="40% - Accent5 4 7" xfId="5422" xr:uid="{00000000-0005-0000-0000-00007B070000}"/>
    <cellStyle name="40% - Accent5 4 8" xfId="1118" xr:uid="{00000000-0005-0000-0000-00007C070000}"/>
    <cellStyle name="40% - Accent5 5" xfId="658" xr:uid="{00000000-0005-0000-0000-00007D070000}"/>
    <cellStyle name="40% - Accent5 5 2" xfId="3756" xr:uid="{00000000-0005-0000-0000-00007E070000}"/>
    <cellStyle name="40% - Accent5 5 2 2" xfId="7974" xr:uid="{00000000-0005-0000-0000-00007F070000}"/>
    <cellStyle name="40% - Accent5 5 3" xfId="5829" xr:uid="{00000000-0005-0000-0000-000080070000}"/>
    <cellStyle name="40% - Accent5 5 4" xfId="1525" xr:uid="{00000000-0005-0000-0000-000081070000}"/>
    <cellStyle name="40% - Accent5 6" xfId="1940" xr:uid="{00000000-0005-0000-0000-000082070000}"/>
    <cellStyle name="40% - Accent5 6 2" xfId="4169" xr:uid="{00000000-0005-0000-0000-000083070000}"/>
    <cellStyle name="40% - Accent5 6 2 2" xfId="8387" xr:uid="{00000000-0005-0000-0000-000084070000}"/>
    <cellStyle name="40% - Accent5 6 3" xfId="6242" xr:uid="{00000000-0005-0000-0000-000085070000}"/>
    <cellStyle name="40% - Accent5 7" xfId="2353" xr:uid="{00000000-0005-0000-0000-000086070000}"/>
    <cellStyle name="40% - Accent5 7 2" xfId="4582" xr:uid="{00000000-0005-0000-0000-000087070000}"/>
    <cellStyle name="40% - Accent5 7 2 2" xfId="8800" xr:uid="{00000000-0005-0000-0000-000088070000}"/>
    <cellStyle name="40% - Accent5 7 3" xfId="6655" xr:uid="{00000000-0005-0000-0000-000089070000}"/>
    <cellStyle name="40% - Accent5 8" xfId="2766" xr:uid="{00000000-0005-0000-0000-00008A070000}"/>
    <cellStyle name="40% - Accent5 8 2" xfId="4995" xr:uid="{00000000-0005-0000-0000-00008B070000}"/>
    <cellStyle name="40% - Accent5 8 2 2" xfId="9213" xr:uid="{00000000-0005-0000-0000-00008C070000}"/>
    <cellStyle name="40% - Accent5 8 3" xfId="7068" xr:uid="{00000000-0005-0000-0000-00008D070000}"/>
    <cellStyle name="40% - Accent5 9" xfId="3179" xr:uid="{00000000-0005-0000-0000-00008E070000}"/>
    <cellStyle name="40% - Accent5 9 2" xfId="7481" xr:uid="{00000000-0005-0000-0000-00008F070000}"/>
    <cellStyle name="40% - Accent6" xfId="89" builtinId="51" customBuiltin="1"/>
    <cellStyle name="40% - Accent6 10" xfId="5423" xr:uid="{00000000-0005-0000-0000-000091070000}"/>
    <cellStyle name="40% - Accent6 11" xfId="1119" xr:uid="{00000000-0005-0000-0000-000092070000}"/>
    <cellStyle name="40% - Accent6 2" xfId="90" xr:uid="{00000000-0005-0000-0000-000093070000}"/>
    <cellStyle name="40% - Accent6 2 10" xfId="1120" xr:uid="{00000000-0005-0000-0000-000094070000}"/>
    <cellStyle name="40% - Accent6 2 2" xfId="91" xr:uid="{00000000-0005-0000-0000-000095070000}"/>
    <cellStyle name="40% - Accent6 2 2 2" xfId="92" xr:uid="{00000000-0005-0000-0000-000096070000}"/>
    <cellStyle name="40% - Accent6 2 2 2 2" xfId="669" xr:uid="{00000000-0005-0000-0000-000097070000}"/>
    <cellStyle name="40% - Accent6 2 2 2 2 2" xfId="3767" xr:uid="{00000000-0005-0000-0000-000098070000}"/>
    <cellStyle name="40% - Accent6 2 2 2 2 2 2" xfId="7985" xr:uid="{00000000-0005-0000-0000-000099070000}"/>
    <cellStyle name="40% - Accent6 2 2 2 2 3" xfId="5840" xr:uid="{00000000-0005-0000-0000-00009A070000}"/>
    <cellStyle name="40% - Accent6 2 2 2 2 4" xfId="1536" xr:uid="{00000000-0005-0000-0000-00009B070000}"/>
    <cellStyle name="40% - Accent6 2 2 2 3" xfId="1951" xr:uid="{00000000-0005-0000-0000-00009C070000}"/>
    <cellStyle name="40% - Accent6 2 2 2 3 2" xfId="4180" xr:uid="{00000000-0005-0000-0000-00009D070000}"/>
    <cellStyle name="40% - Accent6 2 2 2 3 2 2" xfId="8398" xr:uid="{00000000-0005-0000-0000-00009E070000}"/>
    <cellStyle name="40% - Accent6 2 2 2 3 3" xfId="6253" xr:uid="{00000000-0005-0000-0000-00009F070000}"/>
    <cellStyle name="40% - Accent6 2 2 2 4" xfId="2364" xr:uid="{00000000-0005-0000-0000-0000A0070000}"/>
    <cellStyle name="40% - Accent6 2 2 2 4 2" xfId="4593" xr:uid="{00000000-0005-0000-0000-0000A1070000}"/>
    <cellStyle name="40% - Accent6 2 2 2 4 2 2" xfId="8811" xr:uid="{00000000-0005-0000-0000-0000A2070000}"/>
    <cellStyle name="40% - Accent6 2 2 2 4 3" xfId="6666" xr:uid="{00000000-0005-0000-0000-0000A3070000}"/>
    <cellStyle name="40% - Accent6 2 2 2 5" xfId="2777" xr:uid="{00000000-0005-0000-0000-0000A4070000}"/>
    <cellStyle name="40% - Accent6 2 2 2 5 2" xfId="5006" xr:uid="{00000000-0005-0000-0000-0000A5070000}"/>
    <cellStyle name="40% - Accent6 2 2 2 5 2 2" xfId="9224" xr:uid="{00000000-0005-0000-0000-0000A6070000}"/>
    <cellStyle name="40% - Accent6 2 2 2 5 3" xfId="7079" xr:uid="{00000000-0005-0000-0000-0000A7070000}"/>
    <cellStyle name="40% - Accent6 2 2 2 6" xfId="3190" xr:uid="{00000000-0005-0000-0000-0000A8070000}"/>
    <cellStyle name="40% - Accent6 2 2 2 6 2" xfId="7492" xr:uid="{00000000-0005-0000-0000-0000A9070000}"/>
    <cellStyle name="40% - Accent6 2 2 2 7" xfId="5426" xr:uid="{00000000-0005-0000-0000-0000AA070000}"/>
    <cellStyle name="40% - Accent6 2 2 2 8" xfId="1122" xr:uid="{00000000-0005-0000-0000-0000AB070000}"/>
    <cellStyle name="40% - Accent6 2 2 3" xfId="668" xr:uid="{00000000-0005-0000-0000-0000AC070000}"/>
    <cellStyle name="40% - Accent6 2 2 3 2" xfId="3766" xr:uid="{00000000-0005-0000-0000-0000AD070000}"/>
    <cellStyle name="40% - Accent6 2 2 3 2 2" xfId="7984" xr:uid="{00000000-0005-0000-0000-0000AE070000}"/>
    <cellStyle name="40% - Accent6 2 2 3 3" xfId="5839" xr:uid="{00000000-0005-0000-0000-0000AF070000}"/>
    <cellStyle name="40% - Accent6 2 2 3 4" xfId="1535" xr:uid="{00000000-0005-0000-0000-0000B0070000}"/>
    <cellStyle name="40% - Accent6 2 2 4" xfId="1950" xr:uid="{00000000-0005-0000-0000-0000B1070000}"/>
    <cellStyle name="40% - Accent6 2 2 4 2" xfId="4179" xr:uid="{00000000-0005-0000-0000-0000B2070000}"/>
    <cellStyle name="40% - Accent6 2 2 4 2 2" xfId="8397" xr:uid="{00000000-0005-0000-0000-0000B3070000}"/>
    <cellStyle name="40% - Accent6 2 2 4 3" xfId="6252" xr:uid="{00000000-0005-0000-0000-0000B4070000}"/>
    <cellStyle name="40% - Accent6 2 2 5" xfId="2363" xr:uid="{00000000-0005-0000-0000-0000B5070000}"/>
    <cellStyle name="40% - Accent6 2 2 5 2" xfId="4592" xr:uid="{00000000-0005-0000-0000-0000B6070000}"/>
    <cellStyle name="40% - Accent6 2 2 5 2 2" xfId="8810" xr:uid="{00000000-0005-0000-0000-0000B7070000}"/>
    <cellStyle name="40% - Accent6 2 2 5 3" xfId="6665" xr:uid="{00000000-0005-0000-0000-0000B8070000}"/>
    <cellStyle name="40% - Accent6 2 2 6" xfId="2776" xr:uid="{00000000-0005-0000-0000-0000B9070000}"/>
    <cellStyle name="40% - Accent6 2 2 6 2" xfId="5005" xr:uid="{00000000-0005-0000-0000-0000BA070000}"/>
    <cellStyle name="40% - Accent6 2 2 6 2 2" xfId="9223" xr:uid="{00000000-0005-0000-0000-0000BB070000}"/>
    <cellStyle name="40% - Accent6 2 2 6 3" xfId="7078" xr:uid="{00000000-0005-0000-0000-0000BC070000}"/>
    <cellStyle name="40% - Accent6 2 2 7" xfId="3189" xr:uid="{00000000-0005-0000-0000-0000BD070000}"/>
    <cellStyle name="40% - Accent6 2 2 7 2" xfId="7491" xr:uid="{00000000-0005-0000-0000-0000BE070000}"/>
    <cellStyle name="40% - Accent6 2 2 8" xfId="5425" xr:uid="{00000000-0005-0000-0000-0000BF070000}"/>
    <cellStyle name="40% - Accent6 2 2 9" xfId="1121" xr:uid="{00000000-0005-0000-0000-0000C0070000}"/>
    <cellStyle name="40% - Accent6 2 3" xfId="93" xr:uid="{00000000-0005-0000-0000-0000C1070000}"/>
    <cellStyle name="40% - Accent6 2 3 2" xfId="670" xr:uid="{00000000-0005-0000-0000-0000C2070000}"/>
    <cellStyle name="40% - Accent6 2 3 2 2" xfId="3768" xr:uid="{00000000-0005-0000-0000-0000C3070000}"/>
    <cellStyle name="40% - Accent6 2 3 2 2 2" xfId="7986" xr:uid="{00000000-0005-0000-0000-0000C4070000}"/>
    <cellStyle name="40% - Accent6 2 3 2 3" xfId="5841" xr:uid="{00000000-0005-0000-0000-0000C5070000}"/>
    <cellStyle name="40% - Accent6 2 3 2 4" xfId="1537" xr:uid="{00000000-0005-0000-0000-0000C6070000}"/>
    <cellStyle name="40% - Accent6 2 3 3" xfId="1952" xr:uid="{00000000-0005-0000-0000-0000C7070000}"/>
    <cellStyle name="40% - Accent6 2 3 3 2" xfId="4181" xr:uid="{00000000-0005-0000-0000-0000C8070000}"/>
    <cellStyle name="40% - Accent6 2 3 3 2 2" xfId="8399" xr:uid="{00000000-0005-0000-0000-0000C9070000}"/>
    <cellStyle name="40% - Accent6 2 3 3 3" xfId="6254" xr:uid="{00000000-0005-0000-0000-0000CA070000}"/>
    <cellStyle name="40% - Accent6 2 3 4" xfId="2365" xr:uid="{00000000-0005-0000-0000-0000CB070000}"/>
    <cellStyle name="40% - Accent6 2 3 4 2" xfId="4594" xr:uid="{00000000-0005-0000-0000-0000CC070000}"/>
    <cellStyle name="40% - Accent6 2 3 4 2 2" xfId="8812" xr:uid="{00000000-0005-0000-0000-0000CD070000}"/>
    <cellStyle name="40% - Accent6 2 3 4 3" xfId="6667" xr:uid="{00000000-0005-0000-0000-0000CE070000}"/>
    <cellStyle name="40% - Accent6 2 3 5" xfId="2778" xr:uid="{00000000-0005-0000-0000-0000CF070000}"/>
    <cellStyle name="40% - Accent6 2 3 5 2" xfId="5007" xr:uid="{00000000-0005-0000-0000-0000D0070000}"/>
    <cellStyle name="40% - Accent6 2 3 5 2 2" xfId="9225" xr:uid="{00000000-0005-0000-0000-0000D1070000}"/>
    <cellStyle name="40% - Accent6 2 3 5 3" xfId="7080" xr:uid="{00000000-0005-0000-0000-0000D2070000}"/>
    <cellStyle name="40% - Accent6 2 3 6" xfId="3191" xr:uid="{00000000-0005-0000-0000-0000D3070000}"/>
    <cellStyle name="40% - Accent6 2 3 6 2" xfId="7493" xr:uid="{00000000-0005-0000-0000-0000D4070000}"/>
    <cellStyle name="40% - Accent6 2 3 7" xfId="5427" xr:uid="{00000000-0005-0000-0000-0000D5070000}"/>
    <cellStyle name="40% - Accent6 2 3 8" xfId="1123" xr:uid="{00000000-0005-0000-0000-0000D6070000}"/>
    <cellStyle name="40% - Accent6 2 4" xfId="667" xr:uid="{00000000-0005-0000-0000-0000D7070000}"/>
    <cellStyle name="40% - Accent6 2 4 2" xfId="3765" xr:uid="{00000000-0005-0000-0000-0000D8070000}"/>
    <cellStyle name="40% - Accent6 2 4 2 2" xfId="7983" xr:uid="{00000000-0005-0000-0000-0000D9070000}"/>
    <cellStyle name="40% - Accent6 2 4 3" xfId="5838" xr:uid="{00000000-0005-0000-0000-0000DA070000}"/>
    <cellStyle name="40% - Accent6 2 4 4" xfId="1534" xr:uid="{00000000-0005-0000-0000-0000DB070000}"/>
    <cellStyle name="40% - Accent6 2 5" xfId="1949" xr:uid="{00000000-0005-0000-0000-0000DC070000}"/>
    <cellStyle name="40% - Accent6 2 5 2" xfId="4178" xr:uid="{00000000-0005-0000-0000-0000DD070000}"/>
    <cellStyle name="40% - Accent6 2 5 2 2" xfId="8396" xr:uid="{00000000-0005-0000-0000-0000DE070000}"/>
    <cellStyle name="40% - Accent6 2 5 3" xfId="6251" xr:uid="{00000000-0005-0000-0000-0000DF070000}"/>
    <cellStyle name="40% - Accent6 2 6" xfId="2362" xr:uid="{00000000-0005-0000-0000-0000E0070000}"/>
    <cellStyle name="40% - Accent6 2 6 2" xfId="4591" xr:uid="{00000000-0005-0000-0000-0000E1070000}"/>
    <cellStyle name="40% - Accent6 2 6 2 2" xfId="8809" xr:uid="{00000000-0005-0000-0000-0000E2070000}"/>
    <cellStyle name="40% - Accent6 2 6 3" xfId="6664" xr:uid="{00000000-0005-0000-0000-0000E3070000}"/>
    <cellStyle name="40% - Accent6 2 7" xfId="2775" xr:uid="{00000000-0005-0000-0000-0000E4070000}"/>
    <cellStyle name="40% - Accent6 2 7 2" xfId="5004" xr:uid="{00000000-0005-0000-0000-0000E5070000}"/>
    <cellStyle name="40% - Accent6 2 7 2 2" xfId="9222" xr:uid="{00000000-0005-0000-0000-0000E6070000}"/>
    <cellStyle name="40% - Accent6 2 7 3" xfId="7077" xr:uid="{00000000-0005-0000-0000-0000E7070000}"/>
    <cellStyle name="40% - Accent6 2 8" xfId="3188" xr:uid="{00000000-0005-0000-0000-0000E8070000}"/>
    <cellStyle name="40% - Accent6 2 8 2" xfId="7490" xr:uid="{00000000-0005-0000-0000-0000E9070000}"/>
    <cellStyle name="40% - Accent6 2 9" xfId="5424" xr:uid="{00000000-0005-0000-0000-0000EA070000}"/>
    <cellStyle name="40% - Accent6 3" xfId="94" xr:uid="{00000000-0005-0000-0000-0000EB070000}"/>
    <cellStyle name="40% - Accent6 3 2" xfId="95" xr:uid="{00000000-0005-0000-0000-0000EC070000}"/>
    <cellStyle name="40% - Accent6 3 2 2" xfId="672" xr:uid="{00000000-0005-0000-0000-0000ED070000}"/>
    <cellStyle name="40% - Accent6 3 2 2 2" xfId="3770" xr:uid="{00000000-0005-0000-0000-0000EE070000}"/>
    <cellStyle name="40% - Accent6 3 2 2 2 2" xfId="7988" xr:uid="{00000000-0005-0000-0000-0000EF070000}"/>
    <cellStyle name="40% - Accent6 3 2 2 3" xfId="5843" xr:uid="{00000000-0005-0000-0000-0000F0070000}"/>
    <cellStyle name="40% - Accent6 3 2 2 4" xfId="1539" xr:uid="{00000000-0005-0000-0000-0000F1070000}"/>
    <cellStyle name="40% - Accent6 3 2 3" xfId="1954" xr:uid="{00000000-0005-0000-0000-0000F2070000}"/>
    <cellStyle name="40% - Accent6 3 2 3 2" xfId="4183" xr:uid="{00000000-0005-0000-0000-0000F3070000}"/>
    <cellStyle name="40% - Accent6 3 2 3 2 2" xfId="8401" xr:uid="{00000000-0005-0000-0000-0000F4070000}"/>
    <cellStyle name="40% - Accent6 3 2 3 3" xfId="6256" xr:uid="{00000000-0005-0000-0000-0000F5070000}"/>
    <cellStyle name="40% - Accent6 3 2 4" xfId="2367" xr:uid="{00000000-0005-0000-0000-0000F6070000}"/>
    <cellStyle name="40% - Accent6 3 2 4 2" xfId="4596" xr:uid="{00000000-0005-0000-0000-0000F7070000}"/>
    <cellStyle name="40% - Accent6 3 2 4 2 2" xfId="8814" xr:uid="{00000000-0005-0000-0000-0000F8070000}"/>
    <cellStyle name="40% - Accent6 3 2 4 3" xfId="6669" xr:uid="{00000000-0005-0000-0000-0000F9070000}"/>
    <cellStyle name="40% - Accent6 3 2 5" xfId="2780" xr:uid="{00000000-0005-0000-0000-0000FA070000}"/>
    <cellStyle name="40% - Accent6 3 2 5 2" xfId="5009" xr:uid="{00000000-0005-0000-0000-0000FB070000}"/>
    <cellStyle name="40% - Accent6 3 2 5 2 2" xfId="9227" xr:uid="{00000000-0005-0000-0000-0000FC070000}"/>
    <cellStyle name="40% - Accent6 3 2 5 3" xfId="7082" xr:uid="{00000000-0005-0000-0000-0000FD070000}"/>
    <cellStyle name="40% - Accent6 3 2 6" xfId="3193" xr:uid="{00000000-0005-0000-0000-0000FE070000}"/>
    <cellStyle name="40% - Accent6 3 2 6 2" xfId="7495" xr:uid="{00000000-0005-0000-0000-0000FF070000}"/>
    <cellStyle name="40% - Accent6 3 2 7" xfId="5429" xr:uid="{00000000-0005-0000-0000-000000080000}"/>
    <cellStyle name="40% - Accent6 3 2 8" xfId="1125" xr:uid="{00000000-0005-0000-0000-000001080000}"/>
    <cellStyle name="40% - Accent6 3 3" xfId="671" xr:uid="{00000000-0005-0000-0000-000002080000}"/>
    <cellStyle name="40% - Accent6 3 3 2" xfId="3769" xr:uid="{00000000-0005-0000-0000-000003080000}"/>
    <cellStyle name="40% - Accent6 3 3 2 2" xfId="7987" xr:uid="{00000000-0005-0000-0000-000004080000}"/>
    <cellStyle name="40% - Accent6 3 3 3" xfId="5842" xr:uid="{00000000-0005-0000-0000-000005080000}"/>
    <cellStyle name="40% - Accent6 3 3 4" xfId="1538" xr:uid="{00000000-0005-0000-0000-000006080000}"/>
    <cellStyle name="40% - Accent6 3 4" xfId="1953" xr:uid="{00000000-0005-0000-0000-000007080000}"/>
    <cellStyle name="40% - Accent6 3 4 2" xfId="4182" xr:uid="{00000000-0005-0000-0000-000008080000}"/>
    <cellStyle name="40% - Accent6 3 4 2 2" xfId="8400" xr:uid="{00000000-0005-0000-0000-000009080000}"/>
    <cellStyle name="40% - Accent6 3 4 3" xfId="6255" xr:uid="{00000000-0005-0000-0000-00000A080000}"/>
    <cellStyle name="40% - Accent6 3 5" xfId="2366" xr:uid="{00000000-0005-0000-0000-00000B080000}"/>
    <cellStyle name="40% - Accent6 3 5 2" xfId="4595" xr:uid="{00000000-0005-0000-0000-00000C080000}"/>
    <cellStyle name="40% - Accent6 3 5 2 2" xfId="8813" xr:uid="{00000000-0005-0000-0000-00000D080000}"/>
    <cellStyle name="40% - Accent6 3 5 3" xfId="6668" xr:uid="{00000000-0005-0000-0000-00000E080000}"/>
    <cellStyle name="40% - Accent6 3 6" xfId="2779" xr:uid="{00000000-0005-0000-0000-00000F080000}"/>
    <cellStyle name="40% - Accent6 3 6 2" xfId="5008" xr:uid="{00000000-0005-0000-0000-000010080000}"/>
    <cellStyle name="40% - Accent6 3 6 2 2" xfId="9226" xr:uid="{00000000-0005-0000-0000-000011080000}"/>
    <cellStyle name="40% - Accent6 3 6 3" xfId="7081" xr:uid="{00000000-0005-0000-0000-000012080000}"/>
    <cellStyle name="40% - Accent6 3 7" xfId="3192" xr:uid="{00000000-0005-0000-0000-000013080000}"/>
    <cellStyle name="40% - Accent6 3 7 2" xfId="7494" xr:uid="{00000000-0005-0000-0000-000014080000}"/>
    <cellStyle name="40% - Accent6 3 8" xfId="5428" xr:uid="{00000000-0005-0000-0000-000015080000}"/>
    <cellStyle name="40% - Accent6 3 9" xfId="1124" xr:uid="{00000000-0005-0000-0000-000016080000}"/>
    <cellStyle name="40% - Accent6 4" xfId="96" xr:uid="{00000000-0005-0000-0000-000017080000}"/>
    <cellStyle name="40% - Accent6 4 2" xfId="673" xr:uid="{00000000-0005-0000-0000-000018080000}"/>
    <cellStyle name="40% - Accent6 4 2 2" xfId="3771" xr:uid="{00000000-0005-0000-0000-000019080000}"/>
    <cellStyle name="40% - Accent6 4 2 2 2" xfId="7989" xr:uid="{00000000-0005-0000-0000-00001A080000}"/>
    <cellStyle name="40% - Accent6 4 2 3" xfId="5844" xr:uid="{00000000-0005-0000-0000-00001B080000}"/>
    <cellStyle name="40% - Accent6 4 2 4" xfId="1540" xr:uid="{00000000-0005-0000-0000-00001C080000}"/>
    <cellStyle name="40% - Accent6 4 3" xfId="1955" xr:uid="{00000000-0005-0000-0000-00001D080000}"/>
    <cellStyle name="40% - Accent6 4 3 2" xfId="4184" xr:uid="{00000000-0005-0000-0000-00001E080000}"/>
    <cellStyle name="40% - Accent6 4 3 2 2" xfId="8402" xr:uid="{00000000-0005-0000-0000-00001F080000}"/>
    <cellStyle name="40% - Accent6 4 3 3" xfId="6257" xr:uid="{00000000-0005-0000-0000-000020080000}"/>
    <cellStyle name="40% - Accent6 4 4" xfId="2368" xr:uid="{00000000-0005-0000-0000-000021080000}"/>
    <cellStyle name="40% - Accent6 4 4 2" xfId="4597" xr:uid="{00000000-0005-0000-0000-000022080000}"/>
    <cellStyle name="40% - Accent6 4 4 2 2" xfId="8815" xr:uid="{00000000-0005-0000-0000-000023080000}"/>
    <cellStyle name="40% - Accent6 4 4 3" xfId="6670" xr:uid="{00000000-0005-0000-0000-000024080000}"/>
    <cellStyle name="40% - Accent6 4 5" xfId="2781" xr:uid="{00000000-0005-0000-0000-000025080000}"/>
    <cellStyle name="40% - Accent6 4 5 2" xfId="5010" xr:uid="{00000000-0005-0000-0000-000026080000}"/>
    <cellStyle name="40% - Accent6 4 5 2 2" xfId="9228" xr:uid="{00000000-0005-0000-0000-000027080000}"/>
    <cellStyle name="40% - Accent6 4 5 3" xfId="7083" xr:uid="{00000000-0005-0000-0000-000028080000}"/>
    <cellStyle name="40% - Accent6 4 6" xfId="3194" xr:uid="{00000000-0005-0000-0000-000029080000}"/>
    <cellStyle name="40% - Accent6 4 6 2" xfId="7496" xr:uid="{00000000-0005-0000-0000-00002A080000}"/>
    <cellStyle name="40% - Accent6 4 7" xfId="5430" xr:uid="{00000000-0005-0000-0000-00002B080000}"/>
    <cellStyle name="40% - Accent6 4 8" xfId="1126" xr:uid="{00000000-0005-0000-0000-00002C080000}"/>
    <cellStyle name="40% - Accent6 5" xfId="666" xr:uid="{00000000-0005-0000-0000-00002D080000}"/>
    <cellStyle name="40% - Accent6 5 2" xfId="3764" xr:uid="{00000000-0005-0000-0000-00002E080000}"/>
    <cellStyle name="40% - Accent6 5 2 2" xfId="7982" xr:uid="{00000000-0005-0000-0000-00002F080000}"/>
    <cellStyle name="40% - Accent6 5 3" xfId="5837" xr:uid="{00000000-0005-0000-0000-000030080000}"/>
    <cellStyle name="40% - Accent6 5 4" xfId="1533" xr:uid="{00000000-0005-0000-0000-000031080000}"/>
    <cellStyle name="40% - Accent6 6" xfId="1948" xr:uid="{00000000-0005-0000-0000-000032080000}"/>
    <cellStyle name="40% - Accent6 6 2" xfId="4177" xr:uid="{00000000-0005-0000-0000-000033080000}"/>
    <cellStyle name="40% - Accent6 6 2 2" xfId="8395" xr:uid="{00000000-0005-0000-0000-000034080000}"/>
    <cellStyle name="40% - Accent6 6 3" xfId="6250" xr:uid="{00000000-0005-0000-0000-000035080000}"/>
    <cellStyle name="40% - Accent6 7" xfId="2361" xr:uid="{00000000-0005-0000-0000-000036080000}"/>
    <cellStyle name="40% - Accent6 7 2" xfId="4590" xr:uid="{00000000-0005-0000-0000-000037080000}"/>
    <cellStyle name="40% - Accent6 7 2 2" xfId="8808" xr:uid="{00000000-0005-0000-0000-000038080000}"/>
    <cellStyle name="40% - Accent6 7 3" xfId="6663" xr:uid="{00000000-0005-0000-0000-000039080000}"/>
    <cellStyle name="40% - Accent6 8" xfId="2774" xr:uid="{00000000-0005-0000-0000-00003A080000}"/>
    <cellStyle name="40% - Accent6 8 2" xfId="5003" xr:uid="{00000000-0005-0000-0000-00003B080000}"/>
    <cellStyle name="40% - Accent6 8 2 2" xfId="9221" xr:uid="{00000000-0005-0000-0000-00003C080000}"/>
    <cellStyle name="40% - Accent6 8 3" xfId="7076" xr:uid="{00000000-0005-0000-0000-00003D080000}"/>
    <cellStyle name="40% - Accent6 9" xfId="3187" xr:uid="{00000000-0005-0000-0000-00003E080000}"/>
    <cellStyle name="40% - Accent6 9 2" xfId="7489" xr:uid="{00000000-0005-0000-0000-00003F080000}"/>
    <cellStyle name="60% - Accent1" xfId="97" builtinId="32" customBuiltin="1"/>
    <cellStyle name="60% - Accent1 2" xfId="98" xr:uid="{00000000-0005-0000-0000-000041080000}"/>
    <cellStyle name="60% - Accent2" xfId="99" builtinId="36" customBuiltin="1"/>
    <cellStyle name="60% - Accent3" xfId="100" builtinId="40" customBuiltin="1"/>
    <cellStyle name="60% - Accent3 2" xfId="101" xr:uid="{00000000-0005-0000-0000-000044080000}"/>
    <cellStyle name="60% - Accent4" xfId="102" builtinId="44" customBuiltin="1"/>
    <cellStyle name="60% - Accent4 2" xfId="103" xr:uid="{00000000-0005-0000-0000-000046080000}"/>
    <cellStyle name="60% - Accent5" xfId="104" builtinId="48" customBuiltin="1"/>
    <cellStyle name="60% - Accent6" xfId="105" builtinId="52" customBuiltin="1"/>
    <cellStyle name="60% - Accent6 2" xfId="106" xr:uid="{00000000-0005-0000-0000-000049080000}"/>
    <cellStyle name="Accent1" xfId="107" builtinId="29" customBuiltin="1"/>
    <cellStyle name="Accent1 2" xfId="108" xr:uid="{00000000-0005-0000-0000-00004B080000}"/>
    <cellStyle name="Accent2" xfId="109" builtinId="33" customBuiltin="1"/>
    <cellStyle name="Accent2 2" xfId="110" xr:uid="{00000000-0005-0000-0000-00004D080000}"/>
    <cellStyle name="Accent3" xfId="111" builtinId="37" customBuiltin="1"/>
    <cellStyle name="Accent3 2" xfId="112" xr:uid="{00000000-0005-0000-0000-00004F080000}"/>
    <cellStyle name="Accent4" xfId="113" builtinId="41" customBuiltin="1"/>
    <cellStyle name="Accent4 2" xfId="114" xr:uid="{00000000-0005-0000-0000-000051080000}"/>
    <cellStyle name="Accent5" xfId="115" builtinId="45" customBuiltin="1"/>
    <cellStyle name="Accent6" xfId="116" builtinId="49" customBuiltin="1"/>
    <cellStyle name="Bad" xfId="117" builtinId="27" customBuiltin="1"/>
    <cellStyle name="Bad 2" xfId="118" xr:uid="{00000000-0005-0000-0000-000055080000}"/>
    <cellStyle name="Calculation" xfId="119" builtinId="22" customBuiltin="1"/>
    <cellStyle name="Calculation 2" xfId="120" xr:uid="{00000000-0005-0000-0000-000057080000}"/>
    <cellStyle name="Check Cell" xfId="121" builtinId="23" customBuiltin="1"/>
    <cellStyle name="Comma 2" xfId="122" xr:uid="{00000000-0005-0000-0000-000059080000}"/>
    <cellStyle name="Comma 2 2" xfId="123" xr:uid="{00000000-0005-0000-0000-00005A080000}"/>
    <cellStyle name="Comma 3" xfId="124" xr:uid="{00000000-0005-0000-0000-00005B080000}"/>
    <cellStyle name="Comma 4" xfId="125" xr:uid="{00000000-0005-0000-0000-00005C080000}"/>
    <cellStyle name="Comma 4 2" xfId="126" xr:uid="{00000000-0005-0000-0000-00005D080000}"/>
    <cellStyle name="Comma 4 2 2" xfId="127" xr:uid="{00000000-0005-0000-0000-00005E080000}"/>
    <cellStyle name="Comma 4 2 2 2" xfId="128" xr:uid="{00000000-0005-0000-0000-00005F080000}"/>
    <cellStyle name="Comma 4 2 2 2 10" xfId="3595" xr:uid="{00000000-0005-0000-0000-000060080000}"/>
    <cellStyle name="Comma 4 2 2 2 10 2" xfId="7814" xr:uid="{00000000-0005-0000-0000-000061080000}"/>
    <cellStyle name="Comma 4 2 2 2 11" xfId="5431" xr:uid="{00000000-0005-0000-0000-000062080000}"/>
    <cellStyle name="Comma 4 2 2 2 12" xfId="1127" xr:uid="{00000000-0005-0000-0000-000063080000}"/>
    <cellStyle name="Comma 4 2 2 2 2" xfId="129" xr:uid="{00000000-0005-0000-0000-000064080000}"/>
    <cellStyle name="Comma 4 2 2 2 2 10" xfId="5432" xr:uid="{00000000-0005-0000-0000-000065080000}"/>
    <cellStyle name="Comma 4 2 2 2 2 11" xfId="1128" xr:uid="{00000000-0005-0000-0000-000066080000}"/>
    <cellStyle name="Comma 4 2 2 2 2 2" xfId="130" xr:uid="{00000000-0005-0000-0000-000067080000}"/>
    <cellStyle name="Comma 4 2 2 2 2 2 10" xfId="1129" xr:uid="{00000000-0005-0000-0000-000068080000}"/>
    <cellStyle name="Comma 4 2 2 2 2 2 2" xfId="676" xr:uid="{00000000-0005-0000-0000-000069080000}"/>
    <cellStyle name="Comma 4 2 2 2 2 2 2 2" xfId="3774" xr:uid="{00000000-0005-0000-0000-00006A080000}"/>
    <cellStyle name="Comma 4 2 2 2 2 2 2 2 2" xfId="7992" xr:uid="{00000000-0005-0000-0000-00006B080000}"/>
    <cellStyle name="Comma 4 2 2 2 2 2 2 3" xfId="5847" xr:uid="{00000000-0005-0000-0000-00006C080000}"/>
    <cellStyle name="Comma 4 2 2 2 2 2 2 4" xfId="1543" xr:uid="{00000000-0005-0000-0000-00006D080000}"/>
    <cellStyle name="Comma 4 2 2 2 2 2 3" xfId="1958" xr:uid="{00000000-0005-0000-0000-00006E080000}"/>
    <cellStyle name="Comma 4 2 2 2 2 2 3 2" xfId="4187" xr:uid="{00000000-0005-0000-0000-00006F080000}"/>
    <cellStyle name="Comma 4 2 2 2 2 2 3 2 2" xfId="8405" xr:uid="{00000000-0005-0000-0000-000070080000}"/>
    <cellStyle name="Comma 4 2 2 2 2 2 3 3" xfId="6260" xr:uid="{00000000-0005-0000-0000-000071080000}"/>
    <cellStyle name="Comma 4 2 2 2 2 2 4" xfId="2371" xr:uid="{00000000-0005-0000-0000-000072080000}"/>
    <cellStyle name="Comma 4 2 2 2 2 2 4 2" xfId="4600" xr:uid="{00000000-0005-0000-0000-000073080000}"/>
    <cellStyle name="Comma 4 2 2 2 2 2 4 2 2" xfId="8818" xr:uid="{00000000-0005-0000-0000-000074080000}"/>
    <cellStyle name="Comma 4 2 2 2 2 2 4 3" xfId="6673" xr:uid="{00000000-0005-0000-0000-000075080000}"/>
    <cellStyle name="Comma 4 2 2 2 2 2 5" xfId="2784" xr:uid="{00000000-0005-0000-0000-000076080000}"/>
    <cellStyle name="Comma 4 2 2 2 2 2 5 2" xfId="5013" xr:uid="{00000000-0005-0000-0000-000077080000}"/>
    <cellStyle name="Comma 4 2 2 2 2 2 5 2 2" xfId="9231" xr:uid="{00000000-0005-0000-0000-000078080000}"/>
    <cellStyle name="Comma 4 2 2 2 2 2 5 3" xfId="7086" xr:uid="{00000000-0005-0000-0000-000079080000}"/>
    <cellStyle name="Comma 4 2 2 2 2 2 6" xfId="3219" xr:uid="{00000000-0005-0000-0000-00007A080000}"/>
    <cellStyle name="Comma 4 2 2 2 2 2 6 2" xfId="7499" xr:uid="{00000000-0005-0000-0000-00007B080000}"/>
    <cellStyle name="Comma 4 2 2 2 2 2 7" xfId="3214" xr:uid="{00000000-0005-0000-0000-00007C080000}"/>
    <cellStyle name="Comma 4 2 2 2 2 2 8" xfId="3597" xr:uid="{00000000-0005-0000-0000-00007D080000}"/>
    <cellStyle name="Comma 4 2 2 2 2 2 8 2" xfId="7816" xr:uid="{00000000-0005-0000-0000-00007E080000}"/>
    <cellStyle name="Comma 4 2 2 2 2 2 9" xfId="5433" xr:uid="{00000000-0005-0000-0000-00007F080000}"/>
    <cellStyle name="Comma 4 2 2 2 2 3" xfId="675" xr:uid="{00000000-0005-0000-0000-000080080000}"/>
    <cellStyle name="Comma 4 2 2 2 2 3 2" xfId="3773" xr:uid="{00000000-0005-0000-0000-000081080000}"/>
    <cellStyle name="Comma 4 2 2 2 2 3 2 2" xfId="7991" xr:uid="{00000000-0005-0000-0000-000082080000}"/>
    <cellStyle name="Comma 4 2 2 2 2 3 3" xfId="5846" xr:uid="{00000000-0005-0000-0000-000083080000}"/>
    <cellStyle name="Comma 4 2 2 2 2 3 4" xfId="1542" xr:uid="{00000000-0005-0000-0000-000084080000}"/>
    <cellStyle name="Comma 4 2 2 2 2 4" xfId="1957" xr:uid="{00000000-0005-0000-0000-000085080000}"/>
    <cellStyle name="Comma 4 2 2 2 2 4 2" xfId="4186" xr:uid="{00000000-0005-0000-0000-000086080000}"/>
    <cellStyle name="Comma 4 2 2 2 2 4 2 2" xfId="8404" xr:uid="{00000000-0005-0000-0000-000087080000}"/>
    <cellStyle name="Comma 4 2 2 2 2 4 3" xfId="6259" xr:uid="{00000000-0005-0000-0000-000088080000}"/>
    <cellStyle name="Comma 4 2 2 2 2 5" xfId="2370" xr:uid="{00000000-0005-0000-0000-000089080000}"/>
    <cellStyle name="Comma 4 2 2 2 2 5 2" xfId="4599" xr:uid="{00000000-0005-0000-0000-00008A080000}"/>
    <cellStyle name="Comma 4 2 2 2 2 5 2 2" xfId="8817" xr:uid="{00000000-0005-0000-0000-00008B080000}"/>
    <cellStyle name="Comma 4 2 2 2 2 5 3" xfId="6672" xr:uid="{00000000-0005-0000-0000-00008C080000}"/>
    <cellStyle name="Comma 4 2 2 2 2 6" xfId="2783" xr:uid="{00000000-0005-0000-0000-00008D080000}"/>
    <cellStyle name="Comma 4 2 2 2 2 6 2" xfId="5012" xr:uid="{00000000-0005-0000-0000-00008E080000}"/>
    <cellStyle name="Comma 4 2 2 2 2 6 2 2" xfId="9230" xr:uid="{00000000-0005-0000-0000-00008F080000}"/>
    <cellStyle name="Comma 4 2 2 2 2 6 3" xfId="7085" xr:uid="{00000000-0005-0000-0000-000090080000}"/>
    <cellStyle name="Comma 4 2 2 2 2 7" xfId="3218" xr:uid="{00000000-0005-0000-0000-000091080000}"/>
    <cellStyle name="Comma 4 2 2 2 2 7 2" xfId="7498" xr:uid="{00000000-0005-0000-0000-000092080000}"/>
    <cellStyle name="Comma 4 2 2 2 2 8" xfId="3215" xr:uid="{00000000-0005-0000-0000-000093080000}"/>
    <cellStyle name="Comma 4 2 2 2 2 9" xfId="3596" xr:uid="{00000000-0005-0000-0000-000094080000}"/>
    <cellStyle name="Comma 4 2 2 2 2 9 2" xfId="7815" xr:uid="{00000000-0005-0000-0000-000095080000}"/>
    <cellStyle name="Comma 4 2 2 2 3" xfId="131" xr:uid="{00000000-0005-0000-0000-000096080000}"/>
    <cellStyle name="Comma 4 2 2 2 3 10" xfId="1130" xr:uid="{00000000-0005-0000-0000-000097080000}"/>
    <cellStyle name="Comma 4 2 2 2 3 2" xfId="677" xr:uid="{00000000-0005-0000-0000-000098080000}"/>
    <cellStyle name="Comma 4 2 2 2 3 2 2" xfId="3775" xr:uid="{00000000-0005-0000-0000-000099080000}"/>
    <cellStyle name="Comma 4 2 2 2 3 2 2 2" xfId="7993" xr:uid="{00000000-0005-0000-0000-00009A080000}"/>
    <cellStyle name="Comma 4 2 2 2 3 2 3" xfId="5848" xr:uid="{00000000-0005-0000-0000-00009B080000}"/>
    <cellStyle name="Comma 4 2 2 2 3 2 4" xfId="1544" xr:uid="{00000000-0005-0000-0000-00009C080000}"/>
    <cellStyle name="Comma 4 2 2 2 3 3" xfId="1959" xr:uid="{00000000-0005-0000-0000-00009D080000}"/>
    <cellStyle name="Comma 4 2 2 2 3 3 2" xfId="4188" xr:uid="{00000000-0005-0000-0000-00009E080000}"/>
    <cellStyle name="Comma 4 2 2 2 3 3 2 2" xfId="8406" xr:uid="{00000000-0005-0000-0000-00009F080000}"/>
    <cellStyle name="Comma 4 2 2 2 3 3 3" xfId="6261" xr:uid="{00000000-0005-0000-0000-0000A0080000}"/>
    <cellStyle name="Comma 4 2 2 2 3 4" xfId="2372" xr:uid="{00000000-0005-0000-0000-0000A1080000}"/>
    <cellStyle name="Comma 4 2 2 2 3 4 2" xfId="4601" xr:uid="{00000000-0005-0000-0000-0000A2080000}"/>
    <cellStyle name="Comma 4 2 2 2 3 4 2 2" xfId="8819" xr:uid="{00000000-0005-0000-0000-0000A3080000}"/>
    <cellStyle name="Comma 4 2 2 2 3 4 3" xfId="6674" xr:uid="{00000000-0005-0000-0000-0000A4080000}"/>
    <cellStyle name="Comma 4 2 2 2 3 5" xfId="2785" xr:uid="{00000000-0005-0000-0000-0000A5080000}"/>
    <cellStyle name="Comma 4 2 2 2 3 5 2" xfId="5014" xr:uid="{00000000-0005-0000-0000-0000A6080000}"/>
    <cellStyle name="Comma 4 2 2 2 3 5 2 2" xfId="9232" xr:uid="{00000000-0005-0000-0000-0000A7080000}"/>
    <cellStyle name="Comma 4 2 2 2 3 5 3" xfId="7087" xr:uid="{00000000-0005-0000-0000-0000A8080000}"/>
    <cellStyle name="Comma 4 2 2 2 3 6" xfId="3220" xr:uid="{00000000-0005-0000-0000-0000A9080000}"/>
    <cellStyle name="Comma 4 2 2 2 3 6 2" xfId="7500" xr:uid="{00000000-0005-0000-0000-0000AA080000}"/>
    <cellStyle name="Comma 4 2 2 2 3 7" xfId="3213" xr:uid="{00000000-0005-0000-0000-0000AB080000}"/>
    <cellStyle name="Comma 4 2 2 2 3 8" xfId="3598" xr:uid="{00000000-0005-0000-0000-0000AC080000}"/>
    <cellStyle name="Comma 4 2 2 2 3 8 2" xfId="7817" xr:uid="{00000000-0005-0000-0000-0000AD080000}"/>
    <cellStyle name="Comma 4 2 2 2 3 9" xfId="5434" xr:uid="{00000000-0005-0000-0000-0000AE080000}"/>
    <cellStyle name="Comma 4 2 2 2 4" xfId="674" xr:uid="{00000000-0005-0000-0000-0000AF080000}"/>
    <cellStyle name="Comma 4 2 2 2 4 2" xfId="3772" xr:uid="{00000000-0005-0000-0000-0000B0080000}"/>
    <cellStyle name="Comma 4 2 2 2 4 2 2" xfId="7990" xr:uid="{00000000-0005-0000-0000-0000B1080000}"/>
    <cellStyle name="Comma 4 2 2 2 4 3" xfId="5845" xr:uid="{00000000-0005-0000-0000-0000B2080000}"/>
    <cellStyle name="Comma 4 2 2 2 4 4" xfId="1541" xr:uid="{00000000-0005-0000-0000-0000B3080000}"/>
    <cellStyle name="Comma 4 2 2 2 5" xfId="1956" xr:uid="{00000000-0005-0000-0000-0000B4080000}"/>
    <cellStyle name="Comma 4 2 2 2 5 2" xfId="4185" xr:uid="{00000000-0005-0000-0000-0000B5080000}"/>
    <cellStyle name="Comma 4 2 2 2 5 2 2" xfId="8403" xr:uid="{00000000-0005-0000-0000-0000B6080000}"/>
    <cellStyle name="Comma 4 2 2 2 5 3" xfId="6258" xr:uid="{00000000-0005-0000-0000-0000B7080000}"/>
    <cellStyle name="Comma 4 2 2 2 6" xfId="2369" xr:uid="{00000000-0005-0000-0000-0000B8080000}"/>
    <cellStyle name="Comma 4 2 2 2 6 2" xfId="4598" xr:uid="{00000000-0005-0000-0000-0000B9080000}"/>
    <cellStyle name="Comma 4 2 2 2 6 2 2" xfId="8816" xr:uid="{00000000-0005-0000-0000-0000BA080000}"/>
    <cellStyle name="Comma 4 2 2 2 6 3" xfId="6671" xr:uid="{00000000-0005-0000-0000-0000BB080000}"/>
    <cellStyle name="Comma 4 2 2 2 7" xfId="2782" xr:uid="{00000000-0005-0000-0000-0000BC080000}"/>
    <cellStyle name="Comma 4 2 2 2 7 2" xfId="5011" xr:uid="{00000000-0005-0000-0000-0000BD080000}"/>
    <cellStyle name="Comma 4 2 2 2 7 2 2" xfId="9229" xr:uid="{00000000-0005-0000-0000-0000BE080000}"/>
    <cellStyle name="Comma 4 2 2 2 7 3" xfId="7084" xr:uid="{00000000-0005-0000-0000-0000BF080000}"/>
    <cellStyle name="Comma 4 2 2 2 8" xfId="3217" xr:uid="{00000000-0005-0000-0000-0000C0080000}"/>
    <cellStyle name="Comma 4 2 2 2 8 2" xfId="7497" xr:uid="{00000000-0005-0000-0000-0000C1080000}"/>
    <cellStyle name="Comma 4 2 2 2 9" xfId="3216" xr:uid="{00000000-0005-0000-0000-0000C2080000}"/>
    <cellStyle name="Comma 4 2 2 3" xfId="132" xr:uid="{00000000-0005-0000-0000-0000C3080000}"/>
    <cellStyle name="Comma 4 2 2 3 10" xfId="5435" xr:uid="{00000000-0005-0000-0000-0000C4080000}"/>
    <cellStyle name="Comma 4 2 2 3 11" xfId="1131" xr:uid="{00000000-0005-0000-0000-0000C5080000}"/>
    <cellStyle name="Comma 4 2 2 3 2" xfId="133" xr:uid="{00000000-0005-0000-0000-0000C6080000}"/>
    <cellStyle name="Comma 4 2 2 3 2 10" xfId="1132" xr:uid="{00000000-0005-0000-0000-0000C7080000}"/>
    <cellStyle name="Comma 4 2 2 3 2 2" xfId="679" xr:uid="{00000000-0005-0000-0000-0000C8080000}"/>
    <cellStyle name="Comma 4 2 2 3 2 2 2" xfId="3777" xr:uid="{00000000-0005-0000-0000-0000C9080000}"/>
    <cellStyle name="Comma 4 2 2 3 2 2 2 2" xfId="7995" xr:uid="{00000000-0005-0000-0000-0000CA080000}"/>
    <cellStyle name="Comma 4 2 2 3 2 2 3" xfId="5850" xr:uid="{00000000-0005-0000-0000-0000CB080000}"/>
    <cellStyle name="Comma 4 2 2 3 2 2 4" xfId="1546" xr:uid="{00000000-0005-0000-0000-0000CC080000}"/>
    <cellStyle name="Comma 4 2 2 3 2 3" xfId="1961" xr:uid="{00000000-0005-0000-0000-0000CD080000}"/>
    <cellStyle name="Comma 4 2 2 3 2 3 2" xfId="4190" xr:uid="{00000000-0005-0000-0000-0000CE080000}"/>
    <cellStyle name="Comma 4 2 2 3 2 3 2 2" xfId="8408" xr:uid="{00000000-0005-0000-0000-0000CF080000}"/>
    <cellStyle name="Comma 4 2 2 3 2 3 3" xfId="6263" xr:uid="{00000000-0005-0000-0000-0000D0080000}"/>
    <cellStyle name="Comma 4 2 2 3 2 4" xfId="2374" xr:uid="{00000000-0005-0000-0000-0000D1080000}"/>
    <cellStyle name="Comma 4 2 2 3 2 4 2" xfId="4603" xr:uid="{00000000-0005-0000-0000-0000D2080000}"/>
    <cellStyle name="Comma 4 2 2 3 2 4 2 2" xfId="8821" xr:uid="{00000000-0005-0000-0000-0000D3080000}"/>
    <cellStyle name="Comma 4 2 2 3 2 4 3" xfId="6676" xr:uid="{00000000-0005-0000-0000-0000D4080000}"/>
    <cellStyle name="Comma 4 2 2 3 2 5" xfId="2787" xr:uid="{00000000-0005-0000-0000-0000D5080000}"/>
    <cellStyle name="Comma 4 2 2 3 2 5 2" xfId="5016" xr:uid="{00000000-0005-0000-0000-0000D6080000}"/>
    <cellStyle name="Comma 4 2 2 3 2 5 2 2" xfId="9234" xr:uid="{00000000-0005-0000-0000-0000D7080000}"/>
    <cellStyle name="Comma 4 2 2 3 2 5 3" xfId="7089" xr:uid="{00000000-0005-0000-0000-0000D8080000}"/>
    <cellStyle name="Comma 4 2 2 3 2 6" xfId="3222" xr:uid="{00000000-0005-0000-0000-0000D9080000}"/>
    <cellStyle name="Comma 4 2 2 3 2 6 2" xfId="7502" xr:uid="{00000000-0005-0000-0000-0000DA080000}"/>
    <cellStyle name="Comma 4 2 2 3 2 7" xfId="3211" xr:uid="{00000000-0005-0000-0000-0000DB080000}"/>
    <cellStyle name="Comma 4 2 2 3 2 8" xfId="3600" xr:uid="{00000000-0005-0000-0000-0000DC080000}"/>
    <cellStyle name="Comma 4 2 2 3 2 8 2" xfId="7819" xr:uid="{00000000-0005-0000-0000-0000DD080000}"/>
    <cellStyle name="Comma 4 2 2 3 2 9" xfId="5436" xr:uid="{00000000-0005-0000-0000-0000DE080000}"/>
    <cellStyle name="Comma 4 2 2 3 3" xfId="678" xr:uid="{00000000-0005-0000-0000-0000DF080000}"/>
    <cellStyle name="Comma 4 2 2 3 3 2" xfId="3776" xr:uid="{00000000-0005-0000-0000-0000E0080000}"/>
    <cellStyle name="Comma 4 2 2 3 3 2 2" xfId="7994" xr:uid="{00000000-0005-0000-0000-0000E1080000}"/>
    <cellStyle name="Comma 4 2 2 3 3 3" xfId="5849" xr:uid="{00000000-0005-0000-0000-0000E2080000}"/>
    <cellStyle name="Comma 4 2 2 3 3 4" xfId="1545" xr:uid="{00000000-0005-0000-0000-0000E3080000}"/>
    <cellStyle name="Comma 4 2 2 3 4" xfId="1960" xr:uid="{00000000-0005-0000-0000-0000E4080000}"/>
    <cellStyle name="Comma 4 2 2 3 4 2" xfId="4189" xr:uid="{00000000-0005-0000-0000-0000E5080000}"/>
    <cellStyle name="Comma 4 2 2 3 4 2 2" xfId="8407" xr:uid="{00000000-0005-0000-0000-0000E6080000}"/>
    <cellStyle name="Comma 4 2 2 3 4 3" xfId="6262" xr:uid="{00000000-0005-0000-0000-0000E7080000}"/>
    <cellStyle name="Comma 4 2 2 3 5" xfId="2373" xr:uid="{00000000-0005-0000-0000-0000E8080000}"/>
    <cellStyle name="Comma 4 2 2 3 5 2" xfId="4602" xr:uid="{00000000-0005-0000-0000-0000E9080000}"/>
    <cellStyle name="Comma 4 2 2 3 5 2 2" xfId="8820" xr:uid="{00000000-0005-0000-0000-0000EA080000}"/>
    <cellStyle name="Comma 4 2 2 3 5 3" xfId="6675" xr:uid="{00000000-0005-0000-0000-0000EB080000}"/>
    <cellStyle name="Comma 4 2 2 3 6" xfId="2786" xr:uid="{00000000-0005-0000-0000-0000EC080000}"/>
    <cellStyle name="Comma 4 2 2 3 6 2" xfId="5015" xr:uid="{00000000-0005-0000-0000-0000ED080000}"/>
    <cellStyle name="Comma 4 2 2 3 6 2 2" xfId="9233" xr:uid="{00000000-0005-0000-0000-0000EE080000}"/>
    <cellStyle name="Comma 4 2 2 3 6 3" xfId="7088" xr:uid="{00000000-0005-0000-0000-0000EF080000}"/>
    <cellStyle name="Comma 4 2 2 3 7" xfId="3221" xr:uid="{00000000-0005-0000-0000-0000F0080000}"/>
    <cellStyle name="Comma 4 2 2 3 7 2" xfId="7501" xr:uid="{00000000-0005-0000-0000-0000F1080000}"/>
    <cellStyle name="Comma 4 2 2 3 8" xfId="3212" xr:uid="{00000000-0005-0000-0000-0000F2080000}"/>
    <cellStyle name="Comma 4 2 2 3 9" xfId="3599" xr:uid="{00000000-0005-0000-0000-0000F3080000}"/>
    <cellStyle name="Comma 4 2 2 3 9 2" xfId="7818" xr:uid="{00000000-0005-0000-0000-0000F4080000}"/>
    <cellStyle name="Comma 4 2 2 4" xfId="134" xr:uid="{00000000-0005-0000-0000-0000F5080000}"/>
    <cellStyle name="Comma 4 2 2 4 10" xfId="1133" xr:uid="{00000000-0005-0000-0000-0000F6080000}"/>
    <cellStyle name="Comma 4 2 2 4 2" xfId="680" xr:uid="{00000000-0005-0000-0000-0000F7080000}"/>
    <cellStyle name="Comma 4 2 2 4 2 2" xfId="3778" xr:uid="{00000000-0005-0000-0000-0000F8080000}"/>
    <cellStyle name="Comma 4 2 2 4 2 2 2" xfId="7996" xr:uid="{00000000-0005-0000-0000-0000F9080000}"/>
    <cellStyle name="Comma 4 2 2 4 2 3" xfId="5851" xr:uid="{00000000-0005-0000-0000-0000FA080000}"/>
    <cellStyle name="Comma 4 2 2 4 2 4" xfId="1547" xr:uid="{00000000-0005-0000-0000-0000FB080000}"/>
    <cellStyle name="Comma 4 2 2 4 3" xfId="1962" xr:uid="{00000000-0005-0000-0000-0000FC080000}"/>
    <cellStyle name="Comma 4 2 2 4 3 2" xfId="4191" xr:uid="{00000000-0005-0000-0000-0000FD080000}"/>
    <cellStyle name="Comma 4 2 2 4 3 2 2" xfId="8409" xr:uid="{00000000-0005-0000-0000-0000FE080000}"/>
    <cellStyle name="Comma 4 2 2 4 3 3" xfId="6264" xr:uid="{00000000-0005-0000-0000-0000FF080000}"/>
    <cellStyle name="Comma 4 2 2 4 4" xfId="2375" xr:uid="{00000000-0005-0000-0000-000000090000}"/>
    <cellStyle name="Comma 4 2 2 4 4 2" xfId="4604" xr:uid="{00000000-0005-0000-0000-000001090000}"/>
    <cellStyle name="Comma 4 2 2 4 4 2 2" xfId="8822" xr:uid="{00000000-0005-0000-0000-000002090000}"/>
    <cellStyle name="Comma 4 2 2 4 4 3" xfId="6677" xr:uid="{00000000-0005-0000-0000-000003090000}"/>
    <cellStyle name="Comma 4 2 2 4 5" xfId="2788" xr:uid="{00000000-0005-0000-0000-000004090000}"/>
    <cellStyle name="Comma 4 2 2 4 5 2" xfId="5017" xr:uid="{00000000-0005-0000-0000-000005090000}"/>
    <cellStyle name="Comma 4 2 2 4 5 2 2" xfId="9235" xr:uid="{00000000-0005-0000-0000-000006090000}"/>
    <cellStyle name="Comma 4 2 2 4 5 3" xfId="7090" xr:uid="{00000000-0005-0000-0000-000007090000}"/>
    <cellStyle name="Comma 4 2 2 4 6" xfId="3223" xr:uid="{00000000-0005-0000-0000-000008090000}"/>
    <cellStyle name="Comma 4 2 2 4 6 2" xfId="7503" xr:uid="{00000000-0005-0000-0000-000009090000}"/>
    <cellStyle name="Comma 4 2 2 4 7" xfId="3210" xr:uid="{00000000-0005-0000-0000-00000A090000}"/>
    <cellStyle name="Comma 4 2 2 4 8" xfId="3601" xr:uid="{00000000-0005-0000-0000-00000B090000}"/>
    <cellStyle name="Comma 4 2 2 4 8 2" xfId="7820" xr:uid="{00000000-0005-0000-0000-00000C090000}"/>
    <cellStyle name="Comma 4 2 2 4 9" xfId="5437" xr:uid="{00000000-0005-0000-0000-00000D090000}"/>
    <cellStyle name="Comma 4 2 2 5" xfId="135" xr:uid="{00000000-0005-0000-0000-00000E090000}"/>
    <cellStyle name="Comma 4 2 2 5 10" xfId="1134" xr:uid="{00000000-0005-0000-0000-00000F090000}"/>
    <cellStyle name="Comma 4 2 2 5 2" xfId="681" xr:uid="{00000000-0005-0000-0000-000010090000}"/>
    <cellStyle name="Comma 4 2 2 5 2 2" xfId="3779" xr:uid="{00000000-0005-0000-0000-000011090000}"/>
    <cellStyle name="Comma 4 2 2 5 2 2 2" xfId="7997" xr:uid="{00000000-0005-0000-0000-000012090000}"/>
    <cellStyle name="Comma 4 2 2 5 2 3" xfId="5852" xr:uid="{00000000-0005-0000-0000-000013090000}"/>
    <cellStyle name="Comma 4 2 2 5 2 4" xfId="1548" xr:uid="{00000000-0005-0000-0000-000014090000}"/>
    <cellStyle name="Comma 4 2 2 5 3" xfId="1963" xr:uid="{00000000-0005-0000-0000-000015090000}"/>
    <cellStyle name="Comma 4 2 2 5 3 2" xfId="4192" xr:uid="{00000000-0005-0000-0000-000016090000}"/>
    <cellStyle name="Comma 4 2 2 5 3 2 2" xfId="8410" xr:uid="{00000000-0005-0000-0000-000017090000}"/>
    <cellStyle name="Comma 4 2 2 5 3 3" xfId="6265" xr:uid="{00000000-0005-0000-0000-000018090000}"/>
    <cellStyle name="Comma 4 2 2 5 4" xfId="2376" xr:uid="{00000000-0005-0000-0000-000019090000}"/>
    <cellStyle name="Comma 4 2 2 5 4 2" xfId="4605" xr:uid="{00000000-0005-0000-0000-00001A090000}"/>
    <cellStyle name="Comma 4 2 2 5 4 2 2" xfId="8823" xr:uid="{00000000-0005-0000-0000-00001B090000}"/>
    <cellStyle name="Comma 4 2 2 5 4 3" xfId="6678" xr:uid="{00000000-0005-0000-0000-00001C090000}"/>
    <cellStyle name="Comma 4 2 2 5 5" xfId="2789" xr:uid="{00000000-0005-0000-0000-00001D090000}"/>
    <cellStyle name="Comma 4 2 2 5 5 2" xfId="5018" xr:uid="{00000000-0005-0000-0000-00001E090000}"/>
    <cellStyle name="Comma 4 2 2 5 5 2 2" xfId="9236" xr:uid="{00000000-0005-0000-0000-00001F090000}"/>
    <cellStyle name="Comma 4 2 2 5 5 3" xfId="7091" xr:uid="{00000000-0005-0000-0000-000020090000}"/>
    <cellStyle name="Comma 4 2 2 5 6" xfId="3224" xr:uid="{00000000-0005-0000-0000-000021090000}"/>
    <cellStyle name="Comma 4 2 2 5 6 2" xfId="7504" xr:uid="{00000000-0005-0000-0000-000022090000}"/>
    <cellStyle name="Comma 4 2 2 5 7" xfId="3209" xr:uid="{00000000-0005-0000-0000-000023090000}"/>
    <cellStyle name="Comma 4 2 2 5 8" xfId="3602" xr:uid="{00000000-0005-0000-0000-000024090000}"/>
    <cellStyle name="Comma 4 2 2 5 8 2" xfId="7821" xr:uid="{00000000-0005-0000-0000-000025090000}"/>
    <cellStyle name="Comma 4 2 2 5 9" xfId="5438" xr:uid="{00000000-0005-0000-0000-000026090000}"/>
    <cellStyle name="Comma 4 2 3" xfId="136" xr:uid="{00000000-0005-0000-0000-000027090000}"/>
    <cellStyle name="Comma 4 2 3 10" xfId="3603" xr:uid="{00000000-0005-0000-0000-000028090000}"/>
    <cellStyle name="Comma 4 2 3 10 2" xfId="7822" xr:uid="{00000000-0005-0000-0000-000029090000}"/>
    <cellStyle name="Comma 4 2 3 11" xfId="5439" xr:uid="{00000000-0005-0000-0000-00002A090000}"/>
    <cellStyle name="Comma 4 2 3 12" xfId="1135" xr:uid="{00000000-0005-0000-0000-00002B090000}"/>
    <cellStyle name="Comma 4 2 3 2" xfId="137" xr:uid="{00000000-0005-0000-0000-00002C090000}"/>
    <cellStyle name="Comma 4 2 3 2 10" xfId="5440" xr:uid="{00000000-0005-0000-0000-00002D090000}"/>
    <cellStyle name="Comma 4 2 3 2 11" xfId="1136" xr:uid="{00000000-0005-0000-0000-00002E090000}"/>
    <cellStyle name="Comma 4 2 3 2 2" xfId="138" xr:uid="{00000000-0005-0000-0000-00002F090000}"/>
    <cellStyle name="Comma 4 2 3 2 2 10" xfId="1137" xr:uid="{00000000-0005-0000-0000-000030090000}"/>
    <cellStyle name="Comma 4 2 3 2 2 2" xfId="684" xr:uid="{00000000-0005-0000-0000-000031090000}"/>
    <cellStyle name="Comma 4 2 3 2 2 2 2" xfId="3782" xr:uid="{00000000-0005-0000-0000-000032090000}"/>
    <cellStyle name="Comma 4 2 3 2 2 2 2 2" xfId="8000" xr:uid="{00000000-0005-0000-0000-000033090000}"/>
    <cellStyle name="Comma 4 2 3 2 2 2 3" xfId="5855" xr:uid="{00000000-0005-0000-0000-000034090000}"/>
    <cellStyle name="Comma 4 2 3 2 2 2 4" xfId="1551" xr:uid="{00000000-0005-0000-0000-000035090000}"/>
    <cellStyle name="Comma 4 2 3 2 2 3" xfId="1966" xr:uid="{00000000-0005-0000-0000-000036090000}"/>
    <cellStyle name="Comma 4 2 3 2 2 3 2" xfId="4195" xr:uid="{00000000-0005-0000-0000-000037090000}"/>
    <cellStyle name="Comma 4 2 3 2 2 3 2 2" xfId="8413" xr:uid="{00000000-0005-0000-0000-000038090000}"/>
    <cellStyle name="Comma 4 2 3 2 2 3 3" xfId="6268" xr:uid="{00000000-0005-0000-0000-000039090000}"/>
    <cellStyle name="Comma 4 2 3 2 2 4" xfId="2379" xr:uid="{00000000-0005-0000-0000-00003A090000}"/>
    <cellStyle name="Comma 4 2 3 2 2 4 2" xfId="4608" xr:uid="{00000000-0005-0000-0000-00003B090000}"/>
    <cellStyle name="Comma 4 2 3 2 2 4 2 2" xfId="8826" xr:uid="{00000000-0005-0000-0000-00003C090000}"/>
    <cellStyle name="Comma 4 2 3 2 2 4 3" xfId="6681" xr:uid="{00000000-0005-0000-0000-00003D090000}"/>
    <cellStyle name="Comma 4 2 3 2 2 5" xfId="2792" xr:uid="{00000000-0005-0000-0000-00003E090000}"/>
    <cellStyle name="Comma 4 2 3 2 2 5 2" xfId="5021" xr:uid="{00000000-0005-0000-0000-00003F090000}"/>
    <cellStyle name="Comma 4 2 3 2 2 5 2 2" xfId="9239" xr:uid="{00000000-0005-0000-0000-000040090000}"/>
    <cellStyle name="Comma 4 2 3 2 2 5 3" xfId="7094" xr:uid="{00000000-0005-0000-0000-000041090000}"/>
    <cellStyle name="Comma 4 2 3 2 2 6" xfId="3227" xr:uid="{00000000-0005-0000-0000-000042090000}"/>
    <cellStyle name="Comma 4 2 3 2 2 6 2" xfId="7507" xr:uid="{00000000-0005-0000-0000-000043090000}"/>
    <cellStyle name="Comma 4 2 3 2 2 7" xfId="3206" xr:uid="{00000000-0005-0000-0000-000044090000}"/>
    <cellStyle name="Comma 4 2 3 2 2 8" xfId="3605" xr:uid="{00000000-0005-0000-0000-000045090000}"/>
    <cellStyle name="Comma 4 2 3 2 2 8 2" xfId="7824" xr:uid="{00000000-0005-0000-0000-000046090000}"/>
    <cellStyle name="Comma 4 2 3 2 2 9" xfId="5441" xr:uid="{00000000-0005-0000-0000-000047090000}"/>
    <cellStyle name="Comma 4 2 3 2 3" xfId="683" xr:uid="{00000000-0005-0000-0000-000048090000}"/>
    <cellStyle name="Comma 4 2 3 2 3 2" xfId="3781" xr:uid="{00000000-0005-0000-0000-000049090000}"/>
    <cellStyle name="Comma 4 2 3 2 3 2 2" xfId="7999" xr:uid="{00000000-0005-0000-0000-00004A090000}"/>
    <cellStyle name="Comma 4 2 3 2 3 3" xfId="5854" xr:uid="{00000000-0005-0000-0000-00004B090000}"/>
    <cellStyle name="Comma 4 2 3 2 3 4" xfId="1550" xr:uid="{00000000-0005-0000-0000-00004C090000}"/>
    <cellStyle name="Comma 4 2 3 2 4" xfId="1965" xr:uid="{00000000-0005-0000-0000-00004D090000}"/>
    <cellStyle name="Comma 4 2 3 2 4 2" xfId="4194" xr:uid="{00000000-0005-0000-0000-00004E090000}"/>
    <cellStyle name="Comma 4 2 3 2 4 2 2" xfId="8412" xr:uid="{00000000-0005-0000-0000-00004F090000}"/>
    <cellStyle name="Comma 4 2 3 2 4 3" xfId="6267" xr:uid="{00000000-0005-0000-0000-000050090000}"/>
    <cellStyle name="Comma 4 2 3 2 5" xfId="2378" xr:uid="{00000000-0005-0000-0000-000051090000}"/>
    <cellStyle name="Comma 4 2 3 2 5 2" xfId="4607" xr:uid="{00000000-0005-0000-0000-000052090000}"/>
    <cellStyle name="Comma 4 2 3 2 5 2 2" xfId="8825" xr:uid="{00000000-0005-0000-0000-000053090000}"/>
    <cellStyle name="Comma 4 2 3 2 5 3" xfId="6680" xr:uid="{00000000-0005-0000-0000-000054090000}"/>
    <cellStyle name="Comma 4 2 3 2 6" xfId="2791" xr:uid="{00000000-0005-0000-0000-000055090000}"/>
    <cellStyle name="Comma 4 2 3 2 6 2" xfId="5020" xr:uid="{00000000-0005-0000-0000-000056090000}"/>
    <cellStyle name="Comma 4 2 3 2 6 2 2" xfId="9238" xr:uid="{00000000-0005-0000-0000-000057090000}"/>
    <cellStyle name="Comma 4 2 3 2 6 3" xfId="7093" xr:uid="{00000000-0005-0000-0000-000058090000}"/>
    <cellStyle name="Comma 4 2 3 2 7" xfId="3226" xr:uid="{00000000-0005-0000-0000-000059090000}"/>
    <cellStyle name="Comma 4 2 3 2 7 2" xfId="7506" xr:uid="{00000000-0005-0000-0000-00005A090000}"/>
    <cellStyle name="Comma 4 2 3 2 8" xfId="3207" xr:uid="{00000000-0005-0000-0000-00005B090000}"/>
    <cellStyle name="Comma 4 2 3 2 9" xfId="3604" xr:uid="{00000000-0005-0000-0000-00005C090000}"/>
    <cellStyle name="Comma 4 2 3 2 9 2" xfId="7823" xr:uid="{00000000-0005-0000-0000-00005D090000}"/>
    <cellStyle name="Comma 4 2 3 3" xfId="139" xr:uid="{00000000-0005-0000-0000-00005E090000}"/>
    <cellStyle name="Comma 4 2 3 3 10" xfId="1138" xr:uid="{00000000-0005-0000-0000-00005F090000}"/>
    <cellStyle name="Comma 4 2 3 3 2" xfId="685" xr:uid="{00000000-0005-0000-0000-000060090000}"/>
    <cellStyle name="Comma 4 2 3 3 2 2" xfId="3783" xr:uid="{00000000-0005-0000-0000-000061090000}"/>
    <cellStyle name="Comma 4 2 3 3 2 2 2" xfId="8001" xr:uid="{00000000-0005-0000-0000-000062090000}"/>
    <cellStyle name="Comma 4 2 3 3 2 3" xfId="5856" xr:uid="{00000000-0005-0000-0000-000063090000}"/>
    <cellStyle name="Comma 4 2 3 3 2 4" xfId="1552" xr:uid="{00000000-0005-0000-0000-000064090000}"/>
    <cellStyle name="Comma 4 2 3 3 3" xfId="1967" xr:uid="{00000000-0005-0000-0000-000065090000}"/>
    <cellStyle name="Comma 4 2 3 3 3 2" xfId="4196" xr:uid="{00000000-0005-0000-0000-000066090000}"/>
    <cellStyle name="Comma 4 2 3 3 3 2 2" xfId="8414" xr:uid="{00000000-0005-0000-0000-000067090000}"/>
    <cellStyle name="Comma 4 2 3 3 3 3" xfId="6269" xr:uid="{00000000-0005-0000-0000-000068090000}"/>
    <cellStyle name="Comma 4 2 3 3 4" xfId="2380" xr:uid="{00000000-0005-0000-0000-000069090000}"/>
    <cellStyle name="Comma 4 2 3 3 4 2" xfId="4609" xr:uid="{00000000-0005-0000-0000-00006A090000}"/>
    <cellStyle name="Comma 4 2 3 3 4 2 2" xfId="8827" xr:uid="{00000000-0005-0000-0000-00006B090000}"/>
    <cellStyle name="Comma 4 2 3 3 4 3" xfId="6682" xr:uid="{00000000-0005-0000-0000-00006C090000}"/>
    <cellStyle name="Comma 4 2 3 3 5" xfId="2793" xr:uid="{00000000-0005-0000-0000-00006D090000}"/>
    <cellStyle name="Comma 4 2 3 3 5 2" xfId="5022" xr:uid="{00000000-0005-0000-0000-00006E090000}"/>
    <cellStyle name="Comma 4 2 3 3 5 2 2" xfId="9240" xr:uid="{00000000-0005-0000-0000-00006F090000}"/>
    <cellStyle name="Comma 4 2 3 3 5 3" xfId="7095" xr:uid="{00000000-0005-0000-0000-000070090000}"/>
    <cellStyle name="Comma 4 2 3 3 6" xfId="3228" xr:uid="{00000000-0005-0000-0000-000071090000}"/>
    <cellStyle name="Comma 4 2 3 3 6 2" xfId="7508" xr:uid="{00000000-0005-0000-0000-000072090000}"/>
    <cellStyle name="Comma 4 2 3 3 7" xfId="3205" xr:uid="{00000000-0005-0000-0000-000073090000}"/>
    <cellStyle name="Comma 4 2 3 3 8" xfId="3606" xr:uid="{00000000-0005-0000-0000-000074090000}"/>
    <cellStyle name="Comma 4 2 3 3 8 2" xfId="7825" xr:uid="{00000000-0005-0000-0000-000075090000}"/>
    <cellStyle name="Comma 4 2 3 3 9" xfId="5442" xr:uid="{00000000-0005-0000-0000-000076090000}"/>
    <cellStyle name="Comma 4 2 3 4" xfId="682" xr:uid="{00000000-0005-0000-0000-000077090000}"/>
    <cellStyle name="Comma 4 2 3 4 2" xfId="3780" xr:uid="{00000000-0005-0000-0000-000078090000}"/>
    <cellStyle name="Comma 4 2 3 4 2 2" xfId="7998" xr:uid="{00000000-0005-0000-0000-000079090000}"/>
    <cellStyle name="Comma 4 2 3 4 3" xfId="5853" xr:uid="{00000000-0005-0000-0000-00007A090000}"/>
    <cellStyle name="Comma 4 2 3 4 4" xfId="1549" xr:uid="{00000000-0005-0000-0000-00007B090000}"/>
    <cellStyle name="Comma 4 2 3 5" xfId="1964" xr:uid="{00000000-0005-0000-0000-00007C090000}"/>
    <cellStyle name="Comma 4 2 3 5 2" xfId="4193" xr:uid="{00000000-0005-0000-0000-00007D090000}"/>
    <cellStyle name="Comma 4 2 3 5 2 2" xfId="8411" xr:uid="{00000000-0005-0000-0000-00007E090000}"/>
    <cellStyle name="Comma 4 2 3 5 3" xfId="6266" xr:uid="{00000000-0005-0000-0000-00007F090000}"/>
    <cellStyle name="Comma 4 2 3 6" xfId="2377" xr:uid="{00000000-0005-0000-0000-000080090000}"/>
    <cellStyle name="Comma 4 2 3 6 2" xfId="4606" xr:uid="{00000000-0005-0000-0000-000081090000}"/>
    <cellStyle name="Comma 4 2 3 6 2 2" xfId="8824" xr:uid="{00000000-0005-0000-0000-000082090000}"/>
    <cellStyle name="Comma 4 2 3 6 3" xfId="6679" xr:uid="{00000000-0005-0000-0000-000083090000}"/>
    <cellStyle name="Comma 4 2 3 7" xfId="2790" xr:uid="{00000000-0005-0000-0000-000084090000}"/>
    <cellStyle name="Comma 4 2 3 7 2" xfId="5019" xr:uid="{00000000-0005-0000-0000-000085090000}"/>
    <cellStyle name="Comma 4 2 3 7 2 2" xfId="9237" xr:uid="{00000000-0005-0000-0000-000086090000}"/>
    <cellStyle name="Comma 4 2 3 7 3" xfId="7092" xr:uid="{00000000-0005-0000-0000-000087090000}"/>
    <cellStyle name="Comma 4 2 3 8" xfId="3225" xr:uid="{00000000-0005-0000-0000-000088090000}"/>
    <cellStyle name="Comma 4 2 3 8 2" xfId="7505" xr:uid="{00000000-0005-0000-0000-000089090000}"/>
    <cellStyle name="Comma 4 2 3 9" xfId="3208" xr:uid="{00000000-0005-0000-0000-00008A090000}"/>
    <cellStyle name="Comma 4 2 4" xfId="140" xr:uid="{00000000-0005-0000-0000-00008B090000}"/>
    <cellStyle name="Comma 4 2 4 10" xfId="5443" xr:uid="{00000000-0005-0000-0000-00008C090000}"/>
    <cellStyle name="Comma 4 2 4 11" xfId="1139" xr:uid="{00000000-0005-0000-0000-00008D090000}"/>
    <cellStyle name="Comma 4 2 4 2" xfId="141" xr:uid="{00000000-0005-0000-0000-00008E090000}"/>
    <cellStyle name="Comma 4 2 4 2 10" xfId="1140" xr:uid="{00000000-0005-0000-0000-00008F090000}"/>
    <cellStyle name="Comma 4 2 4 2 2" xfId="687" xr:uid="{00000000-0005-0000-0000-000090090000}"/>
    <cellStyle name="Comma 4 2 4 2 2 2" xfId="3785" xr:uid="{00000000-0005-0000-0000-000091090000}"/>
    <cellStyle name="Comma 4 2 4 2 2 2 2" xfId="8003" xr:uid="{00000000-0005-0000-0000-000092090000}"/>
    <cellStyle name="Comma 4 2 4 2 2 3" xfId="5858" xr:uid="{00000000-0005-0000-0000-000093090000}"/>
    <cellStyle name="Comma 4 2 4 2 2 4" xfId="1554" xr:uid="{00000000-0005-0000-0000-000094090000}"/>
    <cellStyle name="Comma 4 2 4 2 3" xfId="1969" xr:uid="{00000000-0005-0000-0000-000095090000}"/>
    <cellStyle name="Comma 4 2 4 2 3 2" xfId="4198" xr:uid="{00000000-0005-0000-0000-000096090000}"/>
    <cellStyle name="Comma 4 2 4 2 3 2 2" xfId="8416" xr:uid="{00000000-0005-0000-0000-000097090000}"/>
    <cellStyle name="Comma 4 2 4 2 3 3" xfId="6271" xr:uid="{00000000-0005-0000-0000-000098090000}"/>
    <cellStyle name="Comma 4 2 4 2 4" xfId="2382" xr:uid="{00000000-0005-0000-0000-000099090000}"/>
    <cellStyle name="Comma 4 2 4 2 4 2" xfId="4611" xr:uid="{00000000-0005-0000-0000-00009A090000}"/>
    <cellStyle name="Comma 4 2 4 2 4 2 2" xfId="8829" xr:uid="{00000000-0005-0000-0000-00009B090000}"/>
    <cellStyle name="Comma 4 2 4 2 4 3" xfId="6684" xr:uid="{00000000-0005-0000-0000-00009C090000}"/>
    <cellStyle name="Comma 4 2 4 2 5" xfId="2795" xr:uid="{00000000-0005-0000-0000-00009D090000}"/>
    <cellStyle name="Comma 4 2 4 2 5 2" xfId="5024" xr:uid="{00000000-0005-0000-0000-00009E090000}"/>
    <cellStyle name="Comma 4 2 4 2 5 2 2" xfId="9242" xr:uid="{00000000-0005-0000-0000-00009F090000}"/>
    <cellStyle name="Comma 4 2 4 2 5 3" xfId="7097" xr:uid="{00000000-0005-0000-0000-0000A0090000}"/>
    <cellStyle name="Comma 4 2 4 2 6" xfId="3230" xr:uid="{00000000-0005-0000-0000-0000A1090000}"/>
    <cellStyle name="Comma 4 2 4 2 6 2" xfId="7510" xr:uid="{00000000-0005-0000-0000-0000A2090000}"/>
    <cellStyle name="Comma 4 2 4 2 7" xfId="3203" xr:uid="{00000000-0005-0000-0000-0000A3090000}"/>
    <cellStyle name="Comma 4 2 4 2 8" xfId="3608" xr:uid="{00000000-0005-0000-0000-0000A4090000}"/>
    <cellStyle name="Comma 4 2 4 2 8 2" xfId="7827" xr:uid="{00000000-0005-0000-0000-0000A5090000}"/>
    <cellStyle name="Comma 4 2 4 2 9" xfId="5444" xr:uid="{00000000-0005-0000-0000-0000A6090000}"/>
    <cellStyle name="Comma 4 2 4 3" xfId="686" xr:uid="{00000000-0005-0000-0000-0000A7090000}"/>
    <cellStyle name="Comma 4 2 4 3 2" xfId="3784" xr:uid="{00000000-0005-0000-0000-0000A8090000}"/>
    <cellStyle name="Comma 4 2 4 3 2 2" xfId="8002" xr:uid="{00000000-0005-0000-0000-0000A9090000}"/>
    <cellStyle name="Comma 4 2 4 3 3" xfId="5857" xr:uid="{00000000-0005-0000-0000-0000AA090000}"/>
    <cellStyle name="Comma 4 2 4 3 4" xfId="1553" xr:uid="{00000000-0005-0000-0000-0000AB090000}"/>
    <cellStyle name="Comma 4 2 4 4" xfId="1968" xr:uid="{00000000-0005-0000-0000-0000AC090000}"/>
    <cellStyle name="Comma 4 2 4 4 2" xfId="4197" xr:uid="{00000000-0005-0000-0000-0000AD090000}"/>
    <cellStyle name="Comma 4 2 4 4 2 2" xfId="8415" xr:uid="{00000000-0005-0000-0000-0000AE090000}"/>
    <cellStyle name="Comma 4 2 4 4 3" xfId="6270" xr:uid="{00000000-0005-0000-0000-0000AF090000}"/>
    <cellStyle name="Comma 4 2 4 5" xfId="2381" xr:uid="{00000000-0005-0000-0000-0000B0090000}"/>
    <cellStyle name="Comma 4 2 4 5 2" xfId="4610" xr:uid="{00000000-0005-0000-0000-0000B1090000}"/>
    <cellStyle name="Comma 4 2 4 5 2 2" xfId="8828" xr:uid="{00000000-0005-0000-0000-0000B2090000}"/>
    <cellStyle name="Comma 4 2 4 5 3" xfId="6683" xr:uid="{00000000-0005-0000-0000-0000B3090000}"/>
    <cellStyle name="Comma 4 2 4 6" xfId="2794" xr:uid="{00000000-0005-0000-0000-0000B4090000}"/>
    <cellStyle name="Comma 4 2 4 6 2" xfId="5023" xr:uid="{00000000-0005-0000-0000-0000B5090000}"/>
    <cellStyle name="Comma 4 2 4 6 2 2" xfId="9241" xr:uid="{00000000-0005-0000-0000-0000B6090000}"/>
    <cellStyle name="Comma 4 2 4 6 3" xfId="7096" xr:uid="{00000000-0005-0000-0000-0000B7090000}"/>
    <cellStyle name="Comma 4 2 4 7" xfId="3229" xr:uid="{00000000-0005-0000-0000-0000B8090000}"/>
    <cellStyle name="Comma 4 2 4 7 2" xfId="7509" xr:uid="{00000000-0005-0000-0000-0000B9090000}"/>
    <cellStyle name="Comma 4 2 4 8" xfId="3204" xr:uid="{00000000-0005-0000-0000-0000BA090000}"/>
    <cellStyle name="Comma 4 2 4 9" xfId="3607" xr:uid="{00000000-0005-0000-0000-0000BB090000}"/>
    <cellStyle name="Comma 4 2 4 9 2" xfId="7826" xr:uid="{00000000-0005-0000-0000-0000BC090000}"/>
    <cellStyle name="Comma 4 2 5" xfId="142" xr:uid="{00000000-0005-0000-0000-0000BD090000}"/>
    <cellStyle name="Comma 4 2 5 10" xfId="1141" xr:uid="{00000000-0005-0000-0000-0000BE090000}"/>
    <cellStyle name="Comma 4 2 5 2" xfId="688" xr:uid="{00000000-0005-0000-0000-0000BF090000}"/>
    <cellStyle name="Comma 4 2 5 2 2" xfId="3786" xr:uid="{00000000-0005-0000-0000-0000C0090000}"/>
    <cellStyle name="Comma 4 2 5 2 2 2" xfId="8004" xr:uid="{00000000-0005-0000-0000-0000C1090000}"/>
    <cellStyle name="Comma 4 2 5 2 3" xfId="5859" xr:uid="{00000000-0005-0000-0000-0000C2090000}"/>
    <cellStyle name="Comma 4 2 5 2 4" xfId="1555" xr:uid="{00000000-0005-0000-0000-0000C3090000}"/>
    <cellStyle name="Comma 4 2 5 3" xfId="1970" xr:uid="{00000000-0005-0000-0000-0000C4090000}"/>
    <cellStyle name="Comma 4 2 5 3 2" xfId="4199" xr:uid="{00000000-0005-0000-0000-0000C5090000}"/>
    <cellStyle name="Comma 4 2 5 3 2 2" xfId="8417" xr:uid="{00000000-0005-0000-0000-0000C6090000}"/>
    <cellStyle name="Comma 4 2 5 3 3" xfId="6272" xr:uid="{00000000-0005-0000-0000-0000C7090000}"/>
    <cellStyle name="Comma 4 2 5 4" xfId="2383" xr:uid="{00000000-0005-0000-0000-0000C8090000}"/>
    <cellStyle name="Comma 4 2 5 4 2" xfId="4612" xr:uid="{00000000-0005-0000-0000-0000C9090000}"/>
    <cellStyle name="Comma 4 2 5 4 2 2" xfId="8830" xr:uid="{00000000-0005-0000-0000-0000CA090000}"/>
    <cellStyle name="Comma 4 2 5 4 3" xfId="6685" xr:uid="{00000000-0005-0000-0000-0000CB090000}"/>
    <cellStyle name="Comma 4 2 5 5" xfId="2796" xr:uid="{00000000-0005-0000-0000-0000CC090000}"/>
    <cellStyle name="Comma 4 2 5 5 2" xfId="5025" xr:uid="{00000000-0005-0000-0000-0000CD090000}"/>
    <cellStyle name="Comma 4 2 5 5 2 2" xfId="9243" xr:uid="{00000000-0005-0000-0000-0000CE090000}"/>
    <cellStyle name="Comma 4 2 5 5 3" xfId="7098" xr:uid="{00000000-0005-0000-0000-0000CF090000}"/>
    <cellStyle name="Comma 4 2 5 6" xfId="3231" xr:uid="{00000000-0005-0000-0000-0000D0090000}"/>
    <cellStyle name="Comma 4 2 5 6 2" xfId="7511" xr:uid="{00000000-0005-0000-0000-0000D1090000}"/>
    <cellStyle name="Comma 4 2 5 7" xfId="3202" xr:uid="{00000000-0005-0000-0000-0000D2090000}"/>
    <cellStyle name="Comma 4 2 5 8" xfId="3609" xr:uid="{00000000-0005-0000-0000-0000D3090000}"/>
    <cellStyle name="Comma 4 2 5 8 2" xfId="7828" xr:uid="{00000000-0005-0000-0000-0000D4090000}"/>
    <cellStyle name="Comma 4 2 5 9" xfId="5445" xr:uid="{00000000-0005-0000-0000-0000D5090000}"/>
    <cellStyle name="Comma 4 2 6" xfId="143" xr:uid="{00000000-0005-0000-0000-0000D6090000}"/>
    <cellStyle name="Comma 4 2 6 10" xfId="1142" xr:uid="{00000000-0005-0000-0000-0000D7090000}"/>
    <cellStyle name="Comma 4 2 6 2" xfId="689" xr:uid="{00000000-0005-0000-0000-0000D8090000}"/>
    <cellStyle name="Comma 4 2 6 2 2" xfId="3787" xr:uid="{00000000-0005-0000-0000-0000D9090000}"/>
    <cellStyle name="Comma 4 2 6 2 2 2" xfId="8005" xr:uid="{00000000-0005-0000-0000-0000DA090000}"/>
    <cellStyle name="Comma 4 2 6 2 3" xfId="5860" xr:uid="{00000000-0005-0000-0000-0000DB090000}"/>
    <cellStyle name="Comma 4 2 6 2 4" xfId="1556" xr:uid="{00000000-0005-0000-0000-0000DC090000}"/>
    <cellStyle name="Comma 4 2 6 3" xfId="1971" xr:uid="{00000000-0005-0000-0000-0000DD090000}"/>
    <cellStyle name="Comma 4 2 6 3 2" xfId="4200" xr:uid="{00000000-0005-0000-0000-0000DE090000}"/>
    <cellStyle name="Comma 4 2 6 3 2 2" xfId="8418" xr:uid="{00000000-0005-0000-0000-0000DF090000}"/>
    <cellStyle name="Comma 4 2 6 3 3" xfId="6273" xr:uid="{00000000-0005-0000-0000-0000E0090000}"/>
    <cellStyle name="Comma 4 2 6 4" xfId="2384" xr:uid="{00000000-0005-0000-0000-0000E1090000}"/>
    <cellStyle name="Comma 4 2 6 4 2" xfId="4613" xr:uid="{00000000-0005-0000-0000-0000E2090000}"/>
    <cellStyle name="Comma 4 2 6 4 2 2" xfId="8831" xr:uid="{00000000-0005-0000-0000-0000E3090000}"/>
    <cellStyle name="Comma 4 2 6 4 3" xfId="6686" xr:uid="{00000000-0005-0000-0000-0000E4090000}"/>
    <cellStyle name="Comma 4 2 6 5" xfId="2797" xr:uid="{00000000-0005-0000-0000-0000E5090000}"/>
    <cellStyle name="Comma 4 2 6 5 2" xfId="5026" xr:uid="{00000000-0005-0000-0000-0000E6090000}"/>
    <cellStyle name="Comma 4 2 6 5 2 2" xfId="9244" xr:uid="{00000000-0005-0000-0000-0000E7090000}"/>
    <cellStyle name="Comma 4 2 6 5 3" xfId="7099" xr:uid="{00000000-0005-0000-0000-0000E8090000}"/>
    <cellStyle name="Comma 4 2 6 6" xfId="3232" xr:uid="{00000000-0005-0000-0000-0000E9090000}"/>
    <cellStyle name="Comma 4 2 6 6 2" xfId="7512" xr:uid="{00000000-0005-0000-0000-0000EA090000}"/>
    <cellStyle name="Comma 4 2 6 7" xfId="3201" xr:uid="{00000000-0005-0000-0000-0000EB090000}"/>
    <cellStyle name="Comma 4 2 6 8" xfId="3610" xr:uid="{00000000-0005-0000-0000-0000EC090000}"/>
    <cellStyle name="Comma 4 2 6 8 2" xfId="7829" xr:uid="{00000000-0005-0000-0000-0000ED090000}"/>
    <cellStyle name="Comma 4 2 6 9" xfId="5446" xr:uid="{00000000-0005-0000-0000-0000EE090000}"/>
    <cellStyle name="Comma 4 3" xfId="144" xr:uid="{00000000-0005-0000-0000-0000EF090000}"/>
    <cellStyle name="Comma 4 3 2" xfId="145" xr:uid="{00000000-0005-0000-0000-0000F0090000}"/>
    <cellStyle name="Comma 4 3 2 10" xfId="3611" xr:uid="{00000000-0005-0000-0000-0000F1090000}"/>
    <cellStyle name="Comma 4 3 2 10 2" xfId="7830" xr:uid="{00000000-0005-0000-0000-0000F2090000}"/>
    <cellStyle name="Comma 4 3 2 11" xfId="5447" xr:uid="{00000000-0005-0000-0000-0000F3090000}"/>
    <cellStyle name="Comma 4 3 2 12" xfId="1143" xr:uid="{00000000-0005-0000-0000-0000F4090000}"/>
    <cellStyle name="Comma 4 3 2 2" xfId="146" xr:uid="{00000000-0005-0000-0000-0000F5090000}"/>
    <cellStyle name="Comma 4 3 2 2 10" xfId="5448" xr:uid="{00000000-0005-0000-0000-0000F6090000}"/>
    <cellStyle name="Comma 4 3 2 2 11" xfId="1144" xr:uid="{00000000-0005-0000-0000-0000F7090000}"/>
    <cellStyle name="Comma 4 3 2 2 2" xfId="147" xr:uid="{00000000-0005-0000-0000-0000F8090000}"/>
    <cellStyle name="Comma 4 3 2 2 2 10" xfId="1145" xr:uid="{00000000-0005-0000-0000-0000F9090000}"/>
    <cellStyle name="Comma 4 3 2 2 2 2" xfId="692" xr:uid="{00000000-0005-0000-0000-0000FA090000}"/>
    <cellStyle name="Comma 4 3 2 2 2 2 2" xfId="3790" xr:uid="{00000000-0005-0000-0000-0000FB090000}"/>
    <cellStyle name="Comma 4 3 2 2 2 2 2 2" xfId="8008" xr:uid="{00000000-0005-0000-0000-0000FC090000}"/>
    <cellStyle name="Comma 4 3 2 2 2 2 3" xfId="5863" xr:uid="{00000000-0005-0000-0000-0000FD090000}"/>
    <cellStyle name="Comma 4 3 2 2 2 2 4" xfId="1559" xr:uid="{00000000-0005-0000-0000-0000FE090000}"/>
    <cellStyle name="Comma 4 3 2 2 2 3" xfId="1974" xr:uid="{00000000-0005-0000-0000-0000FF090000}"/>
    <cellStyle name="Comma 4 3 2 2 2 3 2" xfId="4203" xr:uid="{00000000-0005-0000-0000-0000000A0000}"/>
    <cellStyle name="Comma 4 3 2 2 2 3 2 2" xfId="8421" xr:uid="{00000000-0005-0000-0000-0000010A0000}"/>
    <cellStyle name="Comma 4 3 2 2 2 3 3" xfId="6276" xr:uid="{00000000-0005-0000-0000-0000020A0000}"/>
    <cellStyle name="Comma 4 3 2 2 2 4" xfId="2387" xr:uid="{00000000-0005-0000-0000-0000030A0000}"/>
    <cellStyle name="Comma 4 3 2 2 2 4 2" xfId="4616" xr:uid="{00000000-0005-0000-0000-0000040A0000}"/>
    <cellStyle name="Comma 4 3 2 2 2 4 2 2" xfId="8834" xr:uid="{00000000-0005-0000-0000-0000050A0000}"/>
    <cellStyle name="Comma 4 3 2 2 2 4 3" xfId="6689" xr:uid="{00000000-0005-0000-0000-0000060A0000}"/>
    <cellStyle name="Comma 4 3 2 2 2 5" xfId="2800" xr:uid="{00000000-0005-0000-0000-0000070A0000}"/>
    <cellStyle name="Comma 4 3 2 2 2 5 2" xfId="5029" xr:uid="{00000000-0005-0000-0000-0000080A0000}"/>
    <cellStyle name="Comma 4 3 2 2 2 5 2 2" xfId="9247" xr:uid="{00000000-0005-0000-0000-0000090A0000}"/>
    <cellStyle name="Comma 4 3 2 2 2 5 3" xfId="7102" xr:uid="{00000000-0005-0000-0000-00000A0A0000}"/>
    <cellStyle name="Comma 4 3 2 2 2 6" xfId="3235" xr:uid="{00000000-0005-0000-0000-00000B0A0000}"/>
    <cellStyle name="Comma 4 3 2 2 2 6 2" xfId="7515" xr:uid="{00000000-0005-0000-0000-00000C0A0000}"/>
    <cellStyle name="Comma 4 3 2 2 2 7" xfId="3198" xr:uid="{00000000-0005-0000-0000-00000D0A0000}"/>
    <cellStyle name="Comma 4 3 2 2 2 8" xfId="3613" xr:uid="{00000000-0005-0000-0000-00000E0A0000}"/>
    <cellStyle name="Comma 4 3 2 2 2 8 2" xfId="7832" xr:uid="{00000000-0005-0000-0000-00000F0A0000}"/>
    <cellStyle name="Comma 4 3 2 2 2 9" xfId="5449" xr:uid="{00000000-0005-0000-0000-0000100A0000}"/>
    <cellStyle name="Comma 4 3 2 2 3" xfId="691" xr:uid="{00000000-0005-0000-0000-0000110A0000}"/>
    <cellStyle name="Comma 4 3 2 2 3 2" xfId="3789" xr:uid="{00000000-0005-0000-0000-0000120A0000}"/>
    <cellStyle name="Comma 4 3 2 2 3 2 2" xfId="8007" xr:uid="{00000000-0005-0000-0000-0000130A0000}"/>
    <cellStyle name="Comma 4 3 2 2 3 3" xfId="5862" xr:uid="{00000000-0005-0000-0000-0000140A0000}"/>
    <cellStyle name="Comma 4 3 2 2 3 4" xfId="1558" xr:uid="{00000000-0005-0000-0000-0000150A0000}"/>
    <cellStyle name="Comma 4 3 2 2 4" xfId="1973" xr:uid="{00000000-0005-0000-0000-0000160A0000}"/>
    <cellStyle name="Comma 4 3 2 2 4 2" xfId="4202" xr:uid="{00000000-0005-0000-0000-0000170A0000}"/>
    <cellStyle name="Comma 4 3 2 2 4 2 2" xfId="8420" xr:uid="{00000000-0005-0000-0000-0000180A0000}"/>
    <cellStyle name="Comma 4 3 2 2 4 3" xfId="6275" xr:uid="{00000000-0005-0000-0000-0000190A0000}"/>
    <cellStyle name="Comma 4 3 2 2 5" xfId="2386" xr:uid="{00000000-0005-0000-0000-00001A0A0000}"/>
    <cellStyle name="Comma 4 3 2 2 5 2" xfId="4615" xr:uid="{00000000-0005-0000-0000-00001B0A0000}"/>
    <cellStyle name="Comma 4 3 2 2 5 2 2" xfId="8833" xr:uid="{00000000-0005-0000-0000-00001C0A0000}"/>
    <cellStyle name="Comma 4 3 2 2 5 3" xfId="6688" xr:uid="{00000000-0005-0000-0000-00001D0A0000}"/>
    <cellStyle name="Comma 4 3 2 2 6" xfId="2799" xr:uid="{00000000-0005-0000-0000-00001E0A0000}"/>
    <cellStyle name="Comma 4 3 2 2 6 2" xfId="5028" xr:uid="{00000000-0005-0000-0000-00001F0A0000}"/>
    <cellStyle name="Comma 4 3 2 2 6 2 2" xfId="9246" xr:uid="{00000000-0005-0000-0000-0000200A0000}"/>
    <cellStyle name="Comma 4 3 2 2 6 3" xfId="7101" xr:uid="{00000000-0005-0000-0000-0000210A0000}"/>
    <cellStyle name="Comma 4 3 2 2 7" xfId="3234" xr:uid="{00000000-0005-0000-0000-0000220A0000}"/>
    <cellStyle name="Comma 4 3 2 2 7 2" xfId="7514" xr:uid="{00000000-0005-0000-0000-0000230A0000}"/>
    <cellStyle name="Comma 4 3 2 2 8" xfId="3199" xr:uid="{00000000-0005-0000-0000-0000240A0000}"/>
    <cellStyle name="Comma 4 3 2 2 9" xfId="3612" xr:uid="{00000000-0005-0000-0000-0000250A0000}"/>
    <cellStyle name="Comma 4 3 2 2 9 2" xfId="7831" xr:uid="{00000000-0005-0000-0000-0000260A0000}"/>
    <cellStyle name="Comma 4 3 2 3" xfId="148" xr:uid="{00000000-0005-0000-0000-0000270A0000}"/>
    <cellStyle name="Comma 4 3 2 3 10" xfId="1146" xr:uid="{00000000-0005-0000-0000-0000280A0000}"/>
    <cellStyle name="Comma 4 3 2 3 2" xfId="693" xr:uid="{00000000-0005-0000-0000-0000290A0000}"/>
    <cellStyle name="Comma 4 3 2 3 2 2" xfId="3791" xr:uid="{00000000-0005-0000-0000-00002A0A0000}"/>
    <cellStyle name="Comma 4 3 2 3 2 2 2" xfId="8009" xr:uid="{00000000-0005-0000-0000-00002B0A0000}"/>
    <cellStyle name="Comma 4 3 2 3 2 3" xfId="5864" xr:uid="{00000000-0005-0000-0000-00002C0A0000}"/>
    <cellStyle name="Comma 4 3 2 3 2 4" xfId="1560" xr:uid="{00000000-0005-0000-0000-00002D0A0000}"/>
    <cellStyle name="Comma 4 3 2 3 3" xfId="1975" xr:uid="{00000000-0005-0000-0000-00002E0A0000}"/>
    <cellStyle name="Comma 4 3 2 3 3 2" xfId="4204" xr:uid="{00000000-0005-0000-0000-00002F0A0000}"/>
    <cellStyle name="Comma 4 3 2 3 3 2 2" xfId="8422" xr:uid="{00000000-0005-0000-0000-0000300A0000}"/>
    <cellStyle name="Comma 4 3 2 3 3 3" xfId="6277" xr:uid="{00000000-0005-0000-0000-0000310A0000}"/>
    <cellStyle name="Comma 4 3 2 3 4" xfId="2388" xr:uid="{00000000-0005-0000-0000-0000320A0000}"/>
    <cellStyle name="Comma 4 3 2 3 4 2" xfId="4617" xr:uid="{00000000-0005-0000-0000-0000330A0000}"/>
    <cellStyle name="Comma 4 3 2 3 4 2 2" xfId="8835" xr:uid="{00000000-0005-0000-0000-0000340A0000}"/>
    <cellStyle name="Comma 4 3 2 3 4 3" xfId="6690" xr:uid="{00000000-0005-0000-0000-0000350A0000}"/>
    <cellStyle name="Comma 4 3 2 3 5" xfId="2801" xr:uid="{00000000-0005-0000-0000-0000360A0000}"/>
    <cellStyle name="Comma 4 3 2 3 5 2" xfId="5030" xr:uid="{00000000-0005-0000-0000-0000370A0000}"/>
    <cellStyle name="Comma 4 3 2 3 5 2 2" xfId="9248" xr:uid="{00000000-0005-0000-0000-0000380A0000}"/>
    <cellStyle name="Comma 4 3 2 3 5 3" xfId="7103" xr:uid="{00000000-0005-0000-0000-0000390A0000}"/>
    <cellStyle name="Comma 4 3 2 3 6" xfId="3236" xr:uid="{00000000-0005-0000-0000-00003A0A0000}"/>
    <cellStyle name="Comma 4 3 2 3 6 2" xfId="7516" xr:uid="{00000000-0005-0000-0000-00003B0A0000}"/>
    <cellStyle name="Comma 4 3 2 3 7" xfId="3197" xr:uid="{00000000-0005-0000-0000-00003C0A0000}"/>
    <cellStyle name="Comma 4 3 2 3 8" xfId="3614" xr:uid="{00000000-0005-0000-0000-00003D0A0000}"/>
    <cellStyle name="Comma 4 3 2 3 8 2" xfId="7833" xr:uid="{00000000-0005-0000-0000-00003E0A0000}"/>
    <cellStyle name="Comma 4 3 2 3 9" xfId="5450" xr:uid="{00000000-0005-0000-0000-00003F0A0000}"/>
    <cellStyle name="Comma 4 3 2 4" xfId="690" xr:uid="{00000000-0005-0000-0000-0000400A0000}"/>
    <cellStyle name="Comma 4 3 2 4 2" xfId="3788" xr:uid="{00000000-0005-0000-0000-0000410A0000}"/>
    <cellStyle name="Comma 4 3 2 4 2 2" xfId="8006" xr:uid="{00000000-0005-0000-0000-0000420A0000}"/>
    <cellStyle name="Comma 4 3 2 4 3" xfId="5861" xr:uid="{00000000-0005-0000-0000-0000430A0000}"/>
    <cellStyle name="Comma 4 3 2 4 4" xfId="1557" xr:uid="{00000000-0005-0000-0000-0000440A0000}"/>
    <cellStyle name="Comma 4 3 2 5" xfId="1972" xr:uid="{00000000-0005-0000-0000-0000450A0000}"/>
    <cellStyle name="Comma 4 3 2 5 2" xfId="4201" xr:uid="{00000000-0005-0000-0000-0000460A0000}"/>
    <cellStyle name="Comma 4 3 2 5 2 2" xfId="8419" xr:uid="{00000000-0005-0000-0000-0000470A0000}"/>
    <cellStyle name="Comma 4 3 2 5 3" xfId="6274" xr:uid="{00000000-0005-0000-0000-0000480A0000}"/>
    <cellStyle name="Comma 4 3 2 6" xfId="2385" xr:uid="{00000000-0005-0000-0000-0000490A0000}"/>
    <cellStyle name="Comma 4 3 2 6 2" xfId="4614" xr:uid="{00000000-0005-0000-0000-00004A0A0000}"/>
    <cellStyle name="Comma 4 3 2 6 2 2" xfId="8832" xr:uid="{00000000-0005-0000-0000-00004B0A0000}"/>
    <cellStyle name="Comma 4 3 2 6 3" xfId="6687" xr:uid="{00000000-0005-0000-0000-00004C0A0000}"/>
    <cellStyle name="Comma 4 3 2 7" xfId="2798" xr:uid="{00000000-0005-0000-0000-00004D0A0000}"/>
    <cellStyle name="Comma 4 3 2 7 2" xfId="5027" xr:uid="{00000000-0005-0000-0000-00004E0A0000}"/>
    <cellStyle name="Comma 4 3 2 7 2 2" xfId="9245" xr:uid="{00000000-0005-0000-0000-00004F0A0000}"/>
    <cellStyle name="Comma 4 3 2 7 3" xfId="7100" xr:uid="{00000000-0005-0000-0000-0000500A0000}"/>
    <cellStyle name="Comma 4 3 2 8" xfId="3233" xr:uid="{00000000-0005-0000-0000-0000510A0000}"/>
    <cellStyle name="Comma 4 3 2 8 2" xfId="7513" xr:uid="{00000000-0005-0000-0000-0000520A0000}"/>
    <cellStyle name="Comma 4 3 2 9" xfId="3200" xr:uid="{00000000-0005-0000-0000-0000530A0000}"/>
    <cellStyle name="Comma 4 3 3" xfId="149" xr:uid="{00000000-0005-0000-0000-0000540A0000}"/>
    <cellStyle name="Comma 4 3 3 10" xfId="5451" xr:uid="{00000000-0005-0000-0000-0000550A0000}"/>
    <cellStyle name="Comma 4 3 3 11" xfId="1147" xr:uid="{00000000-0005-0000-0000-0000560A0000}"/>
    <cellStyle name="Comma 4 3 3 2" xfId="150" xr:uid="{00000000-0005-0000-0000-0000570A0000}"/>
    <cellStyle name="Comma 4 3 3 2 10" xfId="1148" xr:uid="{00000000-0005-0000-0000-0000580A0000}"/>
    <cellStyle name="Comma 4 3 3 2 2" xfId="695" xr:uid="{00000000-0005-0000-0000-0000590A0000}"/>
    <cellStyle name="Comma 4 3 3 2 2 2" xfId="3793" xr:uid="{00000000-0005-0000-0000-00005A0A0000}"/>
    <cellStyle name="Comma 4 3 3 2 2 2 2" xfId="8011" xr:uid="{00000000-0005-0000-0000-00005B0A0000}"/>
    <cellStyle name="Comma 4 3 3 2 2 3" xfId="5866" xr:uid="{00000000-0005-0000-0000-00005C0A0000}"/>
    <cellStyle name="Comma 4 3 3 2 2 4" xfId="1562" xr:uid="{00000000-0005-0000-0000-00005D0A0000}"/>
    <cellStyle name="Comma 4 3 3 2 3" xfId="1977" xr:uid="{00000000-0005-0000-0000-00005E0A0000}"/>
    <cellStyle name="Comma 4 3 3 2 3 2" xfId="4206" xr:uid="{00000000-0005-0000-0000-00005F0A0000}"/>
    <cellStyle name="Comma 4 3 3 2 3 2 2" xfId="8424" xr:uid="{00000000-0005-0000-0000-0000600A0000}"/>
    <cellStyle name="Comma 4 3 3 2 3 3" xfId="6279" xr:uid="{00000000-0005-0000-0000-0000610A0000}"/>
    <cellStyle name="Comma 4 3 3 2 4" xfId="2390" xr:uid="{00000000-0005-0000-0000-0000620A0000}"/>
    <cellStyle name="Comma 4 3 3 2 4 2" xfId="4619" xr:uid="{00000000-0005-0000-0000-0000630A0000}"/>
    <cellStyle name="Comma 4 3 3 2 4 2 2" xfId="8837" xr:uid="{00000000-0005-0000-0000-0000640A0000}"/>
    <cellStyle name="Comma 4 3 3 2 4 3" xfId="6692" xr:uid="{00000000-0005-0000-0000-0000650A0000}"/>
    <cellStyle name="Comma 4 3 3 2 5" xfId="2803" xr:uid="{00000000-0005-0000-0000-0000660A0000}"/>
    <cellStyle name="Comma 4 3 3 2 5 2" xfId="5032" xr:uid="{00000000-0005-0000-0000-0000670A0000}"/>
    <cellStyle name="Comma 4 3 3 2 5 2 2" xfId="9250" xr:uid="{00000000-0005-0000-0000-0000680A0000}"/>
    <cellStyle name="Comma 4 3 3 2 5 3" xfId="7105" xr:uid="{00000000-0005-0000-0000-0000690A0000}"/>
    <cellStyle name="Comma 4 3 3 2 6" xfId="3238" xr:uid="{00000000-0005-0000-0000-00006A0A0000}"/>
    <cellStyle name="Comma 4 3 3 2 6 2" xfId="7518" xr:uid="{00000000-0005-0000-0000-00006B0A0000}"/>
    <cellStyle name="Comma 4 3 3 2 7" xfId="3195" xr:uid="{00000000-0005-0000-0000-00006C0A0000}"/>
    <cellStyle name="Comma 4 3 3 2 8" xfId="3616" xr:uid="{00000000-0005-0000-0000-00006D0A0000}"/>
    <cellStyle name="Comma 4 3 3 2 8 2" xfId="7835" xr:uid="{00000000-0005-0000-0000-00006E0A0000}"/>
    <cellStyle name="Comma 4 3 3 2 9" xfId="5452" xr:uid="{00000000-0005-0000-0000-00006F0A0000}"/>
    <cellStyle name="Comma 4 3 3 3" xfId="694" xr:uid="{00000000-0005-0000-0000-0000700A0000}"/>
    <cellStyle name="Comma 4 3 3 3 2" xfId="3792" xr:uid="{00000000-0005-0000-0000-0000710A0000}"/>
    <cellStyle name="Comma 4 3 3 3 2 2" xfId="8010" xr:uid="{00000000-0005-0000-0000-0000720A0000}"/>
    <cellStyle name="Comma 4 3 3 3 3" xfId="5865" xr:uid="{00000000-0005-0000-0000-0000730A0000}"/>
    <cellStyle name="Comma 4 3 3 3 4" xfId="1561" xr:uid="{00000000-0005-0000-0000-0000740A0000}"/>
    <cellStyle name="Comma 4 3 3 4" xfId="1976" xr:uid="{00000000-0005-0000-0000-0000750A0000}"/>
    <cellStyle name="Comma 4 3 3 4 2" xfId="4205" xr:uid="{00000000-0005-0000-0000-0000760A0000}"/>
    <cellStyle name="Comma 4 3 3 4 2 2" xfId="8423" xr:uid="{00000000-0005-0000-0000-0000770A0000}"/>
    <cellStyle name="Comma 4 3 3 4 3" xfId="6278" xr:uid="{00000000-0005-0000-0000-0000780A0000}"/>
    <cellStyle name="Comma 4 3 3 5" xfId="2389" xr:uid="{00000000-0005-0000-0000-0000790A0000}"/>
    <cellStyle name="Comma 4 3 3 5 2" xfId="4618" xr:uid="{00000000-0005-0000-0000-00007A0A0000}"/>
    <cellStyle name="Comma 4 3 3 5 2 2" xfId="8836" xr:uid="{00000000-0005-0000-0000-00007B0A0000}"/>
    <cellStyle name="Comma 4 3 3 5 3" xfId="6691" xr:uid="{00000000-0005-0000-0000-00007C0A0000}"/>
    <cellStyle name="Comma 4 3 3 6" xfId="2802" xr:uid="{00000000-0005-0000-0000-00007D0A0000}"/>
    <cellStyle name="Comma 4 3 3 6 2" xfId="5031" xr:uid="{00000000-0005-0000-0000-00007E0A0000}"/>
    <cellStyle name="Comma 4 3 3 6 2 2" xfId="9249" xr:uid="{00000000-0005-0000-0000-00007F0A0000}"/>
    <cellStyle name="Comma 4 3 3 6 3" xfId="7104" xr:uid="{00000000-0005-0000-0000-0000800A0000}"/>
    <cellStyle name="Comma 4 3 3 7" xfId="3237" xr:uid="{00000000-0005-0000-0000-0000810A0000}"/>
    <cellStyle name="Comma 4 3 3 7 2" xfId="7517" xr:uid="{00000000-0005-0000-0000-0000820A0000}"/>
    <cellStyle name="Comma 4 3 3 8" xfId="3196" xr:uid="{00000000-0005-0000-0000-0000830A0000}"/>
    <cellStyle name="Comma 4 3 3 9" xfId="3615" xr:uid="{00000000-0005-0000-0000-0000840A0000}"/>
    <cellStyle name="Comma 4 3 3 9 2" xfId="7834" xr:uid="{00000000-0005-0000-0000-0000850A0000}"/>
    <cellStyle name="Comma 4 3 4" xfId="151" xr:uid="{00000000-0005-0000-0000-0000860A0000}"/>
    <cellStyle name="Comma 4 3 4 10" xfId="1149" xr:uid="{00000000-0005-0000-0000-0000870A0000}"/>
    <cellStyle name="Comma 4 3 4 2" xfId="696" xr:uid="{00000000-0005-0000-0000-0000880A0000}"/>
    <cellStyle name="Comma 4 3 4 2 2" xfId="3794" xr:uid="{00000000-0005-0000-0000-0000890A0000}"/>
    <cellStyle name="Comma 4 3 4 2 2 2" xfId="8012" xr:uid="{00000000-0005-0000-0000-00008A0A0000}"/>
    <cellStyle name="Comma 4 3 4 2 3" xfId="5867" xr:uid="{00000000-0005-0000-0000-00008B0A0000}"/>
    <cellStyle name="Comma 4 3 4 2 4" xfId="1563" xr:uid="{00000000-0005-0000-0000-00008C0A0000}"/>
    <cellStyle name="Comma 4 3 4 3" xfId="1978" xr:uid="{00000000-0005-0000-0000-00008D0A0000}"/>
    <cellStyle name="Comma 4 3 4 3 2" xfId="4207" xr:uid="{00000000-0005-0000-0000-00008E0A0000}"/>
    <cellStyle name="Comma 4 3 4 3 2 2" xfId="8425" xr:uid="{00000000-0005-0000-0000-00008F0A0000}"/>
    <cellStyle name="Comma 4 3 4 3 3" xfId="6280" xr:uid="{00000000-0005-0000-0000-0000900A0000}"/>
    <cellStyle name="Comma 4 3 4 4" xfId="2391" xr:uid="{00000000-0005-0000-0000-0000910A0000}"/>
    <cellStyle name="Comma 4 3 4 4 2" xfId="4620" xr:uid="{00000000-0005-0000-0000-0000920A0000}"/>
    <cellStyle name="Comma 4 3 4 4 2 2" xfId="8838" xr:uid="{00000000-0005-0000-0000-0000930A0000}"/>
    <cellStyle name="Comma 4 3 4 4 3" xfId="6693" xr:uid="{00000000-0005-0000-0000-0000940A0000}"/>
    <cellStyle name="Comma 4 3 4 5" xfId="2804" xr:uid="{00000000-0005-0000-0000-0000950A0000}"/>
    <cellStyle name="Comma 4 3 4 5 2" xfId="5033" xr:uid="{00000000-0005-0000-0000-0000960A0000}"/>
    <cellStyle name="Comma 4 3 4 5 2 2" xfId="9251" xr:uid="{00000000-0005-0000-0000-0000970A0000}"/>
    <cellStyle name="Comma 4 3 4 5 3" xfId="7106" xr:uid="{00000000-0005-0000-0000-0000980A0000}"/>
    <cellStyle name="Comma 4 3 4 6" xfId="3239" xr:uid="{00000000-0005-0000-0000-0000990A0000}"/>
    <cellStyle name="Comma 4 3 4 6 2" xfId="7519" xr:uid="{00000000-0005-0000-0000-00009A0A0000}"/>
    <cellStyle name="Comma 4 3 4 7" xfId="3535" xr:uid="{00000000-0005-0000-0000-00009B0A0000}"/>
    <cellStyle name="Comma 4 3 4 8" xfId="3617" xr:uid="{00000000-0005-0000-0000-00009C0A0000}"/>
    <cellStyle name="Comma 4 3 4 8 2" xfId="7836" xr:uid="{00000000-0005-0000-0000-00009D0A0000}"/>
    <cellStyle name="Comma 4 3 4 9" xfId="5453" xr:uid="{00000000-0005-0000-0000-00009E0A0000}"/>
    <cellStyle name="Comma 4 3 5" xfId="152" xr:uid="{00000000-0005-0000-0000-00009F0A0000}"/>
    <cellStyle name="Comma 4 3 5 10" xfId="1150" xr:uid="{00000000-0005-0000-0000-0000A00A0000}"/>
    <cellStyle name="Comma 4 3 5 2" xfId="697" xr:uid="{00000000-0005-0000-0000-0000A10A0000}"/>
    <cellStyle name="Comma 4 3 5 2 2" xfId="3795" xr:uid="{00000000-0005-0000-0000-0000A20A0000}"/>
    <cellStyle name="Comma 4 3 5 2 2 2" xfId="8013" xr:uid="{00000000-0005-0000-0000-0000A30A0000}"/>
    <cellStyle name="Comma 4 3 5 2 3" xfId="5868" xr:uid="{00000000-0005-0000-0000-0000A40A0000}"/>
    <cellStyle name="Comma 4 3 5 2 4" xfId="1564" xr:uid="{00000000-0005-0000-0000-0000A50A0000}"/>
    <cellStyle name="Comma 4 3 5 3" xfId="1979" xr:uid="{00000000-0005-0000-0000-0000A60A0000}"/>
    <cellStyle name="Comma 4 3 5 3 2" xfId="4208" xr:uid="{00000000-0005-0000-0000-0000A70A0000}"/>
    <cellStyle name="Comma 4 3 5 3 2 2" xfId="8426" xr:uid="{00000000-0005-0000-0000-0000A80A0000}"/>
    <cellStyle name="Comma 4 3 5 3 3" xfId="6281" xr:uid="{00000000-0005-0000-0000-0000A90A0000}"/>
    <cellStyle name="Comma 4 3 5 4" xfId="2392" xr:uid="{00000000-0005-0000-0000-0000AA0A0000}"/>
    <cellStyle name="Comma 4 3 5 4 2" xfId="4621" xr:uid="{00000000-0005-0000-0000-0000AB0A0000}"/>
    <cellStyle name="Comma 4 3 5 4 2 2" xfId="8839" xr:uid="{00000000-0005-0000-0000-0000AC0A0000}"/>
    <cellStyle name="Comma 4 3 5 4 3" xfId="6694" xr:uid="{00000000-0005-0000-0000-0000AD0A0000}"/>
    <cellStyle name="Comma 4 3 5 5" xfId="2805" xr:uid="{00000000-0005-0000-0000-0000AE0A0000}"/>
    <cellStyle name="Comma 4 3 5 5 2" xfId="5034" xr:uid="{00000000-0005-0000-0000-0000AF0A0000}"/>
    <cellStyle name="Comma 4 3 5 5 2 2" xfId="9252" xr:uid="{00000000-0005-0000-0000-0000B00A0000}"/>
    <cellStyle name="Comma 4 3 5 5 3" xfId="7107" xr:uid="{00000000-0005-0000-0000-0000B10A0000}"/>
    <cellStyle name="Comma 4 3 5 6" xfId="3240" xr:uid="{00000000-0005-0000-0000-0000B20A0000}"/>
    <cellStyle name="Comma 4 3 5 6 2" xfId="7520" xr:uid="{00000000-0005-0000-0000-0000B30A0000}"/>
    <cellStyle name="Comma 4 3 5 7" xfId="3536" xr:uid="{00000000-0005-0000-0000-0000B40A0000}"/>
    <cellStyle name="Comma 4 3 5 8" xfId="3618" xr:uid="{00000000-0005-0000-0000-0000B50A0000}"/>
    <cellStyle name="Comma 4 3 5 8 2" xfId="7837" xr:uid="{00000000-0005-0000-0000-0000B60A0000}"/>
    <cellStyle name="Comma 4 3 5 9" xfId="5454" xr:uid="{00000000-0005-0000-0000-0000B70A0000}"/>
    <cellStyle name="Comma 4 4" xfId="153" xr:uid="{00000000-0005-0000-0000-0000B80A0000}"/>
    <cellStyle name="Comma 4 4 10" xfId="3619" xr:uid="{00000000-0005-0000-0000-0000B90A0000}"/>
    <cellStyle name="Comma 4 4 10 2" xfId="7838" xr:uid="{00000000-0005-0000-0000-0000BA0A0000}"/>
    <cellStyle name="Comma 4 4 11" xfId="5455" xr:uid="{00000000-0005-0000-0000-0000BB0A0000}"/>
    <cellStyle name="Comma 4 4 12" xfId="1151" xr:uid="{00000000-0005-0000-0000-0000BC0A0000}"/>
    <cellStyle name="Comma 4 4 2" xfId="154" xr:uid="{00000000-0005-0000-0000-0000BD0A0000}"/>
    <cellStyle name="Comma 4 4 2 10" xfId="5456" xr:uid="{00000000-0005-0000-0000-0000BE0A0000}"/>
    <cellStyle name="Comma 4 4 2 11" xfId="1152" xr:uid="{00000000-0005-0000-0000-0000BF0A0000}"/>
    <cellStyle name="Comma 4 4 2 2" xfId="155" xr:uid="{00000000-0005-0000-0000-0000C00A0000}"/>
    <cellStyle name="Comma 4 4 2 2 10" xfId="1153" xr:uid="{00000000-0005-0000-0000-0000C10A0000}"/>
    <cellStyle name="Comma 4 4 2 2 2" xfId="700" xr:uid="{00000000-0005-0000-0000-0000C20A0000}"/>
    <cellStyle name="Comma 4 4 2 2 2 2" xfId="3798" xr:uid="{00000000-0005-0000-0000-0000C30A0000}"/>
    <cellStyle name="Comma 4 4 2 2 2 2 2" xfId="8016" xr:uid="{00000000-0005-0000-0000-0000C40A0000}"/>
    <cellStyle name="Comma 4 4 2 2 2 3" xfId="5871" xr:uid="{00000000-0005-0000-0000-0000C50A0000}"/>
    <cellStyle name="Comma 4 4 2 2 2 4" xfId="1567" xr:uid="{00000000-0005-0000-0000-0000C60A0000}"/>
    <cellStyle name="Comma 4 4 2 2 3" xfId="1982" xr:uid="{00000000-0005-0000-0000-0000C70A0000}"/>
    <cellStyle name="Comma 4 4 2 2 3 2" xfId="4211" xr:uid="{00000000-0005-0000-0000-0000C80A0000}"/>
    <cellStyle name="Comma 4 4 2 2 3 2 2" xfId="8429" xr:uid="{00000000-0005-0000-0000-0000C90A0000}"/>
    <cellStyle name="Comma 4 4 2 2 3 3" xfId="6284" xr:uid="{00000000-0005-0000-0000-0000CA0A0000}"/>
    <cellStyle name="Comma 4 4 2 2 4" xfId="2395" xr:uid="{00000000-0005-0000-0000-0000CB0A0000}"/>
    <cellStyle name="Comma 4 4 2 2 4 2" xfId="4624" xr:uid="{00000000-0005-0000-0000-0000CC0A0000}"/>
    <cellStyle name="Comma 4 4 2 2 4 2 2" xfId="8842" xr:uid="{00000000-0005-0000-0000-0000CD0A0000}"/>
    <cellStyle name="Comma 4 4 2 2 4 3" xfId="6697" xr:uid="{00000000-0005-0000-0000-0000CE0A0000}"/>
    <cellStyle name="Comma 4 4 2 2 5" xfId="2808" xr:uid="{00000000-0005-0000-0000-0000CF0A0000}"/>
    <cellStyle name="Comma 4 4 2 2 5 2" xfId="5037" xr:uid="{00000000-0005-0000-0000-0000D00A0000}"/>
    <cellStyle name="Comma 4 4 2 2 5 2 2" xfId="9255" xr:uid="{00000000-0005-0000-0000-0000D10A0000}"/>
    <cellStyle name="Comma 4 4 2 2 5 3" xfId="7110" xr:uid="{00000000-0005-0000-0000-0000D20A0000}"/>
    <cellStyle name="Comma 4 4 2 2 6" xfId="3243" xr:uid="{00000000-0005-0000-0000-0000D30A0000}"/>
    <cellStyle name="Comma 4 4 2 2 6 2" xfId="7523" xr:uid="{00000000-0005-0000-0000-0000D40A0000}"/>
    <cellStyle name="Comma 4 4 2 2 7" xfId="3539" xr:uid="{00000000-0005-0000-0000-0000D50A0000}"/>
    <cellStyle name="Comma 4 4 2 2 8" xfId="3621" xr:uid="{00000000-0005-0000-0000-0000D60A0000}"/>
    <cellStyle name="Comma 4 4 2 2 8 2" xfId="7840" xr:uid="{00000000-0005-0000-0000-0000D70A0000}"/>
    <cellStyle name="Comma 4 4 2 2 9" xfId="5457" xr:uid="{00000000-0005-0000-0000-0000D80A0000}"/>
    <cellStyle name="Comma 4 4 2 3" xfId="699" xr:uid="{00000000-0005-0000-0000-0000D90A0000}"/>
    <cellStyle name="Comma 4 4 2 3 2" xfId="3797" xr:uid="{00000000-0005-0000-0000-0000DA0A0000}"/>
    <cellStyle name="Comma 4 4 2 3 2 2" xfId="8015" xr:uid="{00000000-0005-0000-0000-0000DB0A0000}"/>
    <cellStyle name="Comma 4 4 2 3 3" xfId="5870" xr:uid="{00000000-0005-0000-0000-0000DC0A0000}"/>
    <cellStyle name="Comma 4 4 2 3 4" xfId="1566" xr:uid="{00000000-0005-0000-0000-0000DD0A0000}"/>
    <cellStyle name="Comma 4 4 2 4" xfId="1981" xr:uid="{00000000-0005-0000-0000-0000DE0A0000}"/>
    <cellStyle name="Comma 4 4 2 4 2" xfId="4210" xr:uid="{00000000-0005-0000-0000-0000DF0A0000}"/>
    <cellStyle name="Comma 4 4 2 4 2 2" xfId="8428" xr:uid="{00000000-0005-0000-0000-0000E00A0000}"/>
    <cellStyle name="Comma 4 4 2 4 3" xfId="6283" xr:uid="{00000000-0005-0000-0000-0000E10A0000}"/>
    <cellStyle name="Comma 4 4 2 5" xfId="2394" xr:uid="{00000000-0005-0000-0000-0000E20A0000}"/>
    <cellStyle name="Comma 4 4 2 5 2" xfId="4623" xr:uid="{00000000-0005-0000-0000-0000E30A0000}"/>
    <cellStyle name="Comma 4 4 2 5 2 2" xfId="8841" xr:uid="{00000000-0005-0000-0000-0000E40A0000}"/>
    <cellStyle name="Comma 4 4 2 5 3" xfId="6696" xr:uid="{00000000-0005-0000-0000-0000E50A0000}"/>
    <cellStyle name="Comma 4 4 2 6" xfId="2807" xr:uid="{00000000-0005-0000-0000-0000E60A0000}"/>
    <cellStyle name="Comma 4 4 2 6 2" xfId="5036" xr:uid="{00000000-0005-0000-0000-0000E70A0000}"/>
    <cellStyle name="Comma 4 4 2 6 2 2" xfId="9254" xr:uid="{00000000-0005-0000-0000-0000E80A0000}"/>
    <cellStyle name="Comma 4 4 2 6 3" xfId="7109" xr:uid="{00000000-0005-0000-0000-0000E90A0000}"/>
    <cellStyle name="Comma 4 4 2 7" xfId="3242" xr:uid="{00000000-0005-0000-0000-0000EA0A0000}"/>
    <cellStyle name="Comma 4 4 2 7 2" xfId="7522" xr:uid="{00000000-0005-0000-0000-0000EB0A0000}"/>
    <cellStyle name="Comma 4 4 2 8" xfId="3538" xr:uid="{00000000-0005-0000-0000-0000EC0A0000}"/>
    <cellStyle name="Comma 4 4 2 9" xfId="3620" xr:uid="{00000000-0005-0000-0000-0000ED0A0000}"/>
    <cellStyle name="Comma 4 4 2 9 2" xfId="7839" xr:uid="{00000000-0005-0000-0000-0000EE0A0000}"/>
    <cellStyle name="Comma 4 4 3" xfId="156" xr:uid="{00000000-0005-0000-0000-0000EF0A0000}"/>
    <cellStyle name="Comma 4 4 3 10" xfId="1154" xr:uid="{00000000-0005-0000-0000-0000F00A0000}"/>
    <cellStyle name="Comma 4 4 3 2" xfId="701" xr:uid="{00000000-0005-0000-0000-0000F10A0000}"/>
    <cellStyle name="Comma 4 4 3 2 2" xfId="3799" xr:uid="{00000000-0005-0000-0000-0000F20A0000}"/>
    <cellStyle name="Comma 4 4 3 2 2 2" xfId="8017" xr:uid="{00000000-0005-0000-0000-0000F30A0000}"/>
    <cellStyle name="Comma 4 4 3 2 3" xfId="5872" xr:uid="{00000000-0005-0000-0000-0000F40A0000}"/>
    <cellStyle name="Comma 4 4 3 2 4" xfId="1568" xr:uid="{00000000-0005-0000-0000-0000F50A0000}"/>
    <cellStyle name="Comma 4 4 3 3" xfId="1983" xr:uid="{00000000-0005-0000-0000-0000F60A0000}"/>
    <cellStyle name="Comma 4 4 3 3 2" xfId="4212" xr:uid="{00000000-0005-0000-0000-0000F70A0000}"/>
    <cellStyle name="Comma 4 4 3 3 2 2" xfId="8430" xr:uid="{00000000-0005-0000-0000-0000F80A0000}"/>
    <cellStyle name="Comma 4 4 3 3 3" xfId="6285" xr:uid="{00000000-0005-0000-0000-0000F90A0000}"/>
    <cellStyle name="Comma 4 4 3 4" xfId="2396" xr:uid="{00000000-0005-0000-0000-0000FA0A0000}"/>
    <cellStyle name="Comma 4 4 3 4 2" xfId="4625" xr:uid="{00000000-0005-0000-0000-0000FB0A0000}"/>
    <cellStyle name="Comma 4 4 3 4 2 2" xfId="8843" xr:uid="{00000000-0005-0000-0000-0000FC0A0000}"/>
    <cellStyle name="Comma 4 4 3 4 3" xfId="6698" xr:uid="{00000000-0005-0000-0000-0000FD0A0000}"/>
    <cellStyle name="Comma 4 4 3 5" xfId="2809" xr:uid="{00000000-0005-0000-0000-0000FE0A0000}"/>
    <cellStyle name="Comma 4 4 3 5 2" xfId="5038" xr:uid="{00000000-0005-0000-0000-0000FF0A0000}"/>
    <cellStyle name="Comma 4 4 3 5 2 2" xfId="9256" xr:uid="{00000000-0005-0000-0000-0000000B0000}"/>
    <cellStyle name="Comma 4 4 3 5 3" xfId="7111" xr:uid="{00000000-0005-0000-0000-0000010B0000}"/>
    <cellStyle name="Comma 4 4 3 6" xfId="3244" xr:uid="{00000000-0005-0000-0000-0000020B0000}"/>
    <cellStyle name="Comma 4 4 3 6 2" xfId="7524" xr:uid="{00000000-0005-0000-0000-0000030B0000}"/>
    <cellStyle name="Comma 4 4 3 7" xfId="3540" xr:uid="{00000000-0005-0000-0000-0000040B0000}"/>
    <cellStyle name="Comma 4 4 3 8" xfId="3622" xr:uid="{00000000-0005-0000-0000-0000050B0000}"/>
    <cellStyle name="Comma 4 4 3 8 2" xfId="7841" xr:uid="{00000000-0005-0000-0000-0000060B0000}"/>
    <cellStyle name="Comma 4 4 3 9" xfId="5458" xr:uid="{00000000-0005-0000-0000-0000070B0000}"/>
    <cellStyle name="Comma 4 4 4" xfId="698" xr:uid="{00000000-0005-0000-0000-0000080B0000}"/>
    <cellStyle name="Comma 4 4 4 2" xfId="3796" xr:uid="{00000000-0005-0000-0000-0000090B0000}"/>
    <cellStyle name="Comma 4 4 4 2 2" xfId="8014" xr:uid="{00000000-0005-0000-0000-00000A0B0000}"/>
    <cellStyle name="Comma 4 4 4 3" xfId="5869" xr:uid="{00000000-0005-0000-0000-00000B0B0000}"/>
    <cellStyle name="Comma 4 4 4 4" xfId="1565" xr:uid="{00000000-0005-0000-0000-00000C0B0000}"/>
    <cellStyle name="Comma 4 4 5" xfId="1980" xr:uid="{00000000-0005-0000-0000-00000D0B0000}"/>
    <cellStyle name="Comma 4 4 5 2" xfId="4209" xr:uid="{00000000-0005-0000-0000-00000E0B0000}"/>
    <cellStyle name="Comma 4 4 5 2 2" xfId="8427" xr:uid="{00000000-0005-0000-0000-00000F0B0000}"/>
    <cellStyle name="Comma 4 4 5 3" xfId="6282" xr:uid="{00000000-0005-0000-0000-0000100B0000}"/>
    <cellStyle name="Comma 4 4 6" xfId="2393" xr:uid="{00000000-0005-0000-0000-0000110B0000}"/>
    <cellStyle name="Comma 4 4 6 2" xfId="4622" xr:uid="{00000000-0005-0000-0000-0000120B0000}"/>
    <cellStyle name="Comma 4 4 6 2 2" xfId="8840" xr:uid="{00000000-0005-0000-0000-0000130B0000}"/>
    <cellStyle name="Comma 4 4 6 3" xfId="6695" xr:uid="{00000000-0005-0000-0000-0000140B0000}"/>
    <cellStyle name="Comma 4 4 7" xfId="2806" xr:uid="{00000000-0005-0000-0000-0000150B0000}"/>
    <cellStyle name="Comma 4 4 7 2" xfId="5035" xr:uid="{00000000-0005-0000-0000-0000160B0000}"/>
    <cellStyle name="Comma 4 4 7 2 2" xfId="9253" xr:uid="{00000000-0005-0000-0000-0000170B0000}"/>
    <cellStyle name="Comma 4 4 7 3" xfId="7108" xr:uid="{00000000-0005-0000-0000-0000180B0000}"/>
    <cellStyle name="Comma 4 4 8" xfId="3241" xr:uid="{00000000-0005-0000-0000-0000190B0000}"/>
    <cellStyle name="Comma 4 4 8 2" xfId="7521" xr:uid="{00000000-0005-0000-0000-00001A0B0000}"/>
    <cellStyle name="Comma 4 4 9" xfId="3537" xr:uid="{00000000-0005-0000-0000-00001B0B0000}"/>
    <cellStyle name="Comma 4 5" xfId="157" xr:uid="{00000000-0005-0000-0000-00001C0B0000}"/>
    <cellStyle name="Comma 4 5 10" xfId="5459" xr:uid="{00000000-0005-0000-0000-00001D0B0000}"/>
    <cellStyle name="Comma 4 5 11" xfId="1155" xr:uid="{00000000-0005-0000-0000-00001E0B0000}"/>
    <cellStyle name="Comma 4 5 2" xfId="158" xr:uid="{00000000-0005-0000-0000-00001F0B0000}"/>
    <cellStyle name="Comma 4 5 2 10" xfId="1156" xr:uid="{00000000-0005-0000-0000-0000200B0000}"/>
    <cellStyle name="Comma 4 5 2 2" xfId="703" xr:uid="{00000000-0005-0000-0000-0000210B0000}"/>
    <cellStyle name="Comma 4 5 2 2 2" xfId="3801" xr:uid="{00000000-0005-0000-0000-0000220B0000}"/>
    <cellStyle name="Comma 4 5 2 2 2 2" xfId="8019" xr:uid="{00000000-0005-0000-0000-0000230B0000}"/>
    <cellStyle name="Comma 4 5 2 2 3" xfId="5874" xr:uid="{00000000-0005-0000-0000-0000240B0000}"/>
    <cellStyle name="Comma 4 5 2 2 4" xfId="1570" xr:uid="{00000000-0005-0000-0000-0000250B0000}"/>
    <cellStyle name="Comma 4 5 2 3" xfId="1985" xr:uid="{00000000-0005-0000-0000-0000260B0000}"/>
    <cellStyle name="Comma 4 5 2 3 2" xfId="4214" xr:uid="{00000000-0005-0000-0000-0000270B0000}"/>
    <cellStyle name="Comma 4 5 2 3 2 2" xfId="8432" xr:uid="{00000000-0005-0000-0000-0000280B0000}"/>
    <cellStyle name="Comma 4 5 2 3 3" xfId="6287" xr:uid="{00000000-0005-0000-0000-0000290B0000}"/>
    <cellStyle name="Comma 4 5 2 4" xfId="2398" xr:uid="{00000000-0005-0000-0000-00002A0B0000}"/>
    <cellStyle name="Comma 4 5 2 4 2" xfId="4627" xr:uid="{00000000-0005-0000-0000-00002B0B0000}"/>
    <cellStyle name="Comma 4 5 2 4 2 2" xfId="8845" xr:uid="{00000000-0005-0000-0000-00002C0B0000}"/>
    <cellStyle name="Comma 4 5 2 4 3" xfId="6700" xr:uid="{00000000-0005-0000-0000-00002D0B0000}"/>
    <cellStyle name="Comma 4 5 2 5" xfId="2811" xr:uid="{00000000-0005-0000-0000-00002E0B0000}"/>
    <cellStyle name="Comma 4 5 2 5 2" xfId="5040" xr:uid="{00000000-0005-0000-0000-00002F0B0000}"/>
    <cellStyle name="Comma 4 5 2 5 2 2" xfId="9258" xr:uid="{00000000-0005-0000-0000-0000300B0000}"/>
    <cellStyle name="Comma 4 5 2 5 3" xfId="7113" xr:uid="{00000000-0005-0000-0000-0000310B0000}"/>
    <cellStyle name="Comma 4 5 2 6" xfId="3246" xr:uid="{00000000-0005-0000-0000-0000320B0000}"/>
    <cellStyle name="Comma 4 5 2 6 2" xfId="7526" xr:uid="{00000000-0005-0000-0000-0000330B0000}"/>
    <cellStyle name="Comma 4 5 2 7" xfId="3542" xr:uid="{00000000-0005-0000-0000-0000340B0000}"/>
    <cellStyle name="Comma 4 5 2 8" xfId="3624" xr:uid="{00000000-0005-0000-0000-0000350B0000}"/>
    <cellStyle name="Comma 4 5 2 8 2" xfId="7843" xr:uid="{00000000-0005-0000-0000-0000360B0000}"/>
    <cellStyle name="Comma 4 5 2 9" xfId="5460" xr:uid="{00000000-0005-0000-0000-0000370B0000}"/>
    <cellStyle name="Comma 4 5 3" xfId="702" xr:uid="{00000000-0005-0000-0000-0000380B0000}"/>
    <cellStyle name="Comma 4 5 3 2" xfId="3800" xr:uid="{00000000-0005-0000-0000-0000390B0000}"/>
    <cellStyle name="Comma 4 5 3 2 2" xfId="8018" xr:uid="{00000000-0005-0000-0000-00003A0B0000}"/>
    <cellStyle name="Comma 4 5 3 3" xfId="5873" xr:uid="{00000000-0005-0000-0000-00003B0B0000}"/>
    <cellStyle name="Comma 4 5 3 4" xfId="1569" xr:uid="{00000000-0005-0000-0000-00003C0B0000}"/>
    <cellStyle name="Comma 4 5 4" xfId="1984" xr:uid="{00000000-0005-0000-0000-00003D0B0000}"/>
    <cellStyle name="Comma 4 5 4 2" xfId="4213" xr:uid="{00000000-0005-0000-0000-00003E0B0000}"/>
    <cellStyle name="Comma 4 5 4 2 2" xfId="8431" xr:uid="{00000000-0005-0000-0000-00003F0B0000}"/>
    <cellStyle name="Comma 4 5 4 3" xfId="6286" xr:uid="{00000000-0005-0000-0000-0000400B0000}"/>
    <cellStyle name="Comma 4 5 5" xfId="2397" xr:uid="{00000000-0005-0000-0000-0000410B0000}"/>
    <cellStyle name="Comma 4 5 5 2" xfId="4626" xr:uid="{00000000-0005-0000-0000-0000420B0000}"/>
    <cellStyle name="Comma 4 5 5 2 2" xfId="8844" xr:uid="{00000000-0005-0000-0000-0000430B0000}"/>
    <cellStyle name="Comma 4 5 5 3" xfId="6699" xr:uid="{00000000-0005-0000-0000-0000440B0000}"/>
    <cellStyle name="Comma 4 5 6" xfId="2810" xr:uid="{00000000-0005-0000-0000-0000450B0000}"/>
    <cellStyle name="Comma 4 5 6 2" xfId="5039" xr:uid="{00000000-0005-0000-0000-0000460B0000}"/>
    <cellStyle name="Comma 4 5 6 2 2" xfId="9257" xr:uid="{00000000-0005-0000-0000-0000470B0000}"/>
    <cellStyle name="Comma 4 5 6 3" xfId="7112" xr:uid="{00000000-0005-0000-0000-0000480B0000}"/>
    <cellStyle name="Comma 4 5 7" xfId="3245" xr:uid="{00000000-0005-0000-0000-0000490B0000}"/>
    <cellStyle name="Comma 4 5 7 2" xfId="7525" xr:uid="{00000000-0005-0000-0000-00004A0B0000}"/>
    <cellStyle name="Comma 4 5 8" xfId="3541" xr:uid="{00000000-0005-0000-0000-00004B0B0000}"/>
    <cellStyle name="Comma 4 5 9" xfId="3623" xr:uid="{00000000-0005-0000-0000-00004C0B0000}"/>
    <cellStyle name="Comma 4 5 9 2" xfId="7842" xr:uid="{00000000-0005-0000-0000-00004D0B0000}"/>
    <cellStyle name="Comma 4 6" xfId="159" xr:uid="{00000000-0005-0000-0000-00004E0B0000}"/>
    <cellStyle name="Comma 4 6 10" xfId="1157" xr:uid="{00000000-0005-0000-0000-00004F0B0000}"/>
    <cellStyle name="Comma 4 6 2" xfId="704" xr:uid="{00000000-0005-0000-0000-0000500B0000}"/>
    <cellStyle name="Comma 4 6 2 2" xfId="3802" xr:uid="{00000000-0005-0000-0000-0000510B0000}"/>
    <cellStyle name="Comma 4 6 2 2 2" xfId="8020" xr:uid="{00000000-0005-0000-0000-0000520B0000}"/>
    <cellStyle name="Comma 4 6 2 3" xfId="5875" xr:uid="{00000000-0005-0000-0000-0000530B0000}"/>
    <cellStyle name="Comma 4 6 2 4" xfId="1571" xr:uid="{00000000-0005-0000-0000-0000540B0000}"/>
    <cellStyle name="Comma 4 6 3" xfId="1986" xr:uid="{00000000-0005-0000-0000-0000550B0000}"/>
    <cellStyle name="Comma 4 6 3 2" xfId="4215" xr:uid="{00000000-0005-0000-0000-0000560B0000}"/>
    <cellStyle name="Comma 4 6 3 2 2" xfId="8433" xr:uid="{00000000-0005-0000-0000-0000570B0000}"/>
    <cellStyle name="Comma 4 6 3 3" xfId="6288" xr:uid="{00000000-0005-0000-0000-0000580B0000}"/>
    <cellStyle name="Comma 4 6 4" xfId="2399" xr:uid="{00000000-0005-0000-0000-0000590B0000}"/>
    <cellStyle name="Comma 4 6 4 2" xfId="4628" xr:uid="{00000000-0005-0000-0000-00005A0B0000}"/>
    <cellStyle name="Comma 4 6 4 2 2" xfId="8846" xr:uid="{00000000-0005-0000-0000-00005B0B0000}"/>
    <cellStyle name="Comma 4 6 4 3" xfId="6701" xr:uid="{00000000-0005-0000-0000-00005C0B0000}"/>
    <cellStyle name="Comma 4 6 5" xfId="2812" xr:uid="{00000000-0005-0000-0000-00005D0B0000}"/>
    <cellStyle name="Comma 4 6 5 2" xfId="5041" xr:uid="{00000000-0005-0000-0000-00005E0B0000}"/>
    <cellStyle name="Comma 4 6 5 2 2" xfId="9259" xr:uid="{00000000-0005-0000-0000-00005F0B0000}"/>
    <cellStyle name="Comma 4 6 5 3" xfId="7114" xr:uid="{00000000-0005-0000-0000-0000600B0000}"/>
    <cellStyle name="Comma 4 6 6" xfId="3247" xr:uid="{00000000-0005-0000-0000-0000610B0000}"/>
    <cellStyle name="Comma 4 6 6 2" xfId="7527" xr:uid="{00000000-0005-0000-0000-0000620B0000}"/>
    <cellStyle name="Comma 4 6 7" xfId="3543" xr:uid="{00000000-0005-0000-0000-0000630B0000}"/>
    <cellStyle name="Comma 4 6 8" xfId="3625" xr:uid="{00000000-0005-0000-0000-0000640B0000}"/>
    <cellStyle name="Comma 4 6 8 2" xfId="7844" xr:uid="{00000000-0005-0000-0000-0000650B0000}"/>
    <cellStyle name="Comma 4 6 9" xfId="5461" xr:uid="{00000000-0005-0000-0000-0000660B0000}"/>
    <cellStyle name="Comma 4 7" xfId="160" xr:uid="{00000000-0005-0000-0000-0000670B0000}"/>
    <cellStyle name="Comma 4 7 10" xfId="1158" xr:uid="{00000000-0005-0000-0000-0000680B0000}"/>
    <cellStyle name="Comma 4 7 2" xfId="705" xr:uid="{00000000-0005-0000-0000-0000690B0000}"/>
    <cellStyle name="Comma 4 7 2 2" xfId="3803" xr:uid="{00000000-0005-0000-0000-00006A0B0000}"/>
    <cellStyle name="Comma 4 7 2 2 2" xfId="8021" xr:uid="{00000000-0005-0000-0000-00006B0B0000}"/>
    <cellStyle name="Comma 4 7 2 3" xfId="5876" xr:uid="{00000000-0005-0000-0000-00006C0B0000}"/>
    <cellStyle name="Comma 4 7 2 4" xfId="1572" xr:uid="{00000000-0005-0000-0000-00006D0B0000}"/>
    <cellStyle name="Comma 4 7 3" xfId="1987" xr:uid="{00000000-0005-0000-0000-00006E0B0000}"/>
    <cellStyle name="Comma 4 7 3 2" xfId="4216" xr:uid="{00000000-0005-0000-0000-00006F0B0000}"/>
    <cellStyle name="Comma 4 7 3 2 2" xfId="8434" xr:uid="{00000000-0005-0000-0000-0000700B0000}"/>
    <cellStyle name="Comma 4 7 3 3" xfId="6289" xr:uid="{00000000-0005-0000-0000-0000710B0000}"/>
    <cellStyle name="Comma 4 7 4" xfId="2400" xr:uid="{00000000-0005-0000-0000-0000720B0000}"/>
    <cellStyle name="Comma 4 7 4 2" xfId="4629" xr:uid="{00000000-0005-0000-0000-0000730B0000}"/>
    <cellStyle name="Comma 4 7 4 2 2" xfId="8847" xr:uid="{00000000-0005-0000-0000-0000740B0000}"/>
    <cellStyle name="Comma 4 7 4 3" xfId="6702" xr:uid="{00000000-0005-0000-0000-0000750B0000}"/>
    <cellStyle name="Comma 4 7 5" xfId="2813" xr:uid="{00000000-0005-0000-0000-0000760B0000}"/>
    <cellStyle name="Comma 4 7 5 2" xfId="5042" xr:uid="{00000000-0005-0000-0000-0000770B0000}"/>
    <cellStyle name="Comma 4 7 5 2 2" xfId="9260" xr:uid="{00000000-0005-0000-0000-0000780B0000}"/>
    <cellStyle name="Comma 4 7 5 3" xfId="7115" xr:uid="{00000000-0005-0000-0000-0000790B0000}"/>
    <cellStyle name="Comma 4 7 6" xfId="3248" xr:uid="{00000000-0005-0000-0000-00007A0B0000}"/>
    <cellStyle name="Comma 4 7 6 2" xfId="7528" xr:uid="{00000000-0005-0000-0000-00007B0B0000}"/>
    <cellStyle name="Comma 4 7 7" xfId="3544" xr:uid="{00000000-0005-0000-0000-00007C0B0000}"/>
    <cellStyle name="Comma 4 7 8" xfId="3626" xr:uid="{00000000-0005-0000-0000-00007D0B0000}"/>
    <cellStyle name="Comma 4 7 8 2" xfId="7845" xr:uid="{00000000-0005-0000-0000-00007E0B0000}"/>
    <cellStyle name="Comma 4 7 9" xfId="5462" xr:uid="{00000000-0005-0000-0000-00007F0B0000}"/>
    <cellStyle name="Comma 5" xfId="161" xr:uid="{00000000-0005-0000-0000-0000800B0000}"/>
    <cellStyle name="Comma 5 2" xfId="162" xr:uid="{00000000-0005-0000-0000-0000810B0000}"/>
    <cellStyle name="Comma 5 2 2" xfId="706" xr:uid="{00000000-0005-0000-0000-0000820B0000}"/>
    <cellStyle name="Comma 6" xfId="163" xr:uid="{00000000-0005-0000-0000-0000830B0000}"/>
    <cellStyle name="Comma 7" xfId="576" xr:uid="{00000000-0005-0000-0000-0000840B0000}"/>
    <cellStyle name="Comma 7 2" xfId="5330" xr:uid="{00000000-0005-0000-0000-0000850B0000}"/>
    <cellStyle name="Currency" xfId="164" builtinId="4"/>
    <cellStyle name="Currency 10" xfId="165" xr:uid="{00000000-0005-0000-0000-0000870B0000}"/>
    <cellStyle name="Currency 10 2" xfId="166" xr:uid="{00000000-0005-0000-0000-0000880B0000}"/>
    <cellStyle name="Currency 10 2 2" xfId="708" xr:uid="{00000000-0005-0000-0000-0000890B0000}"/>
    <cellStyle name="Currency 10 3" xfId="167" xr:uid="{00000000-0005-0000-0000-00008A0B0000}"/>
    <cellStyle name="Currency 10 3 2" xfId="709" xr:uid="{00000000-0005-0000-0000-00008B0B0000}"/>
    <cellStyle name="Currency 10 4" xfId="168" xr:uid="{00000000-0005-0000-0000-00008C0B0000}"/>
    <cellStyle name="Currency 10 5" xfId="707" xr:uid="{00000000-0005-0000-0000-00008D0B0000}"/>
    <cellStyle name="Currency 11" xfId="169" xr:uid="{00000000-0005-0000-0000-00008E0B0000}"/>
    <cellStyle name="Currency 11 2" xfId="170" xr:uid="{00000000-0005-0000-0000-00008F0B0000}"/>
    <cellStyle name="Currency 11 2 2" xfId="711" xr:uid="{00000000-0005-0000-0000-0000900B0000}"/>
    <cellStyle name="Currency 11 3" xfId="710" xr:uid="{00000000-0005-0000-0000-0000910B0000}"/>
    <cellStyle name="Currency 12" xfId="171" xr:uid="{00000000-0005-0000-0000-0000920B0000}"/>
    <cellStyle name="Currency 12 2" xfId="712" xr:uid="{00000000-0005-0000-0000-0000930B0000}"/>
    <cellStyle name="Currency 12 3" xfId="1573" xr:uid="{00000000-0005-0000-0000-0000940B0000}"/>
    <cellStyle name="Currency 13" xfId="3545" xr:uid="{00000000-0005-0000-0000-0000950B0000}"/>
    <cellStyle name="Currency 13 2" xfId="5328" xr:uid="{00000000-0005-0000-0000-0000960B0000}"/>
    <cellStyle name="Currency 13 3" xfId="3281" xr:uid="{00000000-0005-0000-0000-0000970B0000}"/>
    <cellStyle name="Currency 14" xfId="5333" xr:uid="{00000000-0005-0000-0000-0000980B0000}"/>
    <cellStyle name="Currency 14 2" xfId="9547" xr:uid="{00000000-0005-0000-0000-0000990B0000}"/>
    <cellStyle name="Currency 14 3" xfId="9550" xr:uid="{00000000-0005-0000-0000-00009A0B0000}"/>
    <cellStyle name="Currency 2" xfId="172" xr:uid="{00000000-0005-0000-0000-00009B0B0000}"/>
    <cellStyle name="Currency 2 2" xfId="173" xr:uid="{00000000-0005-0000-0000-00009C0B0000}"/>
    <cellStyle name="Currency 2 3" xfId="174" xr:uid="{00000000-0005-0000-0000-00009D0B0000}"/>
    <cellStyle name="Currency 2 3 2" xfId="175" xr:uid="{00000000-0005-0000-0000-00009E0B0000}"/>
    <cellStyle name="Currency 2 3 2 2" xfId="714" xr:uid="{00000000-0005-0000-0000-00009F0B0000}"/>
    <cellStyle name="Currency 2 3 3" xfId="176" xr:uid="{00000000-0005-0000-0000-0000A00B0000}"/>
    <cellStyle name="Currency 2 4" xfId="713" xr:uid="{00000000-0005-0000-0000-0000A10B0000}"/>
    <cellStyle name="Currency 3" xfId="177" xr:uid="{00000000-0005-0000-0000-0000A20B0000}"/>
    <cellStyle name="Currency 3 2" xfId="178" xr:uid="{00000000-0005-0000-0000-0000A30B0000}"/>
    <cellStyle name="Currency 3 2 2" xfId="179" xr:uid="{00000000-0005-0000-0000-0000A40B0000}"/>
    <cellStyle name="Currency 3 2 2 10" xfId="3627" xr:uid="{00000000-0005-0000-0000-0000A50B0000}"/>
    <cellStyle name="Currency 3 2 2 10 2" xfId="7846" xr:uid="{00000000-0005-0000-0000-0000A60B0000}"/>
    <cellStyle name="Currency 3 2 2 11" xfId="5463" xr:uid="{00000000-0005-0000-0000-0000A70B0000}"/>
    <cellStyle name="Currency 3 2 2 12" xfId="1159" xr:uid="{00000000-0005-0000-0000-0000A80B0000}"/>
    <cellStyle name="Currency 3 2 2 2" xfId="180" xr:uid="{00000000-0005-0000-0000-0000A90B0000}"/>
    <cellStyle name="Currency 3 2 2 2 10" xfId="5464" xr:uid="{00000000-0005-0000-0000-0000AA0B0000}"/>
    <cellStyle name="Currency 3 2 2 2 11" xfId="1160" xr:uid="{00000000-0005-0000-0000-0000AB0B0000}"/>
    <cellStyle name="Currency 3 2 2 2 2" xfId="181" xr:uid="{00000000-0005-0000-0000-0000AC0B0000}"/>
    <cellStyle name="Currency 3 2 2 2 2 10" xfId="1161" xr:uid="{00000000-0005-0000-0000-0000AD0B0000}"/>
    <cellStyle name="Currency 3 2 2 2 2 2" xfId="717" xr:uid="{00000000-0005-0000-0000-0000AE0B0000}"/>
    <cellStyle name="Currency 3 2 2 2 2 2 2" xfId="3806" xr:uid="{00000000-0005-0000-0000-0000AF0B0000}"/>
    <cellStyle name="Currency 3 2 2 2 2 2 2 2" xfId="8024" xr:uid="{00000000-0005-0000-0000-0000B00B0000}"/>
    <cellStyle name="Currency 3 2 2 2 2 2 3" xfId="5879" xr:uid="{00000000-0005-0000-0000-0000B10B0000}"/>
    <cellStyle name="Currency 3 2 2 2 2 2 4" xfId="1576" xr:uid="{00000000-0005-0000-0000-0000B20B0000}"/>
    <cellStyle name="Currency 3 2 2 2 2 3" xfId="1990" xr:uid="{00000000-0005-0000-0000-0000B30B0000}"/>
    <cellStyle name="Currency 3 2 2 2 2 3 2" xfId="4219" xr:uid="{00000000-0005-0000-0000-0000B40B0000}"/>
    <cellStyle name="Currency 3 2 2 2 2 3 2 2" xfId="8437" xr:uid="{00000000-0005-0000-0000-0000B50B0000}"/>
    <cellStyle name="Currency 3 2 2 2 2 3 3" xfId="6292" xr:uid="{00000000-0005-0000-0000-0000B60B0000}"/>
    <cellStyle name="Currency 3 2 2 2 2 4" xfId="2403" xr:uid="{00000000-0005-0000-0000-0000B70B0000}"/>
    <cellStyle name="Currency 3 2 2 2 2 4 2" xfId="4632" xr:uid="{00000000-0005-0000-0000-0000B80B0000}"/>
    <cellStyle name="Currency 3 2 2 2 2 4 2 2" xfId="8850" xr:uid="{00000000-0005-0000-0000-0000B90B0000}"/>
    <cellStyle name="Currency 3 2 2 2 2 4 3" xfId="6705" xr:uid="{00000000-0005-0000-0000-0000BA0B0000}"/>
    <cellStyle name="Currency 3 2 2 2 2 5" xfId="2816" xr:uid="{00000000-0005-0000-0000-0000BB0B0000}"/>
    <cellStyle name="Currency 3 2 2 2 2 5 2" xfId="5045" xr:uid="{00000000-0005-0000-0000-0000BC0B0000}"/>
    <cellStyle name="Currency 3 2 2 2 2 5 2 2" xfId="9263" xr:uid="{00000000-0005-0000-0000-0000BD0B0000}"/>
    <cellStyle name="Currency 3 2 2 2 2 5 3" xfId="7118" xr:uid="{00000000-0005-0000-0000-0000BE0B0000}"/>
    <cellStyle name="Currency 3 2 2 2 2 6" xfId="3251" xr:uid="{00000000-0005-0000-0000-0000BF0B0000}"/>
    <cellStyle name="Currency 3 2 2 2 2 6 2" xfId="7531" xr:uid="{00000000-0005-0000-0000-0000C00B0000}"/>
    <cellStyle name="Currency 3 2 2 2 2 7" xfId="3548" xr:uid="{00000000-0005-0000-0000-0000C10B0000}"/>
    <cellStyle name="Currency 3 2 2 2 2 8" xfId="3629" xr:uid="{00000000-0005-0000-0000-0000C20B0000}"/>
    <cellStyle name="Currency 3 2 2 2 2 8 2" xfId="7848" xr:uid="{00000000-0005-0000-0000-0000C30B0000}"/>
    <cellStyle name="Currency 3 2 2 2 2 9" xfId="5465" xr:uid="{00000000-0005-0000-0000-0000C40B0000}"/>
    <cellStyle name="Currency 3 2 2 2 3" xfId="716" xr:uid="{00000000-0005-0000-0000-0000C50B0000}"/>
    <cellStyle name="Currency 3 2 2 2 3 2" xfId="3805" xr:uid="{00000000-0005-0000-0000-0000C60B0000}"/>
    <cellStyle name="Currency 3 2 2 2 3 2 2" xfId="8023" xr:uid="{00000000-0005-0000-0000-0000C70B0000}"/>
    <cellStyle name="Currency 3 2 2 2 3 3" xfId="5878" xr:uid="{00000000-0005-0000-0000-0000C80B0000}"/>
    <cellStyle name="Currency 3 2 2 2 3 4" xfId="1575" xr:uid="{00000000-0005-0000-0000-0000C90B0000}"/>
    <cellStyle name="Currency 3 2 2 2 4" xfId="1989" xr:uid="{00000000-0005-0000-0000-0000CA0B0000}"/>
    <cellStyle name="Currency 3 2 2 2 4 2" xfId="4218" xr:uid="{00000000-0005-0000-0000-0000CB0B0000}"/>
    <cellStyle name="Currency 3 2 2 2 4 2 2" xfId="8436" xr:uid="{00000000-0005-0000-0000-0000CC0B0000}"/>
    <cellStyle name="Currency 3 2 2 2 4 3" xfId="6291" xr:uid="{00000000-0005-0000-0000-0000CD0B0000}"/>
    <cellStyle name="Currency 3 2 2 2 5" xfId="2402" xr:uid="{00000000-0005-0000-0000-0000CE0B0000}"/>
    <cellStyle name="Currency 3 2 2 2 5 2" xfId="4631" xr:uid="{00000000-0005-0000-0000-0000CF0B0000}"/>
    <cellStyle name="Currency 3 2 2 2 5 2 2" xfId="8849" xr:uid="{00000000-0005-0000-0000-0000D00B0000}"/>
    <cellStyle name="Currency 3 2 2 2 5 3" xfId="6704" xr:uid="{00000000-0005-0000-0000-0000D10B0000}"/>
    <cellStyle name="Currency 3 2 2 2 6" xfId="2815" xr:uid="{00000000-0005-0000-0000-0000D20B0000}"/>
    <cellStyle name="Currency 3 2 2 2 6 2" xfId="5044" xr:uid="{00000000-0005-0000-0000-0000D30B0000}"/>
    <cellStyle name="Currency 3 2 2 2 6 2 2" xfId="9262" xr:uid="{00000000-0005-0000-0000-0000D40B0000}"/>
    <cellStyle name="Currency 3 2 2 2 6 3" xfId="7117" xr:uid="{00000000-0005-0000-0000-0000D50B0000}"/>
    <cellStyle name="Currency 3 2 2 2 7" xfId="3250" xr:uid="{00000000-0005-0000-0000-0000D60B0000}"/>
    <cellStyle name="Currency 3 2 2 2 7 2" xfId="7530" xr:uid="{00000000-0005-0000-0000-0000D70B0000}"/>
    <cellStyle name="Currency 3 2 2 2 8" xfId="3547" xr:uid="{00000000-0005-0000-0000-0000D80B0000}"/>
    <cellStyle name="Currency 3 2 2 2 9" xfId="3628" xr:uid="{00000000-0005-0000-0000-0000D90B0000}"/>
    <cellStyle name="Currency 3 2 2 2 9 2" xfId="7847" xr:uid="{00000000-0005-0000-0000-0000DA0B0000}"/>
    <cellStyle name="Currency 3 2 2 3" xfId="182" xr:uid="{00000000-0005-0000-0000-0000DB0B0000}"/>
    <cellStyle name="Currency 3 2 2 3 10" xfId="1162" xr:uid="{00000000-0005-0000-0000-0000DC0B0000}"/>
    <cellStyle name="Currency 3 2 2 3 2" xfId="718" xr:uid="{00000000-0005-0000-0000-0000DD0B0000}"/>
    <cellStyle name="Currency 3 2 2 3 2 2" xfId="3807" xr:uid="{00000000-0005-0000-0000-0000DE0B0000}"/>
    <cellStyle name="Currency 3 2 2 3 2 2 2" xfId="8025" xr:uid="{00000000-0005-0000-0000-0000DF0B0000}"/>
    <cellStyle name="Currency 3 2 2 3 2 3" xfId="5880" xr:uid="{00000000-0005-0000-0000-0000E00B0000}"/>
    <cellStyle name="Currency 3 2 2 3 2 4" xfId="1577" xr:uid="{00000000-0005-0000-0000-0000E10B0000}"/>
    <cellStyle name="Currency 3 2 2 3 3" xfId="1991" xr:uid="{00000000-0005-0000-0000-0000E20B0000}"/>
    <cellStyle name="Currency 3 2 2 3 3 2" xfId="4220" xr:uid="{00000000-0005-0000-0000-0000E30B0000}"/>
    <cellStyle name="Currency 3 2 2 3 3 2 2" xfId="8438" xr:uid="{00000000-0005-0000-0000-0000E40B0000}"/>
    <cellStyle name="Currency 3 2 2 3 3 3" xfId="6293" xr:uid="{00000000-0005-0000-0000-0000E50B0000}"/>
    <cellStyle name="Currency 3 2 2 3 4" xfId="2404" xr:uid="{00000000-0005-0000-0000-0000E60B0000}"/>
    <cellStyle name="Currency 3 2 2 3 4 2" xfId="4633" xr:uid="{00000000-0005-0000-0000-0000E70B0000}"/>
    <cellStyle name="Currency 3 2 2 3 4 2 2" xfId="8851" xr:uid="{00000000-0005-0000-0000-0000E80B0000}"/>
    <cellStyle name="Currency 3 2 2 3 4 3" xfId="6706" xr:uid="{00000000-0005-0000-0000-0000E90B0000}"/>
    <cellStyle name="Currency 3 2 2 3 5" xfId="2817" xr:uid="{00000000-0005-0000-0000-0000EA0B0000}"/>
    <cellStyle name="Currency 3 2 2 3 5 2" xfId="5046" xr:uid="{00000000-0005-0000-0000-0000EB0B0000}"/>
    <cellStyle name="Currency 3 2 2 3 5 2 2" xfId="9264" xr:uid="{00000000-0005-0000-0000-0000EC0B0000}"/>
    <cellStyle name="Currency 3 2 2 3 5 3" xfId="7119" xr:uid="{00000000-0005-0000-0000-0000ED0B0000}"/>
    <cellStyle name="Currency 3 2 2 3 6" xfId="3252" xr:uid="{00000000-0005-0000-0000-0000EE0B0000}"/>
    <cellStyle name="Currency 3 2 2 3 6 2" xfId="7532" xr:uid="{00000000-0005-0000-0000-0000EF0B0000}"/>
    <cellStyle name="Currency 3 2 2 3 7" xfId="3549" xr:uid="{00000000-0005-0000-0000-0000F00B0000}"/>
    <cellStyle name="Currency 3 2 2 3 8" xfId="3630" xr:uid="{00000000-0005-0000-0000-0000F10B0000}"/>
    <cellStyle name="Currency 3 2 2 3 8 2" xfId="7849" xr:uid="{00000000-0005-0000-0000-0000F20B0000}"/>
    <cellStyle name="Currency 3 2 2 3 9" xfId="5466" xr:uid="{00000000-0005-0000-0000-0000F30B0000}"/>
    <cellStyle name="Currency 3 2 2 4" xfId="715" xr:uid="{00000000-0005-0000-0000-0000F40B0000}"/>
    <cellStyle name="Currency 3 2 2 4 2" xfId="3804" xr:uid="{00000000-0005-0000-0000-0000F50B0000}"/>
    <cellStyle name="Currency 3 2 2 4 2 2" xfId="8022" xr:uid="{00000000-0005-0000-0000-0000F60B0000}"/>
    <cellStyle name="Currency 3 2 2 4 3" xfId="5877" xr:uid="{00000000-0005-0000-0000-0000F70B0000}"/>
    <cellStyle name="Currency 3 2 2 4 4" xfId="1574" xr:uid="{00000000-0005-0000-0000-0000F80B0000}"/>
    <cellStyle name="Currency 3 2 2 5" xfId="1988" xr:uid="{00000000-0005-0000-0000-0000F90B0000}"/>
    <cellStyle name="Currency 3 2 2 5 2" xfId="4217" xr:uid="{00000000-0005-0000-0000-0000FA0B0000}"/>
    <cellStyle name="Currency 3 2 2 5 2 2" xfId="8435" xr:uid="{00000000-0005-0000-0000-0000FB0B0000}"/>
    <cellStyle name="Currency 3 2 2 5 3" xfId="6290" xr:uid="{00000000-0005-0000-0000-0000FC0B0000}"/>
    <cellStyle name="Currency 3 2 2 6" xfId="2401" xr:uid="{00000000-0005-0000-0000-0000FD0B0000}"/>
    <cellStyle name="Currency 3 2 2 6 2" xfId="4630" xr:uid="{00000000-0005-0000-0000-0000FE0B0000}"/>
    <cellStyle name="Currency 3 2 2 6 2 2" xfId="8848" xr:uid="{00000000-0005-0000-0000-0000FF0B0000}"/>
    <cellStyle name="Currency 3 2 2 6 3" xfId="6703" xr:uid="{00000000-0005-0000-0000-0000000C0000}"/>
    <cellStyle name="Currency 3 2 2 7" xfId="2814" xr:uid="{00000000-0005-0000-0000-0000010C0000}"/>
    <cellStyle name="Currency 3 2 2 7 2" xfId="5043" xr:uid="{00000000-0005-0000-0000-0000020C0000}"/>
    <cellStyle name="Currency 3 2 2 7 2 2" xfId="9261" xr:uid="{00000000-0005-0000-0000-0000030C0000}"/>
    <cellStyle name="Currency 3 2 2 7 3" xfId="7116" xr:uid="{00000000-0005-0000-0000-0000040C0000}"/>
    <cellStyle name="Currency 3 2 2 8" xfId="3249" xr:uid="{00000000-0005-0000-0000-0000050C0000}"/>
    <cellStyle name="Currency 3 2 2 8 2" xfId="7529" xr:uid="{00000000-0005-0000-0000-0000060C0000}"/>
    <cellStyle name="Currency 3 2 2 9" xfId="3546" xr:uid="{00000000-0005-0000-0000-0000070C0000}"/>
    <cellStyle name="Currency 3 2 3" xfId="183" xr:uid="{00000000-0005-0000-0000-0000080C0000}"/>
    <cellStyle name="Currency 3 2 3 10" xfId="5467" xr:uid="{00000000-0005-0000-0000-0000090C0000}"/>
    <cellStyle name="Currency 3 2 3 11" xfId="1163" xr:uid="{00000000-0005-0000-0000-00000A0C0000}"/>
    <cellStyle name="Currency 3 2 3 2" xfId="184" xr:uid="{00000000-0005-0000-0000-00000B0C0000}"/>
    <cellStyle name="Currency 3 2 3 2 10" xfId="1164" xr:uid="{00000000-0005-0000-0000-00000C0C0000}"/>
    <cellStyle name="Currency 3 2 3 2 2" xfId="720" xr:uid="{00000000-0005-0000-0000-00000D0C0000}"/>
    <cellStyle name="Currency 3 2 3 2 2 2" xfId="3809" xr:uid="{00000000-0005-0000-0000-00000E0C0000}"/>
    <cellStyle name="Currency 3 2 3 2 2 2 2" xfId="8027" xr:uid="{00000000-0005-0000-0000-00000F0C0000}"/>
    <cellStyle name="Currency 3 2 3 2 2 3" xfId="5882" xr:uid="{00000000-0005-0000-0000-0000100C0000}"/>
    <cellStyle name="Currency 3 2 3 2 2 4" xfId="1579" xr:uid="{00000000-0005-0000-0000-0000110C0000}"/>
    <cellStyle name="Currency 3 2 3 2 3" xfId="1993" xr:uid="{00000000-0005-0000-0000-0000120C0000}"/>
    <cellStyle name="Currency 3 2 3 2 3 2" xfId="4222" xr:uid="{00000000-0005-0000-0000-0000130C0000}"/>
    <cellStyle name="Currency 3 2 3 2 3 2 2" xfId="8440" xr:uid="{00000000-0005-0000-0000-0000140C0000}"/>
    <cellStyle name="Currency 3 2 3 2 3 3" xfId="6295" xr:uid="{00000000-0005-0000-0000-0000150C0000}"/>
    <cellStyle name="Currency 3 2 3 2 4" xfId="2406" xr:uid="{00000000-0005-0000-0000-0000160C0000}"/>
    <cellStyle name="Currency 3 2 3 2 4 2" xfId="4635" xr:uid="{00000000-0005-0000-0000-0000170C0000}"/>
    <cellStyle name="Currency 3 2 3 2 4 2 2" xfId="8853" xr:uid="{00000000-0005-0000-0000-0000180C0000}"/>
    <cellStyle name="Currency 3 2 3 2 4 3" xfId="6708" xr:uid="{00000000-0005-0000-0000-0000190C0000}"/>
    <cellStyle name="Currency 3 2 3 2 5" xfId="2819" xr:uid="{00000000-0005-0000-0000-00001A0C0000}"/>
    <cellStyle name="Currency 3 2 3 2 5 2" xfId="5048" xr:uid="{00000000-0005-0000-0000-00001B0C0000}"/>
    <cellStyle name="Currency 3 2 3 2 5 2 2" xfId="9266" xr:uid="{00000000-0005-0000-0000-00001C0C0000}"/>
    <cellStyle name="Currency 3 2 3 2 5 3" xfId="7121" xr:uid="{00000000-0005-0000-0000-00001D0C0000}"/>
    <cellStyle name="Currency 3 2 3 2 6" xfId="3254" xr:uid="{00000000-0005-0000-0000-00001E0C0000}"/>
    <cellStyle name="Currency 3 2 3 2 6 2" xfId="7534" xr:uid="{00000000-0005-0000-0000-00001F0C0000}"/>
    <cellStyle name="Currency 3 2 3 2 7" xfId="3551" xr:uid="{00000000-0005-0000-0000-0000200C0000}"/>
    <cellStyle name="Currency 3 2 3 2 8" xfId="3632" xr:uid="{00000000-0005-0000-0000-0000210C0000}"/>
    <cellStyle name="Currency 3 2 3 2 8 2" xfId="7851" xr:uid="{00000000-0005-0000-0000-0000220C0000}"/>
    <cellStyle name="Currency 3 2 3 2 9" xfId="5468" xr:uid="{00000000-0005-0000-0000-0000230C0000}"/>
    <cellStyle name="Currency 3 2 3 3" xfId="719" xr:uid="{00000000-0005-0000-0000-0000240C0000}"/>
    <cellStyle name="Currency 3 2 3 3 2" xfId="3808" xr:uid="{00000000-0005-0000-0000-0000250C0000}"/>
    <cellStyle name="Currency 3 2 3 3 2 2" xfId="8026" xr:uid="{00000000-0005-0000-0000-0000260C0000}"/>
    <cellStyle name="Currency 3 2 3 3 3" xfId="5881" xr:uid="{00000000-0005-0000-0000-0000270C0000}"/>
    <cellStyle name="Currency 3 2 3 3 4" xfId="1578" xr:uid="{00000000-0005-0000-0000-0000280C0000}"/>
    <cellStyle name="Currency 3 2 3 4" xfId="1992" xr:uid="{00000000-0005-0000-0000-0000290C0000}"/>
    <cellStyle name="Currency 3 2 3 4 2" xfId="4221" xr:uid="{00000000-0005-0000-0000-00002A0C0000}"/>
    <cellStyle name="Currency 3 2 3 4 2 2" xfId="8439" xr:uid="{00000000-0005-0000-0000-00002B0C0000}"/>
    <cellStyle name="Currency 3 2 3 4 3" xfId="6294" xr:uid="{00000000-0005-0000-0000-00002C0C0000}"/>
    <cellStyle name="Currency 3 2 3 5" xfId="2405" xr:uid="{00000000-0005-0000-0000-00002D0C0000}"/>
    <cellStyle name="Currency 3 2 3 5 2" xfId="4634" xr:uid="{00000000-0005-0000-0000-00002E0C0000}"/>
    <cellStyle name="Currency 3 2 3 5 2 2" xfId="8852" xr:uid="{00000000-0005-0000-0000-00002F0C0000}"/>
    <cellStyle name="Currency 3 2 3 5 3" xfId="6707" xr:uid="{00000000-0005-0000-0000-0000300C0000}"/>
    <cellStyle name="Currency 3 2 3 6" xfId="2818" xr:uid="{00000000-0005-0000-0000-0000310C0000}"/>
    <cellStyle name="Currency 3 2 3 6 2" xfId="5047" xr:uid="{00000000-0005-0000-0000-0000320C0000}"/>
    <cellStyle name="Currency 3 2 3 6 2 2" xfId="9265" xr:uid="{00000000-0005-0000-0000-0000330C0000}"/>
    <cellStyle name="Currency 3 2 3 6 3" xfId="7120" xr:uid="{00000000-0005-0000-0000-0000340C0000}"/>
    <cellStyle name="Currency 3 2 3 7" xfId="3253" xr:uid="{00000000-0005-0000-0000-0000350C0000}"/>
    <cellStyle name="Currency 3 2 3 7 2" xfId="7533" xr:uid="{00000000-0005-0000-0000-0000360C0000}"/>
    <cellStyle name="Currency 3 2 3 8" xfId="3550" xr:uid="{00000000-0005-0000-0000-0000370C0000}"/>
    <cellStyle name="Currency 3 2 3 9" xfId="3631" xr:uid="{00000000-0005-0000-0000-0000380C0000}"/>
    <cellStyle name="Currency 3 2 3 9 2" xfId="7850" xr:uid="{00000000-0005-0000-0000-0000390C0000}"/>
    <cellStyle name="Currency 3 2 4" xfId="185" xr:uid="{00000000-0005-0000-0000-00003A0C0000}"/>
    <cellStyle name="Currency 3 2 4 10" xfId="1165" xr:uid="{00000000-0005-0000-0000-00003B0C0000}"/>
    <cellStyle name="Currency 3 2 4 2" xfId="721" xr:uid="{00000000-0005-0000-0000-00003C0C0000}"/>
    <cellStyle name="Currency 3 2 4 2 2" xfId="3810" xr:uid="{00000000-0005-0000-0000-00003D0C0000}"/>
    <cellStyle name="Currency 3 2 4 2 2 2" xfId="8028" xr:uid="{00000000-0005-0000-0000-00003E0C0000}"/>
    <cellStyle name="Currency 3 2 4 2 3" xfId="5883" xr:uid="{00000000-0005-0000-0000-00003F0C0000}"/>
    <cellStyle name="Currency 3 2 4 2 4" xfId="1580" xr:uid="{00000000-0005-0000-0000-0000400C0000}"/>
    <cellStyle name="Currency 3 2 4 3" xfId="1994" xr:uid="{00000000-0005-0000-0000-0000410C0000}"/>
    <cellStyle name="Currency 3 2 4 3 2" xfId="4223" xr:uid="{00000000-0005-0000-0000-0000420C0000}"/>
    <cellStyle name="Currency 3 2 4 3 2 2" xfId="8441" xr:uid="{00000000-0005-0000-0000-0000430C0000}"/>
    <cellStyle name="Currency 3 2 4 3 3" xfId="6296" xr:uid="{00000000-0005-0000-0000-0000440C0000}"/>
    <cellStyle name="Currency 3 2 4 4" xfId="2407" xr:uid="{00000000-0005-0000-0000-0000450C0000}"/>
    <cellStyle name="Currency 3 2 4 4 2" xfId="4636" xr:uid="{00000000-0005-0000-0000-0000460C0000}"/>
    <cellStyle name="Currency 3 2 4 4 2 2" xfId="8854" xr:uid="{00000000-0005-0000-0000-0000470C0000}"/>
    <cellStyle name="Currency 3 2 4 4 3" xfId="6709" xr:uid="{00000000-0005-0000-0000-0000480C0000}"/>
    <cellStyle name="Currency 3 2 4 5" xfId="2820" xr:uid="{00000000-0005-0000-0000-0000490C0000}"/>
    <cellStyle name="Currency 3 2 4 5 2" xfId="5049" xr:uid="{00000000-0005-0000-0000-00004A0C0000}"/>
    <cellStyle name="Currency 3 2 4 5 2 2" xfId="9267" xr:uid="{00000000-0005-0000-0000-00004B0C0000}"/>
    <cellStyle name="Currency 3 2 4 5 3" xfId="7122" xr:uid="{00000000-0005-0000-0000-00004C0C0000}"/>
    <cellStyle name="Currency 3 2 4 6" xfId="3255" xr:uid="{00000000-0005-0000-0000-00004D0C0000}"/>
    <cellStyle name="Currency 3 2 4 6 2" xfId="7535" xr:uid="{00000000-0005-0000-0000-00004E0C0000}"/>
    <cellStyle name="Currency 3 2 4 7" xfId="3552" xr:uid="{00000000-0005-0000-0000-00004F0C0000}"/>
    <cellStyle name="Currency 3 2 4 8" xfId="3633" xr:uid="{00000000-0005-0000-0000-0000500C0000}"/>
    <cellStyle name="Currency 3 2 4 8 2" xfId="7852" xr:uid="{00000000-0005-0000-0000-0000510C0000}"/>
    <cellStyle name="Currency 3 2 4 9" xfId="5469" xr:uid="{00000000-0005-0000-0000-0000520C0000}"/>
    <cellStyle name="Currency 3 2 5" xfId="186" xr:uid="{00000000-0005-0000-0000-0000530C0000}"/>
    <cellStyle name="Currency 3 2 5 10" xfId="1166" xr:uid="{00000000-0005-0000-0000-0000540C0000}"/>
    <cellStyle name="Currency 3 2 5 2" xfId="722" xr:uid="{00000000-0005-0000-0000-0000550C0000}"/>
    <cellStyle name="Currency 3 2 5 2 2" xfId="3811" xr:uid="{00000000-0005-0000-0000-0000560C0000}"/>
    <cellStyle name="Currency 3 2 5 2 2 2" xfId="8029" xr:uid="{00000000-0005-0000-0000-0000570C0000}"/>
    <cellStyle name="Currency 3 2 5 2 3" xfId="5884" xr:uid="{00000000-0005-0000-0000-0000580C0000}"/>
    <cellStyle name="Currency 3 2 5 2 4" xfId="1581" xr:uid="{00000000-0005-0000-0000-0000590C0000}"/>
    <cellStyle name="Currency 3 2 5 3" xfId="1995" xr:uid="{00000000-0005-0000-0000-00005A0C0000}"/>
    <cellStyle name="Currency 3 2 5 3 2" xfId="4224" xr:uid="{00000000-0005-0000-0000-00005B0C0000}"/>
    <cellStyle name="Currency 3 2 5 3 2 2" xfId="8442" xr:uid="{00000000-0005-0000-0000-00005C0C0000}"/>
    <cellStyle name="Currency 3 2 5 3 3" xfId="6297" xr:uid="{00000000-0005-0000-0000-00005D0C0000}"/>
    <cellStyle name="Currency 3 2 5 4" xfId="2408" xr:uid="{00000000-0005-0000-0000-00005E0C0000}"/>
    <cellStyle name="Currency 3 2 5 4 2" xfId="4637" xr:uid="{00000000-0005-0000-0000-00005F0C0000}"/>
    <cellStyle name="Currency 3 2 5 4 2 2" xfId="8855" xr:uid="{00000000-0005-0000-0000-0000600C0000}"/>
    <cellStyle name="Currency 3 2 5 4 3" xfId="6710" xr:uid="{00000000-0005-0000-0000-0000610C0000}"/>
    <cellStyle name="Currency 3 2 5 5" xfId="2821" xr:uid="{00000000-0005-0000-0000-0000620C0000}"/>
    <cellStyle name="Currency 3 2 5 5 2" xfId="5050" xr:uid="{00000000-0005-0000-0000-0000630C0000}"/>
    <cellStyle name="Currency 3 2 5 5 2 2" xfId="9268" xr:uid="{00000000-0005-0000-0000-0000640C0000}"/>
    <cellStyle name="Currency 3 2 5 5 3" xfId="7123" xr:uid="{00000000-0005-0000-0000-0000650C0000}"/>
    <cellStyle name="Currency 3 2 5 6" xfId="3256" xr:uid="{00000000-0005-0000-0000-0000660C0000}"/>
    <cellStyle name="Currency 3 2 5 6 2" xfId="7536" xr:uid="{00000000-0005-0000-0000-0000670C0000}"/>
    <cellStyle name="Currency 3 2 5 7" xfId="3553" xr:uid="{00000000-0005-0000-0000-0000680C0000}"/>
    <cellStyle name="Currency 3 2 5 8" xfId="3634" xr:uid="{00000000-0005-0000-0000-0000690C0000}"/>
    <cellStyle name="Currency 3 2 5 8 2" xfId="7853" xr:uid="{00000000-0005-0000-0000-00006A0C0000}"/>
    <cellStyle name="Currency 3 2 5 9" xfId="5470" xr:uid="{00000000-0005-0000-0000-00006B0C0000}"/>
    <cellStyle name="Currency 3 3" xfId="187" xr:uid="{00000000-0005-0000-0000-00006C0C0000}"/>
    <cellStyle name="Currency 4" xfId="188" xr:uid="{00000000-0005-0000-0000-00006D0C0000}"/>
    <cellStyle name="Currency 4 2" xfId="189" xr:uid="{00000000-0005-0000-0000-00006E0C0000}"/>
    <cellStyle name="Currency 4 2 2" xfId="724" xr:uid="{00000000-0005-0000-0000-00006F0C0000}"/>
    <cellStyle name="Currency 4 3" xfId="190" xr:uid="{00000000-0005-0000-0000-0000700C0000}"/>
    <cellStyle name="Currency 4 3 2" xfId="191" xr:uid="{00000000-0005-0000-0000-0000710C0000}"/>
    <cellStyle name="Currency 4 3 2 2" xfId="726" xr:uid="{00000000-0005-0000-0000-0000720C0000}"/>
    <cellStyle name="Currency 4 3 3" xfId="725" xr:uid="{00000000-0005-0000-0000-0000730C0000}"/>
    <cellStyle name="Currency 4 4" xfId="192" xr:uid="{00000000-0005-0000-0000-0000740C0000}"/>
    <cellStyle name="Currency 4 5" xfId="193" xr:uid="{00000000-0005-0000-0000-0000750C0000}"/>
    <cellStyle name="Currency 4 5 2" xfId="727" xr:uid="{00000000-0005-0000-0000-0000760C0000}"/>
    <cellStyle name="Currency 4 6" xfId="723" xr:uid="{00000000-0005-0000-0000-0000770C0000}"/>
    <cellStyle name="Currency 5" xfId="194" xr:uid="{00000000-0005-0000-0000-0000780C0000}"/>
    <cellStyle name="Currency 5 2" xfId="195" xr:uid="{00000000-0005-0000-0000-0000790C0000}"/>
    <cellStyle name="Currency 5 2 2" xfId="196" xr:uid="{00000000-0005-0000-0000-00007A0C0000}"/>
    <cellStyle name="Currency 5 2 2 2" xfId="197" xr:uid="{00000000-0005-0000-0000-00007B0C0000}"/>
    <cellStyle name="Currency 5 2 2 2 10" xfId="3635" xr:uid="{00000000-0005-0000-0000-00007C0C0000}"/>
    <cellStyle name="Currency 5 2 2 2 10 2" xfId="7854" xr:uid="{00000000-0005-0000-0000-00007D0C0000}"/>
    <cellStyle name="Currency 5 2 2 2 11" xfId="5471" xr:uid="{00000000-0005-0000-0000-00007E0C0000}"/>
    <cellStyle name="Currency 5 2 2 2 12" xfId="1167" xr:uid="{00000000-0005-0000-0000-00007F0C0000}"/>
    <cellStyle name="Currency 5 2 2 2 2" xfId="198" xr:uid="{00000000-0005-0000-0000-0000800C0000}"/>
    <cellStyle name="Currency 5 2 2 2 2 10" xfId="5472" xr:uid="{00000000-0005-0000-0000-0000810C0000}"/>
    <cellStyle name="Currency 5 2 2 2 2 11" xfId="1168" xr:uid="{00000000-0005-0000-0000-0000820C0000}"/>
    <cellStyle name="Currency 5 2 2 2 2 2" xfId="199" xr:uid="{00000000-0005-0000-0000-0000830C0000}"/>
    <cellStyle name="Currency 5 2 2 2 2 2 10" xfId="1169" xr:uid="{00000000-0005-0000-0000-0000840C0000}"/>
    <cellStyle name="Currency 5 2 2 2 2 2 2" xfId="732" xr:uid="{00000000-0005-0000-0000-0000850C0000}"/>
    <cellStyle name="Currency 5 2 2 2 2 2 2 2" xfId="3814" xr:uid="{00000000-0005-0000-0000-0000860C0000}"/>
    <cellStyle name="Currency 5 2 2 2 2 2 2 2 2" xfId="8032" xr:uid="{00000000-0005-0000-0000-0000870C0000}"/>
    <cellStyle name="Currency 5 2 2 2 2 2 2 3" xfId="5887" xr:uid="{00000000-0005-0000-0000-0000880C0000}"/>
    <cellStyle name="Currency 5 2 2 2 2 2 2 4" xfId="1584" xr:uid="{00000000-0005-0000-0000-0000890C0000}"/>
    <cellStyle name="Currency 5 2 2 2 2 2 3" xfId="1998" xr:uid="{00000000-0005-0000-0000-00008A0C0000}"/>
    <cellStyle name="Currency 5 2 2 2 2 2 3 2" xfId="4227" xr:uid="{00000000-0005-0000-0000-00008B0C0000}"/>
    <cellStyle name="Currency 5 2 2 2 2 2 3 2 2" xfId="8445" xr:uid="{00000000-0005-0000-0000-00008C0C0000}"/>
    <cellStyle name="Currency 5 2 2 2 2 2 3 3" xfId="6300" xr:uid="{00000000-0005-0000-0000-00008D0C0000}"/>
    <cellStyle name="Currency 5 2 2 2 2 2 4" xfId="2411" xr:uid="{00000000-0005-0000-0000-00008E0C0000}"/>
    <cellStyle name="Currency 5 2 2 2 2 2 4 2" xfId="4640" xr:uid="{00000000-0005-0000-0000-00008F0C0000}"/>
    <cellStyle name="Currency 5 2 2 2 2 2 4 2 2" xfId="8858" xr:uid="{00000000-0005-0000-0000-0000900C0000}"/>
    <cellStyle name="Currency 5 2 2 2 2 2 4 3" xfId="6713" xr:uid="{00000000-0005-0000-0000-0000910C0000}"/>
    <cellStyle name="Currency 5 2 2 2 2 2 5" xfId="2824" xr:uid="{00000000-0005-0000-0000-0000920C0000}"/>
    <cellStyle name="Currency 5 2 2 2 2 2 5 2" xfId="5053" xr:uid="{00000000-0005-0000-0000-0000930C0000}"/>
    <cellStyle name="Currency 5 2 2 2 2 2 5 2 2" xfId="9271" xr:uid="{00000000-0005-0000-0000-0000940C0000}"/>
    <cellStyle name="Currency 5 2 2 2 2 2 5 3" xfId="7126" xr:uid="{00000000-0005-0000-0000-0000950C0000}"/>
    <cellStyle name="Currency 5 2 2 2 2 2 6" xfId="3259" xr:uid="{00000000-0005-0000-0000-0000960C0000}"/>
    <cellStyle name="Currency 5 2 2 2 2 2 6 2" xfId="7539" xr:uid="{00000000-0005-0000-0000-0000970C0000}"/>
    <cellStyle name="Currency 5 2 2 2 2 2 7" xfId="3556" xr:uid="{00000000-0005-0000-0000-0000980C0000}"/>
    <cellStyle name="Currency 5 2 2 2 2 2 8" xfId="3637" xr:uid="{00000000-0005-0000-0000-0000990C0000}"/>
    <cellStyle name="Currency 5 2 2 2 2 2 8 2" xfId="7856" xr:uid="{00000000-0005-0000-0000-00009A0C0000}"/>
    <cellStyle name="Currency 5 2 2 2 2 2 9" xfId="5473" xr:uid="{00000000-0005-0000-0000-00009B0C0000}"/>
    <cellStyle name="Currency 5 2 2 2 2 3" xfId="731" xr:uid="{00000000-0005-0000-0000-00009C0C0000}"/>
    <cellStyle name="Currency 5 2 2 2 2 3 2" xfId="3813" xr:uid="{00000000-0005-0000-0000-00009D0C0000}"/>
    <cellStyle name="Currency 5 2 2 2 2 3 2 2" xfId="8031" xr:uid="{00000000-0005-0000-0000-00009E0C0000}"/>
    <cellStyle name="Currency 5 2 2 2 2 3 3" xfId="5886" xr:uid="{00000000-0005-0000-0000-00009F0C0000}"/>
    <cellStyle name="Currency 5 2 2 2 2 3 4" xfId="1583" xr:uid="{00000000-0005-0000-0000-0000A00C0000}"/>
    <cellStyle name="Currency 5 2 2 2 2 4" xfId="1997" xr:uid="{00000000-0005-0000-0000-0000A10C0000}"/>
    <cellStyle name="Currency 5 2 2 2 2 4 2" xfId="4226" xr:uid="{00000000-0005-0000-0000-0000A20C0000}"/>
    <cellStyle name="Currency 5 2 2 2 2 4 2 2" xfId="8444" xr:uid="{00000000-0005-0000-0000-0000A30C0000}"/>
    <cellStyle name="Currency 5 2 2 2 2 4 3" xfId="6299" xr:uid="{00000000-0005-0000-0000-0000A40C0000}"/>
    <cellStyle name="Currency 5 2 2 2 2 5" xfId="2410" xr:uid="{00000000-0005-0000-0000-0000A50C0000}"/>
    <cellStyle name="Currency 5 2 2 2 2 5 2" xfId="4639" xr:uid="{00000000-0005-0000-0000-0000A60C0000}"/>
    <cellStyle name="Currency 5 2 2 2 2 5 2 2" xfId="8857" xr:uid="{00000000-0005-0000-0000-0000A70C0000}"/>
    <cellStyle name="Currency 5 2 2 2 2 5 3" xfId="6712" xr:uid="{00000000-0005-0000-0000-0000A80C0000}"/>
    <cellStyle name="Currency 5 2 2 2 2 6" xfId="2823" xr:uid="{00000000-0005-0000-0000-0000A90C0000}"/>
    <cellStyle name="Currency 5 2 2 2 2 6 2" xfId="5052" xr:uid="{00000000-0005-0000-0000-0000AA0C0000}"/>
    <cellStyle name="Currency 5 2 2 2 2 6 2 2" xfId="9270" xr:uid="{00000000-0005-0000-0000-0000AB0C0000}"/>
    <cellStyle name="Currency 5 2 2 2 2 6 3" xfId="7125" xr:uid="{00000000-0005-0000-0000-0000AC0C0000}"/>
    <cellStyle name="Currency 5 2 2 2 2 7" xfId="3258" xr:uid="{00000000-0005-0000-0000-0000AD0C0000}"/>
    <cellStyle name="Currency 5 2 2 2 2 7 2" xfId="7538" xr:uid="{00000000-0005-0000-0000-0000AE0C0000}"/>
    <cellStyle name="Currency 5 2 2 2 2 8" xfId="3555" xr:uid="{00000000-0005-0000-0000-0000AF0C0000}"/>
    <cellStyle name="Currency 5 2 2 2 2 9" xfId="3636" xr:uid="{00000000-0005-0000-0000-0000B00C0000}"/>
    <cellStyle name="Currency 5 2 2 2 2 9 2" xfId="7855" xr:uid="{00000000-0005-0000-0000-0000B10C0000}"/>
    <cellStyle name="Currency 5 2 2 2 3" xfId="200" xr:uid="{00000000-0005-0000-0000-0000B20C0000}"/>
    <cellStyle name="Currency 5 2 2 2 3 10" xfId="1170" xr:uid="{00000000-0005-0000-0000-0000B30C0000}"/>
    <cellStyle name="Currency 5 2 2 2 3 2" xfId="733" xr:uid="{00000000-0005-0000-0000-0000B40C0000}"/>
    <cellStyle name="Currency 5 2 2 2 3 2 2" xfId="3815" xr:uid="{00000000-0005-0000-0000-0000B50C0000}"/>
    <cellStyle name="Currency 5 2 2 2 3 2 2 2" xfId="8033" xr:uid="{00000000-0005-0000-0000-0000B60C0000}"/>
    <cellStyle name="Currency 5 2 2 2 3 2 3" xfId="5888" xr:uid="{00000000-0005-0000-0000-0000B70C0000}"/>
    <cellStyle name="Currency 5 2 2 2 3 2 4" xfId="1585" xr:uid="{00000000-0005-0000-0000-0000B80C0000}"/>
    <cellStyle name="Currency 5 2 2 2 3 3" xfId="1999" xr:uid="{00000000-0005-0000-0000-0000B90C0000}"/>
    <cellStyle name="Currency 5 2 2 2 3 3 2" xfId="4228" xr:uid="{00000000-0005-0000-0000-0000BA0C0000}"/>
    <cellStyle name="Currency 5 2 2 2 3 3 2 2" xfId="8446" xr:uid="{00000000-0005-0000-0000-0000BB0C0000}"/>
    <cellStyle name="Currency 5 2 2 2 3 3 3" xfId="6301" xr:uid="{00000000-0005-0000-0000-0000BC0C0000}"/>
    <cellStyle name="Currency 5 2 2 2 3 4" xfId="2412" xr:uid="{00000000-0005-0000-0000-0000BD0C0000}"/>
    <cellStyle name="Currency 5 2 2 2 3 4 2" xfId="4641" xr:uid="{00000000-0005-0000-0000-0000BE0C0000}"/>
    <cellStyle name="Currency 5 2 2 2 3 4 2 2" xfId="8859" xr:uid="{00000000-0005-0000-0000-0000BF0C0000}"/>
    <cellStyle name="Currency 5 2 2 2 3 4 3" xfId="6714" xr:uid="{00000000-0005-0000-0000-0000C00C0000}"/>
    <cellStyle name="Currency 5 2 2 2 3 5" xfId="2825" xr:uid="{00000000-0005-0000-0000-0000C10C0000}"/>
    <cellStyle name="Currency 5 2 2 2 3 5 2" xfId="5054" xr:uid="{00000000-0005-0000-0000-0000C20C0000}"/>
    <cellStyle name="Currency 5 2 2 2 3 5 2 2" xfId="9272" xr:uid="{00000000-0005-0000-0000-0000C30C0000}"/>
    <cellStyle name="Currency 5 2 2 2 3 5 3" xfId="7127" xr:uid="{00000000-0005-0000-0000-0000C40C0000}"/>
    <cellStyle name="Currency 5 2 2 2 3 6" xfId="3260" xr:uid="{00000000-0005-0000-0000-0000C50C0000}"/>
    <cellStyle name="Currency 5 2 2 2 3 6 2" xfId="7540" xr:uid="{00000000-0005-0000-0000-0000C60C0000}"/>
    <cellStyle name="Currency 5 2 2 2 3 7" xfId="3557" xr:uid="{00000000-0005-0000-0000-0000C70C0000}"/>
    <cellStyle name="Currency 5 2 2 2 3 8" xfId="3638" xr:uid="{00000000-0005-0000-0000-0000C80C0000}"/>
    <cellStyle name="Currency 5 2 2 2 3 8 2" xfId="7857" xr:uid="{00000000-0005-0000-0000-0000C90C0000}"/>
    <cellStyle name="Currency 5 2 2 2 3 9" xfId="5474" xr:uid="{00000000-0005-0000-0000-0000CA0C0000}"/>
    <cellStyle name="Currency 5 2 2 2 4" xfId="730" xr:uid="{00000000-0005-0000-0000-0000CB0C0000}"/>
    <cellStyle name="Currency 5 2 2 2 4 2" xfId="3812" xr:uid="{00000000-0005-0000-0000-0000CC0C0000}"/>
    <cellStyle name="Currency 5 2 2 2 4 2 2" xfId="8030" xr:uid="{00000000-0005-0000-0000-0000CD0C0000}"/>
    <cellStyle name="Currency 5 2 2 2 4 3" xfId="5885" xr:uid="{00000000-0005-0000-0000-0000CE0C0000}"/>
    <cellStyle name="Currency 5 2 2 2 4 4" xfId="1582" xr:uid="{00000000-0005-0000-0000-0000CF0C0000}"/>
    <cellStyle name="Currency 5 2 2 2 5" xfId="1996" xr:uid="{00000000-0005-0000-0000-0000D00C0000}"/>
    <cellStyle name="Currency 5 2 2 2 5 2" xfId="4225" xr:uid="{00000000-0005-0000-0000-0000D10C0000}"/>
    <cellStyle name="Currency 5 2 2 2 5 2 2" xfId="8443" xr:uid="{00000000-0005-0000-0000-0000D20C0000}"/>
    <cellStyle name="Currency 5 2 2 2 5 3" xfId="6298" xr:uid="{00000000-0005-0000-0000-0000D30C0000}"/>
    <cellStyle name="Currency 5 2 2 2 6" xfId="2409" xr:uid="{00000000-0005-0000-0000-0000D40C0000}"/>
    <cellStyle name="Currency 5 2 2 2 6 2" xfId="4638" xr:uid="{00000000-0005-0000-0000-0000D50C0000}"/>
    <cellStyle name="Currency 5 2 2 2 6 2 2" xfId="8856" xr:uid="{00000000-0005-0000-0000-0000D60C0000}"/>
    <cellStyle name="Currency 5 2 2 2 6 3" xfId="6711" xr:uid="{00000000-0005-0000-0000-0000D70C0000}"/>
    <cellStyle name="Currency 5 2 2 2 7" xfId="2822" xr:uid="{00000000-0005-0000-0000-0000D80C0000}"/>
    <cellStyle name="Currency 5 2 2 2 7 2" xfId="5051" xr:uid="{00000000-0005-0000-0000-0000D90C0000}"/>
    <cellStyle name="Currency 5 2 2 2 7 2 2" xfId="9269" xr:uid="{00000000-0005-0000-0000-0000DA0C0000}"/>
    <cellStyle name="Currency 5 2 2 2 7 3" xfId="7124" xr:uid="{00000000-0005-0000-0000-0000DB0C0000}"/>
    <cellStyle name="Currency 5 2 2 2 8" xfId="3257" xr:uid="{00000000-0005-0000-0000-0000DC0C0000}"/>
    <cellStyle name="Currency 5 2 2 2 8 2" xfId="7537" xr:uid="{00000000-0005-0000-0000-0000DD0C0000}"/>
    <cellStyle name="Currency 5 2 2 2 9" xfId="3554" xr:uid="{00000000-0005-0000-0000-0000DE0C0000}"/>
    <cellStyle name="Currency 5 2 2 3" xfId="201" xr:uid="{00000000-0005-0000-0000-0000DF0C0000}"/>
    <cellStyle name="Currency 5 2 2 3 10" xfId="5475" xr:uid="{00000000-0005-0000-0000-0000E00C0000}"/>
    <cellStyle name="Currency 5 2 2 3 11" xfId="1171" xr:uid="{00000000-0005-0000-0000-0000E10C0000}"/>
    <cellStyle name="Currency 5 2 2 3 2" xfId="202" xr:uid="{00000000-0005-0000-0000-0000E20C0000}"/>
    <cellStyle name="Currency 5 2 2 3 2 10" xfId="1172" xr:uid="{00000000-0005-0000-0000-0000E30C0000}"/>
    <cellStyle name="Currency 5 2 2 3 2 2" xfId="735" xr:uid="{00000000-0005-0000-0000-0000E40C0000}"/>
    <cellStyle name="Currency 5 2 2 3 2 2 2" xfId="3817" xr:uid="{00000000-0005-0000-0000-0000E50C0000}"/>
    <cellStyle name="Currency 5 2 2 3 2 2 2 2" xfId="8035" xr:uid="{00000000-0005-0000-0000-0000E60C0000}"/>
    <cellStyle name="Currency 5 2 2 3 2 2 3" xfId="5890" xr:uid="{00000000-0005-0000-0000-0000E70C0000}"/>
    <cellStyle name="Currency 5 2 2 3 2 2 4" xfId="1587" xr:uid="{00000000-0005-0000-0000-0000E80C0000}"/>
    <cellStyle name="Currency 5 2 2 3 2 3" xfId="2001" xr:uid="{00000000-0005-0000-0000-0000E90C0000}"/>
    <cellStyle name="Currency 5 2 2 3 2 3 2" xfId="4230" xr:uid="{00000000-0005-0000-0000-0000EA0C0000}"/>
    <cellStyle name="Currency 5 2 2 3 2 3 2 2" xfId="8448" xr:uid="{00000000-0005-0000-0000-0000EB0C0000}"/>
    <cellStyle name="Currency 5 2 2 3 2 3 3" xfId="6303" xr:uid="{00000000-0005-0000-0000-0000EC0C0000}"/>
    <cellStyle name="Currency 5 2 2 3 2 4" xfId="2414" xr:uid="{00000000-0005-0000-0000-0000ED0C0000}"/>
    <cellStyle name="Currency 5 2 2 3 2 4 2" xfId="4643" xr:uid="{00000000-0005-0000-0000-0000EE0C0000}"/>
    <cellStyle name="Currency 5 2 2 3 2 4 2 2" xfId="8861" xr:uid="{00000000-0005-0000-0000-0000EF0C0000}"/>
    <cellStyle name="Currency 5 2 2 3 2 4 3" xfId="6716" xr:uid="{00000000-0005-0000-0000-0000F00C0000}"/>
    <cellStyle name="Currency 5 2 2 3 2 5" xfId="2827" xr:uid="{00000000-0005-0000-0000-0000F10C0000}"/>
    <cellStyle name="Currency 5 2 2 3 2 5 2" xfId="5056" xr:uid="{00000000-0005-0000-0000-0000F20C0000}"/>
    <cellStyle name="Currency 5 2 2 3 2 5 2 2" xfId="9274" xr:uid="{00000000-0005-0000-0000-0000F30C0000}"/>
    <cellStyle name="Currency 5 2 2 3 2 5 3" xfId="7129" xr:uid="{00000000-0005-0000-0000-0000F40C0000}"/>
    <cellStyle name="Currency 5 2 2 3 2 6" xfId="3262" xr:uid="{00000000-0005-0000-0000-0000F50C0000}"/>
    <cellStyle name="Currency 5 2 2 3 2 6 2" xfId="7542" xr:uid="{00000000-0005-0000-0000-0000F60C0000}"/>
    <cellStyle name="Currency 5 2 2 3 2 7" xfId="3559" xr:uid="{00000000-0005-0000-0000-0000F70C0000}"/>
    <cellStyle name="Currency 5 2 2 3 2 8" xfId="3640" xr:uid="{00000000-0005-0000-0000-0000F80C0000}"/>
    <cellStyle name="Currency 5 2 2 3 2 8 2" xfId="7859" xr:uid="{00000000-0005-0000-0000-0000F90C0000}"/>
    <cellStyle name="Currency 5 2 2 3 2 9" xfId="5476" xr:uid="{00000000-0005-0000-0000-0000FA0C0000}"/>
    <cellStyle name="Currency 5 2 2 3 3" xfId="734" xr:uid="{00000000-0005-0000-0000-0000FB0C0000}"/>
    <cellStyle name="Currency 5 2 2 3 3 2" xfId="3816" xr:uid="{00000000-0005-0000-0000-0000FC0C0000}"/>
    <cellStyle name="Currency 5 2 2 3 3 2 2" xfId="8034" xr:uid="{00000000-0005-0000-0000-0000FD0C0000}"/>
    <cellStyle name="Currency 5 2 2 3 3 3" xfId="5889" xr:uid="{00000000-0005-0000-0000-0000FE0C0000}"/>
    <cellStyle name="Currency 5 2 2 3 3 4" xfId="1586" xr:uid="{00000000-0005-0000-0000-0000FF0C0000}"/>
    <cellStyle name="Currency 5 2 2 3 4" xfId="2000" xr:uid="{00000000-0005-0000-0000-0000000D0000}"/>
    <cellStyle name="Currency 5 2 2 3 4 2" xfId="4229" xr:uid="{00000000-0005-0000-0000-0000010D0000}"/>
    <cellStyle name="Currency 5 2 2 3 4 2 2" xfId="8447" xr:uid="{00000000-0005-0000-0000-0000020D0000}"/>
    <cellStyle name="Currency 5 2 2 3 4 3" xfId="6302" xr:uid="{00000000-0005-0000-0000-0000030D0000}"/>
    <cellStyle name="Currency 5 2 2 3 5" xfId="2413" xr:uid="{00000000-0005-0000-0000-0000040D0000}"/>
    <cellStyle name="Currency 5 2 2 3 5 2" xfId="4642" xr:uid="{00000000-0005-0000-0000-0000050D0000}"/>
    <cellStyle name="Currency 5 2 2 3 5 2 2" xfId="8860" xr:uid="{00000000-0005-0000-0000-0000060D0000}"/>
    <cellStyle name="Currency 5 2 2 3 5 3" xfId="6715" xr:uid="{00000000-0005-0000-0000-0000070D0000}"/>
    <cellStyle name="Currency 5 2 2 3 6" xfId="2826" xr:uid="{00000000-0005-0000-0000-0000080D0000}"/>
    <cellStyle name="Currency 5 2 2 3 6 2" xfId="5055" xr:uid="{00000000-0005-0000-0000-0000090D0000}"/>
    <cellStyle name="Currency 5 2 2 3 6 2 2" xfId="9273" xr:uid="{00000000-0005-0000-0000-00000A0D0000}"/>
    <cellStyle name="Currency 5 2 2 3 6 3" xfId="7128" xr:uid="{00000000-0005-0000-0000-00000B0D0000}"/>
    <cellStyle name="Currency 5 2 2 3 7" xfId="3261" xr:uid="{00000000-0005-0000-0000-00000C0D0000}"/>
    <cellStyle name="Currency 5 2 2 3 7 2" xfId="7541" xr:uid="{00000000-0005-0000-0000-00000D0D0000}"/>
    <cellStyle name="Currency 5 2 2 3 8" xfId="3558" xr:uid="{00000000-0005-0000-0000-00000E0D0000}"/>
    <cellStyle name="Currency 5 2 2 3 9" xfId="3639" xr:uid="{00000000-0005-0000-0000-00000F0D0000}"/>
    <cellStyle name="Currency 5 2 2 3 9 2" xfId="7858" xr:uid="{00000000-0005-0000-0000-0000100D0000}"/>
    <cellStyle name="Currency 5 2 2 4" xfId="203" xr:uid="{00000000-0005-0000-0000-0000110D0000}"/>
    <cellStyle name="Currency 5 2 2 4 10" xfId="1173" xr:uid="{00000000-0005-0000-0000-0000120D0000}"/>
    <cellStyle name="Currency 5 2 2 4 2" xfId="736" xr:uid="{00000000-0005-0000-0000-0000130D0000}"/>
    <cellStyle name="Currency 5 2 2 4 2 2" xfId="3818" xr:uid="{00000000-0005-0000-0000-0000140D0000}"/>
    <cellStyle name="Currency 5 2 2 4 2 2 2" xfId="8036" xr:uid="{00000000-0005-0000-0000-0000150D0000}"/>
    <cellStyle name="Currency 5 2 2 4 2 3" xfId="5891" xr:uid="{00000000-0005-0000-0000-0000160D0000}"/>
    <cellStyle name="Currency 5 2 2 4 2 4" xfId="1588" xr:uid="{00000000-0005-0000-0000-0000170D0000}"/>
    <cellStyle name="Currency 5 2 2 4 3" xfId="2002" xr:uid="{00000000-0005-0000-0000-0000180D0000}"/>
    <cellStyle name="Currency 5 2 2 4 3 2" xfId="4231" xr:uid="{00000000-0005-0000-0000-0000190D0000}"/>
    <cellStyle name="Currency 5 2 2 4 3 2 2" xfId="8449" xr:uid="{00000000-0005-0000-0000-00001A0D0000}"/>
    <cellStyle name="Currency 5 2 2 4 3 3" xfId="6304" xr:uid="{00000000-0005-0000-0000-00001B0D0000}"/>
    <cellStyle name="Currency 5 2 2 4 4" xfId="2415" xr:uid="{00000000-0005-0000-0000-00001C0D0000}"/>
    <cellStyle name="Currency 5 2 2 4 4 2" xfId="4644" xr:uid="{00000000-0005-0000-0000-00001D0D0000}"/>
    <cellStyle name="Currency 5 2 2 4 4 2 2" xfId="8862" xr:uid="{00000000-0005-0000-0000-00001E0D0000}"/>
    <cellStyle name="Currency 5 2 2 4 4 3" xfId="6717" xr:uid="{00000000-0005-0000-0000-00001F0D0000}"/>
    <cellStyle name="Currency 5 2 2 4 5" xfId="2828" xr:uid="{00000000-0005-0000-0000-0000200D0000}"/>
    <cellStyle name="Currency 5 2 2 4 5 2" xfId="5057" xr:uid="{00000000-0005-0000-0000-0000210D0000}"/>
    <cellStyle name="Currency 5 2 2 4 5 2 2" xfId="9275" xr:uid="{00000000-0005-0000-0000-0000220D0000}"/>
    <cellStyle name="Currency 5 2 2 4 5 3" xfId="7130" xr:uid="{00000000-0005-0000-0000-0000230D0000}"/>
    <cellStyle name="Currency 5 2 2 4 6" xfId="3263" xr:uid="{00000000-0005-0000-0000-0000240D0000}"/>
    <cellStyle name="Currency 5 2 2 4 6 2" xfId="7543" xr:uid="{00000000-0005-0000-0000-0000250D0000}"/>
    <cellStyle name="Currency 5 2 2 4 7" xfId="3560" xr:uid="{00000000-0005-0000-0000-0000260D0000}"/>
    <cellStyle name="Currency 5 2 2 4 8" xfId="3641" xr:uid="{00000000-0005-0000-0000-0000270D0000}"/>
    <cellStyle name="Currency 5 2 2 4 8 2" xfId="7860" xr:uid="{00000000-0005-0000-0000-0000280D0000}"/>
    <cellStyle name="Currency 5 2 2 4 9" xfId="5477" xr:uid="{00000000-0005-0000-0000-0000290D0000}"/>
    <cellStyle name="Currency 5 2 2 5" xfId="204" xr:uid="{00000000-0005-0000-0000-00002A0D0000}"/>
    <cellStyle name="Currency 5 2 2 5 10" xfId="1174" xr:uid="{00000000-0005-0000-0000-00002B0D0000}"/>
    <cellStyle name="Currency 5 2 2 5 2" xfId="737" xr:uid="{00000000-0005-0000-0000-00002C0D0000}"/>
    <cellStyle name="Currency 5 2 2 5 2 2" xfId="3819" xr:uid="{00000000-0005-0000-0000-00002D0D0000}"/>
    <cellStyle name="Currency 5 2 2 5 2 2 2" xfId="8037" xr:uid="{00000000-0005-0000-0000-00002E0D0000}"/>
    <cellStyle name="Currency 5 2 2 5 2 3" xfId="5892" xr:uid="{00000000-0005-0000-0000-00002F0D0000}"/>
    <cellStyle name="Currency 5 2 2 5 2 4" xfId="1589" xr:uid="{00000000-0005-0000-0000-0000300D0000}"/>
    <cellStyle name="Currency 5 2 2 5 3" xfId="2003" xr:uid="{00000000-0005-0000-0000-0000310D0000}"/>
    <cellStyle name="Currency 5 2 2 5 3 2" xfId="4232" xr:uid="{00000000-0005-0000-0000-0000320D0000}"/>
    <cellStyle name="Currency 5 2 2 5 3 2 2" xfId="8450" xr:uid="{00000000-0005-0000-0000-0000330D0000}"/>
    <cellStyle name="Currency 5 2 2 5 3 3" xfId="6305" xr:uid="{00000000-0005-0000-0000-0000340D0000}"/>
    <cellStyle name="Currency 5 2 2 5 4" xfId="2416" xr:uid="{00000000-0005-0000-0000-0000350D0000}"/>
    <cellStyle name="Currency 5 2 2 5 4 2" xfId="4645" xr:uid="{00000000-0005-0000-0000-0000360D0000}"/>
    <cellStyle name="Currency 5 2 2 5 4 2 2" xfId="8863" xr:uid="{00000000-0005-0000-0000-0000370D0000}"/>
    <cellStyle name="Currency 5 2 2 5 4 3" xfId="6718" xr:uid="{00000000-0005-0000-0000-0000380D0000}"/>
    <cellStyle name="Currency 5 2 2 5 5" xfId="2829" xr:uid="{00000000-0005-0000-0000-0000390D0000}"/>
    <cellStyle name="Currency 5 2 2 5 5 2" xfId="5058" xr:uid="{00000000-0005-0000-0000-00003A0D0000}"/>
    <cellStyle name="Currency 5 2 2 5 5 2 2" xfId="9276" xr:uid="{00000000-0005-0000-0000-00003B0D0000}"/>
    <cellStyle name="Currency 5 2 2 5 5 3" xfId="7131" xr:uid="{00000000-0005-0000-0000-00003C0D0000}"/>
    <cellStyle name="Currency 5 2 2 5 6" xfId="3264" xr:uid="{00000000-0005-0000-0000-00003D0D0000}"/>
    <cellStyle name="Currency 5 2 2 5 6 2" xfId="7544" xr:uid="{00000000-0005-0000-0000-00003E0D0000}"/>
    <cellStyle name="Currency 5 2 2 5 7" xfId="3561" xr:uid="{00000000-0005-0000-0000-00003F0D0000}"/>
    <cellStyle name="Currency 5 2 2 5 8" xfId="3642" xr:uid="{00000000-0005-0000-0000-0000400D0000}"/>
    <cellStyle name="Currency 5 2 2 5 8 2" xfId="7861" xr:uid="{00000000-0005-0000-0000-0000410D0000}"/>
    <cellStyle name="Currency 5 2 2 5 9" xfId="5478" xr:uid="{00000000-0005-0000-0000-0000420D0000}"/>
    <cellStyle name="Currency 5 2 3" xfId="205" xr:uid="{00000000-0005-0000-0000-0000430D0000}"/>
    <cellStyle name="Currency 5 2 3 2" xfId="738" xr:uid="{00000000-0005-0000-0000-0000440D0000}"/>
    <cellStyle name="Currency 5 2 4" xfId="206" xr:uid="{00000000-0005-0000-0000-0000450D0000}"/>
    <cellStyle name="Currency 5 2 4 10" xfId="5479" xr:uid="{00000000-0005-0000-0000-0000460D0000}"/>
    <cellStyle name="Currency 5 2 4 11" xfId="1175" xr:uid="{00000000-0005-0000-0000-0000470D0000}"/>
    <cellStyle name="Currency 5 2 4 2" xfId="207" xr:uid="{00000000-0005-0000-0000-0000480D0000}"/>
    <cellStyle name="Currency 5 2 4 2 10" xfId="1176" xr:uid="{00000000-0005-0000-0000-0000490D0000}"/>
    <cellStyle name="Currency 5 2 4 2 2" xfId="740" xr:uid="{00000000-0005-0000-0000-00004A0D0000}"/>
    <cellStyle name="Currency 5 2 4 2 2 2" xfId="3821" xr:uid="{00000000-0005-0000-0000-00004B0D0000}"/>
    <cellStyle name="Currency 5 2 4 2 2 2 2" xfId="8039" xr:uid="{00000000-0005-0000-0000-00004C0D0000}"/>
    <cellStyle name="Currency 5 2 4 2 2 3" xfId="5894" xr:uid="{00000000-0005-0000-0000-00004D0D0000}"/>
    <cellStyle name="Currency 5 2 4 2 2 4" xfId="1591" xr:uid="{00000000-0005-0000-0000-00004E0D0000}"/>
    <cellStyle name="Currency 5 2 4 2 3" xfId="2005" xr:uid="{00000000-0005-0000-0000-00004F0D0000}"/>
    <cellStyle name="Currency 5 2 4 2 3 2" xfId="4234" xr:uid="{00000000-0005-0000-0000-0000500D0000}"/>
    <cellStyle name="Currency 5 2 4 2 3 2 2" xfId="8452" xr:uid="{00000000-0005-0000-0000-0000510D0000}"/>
    <cellStyle name="Currency 5 2 4 2 3 3" xfId="6307" xr:uid="{00000000-0005-0000-0000-0000520D0000}"/>
    <cellStyle name="Currency 5 2 4 2 4" xfId="2418" xr:uid="{00000000-0005-0000-0000-0000530D0000}"/>
    <cellStyle name="Currency 5 2 4 2 4 2" xfId="4647" xr:uid="{00000000-0005-0000-0000-0000540D0000}"/>
    <cellStyle name="Currency 5 2 4 2 4 2 2" xfId="8865" xr:uid="{00000000-0005-0000-0000-0000550D0000}"/>
    <cellStyle name="Currency 5 2 4 2 4 3" xfId="6720" xr:uid="{00000000-0005-0000-0000-0000560D0000}"/>
    <cellStyle name="Currency 5 2 4 2 5" xfId="2831" xr:uid="{00000000-0005-0000-0000-0000570D0000}"/>
    <cellStyle name="Currency 5 2 4 2 5 2" xfId="5060" xr:uid="{00000000-0005-0000-0000-0000580D0000}"/>
    <cellStyle name="Currency 5 2 4 2 5 2 2" xfId="9278" xr:uid="{00000000-0005-0000-0000-0000590D0000}"/>
    <cellStyle name="Currency 5 2 4 2 5 3" xfId="7133" xr:uid="{00000000-0005-0000-0000-00005A0D0000}"/>
    <cellStyle name="Currency 5 2 4 2 6" xfId="3266" xr:uid="{00000000-0005-0000-0000-00005B0D0000}"/>
    <cellStyle name="Currency 5 2 4 2 6 2" xfId="7546" xr:uid="{00000000-0005-0000-0000-00005C0D0000}"/>
    <cellStyle name="Currency 5 2 4 2 7" xfId="3563" xr:uid="{00000000-0005-0000-0000-00005D0D0000}"/>
    <cellStyle name="Currency 5 2 4 2 8" xfId="3644" xr:uid="{00000000-0005-0000-0000-00005E0D0000}"/>
    <cellStyle name="Currency 5 2 4 2 8 2" xfId="7863" xr:uid="{00000000-0005-0000-0000-00005F0D0000}"/>
    <cellStyle name="Currency 5 2 4 2 9" xfId="5480" xr:uid="{00000000-0005-0000-0000-0000600D0000}"/>
    <cellStyle name="Currency 5 2 4 3" xfId="739" xr:uid="{00000000-0005-0000-0000-0000610D0000}"/>
    <cellStyle name="Currency 5 2 4 3 2" xfId="3820" xr:uid="{00000000-0005-0000-0000-0000620D0000}"/>
    <cellStyle name="Currency 5 2 4 3 2 2" xfId="8038" xr:uid="{00000000-0005-0000-0000-0000630D0000}"/>
    <cellStyle name="Currency 5 2 4 3 3" xfId="5893" xr:uid="{00000000-0005-0000-0000-0000640D0000}"/>
    <cellStyle name="Currency 5 2 4 3 4" xfId="1590" xr:uid="{00000000-0005-0000-0000-0000650D0000}"/>
    <cellStyle name="Currency 5 2 4 4" xfId="2004" xr:uid="{00000000-0005-0000-0000-0000660D0000}"/>
    <cellStyle name="Currency 5 2 4 4 2" xfId="4233" xr:uid="{00000000-0005-0000-0000-0000670D0000}"/>
    <cellStyle name="Currency 5 2 4 4 2 2" xfId="8451" xr:uid="{00000000-0005-0000-0000-0000680D0000}"/>
    <cellStyle name="Currency 5 2 4 4 3" xfId="6306" xr:uid="{00000000-0005-0000-0000-0000690D0000}"/>
    <cellStyle name="Currency 5 2 4 5" xfId="2417" xr:uid="{00000000-0005-0000-0000-00006A0D0000}"/>
    <cellStyle name="Currency 5 2 4 5 2" xfId="4646" xr:uid="{00000000-0005-0000-0000-00006B0D0000}"/>
    <cellStyle name="Currency 5 2 4 5 2 2" xfId="8864" xr:uid="{00000000-0005-0000-0000-00006C0D0000}"/>
    <cellStyle name="Currency 5 2 4 5 3" xfId="6719" xr:uid="{00000000-0005-0000-0000-00006D0D0000}"/>
    <cellStyle name="Currency 5 2 4 6" xfId="2830" xr:uid="{00000000-0005-0000-0000-00006E0D0000}"/>
    <cellStyle name="Currency 5 2 4 6 2" xfId="5059" xr:uid="{00000000-0005-0000-0000-00006F0D0000}"/>
    <cellStyle name="Currency 5 2 4 6 2 2" xfId="9277" xr:uid="{00000000-0005-0000-0000-0000700D0000}"/>
    <cellStyle name="Currency 5 2 4 6 3" xfId="7132" xr:uid="{00000000-0005-0000-0000-0000710D0000}"/>
    <cellStyle name="Currency 5 2 4 7" xfId="3265" xr:uid="{00000000-0005-0000-0000-0000720D0000}"/>
    <cellStyle name="Currency 5 2 4 7 2" xfId="7545" xr:uid="{00000000-0005-0000-0000-0000730D0000}"/>
    <cellStyle name="Currency 5 2 4 8" xfId="3562" xr:uid="{00000000-0005-0000-0000-0000740D0000}"/>
    <cellStyle name="Currency 5 2 4 9" xfId="3643" xr:uid="{00000000-0005-0000-0000-0000750D0000}"/>
    <cellStyle name="Currency 5 2 4 9 2" xfId="7862" xr:uid="{00000000-0005-0000-0000-0000760D0000}"/>
    <cellStyle name="Currency 5 2 5" xfId="208" xr:uid="{00000000-0005-0000-0000-0000770D0000}"/>
    <cellStyle name="Currency 5 2 5 10" xfId="1177" xr:uid="{00000000-0005-0000-0000-0000780D0000}"/>
    <cellStyle name="Currency 5 2 5 2" xfId="741" xr:uid="{00000000-0005-0000-0000-0000790D0000}"/>
    <cellStyle name="Currency 5 2 5 2 2" xfId="3822" xr:uid="{00000000-0005-0000-0000-00007A0D0000}"/>
    <cellStyle name="Currency 5 2 5 2 2 2" xfId="8040" xr:uid="{00000000-0005-0000-0000-00007B0D0000}"/>
    <cellStyle name="Currency 5 2 5 2 3" xfId="5895" xr:uid="{00000000-0005-0000-0000-00007C0D0000}"/>
    <cellStyle name="Currency 5 2 5 2 4" xfId="1592" xr:uid="{00000000-0005-0000-0000-00007D0D0000}"/>
    <cellStyle name="Currency 5 2 5 3" xfId="2006" xr:uid="{00000000-0005-0000-0000-00007E0D0000}"/>
    <cellStyle name="Currency 5 2 5 3 2" xfId="4235" xr:uid="{00000000-0005-0000-0000-00007F0D0000}"/>
    <cellStyle name="Currency 5 2 5 3 2 2" xfId="8453" xr:uid="{00000000-0005-0000-0000-0000800D0000}"/>
    <cellStyle name="Currency 5 2 5 3 3" xfId="6308" xr:uid="{00000000-0005-0000-0000-0000810D0000}"/>
    <cellStyle name="Currency 5 2 5 4" xfId="2419" xr:uid="{00000000-0005-0000-0000-0000820D0000}"/>
    <cellStyle name="Currency 5 2 5 4 2" xfId="4648" xr:uid="{00000000-0005-0000-0000-0000830D0000}"/>
    <cellStyle name="Currency 5 2 5 4 2 2" xfId="8866" xr:uid="{00000000-0005-0000-0000-0000840D0000}"/>
    <cellStyle name="Currency 5 2 5 4 3" xfId="6721" xr:uid="{00000000-0005-0000-0000-0000850D0000}"/>
    <cellStyle name="Currency 5 2 5 5" xfId="2832" xr:uid="{00000000-0005-0000-0000-0000860D0000}"/>
    <cellStyle name="Currency 5 2 5 5 2" xfId="5061" xr:uid="{00000000-0005-0000-0000-0000870D0000}"/>
    <cellStyle name="Currency 5 2 5 5 2 2" xfId="9279" xr:uid="{00000000-0005-0000-0000-0000880D0000}"/>
    <cellStyle name="Currency 5 2 5 5 3" xfId="7134" xr:uid="{00000000-0005-0000-0000-0000890D0000}"/>
    <cellStyle name="Currency 5 2 5 6" xfId="3267" xr:uid="{00000000-0005-0000-0000-00008A0D0000}"/>
    <cellStyle name="Currency 5 2 5 6 2" xfId="7547" xr:uid="{00000000-0005-0000-0000-00008B0D0000}"/>
    <cellStyle name="Currency 5 2 5 7" xfId="3564" xr:uid="{00000000-0005-0000-0000-00008C0D0000}"/>
    <cellStyle name="Currency 5 2 5 8" xfId="3645" xr:uid="{00000000-0005-0000-0000-00008D0D0000}"/>
    <cellStyle name="Currency 5 2 5 8 2" xfId="7864" xr:uid="{00000000-0005-0000-0000-00008E0D0000}"/>
    <cellStyle name="Currency 5 2 5 9" xfId="5481" xr:uid="{00000000-0005-0000-0000-00008F0D0000}"/>
    <cellStyle name="Currency 5 2 6" xfId="209" xr:uid="{00000000-0005-0000-0000-0000900D0000}"/>
    <cellStyle name="Currency 5 2 6 10" xfId="1178" xr:uid="{00000000-0005-0000-0000-0000910D0000}"/>
    <cellStyle name="Currency 5 2 6 2" xfId="742" xr:uid="{00000000-0005-0000-0000-0000920D0000}"/>
    <cellStyle name="Currency 5 2 6 2 2" xfId="3823" xr:uid="{00000000-0005-0000-0000-0000930D0000}"/>
    <cellStyle name="Currency 5 2 6 2 2 2" xfId="8041" xr:uid="{00000000-0005-0000-0000-0000940D0000}"/>
    <cellStyle name="Currency 5 2 6 2 3" xfId="5896" xr:uid="{00000000-0005-0000-0000-0000950D0000}"/>
    <cellStyle name="Currency 5 2 6 2 4" xfId="1593" xr:uid="{00000000-0005-0000-0000-0000960D0000}"/>
    <cellStyle name="Currency 5 2 6 3" xfId="2007" xr:uid="{00000000-0005-0000-0000-0000970D0000}"/>
    <cellStyle name="Currency 5 2 6 3 2" xfId="4236" xr:uid="{00000000-0005-0000-0000-0000980D0000}"/>
    <cellStyle name="Currency 5 2 6 3 2 2" xfId="8454" xr:uid="{00000000-0005-0000-0000-0000990D0000}"/>
    <cellStyle name="Currency 5 2 6 3 3" xfId="6309" xr:uid="{00000000-0005-0000-0000-00009A0D0000}"/>
    <cellStyle name="Currency 5 2 6 4" xfId="2420" xr:uid="{00000000-0005-0000-0000-00009B0D0000}"/>
    <cellStyle name="Currency 5 2 6 4 2" xfId="4649" xr:uid="{00000000-0005-0000-0000-00009C0D0000}"/>
    <cellStyle name="Currency 5 2 6 4 2 2" xfId="8867" xr:uid="{00000000-0005-0000-0000-00009D0D0000}"/>
    <cellStyle name="Currency 5 2 6 4 3" xfId="6722" xr:uid="{00000000-0005-0000-0000-00009E0D0000}"/>
    <cellStyle name="Currency 5 2 6 5" xfId="2833" xr:uid="{00000000-0005-0000-0000-00009F0D0000}"/>
    <cellStyle name="Currency 5 2 6 5 2" xfId="5062" xr:uid="{00000000-0005-0000-0000-0000A00D0000}"/>
    <cellStyle name="Currency 5 2 6 5 2 2" xfId="9280" xr:uid="{00000000-0005-0000-0000-0000A10D0000}"/>
    <cellStyle name="Currency 5 2 6 5 3" xfId="7135" xr:uid="{00000000-0005-0000-0000-0000A20D0000}"/>
    <cellStyle name="Currency 5 2 6 6" xfId="3268" xr:uid="{00000000-0005-0000-0000-0000A30D0000}"/>
    <cellStyle name="Currency 5 2 6 6 2" xfId="7548" xr:uid="{00000000-0005-0000-0000-0000A40D0000}"/>
    <cellStyle name="Currency 5 2 6 7" xfId="3565" xr:uid="{00000000-0005-0000-0000-0000A50D0000}"/>
    <cellStyle name="Currency 5 2 6 8" xfId="3646" xr:uid="{00000000-0005-0000-0000-0000A60D0000}"/>
    <cellStyle name="Currency 5 2 6 8 2" xfId="7865" xr:uid="{00000000-0005-0000-0000-0000A70D0000}"/>
    <cellStyle name="Currency 5 2 6 9" xfId="5482" xr:uid="{00000000-0005-0000-0000-0000A80D0000}"/>
    <cellStyle name="Currency 5 2 7" xfId="729" xr:uid="{00000000-0005-0000-0000-0000A90D0000}"/>
    <cellStyle name="Currency 5 3" xfId="210" xr:uid="{00000000-0005-0000-0000-0000AA0D0000}"/>
    <cellStyle name="Currency 5 3 2" xfId="211" xr:uid="{00000000-0005-0000-0000-0000AB0D0000}"/>
    <cellStyle name="Currency 5 3 2 10" xfId="3647" xr:uid="{00000000-0005-0000-0000-0000AC0D0000}"/>
    <cellStyle name="Currency 5 3 2 10 2" xfId="7866" xr:uid="{00000000-0005-0000-0000-0000AD0D0000}"/>
    <cellStyle name="Currency 5 3 2 11" xfId="5483" xr:uid="{00000000-0005-0000-0000-0000AE0D0000}"/>
    <cellStyle name="Currency 5 3 2 12" xfId="1179" xr:uid="{00000000-0005-0000-0000-0000AF0D0000}"/>
    <cellStyle name="Currency 5 3 2 2" xfId="212" xr:uid="{00000000-0005-0000-0000-0000B00D0000}"/>
    <cellStyle name="Currency 5 3 2 2 10" xfId="5484" xr:uid="{00000000-0005-0000-0000-0000B10D0000}"/>
    <cellStyle name="Currency 5 3 2 2 11" xfId="1180" xr:uid="{00000000-0005-0000-0000-0000B20D0000}"/>
    <cellStyle name="Currency 5 3 2 2 2" xfId="213" xr:uid="{00000000-0005-0000-0000-0000B30D0000}"/>
    <cellStyle name="Currency 5 3 2 2 2 10" xfId="1181" xr:uid="{00000000-0005-0000-0000-0000B40D0000}"/>
    <cellStyle name="Currency 5 3 2 2 2 2" xfId="745" xr:uid="{00000000-0005-0000-0000-0000B50D0000}"/>
    <cellStyle name="Currency 5 3 2 2 2 2 2" xfId="3826" xr:uid="{00000000-0005-0000-0000-0000B60D0000}"/>
    <cellStyle name="Currency 5 3 2 2 2 2 2 2" xfId="8044" xr:uid="{00000000-0005-0000-0000-0000B70D0000}"/>
    <cellStyle name="Currency 5 3 2 2 2 2 3" xfId="5899" xr:uid="{00000000-0005-0000-0000-0000B80D0000}"/>
    <cellStyle name="Currency 5 3 2 2 2 2 4" xfId="1596" xr:uid="{00000000-0005-0000-0000-0000B90D0000}"/>
    <cellStyle name="Currency 5 3 2 2 2 3" xfId="2010" xr:uid="{00000000-0005-0000-0000-0000BA0D0000}"/>
    <cellStyle name="Currency 5 3 2 2 2 3 2" xfId="4239" xr:uid="{00000000-0005-0000-0000-0000BB0D0000}"/>
    <cellStyle name="Currency 5 3 2 2 2 3 2 2" xfId="8457" xr:uid="{00000000-0005-0000-0000-0000BC0D0000}"/>
    <cellStyle name="Currency 5 3 2 2 2 3 3" xfId="6312" xr:uid="{00000000-0005-0000-0000-0000BD0D0000}"/>
    <cellStyle name="Currency 5 3 2 2 2 4" xfId="2423" xr:uid="{00000000-0005-0000-0000-0000BE0D0000}"/>
    <cellStyle name="Currency 5 3 2 2 2 4 2" xfId="4652" xr:uid="{00000000-0005-0000-0000-0000BF0D0000}"/>
    <cellStyle name="Currency 5 3 2 2 2 4 2 2" xfId="8870" xr:uid="{00000000-0005-0000-0000-0000C00D0000}"/>
    <cellStyle name="Currency 5 3 2 2 2 4 3" xfId="6725" xr:uid="{00000000-0005-0000-0000-0000C10D0000}"/>
    <cellStyle name="Currency 5 3 2 2 2 5" xfId="2836" xr:uid="{00000000-0005-0000-0000-0000C20D0000}"/>
    <cellStyle name="Currency 5 3 2 2 2 5 2" xfId="5065" xr:uid="{00000000-0005-0000-0000-0000C30D0000}"/>
    <cellStyle name="Currency 5 3 2 2 2 5 2 2" xfId="9283" xr:uid="{00000000-0005-0000-0000-0000C40D0000}"/>
    <cellStyle name="Currency 5 3 2 2 2 5 3" xfId="7138" xr:uid="{00000000-0005-0000-0000-0000C50D0000}"/>
    <cellStyle name="Currency 5 3 2 2 2 6" xfId="3271" xr:uid="{00000000-0005-0000-0000-0000C60D0000}"/>
    <cellStyle name="Currency 5 3 2 2 2 6 2" xfId="7551" xr:uid="{00000000-0005-0000-0000-0000C70D0000}"/>
    <cellStyle name="Currency 5 3 2 2 2 7" xfId="3568" xr:uid="{00000000-0005-0000-0000-0000C80D0000}"/>
    <cellStyle name="Currency 5 3 2 2 2 8" xfId="3649" xr:uid="{00000000-0005-0000-0000-0000C90D0000}"/>
    <cellStyle name="Currency 5 3 2 2 2 8 2" xfId="7868" xr:uid="{00000000-0005-0000-0000-0000CA0D0000}"/>
    <cellStyle name="Currency 5 3 2 2 2 9" xfId="5485" xr:uid="{00000000-0005-0000-0000-0000CB0D0000}"/>
    <cellStyle name="Currency 5 3 2 2 3" xfId="744" xr:uid="{00000000-0005-0000-0000-0000CC0D0000}"/>
    <cellStyle name="Currency 5 3 2 2 3 2" xfId="3825" xr:uid="{00000000-0005-0000-0000-0000CD0D0000}"/>
    <cellStyle name="Currency 5 3 2 2 3 2 2" xfId="8043" xr:uid="{00000000-0005-0000-0000-0000CE0D0000}"/>
    <cellStyle name="Currency 5 3 2 2 3 3" xfId="5898" xr:uid="{00000000-0005-0000-0000-0000CF0D0000}"/>
    <cellStyle name="Currency 5 3 2 2 3 4" xfId="1595" xr:uid="{00000000-0005-0000-0000-0000D00D0000}"/>
    <cellStyle name="Currency 5 3 2 2 4" xfId="2009" xr:uid="{00000000-0005-0000-0000-0000D10D0000}"/>
    <cellStyle name="Currency 5 3 2 2 4 2" xfId="4238" xr:uid="{00000000-0005-0000-0000-0000D20D0000}"/>
    <cellStyle name="Currency 5 3 2 2 4 2 2" xfId="8456" xr:uid="{00000000-0005-0000-0000-0000D30D0000}"/>
    <cellStyle name="Currency 5 3 2 2 4 3" xfId="6311" xr:uid="{00000000-0005-0000-0000-0000D40D0000}"/>
    <cellStyle name="Currency 5 3 2 2 5" xfId="2422" xr:uid="{00000000-0005-0000-0000-0000D50D0000}"/>
    <cellStyle name="Currency 5 3 2 2 5 2" xfId="4651" xr:uid="{00000000-0005-0000-0000-0000D60D0000}"/>
    <cellStyle name="Currency 5 3 2 2 5 2 2" xfId="8869" xr:uid="{00000000-0005-0000-0000-0000D70D0000}"/>
    <cellStyle name="Currency 5 3 2 2 5 3" xfId="6724" xr:uid="{00000000-0005-0000-0000-0000D80D0000}"/>
    <cellStyle name="Currency 5 3 2 2 6" xfId="2835" xr:uid="{00000000-0005-0000-0000-0000D90D0000}"/>
    <cellStyle name="Currency 5 3 2 2 6 2" xfId="5064" xr:uid="{00000000-0005-0000-0000-0000DA0D0000}"/>
    <cellStyle name="Currency 5 3 2 2 6 2 2" xfId="9282" xr:uid="{00000000-0005-0000-0000-0000DB0D0000}"/>
    <cellStyle name="Currency 5 3 2 2 6 3" xfId="7137" xr:uid="{00000000-0005-0000-0000-0000DC0D0000}"/>
    <cellStyle name="Currency 5 3 2 2 7" xfId="3270" xr:uid="{00000000-0005-0000-0000-0000DD0D0000}"/>
    <cellStyle name="Currency 5 3 2 2 7 2" xfId="7550" xr:uid="{00000000-0005-0000-0000-0000DE0D0000}"/>
    <cellStyle name="Currency 5 3 2 2 8" xfId="3567" xr:uid="{00000000-0005-0000-0000-0000DF0D0000}"/>
    <cellStyle name="Currency 5 3 2 2 9" xfId="3648" xr:uid="{00000000-0005-0000-0000-0000E00D0000}"/>
    <cellStyle name="Currency 5 3 2 2 9 2" xfId="7867" xr:uid="{00000000-0005-0000-0000-0000E10D0000}"/>
    <cellStyle name="Currency 5 3 2 3" xfId="214" xr:uid="{00000000-0005-0000-0000-0000E20D0000}"/>
    <cellStyle name="Currency 5 3 2 3 10" xfId="1182" xr:uid="{00000000-0005-0000-0000-0000E30D0000}"/>
    <cellStyle name="Currency 5 3 2 3 2" xfId="746" xr:uid="{00000000-0005-0000-0000-0000E40D0000}"/>
    <cellStyle name="Currency 5 3 2 3 2 2" xfId="3827" xr:uid="{00000000-0005-0000-0000-0000E50D0000}"/>
    <cellStyle name="Currency 5 3 2 3 2 2 2" xfId="8045" xr:uid="{00000000-0005-0000-0000-0000E60D0000}"/>
    <cellStyle name="Currency 5 3 2 3 2 3" xfId="5900" xr:uid="{00000000-0005-0000-0000-0000E70D0000}"/>
    <cellStyle name="Currency 5 3 2 3 2 4" xfId="1597" xr:uid="{00000000-0005-0000-0000-0000E80D0000}"/>
    <cellStyle name="Currency 5 3 2 3 3" xfId="2011" xr:uid="{00000000-0005-0000-0000-0000E90D0000}"/>
    <cellStyle name="Currency 5 3 2 3 3 2" xfId="4240" xr:uid="{00000000-0005-0000-0000-0000EA0D0000}"/>
    <cellStyle name="Currency 5 3 2 3 3 2 2" xfId="8458" xr:uid="{00000000-0005-0000-0000-0000EB0D0000}"/>
    <cellStyle name="Currency 5 3 2 3 3 3" xfId="6313" xr:uid="{00000000-0005-0000-0000-0000EC0D0000}"/>
    <cellStyle name="Currency 5 3 2 3 4" xfId="2424" xr:uid="{00000000-0005-0000-0000-0000ED0D0000}"/>
    <cellStyle name="Currency 5 3 2 3 4 2" xfId="4653" xr:uid="{00000000-0005-0000-0000-0000EE0D0000}"/>
    <cellStyle name="Currency 5 3 2 3 4 2 2" xfId="8871" xr:uid="{00000000-0005-0000-0000-0000EF0D0000}"/>
    <cellStyle name="Currency 5 3 2 3 4 3" xfId="6726" xr:uid="{00000000-0005-0000-0000-0000F00D0000}"/>
    <cellStyle name="Currency 5 3 2 3 5" xfId="2837" xr:uid="{00000000-0005-0000-0000-0000F10D0000}"/>
    <cellStyle name="Currency 5 3 2 3 5 2" xfId="5066" xr:uid="{00000000-0005-0000-0000-0000F20D0000}"/>
    <cellStyle name="Currency 5 3 2 3 5 2 2" xfId="9284" xr:uid="{00000000-0005-0000-0000-0000F30D0000}"/>
    <cellStyle name="Currency 5 3 2 3 5 3" xfId="7139" xr:uid="{00000000-0005-0000-0000-0000F40D0000}"/>
    <cellStyle name="Currency 5 3 2 3 6" xfId="3272" xr:uid="{00000000-0005-0000-0000-0000F50D0000}"/>
    <cellStyle name="Currency 5 3 2 3 6 2" xfId="7552" xr:uid="{00000000-0005-0000-0000-0000F60D0000}"/>
    <cellStyle name="Currency 5 3 2 3 7" xfId="3569" xr:uid="{00000000-0005-0000-0000-0000F70D0000}"/>
    <cellStyle name="Currency 5 3 2 3 8" xfId="3650" xr:uid="{00000000-0005-0000-0000-0000F80D0000}"/>
    <cellStyle name="Currency 5 3 2 3 8 2" xfId="7869" xr:uid="{00000000-0005-0000-0000-0000F90D0000}"/>
    <cellStyle name="Currency 5 3 2 3 9" xfId="5486" xr:uid="{00000000-0005-0000-0000-0000FA0D0000}"/>
    <cellStyle name="Currency 5 3 2 4" xfId="743" xr:uid="{00000000-0005-0000-0000-0000FB0D0000}"/>
    <cellStyle name="Currency 5 3 2 4 2" xfId="3824" xr:uid="{00000000-0005-0000-0000-0000FC0D0000}"/>
    <cellStyle name="Currency 5 3 2 4 2 2" xfId="8042" xr:uid="{00000000-0005-0000-0000-0000FD0D0000}"/>
    <cellStyle name="Currency 5 3 2 4 3" xfId="5897" xr:uid="{00000000-0005-0000-0000-0000FE0D0000}"/>
    <cellStyle name="Currency 5 3 2 4 4" xfId="1594" xr:uid="{00000000-0005-0000-0000-0000FF0D0000}"/>
    <cellStyle name="Currency 5 3 2 5" xfId="2008" xr:uid="{00000000-0005-0000-0000-0000000E0000}"/>
    <cellStyle name="Currency 5 3 2 5 2" xfId="4237" xr:uid="{00000000-0005-0000-0000-0000010E0000}"/>
    <cellStyle name="Currency 5 3 2 5 2 2" xfId="8455" xr:uid="{00000000-0005-0000-0000-0000020E0000}"/>
    <cellStyle name="Currency 5 3 2 5 3" xfId="6310" xr:uid="{00000000-0005-0000-0000-0000030E0000}"/>
    <cellStyle name="Currency 5 3 2 6" xfId="2421" xr:uid="{00000000-0005-0000-0000-0000040E0000}"/>
    <cellStyle name="Currency 5 3 2 6 2" xfId="4650" xr:uid="{00000000-0005-0000-0000-0000050E0000}"/>
    <cellStyle name="Currency 5 3 2 6 2 2" xfId="8868" xr:uid="{00000000-0005-0000-0000-0000060E0000}"/>
    <cellStyle name="Currency 5 3 2 6 3" xfId="6723" xr:uid="{00000000-0005-0000-0000-0000070E0000}"/>
    <cellStyle name="Currency 5 3 2 7" xfId="2834" xr:uid="{00000000-0005-0000-0000-0000080E0000}"/>
    <cellStyle name="Currency 5 3 2 7 2" xfId="5063" xr:uid="{00000000-0005-0000-0000-0000090E0000}"/>
    <cellStyle name="Currency 5 3 2 7 2 2" xfId="9281" xr:uid="{00000000-0005-0000-0000-00000A0E0000}"/>
    <cellStyle name="Currency 5 3 2 7 3" xfId="7136" xr:uid="{00000000-0005-0000-0000-00000B0E0000}"/>
    <cellStyle name="Currency 5 3 2 8" xfId="3269" xr:uid="{00000000-0005-0000-0000-00000C0E0000}"/>
    <cellStyle name="Currency 5 3 2 8 2" xfId="7549" xr:uid="{00000000-0005-0000-0000-00000D0E0000}"/>
    <cellStyle name="Currency 5 3 2 9" xfId="3566" xr:uid="{00000000-0005-0000-0000-00000E0E0000}"/>
    <cellStyle name="Currency 5 3 3" xfId="215" xr:uid="{00000000-0005-0000-0000-00000F0E0000}"/>
    <cellStyle name="Currency 5 3 3 10" xfId="5487" xr:uid="{00000000-0005-0000-0000-0000100E0000}"/>
    <cellStyle name="Currency 5 3 3 11" xfId="1183" xr:uid="{00000000-0005-0000-0000-0000110E0000}"/>
    <cellStyle name="Currency 5 3 3 2" xfId="216" xr:uid="{00000000-0005-0000-0000-0000120E0000}"/>
    <cellStyle name="Currency 5 3 3 2 10" xfId="1184" xr:uid="{00000000-0005-0000-0000-0000130E0000}"/>
    <cellStyle name="Currency 5 3 3 2 2" xfId="748" xr:uid="{00000000-0005-0000-0000-0000140E0000}"/>
    <cellStyle name="Currency 5 3 3 2 2 2" xfId="3829" xr:uid="{00000000-0005-0000-0000-0000150E0000}"/>
    <cellStyle name="Currency 5 3 3 2 2 2 2" xfId="8047" xr:uid="{00000000-0005-0000-0000-0000160E0000}"/>
    <cellStyle name="Currency 5 3 3 2 2 3" xfId="5902" xr:uid="{00000000-0005-0000-0000-0000170E0000}"/>
    <cellStyle name="Currency 5 3 3 2 2 4" xfId="1599" xr:uid="{00000000-0005-0000-0000-0000180E0000}"/>
    <cellStyle name="Currency 5 3 3 2 3" xfId="2013" xr:uid="{00000000-0005-0000-0000-0000190E0000}"/>
    <cellStyle name="Currency 5 3 3 2 3 2" xfId="4242" xr:uid="{00000000-0005-0000-0000-00001A0E0000}"/>
    <cellStyle name="Currency 5 3 3 2 3 2 2" xfId="8460" xr:uid="{00000000-0005-0000-0000-00001B0E0000}"/>
    <cellStyle name="Currency 5 3 3 2 3 3" xfId="6315" xr:uid="{00000000-0005-0000-0000-00001C0E0000}"/>
    <cellStyle name="Currency 5 3 3 2 4" xfId="2426" xr:uid="{00000000-0005-0000-0000-00001D0E0000}"/>
    <cellStyle name="Currency 5 3 3 2 4 2" xfId="4655" xr:uid="{00000000-0005-0000-0000-00001E0E0000}"/>
    <cellStyle name="Currency 5 3 3 2 4 2 2" xfId="8873" xr:uid="{00000000-0005-0000-0000-00001F0E0000}"/>
    <cellStyle name="Currency 5 3 3 2 4 3" xfId="6728" xr:uid="{00000000-0005-0000-0000-0000200E0000}"/>
    <cellStyle name="Currency 5 3 3 2 5" xfId="2839" xr:uid="{00000000-0005-0000-0000-0000210E0000}"/>
    <cellStyle name="Currency 5 3 3 2 5 2" xfId="5068" xr:uid="{00000000-0005-0000-0000-0000220E0000}"/>
    <cellStyle name="Currency 5 3 3 2 5 2 2" xfId="9286" xr:uid="{00000000-0005-0000-0000-0000230E0000}"/>
    <cellStyle name="Currency 5 3 3 2 5 3" xfId="7141" xr:uid="{00000000-0005-0000-0000-0000240E0000}"/>
    <cellStyle name="Currency 5 3 3 2 6" xfId="3274" xr:uid="{00000000-0005-0000-0000-0000250E0000}"/>
    <cellStyle name="Currency 5 3 3 2 6 2" xfId="7554" xr:uid="{00000000-0005-0000-0000-0000260E0000}"/>
    <cellStyle name="Currency 5 3 3 2 7" xfId="3571" xr:uid="{00000000-0005-0000-0000-0000270E0000}"/>
    <cellStyle name="Currency 5 3 3 2 8" xfId="3652" xr:uid="{00000000-0005-0000-0000-0000280E0000}"/>
    <cellStyle name="Currency 5 3 3 2 8 2" xfId="7871" xr:uid="{00000000-0005-0000-0000-0000290E0000}"/>
    <cellStyle name="Currency 5 3 3 2 9" xfId="5488" xr:uid="{00000000-0005-0000-0000-00002A0E0000}"/>
    <cellStyle name="Currency 5 3 3 3" xfId="747" xr:uid="{00000000-0005-0000-0000-00002B0E0000}"/>
    <cellStyle name="Currency 5 3 3 3 2" xfId="3828" xr:uid="{00000000-0005-0000-0000-00002C0E0000}"/>
    <cellStyle name="Currency 5 3 3 3 2 2" xfId="8046" xr:uid="{00000000-0005-0000-0000-00002D0E0000}"/>
    <cellStyle name="Currency 5 3 3 3 3" xfId="5901" xr:uid="{00000000-0005-0000-0000-00002E0E0000}"/>
    <cellStyle name="Currency 5 3 3 3 4" xfId="1598" xr:uid="{00000000-0005-0000-0000-00002F0E0000}"/>
    <cellStyle name="Currency 5 3 3 4" xfId="2012" xr:uid="{00000000-0005-0000-0000-0000300E0000}"/>
    <cellStyle name="Currency 5 3 3 4 2" xfId="4241" xr:uid="{00000000-0005-0000-0000-0000310E0000}"/>
    <cellStyle name="Currency 5 3 3 4 2 2" xfId="8459" xr:uid="{00000000-0005-0000-0000-0000320E0000}"/>
    <cellStyle name="Currency 5 3 3 4 3" xfId="6314" xr:uid="{00000000-0005-0000-0000-0000330E0000}"/>
    <cellStyle name="Currency 5 3 3 5" xfId="2425" xr:uid="{00000000-0005-0000-0000-0000340E0000}"/>
    <cellStyle name="Currency 5 3 3 5 2" xfId="4654" xr:uid="{00000000-0005-0000-0000-0000350E0000}"/>
    <cellStyle name="Currency 5 3 3 5 2 2" xfId="8872" xr:uid="{00000000-0005-0000-0000-0000360E0000}"/>
    <cellStyle name="Currency 5 3 3 5 3" xfId="6727" xr:uid="{00000000-0005-0000-0000-0000370E0000}"/>
    <cellStyle name="Currency 5 3 3 6" xfId="2838" xr:uid="{00000000-0005-0000-0000-0000380E0000}"/>
    <cellStyle name="Currency 5 3 3 6 2" xfId="5067" xr:uid="{00000000-0005-0000-0000-0000390E0000}"/>
    <cellStyle name="Currency 5 3 3 6 2 2" xfId="9285" xr:uid="{00000000-0005-0000-0000-00003A0E0000}"/>
    <cellStyle name="Currency 5 3 3 6 3" xfId="7140" xr:uid="{00000000-0005-0000-0000-00003B0E0000}"/>
    <cellStyle name="Currency 5 3 3 7" xfId="3273" xr:uid="{00000000-0005-0000-0000-00003C0E0000}"/>
    <cellStyle name="Currency 5 3 3 7 2" xfId="7553" xr:uid="{00000000-0005-0000-0000-00003D0E0000}"/>
    <cellStyle name="Currency 5 3 3 8" xfId="3570" xr:uid="{00000000-0005-0000-0000-00003E0E0000}"/>
    <cellStyle name="Currency 5 3 3 9" xfId="3651" xr:uid="{00000000-0005-0000-0000-00003F0E0000}"/>
    <cellStyle name="Currency 5 3 3 9 2" xfId="7870" xr:uid="{00000000-0005-0000-0000-0000400E0000}"/>
    <cellStyle name="Currency 5 3 4" xfId="217" xr:uid="{00000000-0005-0000-0000-0000410E0000}"/>
    <cellStyle name="Currency 5 3 4 10" xfId="1185" xr:uid="{00000000-0005-0000-0000-0000420E0000}"/>
    <cellStyle name="Currency 5 3 4 2" xfId="749" xr:uid="{00000000-0005-0000-0000-0000430E0000}"/>
    <cellStyle name="Currency 5 3 4 2 2" xfId="3830" xr:uid="{00000000-0005-0000-0000-0000440E0000}"/>
    <cellStyle name="Currency 5 3 4 2 2 2" xfId="8048" xr:uid="{00000000-0005-0000-0000-0000450E0000}"/>
    <cellStyle name="Currency 5 3 4 2 3" xfId="5903" xr:uid="{00000000-0005-0000-0000-0000460E0000}"/>
    <cellStyle name="Currency 5 3 4 2 4" xfId="1600" xr:uid="{00000000-0005-0000-0000-0000470E0000}"/>
    <cellStyle name="Currency 5 3 4 3" xfId="2014" xr:uid="{00000000-0005-0000-0000-0000480E0000}"/>
    <cellStyle name="Currency 5 3 4 3 2" xfId="4243" xr:uid="{00000000-0005-0000-0000-0000490E0000}"/>
    <cellStyle name="Currency 5 3 4 3 2 2" xfId="8461" xr:uid="{00000000-0005-0000-0000-00004A0E0000}"/>
    <cellStyle name="Currency 5 3 4 3 3" xfId="6316" xr:uid="{00000000-0005-0000-0000-00004B0E0000}"/>
    <cellStyle name="Currency 5 3 4 4" xfId="2427" xr:uid="{00000000-0005-0000-0000-00004C0E0000}"/>
    <cellStyle name="Currency 5 3 4 4 2" xfId="4656" xr:uid="{00000000-0005-0000-0000-00004D0E0000}"/>
    <cellStyle name="Currency 5 3 4 4 2 2" xfId="8874" xr:uid="{00000000-0005-0000-0000-00004E0E0000}"/>
    <cellStyle name="Currency 5 3 4 4 3" xfId="6729" xr:uid="{00000000-0005-0000-0000-00004F0E0000}"/>
    <cellStyle name="Currency 5 3 4 5" xfId="2840" xr:uid="{00000000-0005-0000-0000-0000500E0000}"/>
    <cellStyle name="Currency 5 3 4 5 2" xfId="5069" xr:uid="{00000000-0005-0000-0000-0000510E0000}"/>
    <cellStyle name="Currency 5 3 4 5 2 2" xfId="9287" xr:uid="{00000000-0005-0000-0000-0000520E0000}"/>
    <cellStyle name="Currency 5 3 4 5 3" xfId="7142" xr:uid="{00000000-0005-0000-0000-0000530E0000}"/>
    <cellStyle name="Currency 5 3 4 6" xfId="3275" xr:uid="{00000000-0005-0000-0000-0000540E0000}"/>
    <cellStyle name="Currency 5 3 4 6 2" xfId="7555" xr:uid="{00000000-0005-0000-0000-0000550E0000}"/>
    <cellStyle name="Currency 5 3 4 7" xfId="3572" xr:uid="{00000000-0005-0000-0000-0000560E0000}"/>
    <cellStyle name="Currency 5 3 4 8" xfId="3653" xr:uid="{00000000-0005-0000-0000-0000570E0000}"/>
    <cellStyle name="Currency 5 3 4 8 2" xfId="7872" xr:uid="{00000000-0005-0000-0000-0000580E0000}"/>
    <cellStyle name="Currency 5 3 4 9" xfId="5489" xr:uid="{00000000-0005-0000-0000-0000590E0000}"/>
    <cellStyle name="Currency 5 3 5" xfId="218" xr:uid="{00000000-0005-0000-0000-00005A0E0000}"/>
    <cellStyle name="Currency 5 3 5 10" xfId="1186" xr:uid="{00000000-0005-0000-0000-00005B0E0000}"/>
    <cellStyle name="Currency 5 3 5 2" xfId="750" xr:uid="{00000000-0005-0000-0000-00005C0E0000}"/>
    <cellStyle name="Currency 5 3 5 2 2" xfId="3831" xr:uid="{00000000-0005-0000-0000-00005D0E0000}"/>
    <cellStyle name="Currency 5 3 5 2 2 2" xfId="8049" xr:uid="{00000000-0005-0000-0000-00005E0E0000}"/>
    <cellStyle name="Currency 5 3 5 2 3" xfId="5904" xr:uid="{00000000-0005-0000-0000-00005F0E0000}"/>
    <cellStyle name="Currency 5 3 5 2 4" xfId="1601" xr:uid="{00000000-0005-0000-0000-0000600E0000}"/>
    <cellStyle name="Currency 5 3 5 3" xfId="2015" xr:uid="{00000000-0005-0000-0000-0000610E0000}"/>
    <cellStyle name="Currency 5 3 5 3 2" xfId="4244" xr:uid="{00000000-0005-0000-0000-0000620E0000}"/>
    <cellStyle name="Currency 5 3 5 3 2 2" xfId="8462" xr:uid="{00000000-0005-0000-0000-0000630E0000}"/>
    <cellStyle name="Currency 5 3 5 3 3" xfId="6317" xr:uid="{00000000-0005-0000-0000-0000640E0000}"/>
    <cellStyle name="Currency 5 3 5 4" xfId="2428" xr:uid="{00000000-0005-0000-0000-0000650E0000}"/>
    <cellStyle name="Currency 5 3 5 4 2" xfId="4657" xr:uid="{00000000-0005-0000-0000-0000660E0000}"/>
    <cellStyle name="Currency 5 3 5 4 2 2" xfId="8875" xr:uid="{00000000-0005-0000-0000-0000670E0000}"/>
    <cellStyle name="Currency 5 3 5 4 3" xfId="6730" xr:uid="{00000000-0005-0000-0000-0000680E0000}"/>
    <cellStyle name="Currency 5 3 5 5" xfId="2841" xr:uid="{00000000-0005-0000-0000-0000690E0000}"/>
    <cellStyle name="Currency 5 3 5 5 2" xfId="5070" xr:uid="{00000000-0005-0000-0000-00006A0E0000}"/>
    <cellStyle name="Currency 5 3 5 5 2 2" xfId="9288" xr:uid="{00000000-0005-0000-0000-00006B0E0000}"/>
    <cellStyle name="Currency 5 3 5 5 3" xfId="7143" xr:uid="{00000000-0005-0000-0000-00006C0E0000}"/>
    <cellStyle name="Currency 5 3 5 6" xfId="3276" xr:uid="{00000000-0005-0000-0000-00006D0E0000}"/>
    <cellStyle name="Currency 5 3 5 6 2" xfId="7556" xr:uid="{00000000-0005-0000-0000-00006E0E0000}"/>
    <cellStyle name="Currency 5 3 5 7" xfId="3573" xr:uid="{00000000-0005-0000-0000-00006F0E0000}"/>
    <cellStyle name="Currency 5 3 5 8" xfId="3654" xr:uid="{00000000-0005-0000-0000-0000700E0000}"/>
    <cellStyle name="Currency 5 3 5 8 2" xfId="7873" xr:uid="{00000000-0005-0000-0000-0000710E0000}"/>
    <cellStyle name="Currency 5 3 5 9" xfId="5490" xr:uid="{00000000-0005-0000-0000-0000720E0000}"/>
    <cellStyle name="Currency 5 4" xfId="219" xr:uid="{00000000-0005-0000-0000-0000730E0000}"/>
    <cellStyle name="Currency 5 4 2" xfId="751" xr:uid="{00000000-0005-0000-0000-0000740E0000}"/>
    <cellStyle name="Currency 5 5" xfId="220" xr:uid="{00000000-0005-0000-0000-0000750E0000}"/>
    <cellStyle name="Currency 5 5 10" xfId="5491" xr:uid="{00000000-0005-0000-0000-0000760E0000}"/>
    <cellStyle name="Currency 5 5 11" xfId="1187" xr:uid="{00000000-0005-0000-0000-0000770E0000}"/>
    <cellStyle name="Currency 5 5 2" xfId="221" xr:uid="{00000000-0005-0000-0000-0000780E0000}"/>
    <cellStyle name="Currency 5 5 2 10" xfId="1188" xr:uid="{00000000-0005-0000-0000-0000790E0000}"/>
    <cellStyle name="Currency 5 5 2 2" xfId="753" xr:uid="{00000000-0005-0000-0000-00007A0E0000}"/>
    <cellStyle name="Currency 5 5 2 2 2" xfId="3833" xr:uid="{00000000-0005-0000-0000-00007B0E0000}"/>
    <cellStyle name="Currency 5 5 2 2 2 2" xfId="8051" xr:uid="{00000000-0005-0000-0000-00007C0E0000}"/>
    <cellStyle name="Currency 5 5 2 2 3" xfId="5906" xr:uid="{00000000-0005-0000-0000-00007D0E0000}"/>
    <cellStyle name="Currency 5 5 2 2 4" xfId="1603" xr:uid="{00000000-0005-0000-0000-00007E0E0000}"/>
    <cellStyle name="Currency 5 5 2 3" xfId="2017" xr:uid="{00000000-0005-0000-0000-00007F0E0000}"/>
    <cellStyle name="Currency 5 5 2 3 2" xfId="4246" xr:uid="{00000000-0005-0000-0000-0000800E0000}"/>
    <cellStyle name="Currency 5 5 2 3 2 2" xfId="8464" xr:uid="{00000000-0005-0000-0000-0000810E0000}"/>
    <cellStyle name="Currency 5 5 2 3 3" xfId="6319" xr:uid="{00000000-0005-0000-0000-0000820E0000}"/>
    <cellStyle name="Currency 5 5 2 4" xfId="2430" xr:uid="{00000000-0005-0000-0000-0000830E0000}"/>
    <cellStyle name="Currency 5 5 2 4 2" xfId="4659" xr:uid="{00000000-0005-0000-0000-0000840E0000}"/>
    <cellStyle name="Currency 5 5 2 4 2 2" xfId="8877" xr:uid="{00000000-0005-0000-0000-0000850E0000}"/>
    <cellStyle name="Currency 5 5 2 4 3" xfId="6732" xr:uid="{00000000-0005-0000-0000-0000860E0000}"/>
    <cellStyle name="Currency 5 5 2 5" xfId="2843" xr:uid="{00000000-0005-0000-0000-0000870E0000}"/>
    <cellStyle name="Currency 5 5 2 5 2" xfId="5072" xr:uid="{00000000-0005-0000-0000-0000880E0000}"/>
    <cellStyle name="Currency 5 5 2 5 2 2" xfId="9290" xr:uid="{00000000-0005-0000-0000-0000890E0000}"/>
    <cellStyle name="Currency 5 5 2 5 3" xfId="7145" xr:uid="{00000000-0005-0000-0000-00008A0E0000}"/>
    <cellStyle name="Currency 5 5 2 6" xfId="3278" xr:uid="{00000000-0005-0000-0000-00008B0E0000}"/>
    <cellStyle name="Currency 5 5 2 6 2" xfId="7558" xr:uid="{00000000-0005-0000-0000-00008C0E0000}"/>
    <cellStyle name="Currency 5 5 2 7" xfId="3575" xr:uid="{00000000-0005-0000-0000-00008D0E0000}"/>
    <cellStyle name="Currency 5 5 2 8" xfId="3656" xr:uid="{00000000-0005-0000-0000-00008E0E0000}"/>
    <cellStyle name="Currency 5 5 2 8 2" xfId="7875" xr:uid="{00000000-0005-0000-0000-00008F0E0000}"/>
    <cellStyle name="Currency 5 5 2 9" xfId="5492" xr:uid="{00000000-0005-0000-0000-0000900E0000}"/>
    <cellStyle name="Currency 5 5 3" xfId="752" xr:uid="{00000000-0005-0000-0000-0000910E0000}"/>
    <cellStyle name="Currency 5 5 3 2" xfId="3832" xr:uid="{00000000-0005-0000-0000-0000920E0000}"/>
    <cellStyle name="Currency 5 5 3 2 2" xfId="8050" xr:uid="{00000000-0005-0000-0000-0000930E0000}"/>
    <cellStyle name="Currency 5 5 3 3" xfId="5905" xr:uid="{00000000-0005-0000-0000-0000940E0000}"/>
    <cellStyle name="Currency 5 5 3 4" xfId="1602" xr:uid="{00000000-0005-0000-0000-0000950E0000}"/>
    <cellStyle name="Currency 5 5 4" xfId="2016" xr:uid="{00000000-0005-0000-0000-0000960E0000}"/>
    <cellStyle name="Currency 5 5 4 2" xfId="4245" xr:uid="{00000000-0005-0000-0000-0000970E0000}"/>
    <cellStyle name="Currency 5 5 4 2 2" xfId="8463" xr:uid="{00000000-0005-0000-0000-0000980E0000}"/>
    <cellStyle name="Currency 5 5 4 3" xfId="6318" xr:uid="{00000000-0005-0000-0000-0000990E0000}"/>
    <cellStyle name="Currency 5 5 5" xfId="2429" xr:uid="{00000000-0005-0000-0000-00009A0E0000}"/>
    <cellStyle name="Currency 5 5 5 2" xfId="4658" xr:uid="{00000000-0005-0000-0000-00009B0E0000}"/>
    <cellStyle name="Currency 5 5 5 2 2" xfId="8876" xr:uid="{00000000-0005-0000-0000-00009C0E0000}"/>
    <cellStyle name="Currency 5 5 5 3" xfId="6731" xr:uid="{00000000-0005-0000-0000-00009D0E0000}"/>
    <cellStyle name="Currency 5 5 6" xfId="2842" xr:uid="{00000000-0005-0000-0000-00009E0E0000}"/>
    <cellStyle name="Currency 5 5 6 2" xfId="5071" xr:uid="{00000000-0005-0000-0000-00009F0E0000}"/>
    <cellStyle name="Currency 5 5 6 2 2" xfId="9289" xr:uid="{00000000-0005-0000-0000-0000A00E0000}"/>
    <cellStyle name="Currency 5 5 6 3" xfId="7144" xr:uid="{00000000-0005-0000-0000-0000A10E0000}"/>
    <cellStyle name="Currency 5 5 7" xfId="3277" xr:uid="{00000000-0005-0000-0000-0000A20E0000}"/>
    <cellStyle name="Currency 5 5 7 2" xfId="7557" xr:uid="{00000000-0005-0000-0000-0000A30E0000}"/>
    <cellStyle name="Currency 5 5 8" xfId="3574" xr:uid="{00000000-0005-0000-0000-0000A40E0000}"/>
    <cellStyle name="Currency 5 5 9" xfId="3655" xr:uid="{00000000-0005-0000-0000-0000A50E0000}"/>
    <cellStyle name="Currency 5 5 9 2" xfId="7874" xr:uid="{00000000-0005-0000-0000-0000A60E0000}"/>
    <cellStyle name="Currency 5 6" xfId="222" xr:uid="{00000000-0005-0000-0000-0000A70E0000}"/>
    <cellStyle name="Currency 5 6 10" xfId="1189" xr:uid="{00000000-0005-0000-0000-0000A80E0000}"/>
    <cellStyle name="Currency 5 6 2" xfId="754" xr:uid="{00000000-0005-0000-0000-0000A90E0000}"/>
    <cellStyle name="Currency 5 6 2 2" xfId="3834" xr:uid="{00000000-0005-0000-0000-0000AA0E0000}"/>
    <cellStyle name="Currency 5 6 2 2 2" xfId="8052" xr:uid="{00000000-0005-0000-0000-0000AB0E0000}"/>
    <cellStyle name="Currency 5 6 2 3" xfId="5907" xr:uid="{00000000-0005-0000-0000-0000AC0E0000}"/>
    <cellStyle name="Currency 5 6 2 4" xfId="1604" xr:uid="{00000000-0005-0000-0000-0000AD0E0000}"/>
    <cellStyle name="Currency 5 6 3" xfId="2018" xr:uid="{00000000-0005-0000-0000-0000AE0E0000}"/>
    <cellStyle name="Currency 5 6 3 2" xfId="4247" xr:uid="{00000000-0005-0000-0000-0000AF0E0000}"/>
    <cellStyle name="Currency 5 6 3 2 2" xfId="8465" xr:uid="{00000000-0005-0000-0000-0000B00E0000}"/>
    <cellStyle name="Currency 5 6 3 3" xfId="6320" xr:uid="{00000000-0005-0000-0000-0000B10E0000}"/>
    <cellStyle name="Currency 5 6 4" xfId="2431" xr:uid="{00000000-0005-0000-0000-0000B20E0000}"/>
    <cellStyle name="Currency 5 6 4 2" xfId="4660" xr:uid="{00000000-0005-0000-0000-0000B30E0000}"/>
    <cellStyle name="Currency 5 6 4 2 2" xfId="8878" xr:uid="{00000000-0005-0000-0000-0000B40E0000}"/>
    <cellStyle name="Currency 5 6 4 3" xfId="6733" xr:uid="{00000000-0005-0000-0000-0000B50E0000}"/>
    <cellStyle name="Currency 5 6 5" xfId="2844" xr:uid="{00000000-0005-0000-0000-0000B60E0000}"/>
    <cellStyle name="Currency 5 6 5 2" xfId="5073" xr:uid="{00000000-0005-0000-0000-0000B70E0000}"/>
    <cellStyle name="Currency 5 6 5 2 2" xfId="9291" xr:uid="{00000000-0005-0000-0000-0000B80E0000}"/>
    <cellStyle name="Currency 5 6 5 3" xfId="7146" xr:uid="{00000000-0005-0000-0000-0000B90E0000}"/>
    <cellStyle name="Currency 5 6 6" xfId="3279" xr:uid="{00000000-0005-0000-0000-0000BA0E0000}"/>
    <cellStyle name="Currency 5 6 6 2" xfId="7559" xr:uid="{00000000-0005-0000-0000-0000BB0E0000}"/>
    <cellStyle name="Currency 5 6 7" xfId="3576" xr:uid="{00000000-0005-0000-0000-0000BC0E0000}"/>
    <cellStyle name="Currency 5 6 8" xfId="3657" xr:uid="{00000000-0005-0000-0000-0000BD0E0000}"/>
    <cellStyle name="Currency 5 6 8 2" xfId="7876" xr:uid="{00000000-0005-0000-0000-0000BE0E0000}"/>
    <cellStyle name="Currency 5 6 9" xfId="5493" xr:uid="{00000000-0005-0000-0000-0000BF0E0000}"/>
    <cellStyle name="Currency 5 7" xfId="223" xr:uid="{00000000-0005-0000-0000-0000C00E0000}"/>
    <cellStyle name="Currency 5 7 10" xfId="1190" xr:uid="{00000000-0005-0000-0000-0000C10E0000}"/>
    <cellStyle name="Currency 5 7 2" xfId="755" xr:uid="{00000000-0005-0000-0000-0000C20E0000}"/>
    <cellStyle name="Currency 5 7 2 2" xfId="3835" xr:uid="{00000000-0005-0000-0000-0000C30E0000}"/>
    <cellStyle name="Currency 5 7 2 2 2" xfId="8053" xr:uid="{00000000-0005-0000-0000-0000C40E0000}"/>
    <cellStyle name="Currency 5 7 2 3" xfId="5908" xr:uid="{00000000-0005-0000-0000-0000C50E0000}"/>
    <cellStyle name="Currency 5 7 2 4" xfId="1605" xr:uid="{00000000-0005-0000-0000-0000C60E0000}"/>
    <cellStyle name="Currency 5 7 3" xfId="2019" xr:uid="{00000000-0005-0000-0000-0000C70E0000}"/>
    <cellStyle name="Currency 5 7 3 2" xfId="4248" xr:uid="{00000000-0005-0000-0000-0000C80E0000}"/>
    <cellStyle name="Currency 5 7 3 2 2" xfId="8466" xr:uid="{00000000-0005-0000-0000-0000C90E0000}"/>
    <cellStyle name="Currency 5 7 3 3" xfId="6321" xr:uid="{00000000-0005-0000-0000-0000CA0E0000}"/>
    <cellStyle name="Currency 5 7 4" xfId="2432" xr:uid="{00000000-0005-0000-0000-0000CB0E0000}"/>
    <cellStyle name="Currency 5 7 4 2" xfId="4661" xr:uid="{00000000-0005-0000-0000-0000CC0E0000}"/>
    <cellStyle name="Currency 5 7 4 2 2" xfId="8879" xr:uid="{00000000-0005-0000-0000-0000CD0E0000}"/>
    <cellStyle name="Currency 5 7 4 3" xfId="6734" xr:uid="{00000000-0005-0000-0000-0000CE0E0000}"/>
    <cellStyle name="Currency 5 7 5" xfId="2845" xr:uid="{00000000-0005-0000-0000-0000CF0E0000}"/>
    <cellStyle name="Currency 5 7 5 2" xfId="5074" xr:uid="{00000000-0005-0000-0000-0000D00E0000}"/>
    <cellStyle name="Currency 5 7 5 2 2" xfId="9292" xr:uid="{00000000-0005-0000-0000-0000D10E0000}"/>
    <cellStyle name="Currency 5 7 5 3" xfId="7147" xr:uid="{00000000-0005-0000-0000-0000D20E0000}"/>
    <cellStyle name="Currency 5 7 6" xfId="3280" xr:uid="{00000000-0005-0000-0000-0000D30E0000}"/>
    <cellStyle name="Currency 5 7 6 2" xfId="7560" xr:uid="{00000000-0005-0000-0000-0000D40E0000}"/>
    <cellStyle name="Currency 5 7 7" xfId="3577" xr:uid="{00000000-0005-0000-0000-0000D50E0000}"/>
    <cellStyle name="Currency 5 7 8" xfId="3658" xr:uid="{00000000-0005-0000-0000-0000D60E0000}"/>
    <cellStyle name="Currency 5 7 8 2" xfId="7877" xr:uid="{00000000-0005-0000-0000-0000D70E0000}"/>
    <cellStyle name="Currency 5 7 9" xfId="5494" xr:uid="{00000000-0005-0000-0000-0000D80E0000}"/>
    <cellStyle name="Currency 5 8" xfId="728" xr:uid="{00000000-0005-0000-0000-0000D90E0000}"/>
    <cellStyle name="Currency 6" xfId="224" xr:uid="{00000000-0005-0000-0000-0000DA0E0000}"/>
    <cellStyle name="Currency 6 2" xfId="225" xr:uid="{00000000-0005-0000-0000-0000DB0E0000}"/>
    <cellStyle name="Currency 6 3" xfId="226" xr:uid="{00000000-0005-0000-0000-0000DC0E0000}"/>
    <cellStyle name="Currency 6 3 2" xfId="757" xr:uid="{00000000-0005-0000-0000-0000DD0E0000}"/>
    <cellStyle name="Currency 6 4" xfId="756" xr:uid="{00000000-0005-0000-0000-0000DE0E0000}"/>
    <cellStyle name="Currency 7" xfId="227" xr:uid="{00000000-0005-0000-0000-0000DF0E0000}"/>
    <cellStyle name="Currency 7 2" xfId="228" xr:uid="{00000000-0005-0000-0000-0000E00E0000}"/>
    <cellStyle name="Currency 7 2 2" xfId="759" xr:uid="{00000000-0005-0000-0000-0000E10E0000}"/>
    <cellStyle name="Currency 7 3" xfId="229" xr:uid="{00000000-0005-0000-0000-0000E20E0000}"/>
    <cellStyle name="Currency 7 3 2" xfId="760" xr:uid="{00000000-0005-0000-0000-0000E30E0000}"/>
    <cellStyle name="Currency 7 4" xfId="230" xr:uid="{00000000-0005-0000-0000-0000E40E0000}"/>
    <cellStyle name="Currency 7 4 2" xfId="761" xr:uid="{00000000-0005-0000-0000-0000E50E0000}"/>
    <cellStyle name="Currency 7 5" xfId="758" xr:uid="{00000000-0005-0000-0000-0000E60E0000}"/>
    <cellStyle name="Currency 8" xfId="231" xr:uid="{00000000-0005-0000-0000-0000E70E0000}"/>
    <cellStyle name="Currency 8 2" xfId="232" xr:uid="{00000000-0005-0000-0000-0000E80E0000}"/>
    <cellStyle name="Currency 8 2 2" xfId="763" xr:uid="{00000000-0005-0000-0000-0000E90E0000}"/>
    <cellStyle name="Currency 8 3" xfId="762" xr:uid="{00000000-0005-0000-0000-0000EA0E0000}"/>
    <cellStyle name="Currency 9" xfId="233" xr:uid="{00000000-0005-0000-0000-0000EB0E0000}"/>
    <cellStyle name="Currency 9 2" xfId="234" xr:uid="{00000000-0005-0000-0000-0000EC0E0000}"/>
    <cellStyle name="Currency 9 2 2" xfId="765" xr:uid="{00000000-0005-0000-0000-0000ED0E0000}"/>
    <cellStyle name="Currency 9 3" xfId="764" xr:uid="{00000000-0005-0000-0000-0000EE0E0000}"/>
    <cellStyle name="Explanatory Text" xfId="235" builtinId="53" customBuiltin="1"/>
    <cellStyle name="Good" xfId="236" builtinId="26" customBuiltin="1"/>
    <cellStyle name="Heading 1" xfId="237" builtinId="16" customBuiltin="1"/>
    <cellStyle name="Heading 1 2" xfId="238" xr:uid="{00000000-0005-0000-0000-0000F20E0000}"/>
    <cellStyle name="Heading 2" xfId="239" builtinId="17" customBuiltin="1"/>
    <cellStyle name="Heading 2 2" xfId="240" xr:uid="{00000000-0005-0000-0000-0000F40E0000}"/>
    <cellStyle name="Heading 3" xfId="241" builtinId="18" customBuiltin="1"/>
    <cellStyle name="Heading 3 2" xfId="242" xr:uid="{00000000-0005-0000-0000-0000F60E0000}"/>
    <cellStyle name="Heading 4" xfId="243" builtinId="19" customBuiltin="1"/>
    <cellStyle name="Heading 4 2" xfId="244" xr:uid="{00000000-0005-0000-0000-0000F80E0000}"/>
    <cellStyle name="Hyperlink" xfId="245" builtinId="8"/>
    <cellStyle name="Hyperlink 2" xfId="246" xr:uid="{00000000-0005-0000-0000-0000FA0E0000}"/>
    <cellStyle name="Hyperlink 2 2" xfId="247" xr:uid="{00000000-0005-0000-0000-0000FB0E0000}"/>
    <cellStyle name="Input" xfId="248" builtinId="20" customBuiltin="1"/>
    <cellStyle name="Label" xfId="249" xr:uid="{00000000-0005-0000-0000-0000FD0E0000}"/>
    <cellStyle name="Label No Shade" xfId="250" xr:uid="{00000000-0005-0000-0000-0000FE0E0000}"/>
    <cellStyle name="Label Shaded" xfId="251" xr:uid="{00000000-0005-0000-0000-0000FF0E0000}"/>
    <cellStyle name="Linked Cell" xfId="252" builtinId="24" customBuiltin="1"/>
    <cellStyle name="Neutral" xfId="253" builtinId="28" customBuiltin="1"/>
    <cellStyle name="Normal" xfId="0" builtinId="0"/>
    <cellStyle name="Normal 10" xfId="254" xr:uid="{00000000-0005-0000-0000-0000030F0000}"/>
    <cellStyle name="Normal 10 2" xfId="255" xr:uid="{00000000-0005-0000-0000-0000040F0000}"/>
    <cellStyle name="Normal 10 3" xfId="256" xr:uid="{00000000-0005-0000-0000-0000050F0000}"/>
    <cellStyle name="Normal 11" xfId="257" xr:uid="{00000000-0005-0000-0000-0000060F0000}"/>
    <cellStyle name="Normal 11 2" xfId="258" xr:uid="{00000000-0005-0000-0000-0000070F0000}"/>
    <cellStyle name="Normal 11 2 3" xfId="259" xr:uid="{00000000-0005-0000-0000-0000080F0000}"/>
    <cellStyle name="Normal 11 2 3 2" xfId="766" xr:uid="{00000000-0005-0000-0000-0000090F0000}"/>
    <cellStyle name="Normal 11 3" xfId="260" xr:uid="{00000000-0005-0000-0000-00000A0F0000}"/>
    <cellStyle name="Normal 11 3 2" xfId="767" xr:uid="{00000000-0005-0000-0000-00000B0F0000}"/>
    <cellStyle name="Normal 12" xfId="261" xr:uid="{00000000-0005-0000-0000-00000C0F0000}"/>
    <cellStyle name="Normal 12 10" xfId="3282" xr:uid="{00000000-0005-0000-0000-00000D0F0000}"/>
    <cellStyle name="Normal 12 10 2" xfId="7561" xr:uid="{00000000-0005-0000-0000-00000E0F0000}"/>
    <cellStyle name="Normal 12 11" xfId="5495" xr:uid="{00000000-0005-0000-0000-00000F0F0000}"/>
    <cellStyle name="Normal 12 12" xfId="1191" xr:uid="{00000000-0005-0000-0000-0000100F0000}"/>
    <cellStyle name="Normal 12 2" xfId="262" xr:uid="{00000000-0005-0000-0000-0000110F0000}"/>
    <cellStyle name="Normal 12 2 10" xfId="1192" xr:uid="{00000000-0005-0000-0000-0000120F0000}"/>
    <cellStyle name="Normal 12 2 2" xfId="263" xr:uid="{00000000-0005-0000-0000-0000130F0000}"/>
    <cellStyle name="Normal 12 2 2 2" xfId="264" xr:uid="{00000000-0005-0000-0000-0000140F0000}"/>
    <cellStyle name="Normal 12 2 2 2 2" xfId="771" xr:uid="{00000000-0005-0000-0000-0000150F0000}"/>
    <cellStyle name="Normal 12 2 2 2 2 2" xfId="3839" xr:uid="{00000000-0005-0000-0000-0000160F0000}"/>
    <cellStyle name="Normal 12 2 2 2 2 2 2" xfId="8057" xr:uid="{00000000-0005-0000-0000-0000170F0000}"/>
    <cellStyle name="Normal 12 2 2 2 2 3" xfId="5912" xr:uid="{00000000-0005-0000-0000-0000180F0000}"/>
    <cellStyle name="Normal 12 2 2 2 2 4" xfId="1609" xr:uid="{00000000-0005-0000-0000-0000190F0000}"/>
    <cellStyle name="Normal 12 2 2 2 3" xfId="2023" xr:uid="{00000000-0005-0000-0000-00001A0F0000}"/>
    <cellStyle name="Normal 12 2 2 2 3 2" xfId="4252" xr:uid="{00000000-0005-0000-0000-00001B0F0000}"/>
    <cellStyle name="Normal 12 2 2 2 3 2 2" xfId="8470" xr:uid="{00000000-0005-0000-0000-00001C0F0000}"/>
    <cellStyle name="Normal 12 2 2 2 3 3" xfId="6325" xr:uid="{00000000-0005-0000-0000-00001D0F0000}"/>
    <cellStyle name="Normal 12 2 2 2 4" xfId="2436" xr:uid="{00000000-0005-0000-0000-00001E0F0000}"/>
    <cellStyle name="Normal 12 2 2 2 4 2" xfId="4665" xr:uid="{00000000-0005-0000-0000-00001F0F0000}"/>
    <cellStyle name="Normal 12 2 2 2 4 2 2" xfId="8883" xr:uid="{00000000-0005-0000-0000-0000200F0000}"/>
    <cellStyle name="Normal 12 2 2 2 4 3" xfId="6738" xr:uid="{00000000-0005-0000-0000-0000210F0000}"/>
    <cellStyle name="Normal 12 2 2 2 5" xfId="2849" xr:uid="{00000000-0005-0000-0000-0000220F0000}"/>
    <cellStyle name="Normal 12 2 2 2 5 2" xfId="5078" xr:uid="{00000000-0005-0000-0000-0000230F0000}"/>
    <cellStyle name="Normal 12 2 2 2 5 2 2" xfId="9296" xr:uid="{00000000-0005-0000-0000-0000240F0000}"/>
    <cellStyle name="Normal 12 2 2 2 5 3" xfId="7151" xr:uid="{00000000-0005-0000-0000-0000250F0000}"/>
    <cellStyle name="Normal 12 2 2 2 6" xfId="3285" xr:uid="{00000000-0005-0000-0000-0000260F0000}"/>
    <cellStyle name="Normal 12 2 2 2 6 2" xfId="7564" xr:uid="{00000000-0005-0000-0000-0000270F0000}"/>
    <cellStyle name="Normal 12 2 2 2 7" xfId="5498" xr:uid="{00000000-0005-0000-0000-0000280F0000}"/>
    <cellStyle name="Normal 12 2 2 2 8" xfId="1194" xr:uid="{00000000-0005-0000-0000-0000290F0000}"/>
    <cellStyle name="Normal 12 2 2 3" xfId="770" xr:uid="{00000000-0005-0000-0000-00002A0F0000}"/>
    <cellStyle name="Normal 12 2 2 3 2" xfId="3838" xr:uid="{00000000-0005-0000-0000-00002B0F0000}"/>
    <cellStyle name="Normal 12 2 2 3 2 2" xfId="8056" xr:uid="{00000000-0005-0000-0000-00002C0F0000}"/>
    <cellStyle name="Normal 12 2 2 3 3" xfId="5911" xr:uid="{00000000-0005-0000-0000-00002D0F0000}"/>
    <cellStyle name="Normal 12 2 2 3 4" xfId="1608" xr:uid="{00000000-0005-0000-0000-00002E0F0000}"/>
    <cellStyle name="Normal 12 2 2 4" xfId="2022" xr:uid="{00000000-0005-0000-0000-00002F0F0000}"/>
    <cellStyle name="Normal 12 2 2 4 2" xfId="4251" xr:uid="{00000000-0005-0000-0000-0000300F0000}"/>
    <cellStyle name="Normal 12 2 2 4 2 2" xfId="8469" xr:uid="{00000000-0005-0000-0000-0000310F0000}"/>
    <cellStyle name="Normal 12 2 2 4 3" xfId="6324" xr:uid="{00000000-0005-0000-0000-0000320F0000}"/>
    <cellStyle name="Normal 12 2 2 5" xfId="2435" xr:uid="{00000000-0005-0000-0000-0000330F0000}"/>
    <cellStyle name="Normal 12 2 2 5 2" xfId="4664" xr:uid="{00000000-0005-0000-0000-0000340F0000}"/>
    <cellStyle name="Normal 12 2 2 5 2 2" xfId="8882" xr:uid="{00000000-0005-0000-0000-0000350F0000}"/>
    <cellStyle name="Normal 12 2 2 5 3" xfId="6737" xr:uid="{00000000-0005-0000-0000-0000360F0000}"/>
    <cellStyle name="Normal 12 2 2 6" xfId="2848" xr:uid="{00000000-0005-0000-0000-0000370F0000}"/>
    <cellStyle name="Normal 12 2 2 6 2" xfId="5077" xr:uid="{00000000-0005-0000-0000-0000380F0000}"/>
    <cellStyle name="Normal 12 2 2 6 2 2" xfId="9295" xr:uid="{00000000-0005-0000-0000-0000390F0000}"/>
    <cellStyle name="Normal 12 2 2 6 3" xfId="7150" xr:uid="{00000000-0005-0000-0000-00003A0F0000}"/>
    <cellStyle name="Normal 12 2 2 7" xfId="3284" xr:uid="{00000000-0005-0000-0000-00003B0F0000}"/>
    <cellStyle name="Normal 12 2 2 7 2" xfId="7563" xr:uid="{00000000-0005-0000-0000-00003C0F0000}"/>
    <cellStyle name="Normal 12 2 2 8" xfId="5497" xr:uid="{00000000-0005-0000-0000-00003D0F0000}"/>
    <cellStyle name="Normal 12 2 2 9" xfId="1193" xr:uid="{00000000-0005-0000-0000-00003E0F0000}"/>
    <cellStyle name="Normal 12 2 3" xfId="265" xr:uid="{00000000-0005-0000-0000-00003F0F0000}"/>
    <cellStyle name="Normal 12 2 3 2" xfId="772" xr:uid="{00000000-0005-0000-0000-0000400F0000}"/>
    <cellStyle name="Normal 12 2 3 2 2" xfId="3840" xr:uid="{00000000-0005-0000-0000-0000410F0000}"/>
    <cellStyle name="Normal 12 2 3 2 2 2" xfId="8058" xr:uid="{00000000-0005-0000-0000-0000420F0000}"/>
    <cellStyle name="Normal 12 2 3 2 3" xfId="5913" xr:uid="{00000000-0005-0000-0000-0000430F0000}"/>
    <cellStyle name="Normal 12 2 3 2 4" xfId="1610" xr:uid="{00000000-0005-0000-0000-0000440F0000}"/>
    <cellStyle name="Normal 12 2 3 3" xfId="2024" xr:uid="{00000000-0005-0000-0000-0000450F0000}"/>
    <cellStyle name="Normal 12 2 3 3 2" xfId="4253" xr:uid="{00000000-0005-0000-0000-0000460F0000}"/>
    <cellStyle name="Normal 12 2 3 3 2 2" xfId="8471" xr:uid="{00000000-0005-0000-0000-0000470F0000}"/>
    <cellStyle name="Normal 12 2 3 3 3" xfId="6326" xr:uid="{00000000-0005-0000-0000-0000480F0000}"/>
    <cellStyle name="Normal 12 2 3 4" xfId="2437" xr:uid="{00000000-0005-0000-0000-0000490F0000}"/>
    <cellStyle name="Normal 12 2 3 4 2" xfId="4666" xr:uid="{00000000-0005-0000-0000-00004A0F0000}"/>
    <cellStyle name="Normal 12 2 3 4 2 2" xfId="8884" xr:uid="{00000000-0005-0000-0000-00004B0F0000}"/>
    <cellStyle name="Normal 12 2 3 4 3" xfId="6739" xr:uid="{00000000-0005-0000-0000-00004C0F0000}"/>
    <cellStyle name="Normal 12 2 3 5" xfId="2850" xr:uid="{00000000-0005-0000-0000-00004D0F0000}"/>
    <cellStyle name="Normal 12 2 3 5 2" xfId="5079" xr:uid="{00000000-0005-0000-0000-00004E0F0000}"/>
    <cellStyle name="Normal 12 2 3 5 2 2" xfId="9297" xr:uid="{00000000-0005-0000-0000-00004F0F0000}"/>
    <cellStyle name="Normal 12 2 3 5 3" xfId="7152" xr:uid="{00000000-0005-0000-0000-0000500F0000}"/>
    <cellStyle name="Normal 12 2 3 6" xfId="3286" xr:uid="{00000000-0005-0000-0000-0000510F0000}"/>
    <cellStyle name="Normal 12 2 3 6 2" xfId="7565" xr:uid="{00000000-0005-0000-0000-0000520F0000}"/>
    <cellStyle name="Normal 12 2 3 7" xfId="5499" xr:uid="{00000000-0005-0000-0000-0000530F0000}"/>
    <cellStyle name="Normal 12 2 3 8" xfId="1195" xr:uid="{00000000-0005-0000-0000-0000540F0000}"/>
    <cellStyle name="Normal 12 2 4" xfId="769" xr:uid="{00000000-0005-0000-0000-0000550F0000}"/>
    <cellStyle name="Normal 12 2 4 2" xfId="3837" xr:uid="{00000000-0005-0000-0000-0000560F0000}"/>
    <cellStyle name="Normal 12 2 4 2 2" xfId="8055" xr:uid="{00000000-0005-0000-0000-0000570F0000}"/>
    <cellStyle name="Normal 12 2 4 3" xfId="5910" xr:uid="{00000000-0005-0000-0000-0000580F0000}"/>
    <cellStyle name="Normal 12 2 4 4" xfId="1607" xr:uid="{00000000-0005-0000-0000-0000590F0000}"/>
    <cellStyle name="Normal 12 2 5" xfId="2021" xr:uid="{00000000-0005-0000-0000-00005A0F0000}"/>
    <cellStyle name="Normal 12 2 5 2" xfId="4250" xr:uid="{00000000-0005-0000-0000-00005B0F0000}"/>
    <cellStyle name="Normal 12 2 5 2 2" xfId="8468" xr:uid="{00000000-0005-0000-0000-00005C0F0000}"/>
    <cellStyle name="Normal 12 2 5 3" xfId="6323" xr:uid="{00000000-0005-0000-0000-00005D0F0000}"/>
    <cellStyle name="Normal 12 2 6" xfId="2434" xr:uid="{00000000-0005-0000-0000-00005E0F0000}"/>
    <cellStyle name="Normal 12 2 6 2" xfId="4663" xr:uid="{00000000-0005-0000-0000-00005F0F0000}"/>
    <cellStyle name="Normal 12 2 6 2 2" xfId="8881" xr:uid="{00000000-0005-0000-0000-0000600F0000}"/>
    <cellStyle name="Normal 12 2 6 3" xfId="6736" xr:uid="{00000000-0005-0000-0000-0000610F0000}"/>
    <cellStyle name="Normal 12 2 7" xfId="2847" xr:uid="{00000000-0005-0000-0000-0000620F0000}"/>
    <cellStyle name="Normal 12 2 7 2" xfId="5076" xr:uid="{00000000-0005-0000-0000-0000630F0000}"/>
    <cellStyle name="Normal 12 2 7 2 2" xfId="9294" xr:uid="{00000000-0005-0000-0000-0000640F0000}"/>
    <cellStyle name="Normal 12 2 7 3" xfId="7149" xr:uid="{00000000-0005-0000-0000-0000650F0000}"/>
    <cellStyle name="Normal 12 2 8" xfId="3283" xr:uid="{00000000-0005-0000-0000-0000660F0000}"/>
    <cellStyle name="Normal 12 2 8 2" xfId="7562" xr:uid="{00000000-0005-0000-0000-0000670F0000}"/>
    <cellStyle name="Normal 12 2 9" xfId="5496" xr:uid="{00000000-0005-0000-0000-0000680F0000}"/>
    <cellStyle name="Normal 12 3" xfId="266" xr:uid="{00000000-0005-0000-0000-0000690F0000}"/>
    <cellStyle name="Normal 12 3 2" xfId="267" xr:uid="{00000000-0005-0000-0000-00006A0F0000}"/>
    <cellStyle name="Normal 12 3 2 2" xfId="774" xr:uid="{00000000-0005-0000-0000-00006B0F0000}"/>
    <cellStyle name="Normal 12 3 2 2 2" xfId="3842" xr:uid="{00000000-0005-0000-0000-00006C0F0000}"/>
    <cellStyle name="Normal 12 3 2 2 2 2" xfId="8060" xr:uid="{00000000-0005-0000-0000-00006D0F0000}"/>
    <cellStyle name="Normal 12 3 2 2 3" xfId="5915" xr:uid="{00000000-0005-0000-0000-00006E0F0000}"/>
    <cellStyle name="Normal 12 3 2 2 4" xfId="1612" xr:uid="{00000000-0005-0000-0000-00006F0F0000}"/>
    <cellStyle name="Normal 12 3 2 3" xfId="2026" xr:uid="{00000000-0005-0000-0000-0000700F0000}"/>
    <cellStyle name="Normal 12 3 2 3 2" xfId="4255" xr:uid="{00000000-0005-0000-0000-0000710F0000}"/>
    <cellStyle name="Normal 12 3 2 3 2 2" xfId="8473" xr:uid="{00000000-0005-0000-0000-0000720F0000}"/>
    <cellStyle name="Normal 12 3 2 3 3" xfId="6328" xr:uid="{00000000-0005-0000-0000-0000730F0000}"/>
    <cellStyle name="Normal 12 3 2 4" xfId="2439" xr:uid="{00000000-0005-0000-0000-0000740F0000}"/>
    <cellStyle name="Normal 12 3 2 4 2" xfId="4668" xr:uid="{00000000-0005-0000-0000-0000750F0000}"/>
    <cellStyle name="Normal 12 3 2 4 2 2" xfId="8886" xr:uid="{00000000-0005-0000-0000-0000760F0000}"/>
    <cellStyle name="Normal 12 3 2 4 3" xfId="6741" xr:uid="{00000000-0005-0000-0000-0000770F0000}"/>
    <cellStyle name="Normal 12 3 2 5" xfId="2852" xr:uid="{00000000-0005-0000-0000-0000780F0000}"/>
    <cellStyle name="Normal 12 3 2 5 2" xfId="5081" xr:uid="{00000000-0005-0000-0000-0000790F0000}"/>
    <cellStyle name="Normal 12 3 2 5 2 2" xfId="9299" xr:uid="{00000000-0005-0000-0000-00007A0F0000}"/>
    <cellStyle name="Normal 12 3 2 5 3" xfId="7154" xr:uid="{00000000-0005-0000-0000-00007B0F0000}"/>
    <cellStyle name="Normal 12 3 2 6" xfId="3288" xr:uid="{00000000-0005-0000-0000-00007C0F0000}"/>
    <cellStyle name="Normal 12 3 2 6 2" xfId="7567" xr:uid="{00000000-0005-0000-0000-00007D0F0000}"/>
    <cellStyle name="Normal 12 3 2 7" xfId="5501" xr:uid="{00000000-0005-0000-0000-00007E0F0000}"/>
    <cellStyle name="Normal 12 3 2 8" xfId="1197" xr:uid="{00000000-0005-0000-0000-00007F0F0000}"/>
    <cellStyle name="Normal 12 3 3" xfId="773" xr:uid="{00000000-0005-0000-0000-0000800F0000}"/>
    <cellStyle name="Normal 12 3 3 2" xfId="3841" xr:uid="{00000000-0005-0000-0000-0000810F0000}"/>
    <cellStyle name="Normal 12 3 3 2 2" xfId="8059" xr:uid="{00000000-0005-0000-0000-0000820F0000}"/>
    <cellStyle name="Normal 12 3 3 3" xfId="5914" xr:uid="{00000000-0005-0000-0000-0000830F0000}"/>
    <cellStyle name="Normal 12 3 3 4" xfId="1611" xr:uid="{00000000-0005-0000-0000-0000840F0000}"/>
    <cellStyle name="Normal 12 3 4" xfId="2025" xr:uid="{00000000-0005-0000-0000-0000850F0000}"/>
    <cellStyle name="Normal 12 3 4 2" xfId="4254" xr:uid="{00000000-0005-0000-0000-0000860F0000}"/>
    <cellStyle name="Normal 12 3 4 2 2" xfId="8472" xr:uid="{00000000-0005-0000-0000-0000870F0000}"/>
    <cellStyle name="Normal 12 3 4 3" xfId="6327" xr:uid="{00000000-0005-0000-0000-0000880F0000}"/>
    <cellStyle name="Normal 12 3 5" xfId="2438" xr:uid="{00000000-0005-0000-0000-0000890F0000}"/>
    <cellStyle name="Normal 12 3 5 2" xfId="4667" xr:uid="{00000000-0005-0000-0000-00008A0F0000}"/>
    <cellStyle name="Normal 12 3 5 2 2" xfId="8885" xr:uid="{00000000-0005-0000-0000-00008B0F0000}"/>
    <cellStyle name="Normal 12 3 5 3" xfId="6740" xr:uid="{00000000-0005-0000-0000-00008C0F0000}"/>
    <cellStyle name="Normal 12 3 6" xfId="2851" xr:uid="{00000000-0005-0000-0000-00008D0F0000}"/>
    <cellStyle name="Normal 12 3 6 2" xfId="5080" xr:uid="{00000000-0005-0000-0000-00008E0F0000}"/>
    <cellStyle name="Normal 12 3 6 2 2" xfId="9298" xr:uid="{00000000-0005-0000-0000-00008F0F0000}"/>
    <cellStyle name="Normal 12 3 6 3" xfId="7153" xr:uid="{00000000-0005-0000-0000-0000900F0000}"/>
    <cellStyle name="Normal 12 3 7" xfId="3287" xr:uid="{00000000-0005-0000-0000-0000910F0000}"/>
    <cellStyle name="Normal 12 3 7 2" xfId="7566" xr:uid="{00000000-0005-0000-0000-0000920F0000}"/>
    <cellStyle name="Normal 12 3 8" xfId="5500" xr:uid="{00000000-0005-0000-0000-0000930F0000}"/>
    <cellStyle name="Normal 12 3 9" xfId="1196" xr:uid="{00000000-0005-0000-0000-0000940F0000}"/>
    <cellStyle name="Normal 12 4" xfId="268" xr:uid="{00000000-0005-0000-0000-0000950F0000}"/>
    <cellStyle name="Normal 12 4 2" xfId="775" xr:uid="{00000000-0005-0000-0000-0000960F0000}"/>
    <cellStyle name="Normal 12 4 2 2" xfId="3843" xr:uid="{00000000-0005-0000-0000-0000970F0000}"/>
    <cellStyle name="Normal 12 4 2 2 2" xfId="8061" xr:uid="{00000000-0005-0000-0000-0000980F0000}"/>
    <cellStyle name="Normal 12 4 2 3" xfId="5916" xr:uid="{00000000-0005-0000-0000-0000990F0000}"/>
    <cellStyle name="Normal 12 4 2 4" xfId="1613" xr:uid="{00000000-0005-0000-0000-00009A0F0000}"/>
    <cellStyle name="Normal 12 4 3" xfId="2027" xr:uid="{00000000-0005-0000-0000-00009B0F0000}"/>
    <cellStyle name="Normal 12 4 3 2" xfId="4256" xr:uid="{00000000-0005-0000-0000-00009C0F0000}"/>
    <cellStyle name="Normal 12 4 3 2 2" xfId="8474" xr:uid="{00000000-0005-0000-0000-00009D0F0000}"/>
    <cellStyle name="Normal 12 4 3 3" xfId="6329" xr:uid="{00000000-0005-0000-0000-00009E0F0000}"/>
    <cellStyle name="Normal 12 4 4" xfId="2440" xr:uid="{00000000-0005-0000-0000-00009F0F0000}"/>
    <cellStyle name="Normal 12 4 4 2" xfId="4669" xr:uid="{00000000-0005-0000-0000-0000A00F0000}"/>
    <cellStyle name="Normal 12 4 4 2 2" xfId="8887" xr:uid="{00000000-0005-0000-0000-0000A10F0000}"/>
    <cellStyle name="Normal 12 4 4 3" xfId="6742" xr:uid="{00000000-0005-0000-0000-0000A20F0000}"/>
    <cellStyle name="Normal 12 4 5" xfId="2853" xr:uid="{00000000-0005-0000-0000-0000A30F0000}"/>
    <cellStyle name="Normal 12 4 5 2" xfId="5082" xr:uid="{00000000-0005-0000-0000-0000A40F0000}"/>
    <cellStyle name="Normal 12 4 5 2 2" xfId="9300" xr:uid="{00000000-0005-0000-0000-0000A50F0000}"/>
    <cellStyle name="Normal 12 4 5 3" xfId="7155" xr:uid="{00000000-0005-0000-0000-0000A60F0000}"/>
    <cellStyle name="Normal 12 4 6" xfId="3289" xr:uid="{00000000-0005-0000-0000-0000A70F0000}"/>
    <cellStyle name="Normal 12 4 6 2" xfId="7568" xr:uid="{00000000-0005-0000-0000-0000A80F0000}"/>
    <cellStyle name="Normal 12 4 7" xfId="5502" xr:uid="{00000000-0005-0000-0000-0000A90F0000}"/>
    <cellStyle name="Normal 12 4 8" xfId="1198" xr:uid="{00000000-0005-0000-0000-0000AA0F0000}"/>
    <cellStyle name="Normal 12 5" xfId="269" xr:uid="{00000000-0005-0000-0000-0000AB0F0000}"/>
    <cellStyle name="Normal 12 6" xfId="768" xr:uid="{00000000-0005-0000-0000-0000AC0F0000}"/>
    <cellStyle name="Normal 12 6 2" xfId="3836" xr:uid="{00000000-0005-0000-0000-0000AD0F0000}"/>
    <cellStyle name="Normal 12 6 2 2" xfId="8054" xr:uid="{00000000-0005-0000-0000-0000AE0F0000}"/>
    <cellStyle name="Normal 12 6 3" xfId="5909" xr:uid="{00000000-0005-0000-0000-0000AF0F0000}"/>
    <cellStyle name="Normal 12 6 4" xfId="1606" xr:uid="{00000000-0005-0000-0000-0000B00F0000}"/>
    <cellStyle name="Normal 12 7" xfId="2020" xr:uid="{00000000-0005-0000-0000-0000B10F0000}"/>
    <cellStyle name="Normal 12 7 2" xfId="4249" xr:uid="{00000000-0005-0000-0000-0000B20F0000}"/>
    <cellStyle name="Normal 12 7 2 2" xfId="8467" xr:uid="{00000000-0005-0000-0000-0000B30F0000}"/>
    <cellStyle name="Normal 12 7 3" xfId="6322" xr:uid="{00000000-0005-0000-0000-0000B40F0000}"/>
    <cellStyle name="Normal 12 8" xfId="2433" xr:uid="{00000000-0005-0000-0000-0000B50F0000}"/>
    <cellStyle name="Normal 12 8 2" xfId="4662" xr:uid="{00000000-0005-0000-0000-0000B60F0000}"/>
    <cellStyle name="Normal 12 8 2 2" xfId="8880" xr:uid="{00000000-0005-0000-0000-0000B70F0000}"/>
    <cellStyle name="Normal 12 8 3" xfId="6735" xr:uid="{00000000-0005-0000-0000-0000B80F0000}"/>
    <cellStyle name="Normal 12 9" xfId="2846" xr:uid="{00000000-0005-0000-0000-0000B90F0000}"/>
    <cellStyle name="Normal 12 9 2" xfId="5075" xr:uid="{00000000-0005-0000-0000-0000BA0F0000}"/>
    <cellStyle name="Normal 12 9 2 2" xfId="9293" xr:uid="{00000000-0005-0000-0000-0000BB0F0000}"/>
    <cellStyle name="Normal 12 9 3" xfId="7148" xr:uid="{00000000-0005-0000-0000-0000BC0F0000}"/>
    <cellStyle name="Normal 13" xfId="270" xr:uid="{00000000-0005-0000-0000-0000BD0F0000}"/>
    <cellStyle name="Normal 13 2" xfId="271" xr:uid="{00000000-0005-0000-0000-0000BE0F0000}"/>
    <cellStyle name="Normal 14" xfId="272" xr:uid="{00000000-0005-0000-0000-0000BF0F0000}"/>
    <cellStyle name="Normal 14 2" xfId="776" xr:uid="{00000000-0005-0000-0000-0000C00F0000}"/>
    <cellStyle name="Normal 14 2 2" xfId="3844" xr:uid="{00000000-0005-0000-0000-0000C10F0000}"/>
    <cellStyle name="Normal 14 2 2 2" xfId="8062" xr:uid="{00000000-0005-0000-0000-0000C20F0000}"/>
    <cellStyle name="Normal 14 2 3" xfId="5917" xr:uid="{00000000-0005-0000-0000-0000C30F0000}"/>
    <cellStyle name="Normal 14 2 4" xfId="1614" xr:uid="{00000000-0005-0000-0000-0000C40F0000}"/>
    <cellStyle name="Normal 14 3" xfId="2028" xr:uid="{00000000-0005-0000-0000-0000C50F0000}"/>
    <cellStyle name="Normal 14 3 2" xfId="4257" xr:uid="{00000000-0005-0000-0000-0000C60F0000}"/>
    <cellStyle name="Normal 14 3 2 2" xfId="8475" xr:uid="{00000000-0005-0000-0000-0000C70F0000}"/>
    <cellStyle name="Normal 14 3 3" xfId="6330" xr:uid="{00000000-0005-0000-0000-0000C80F0000}"/>
    <cellStyle name="Normal 14 4" xfId="2441" xr:uid="{00000000-0005-0000-0000-0000C90F0000}"/>
    <cellStyle name="Normal 14 4 2" xfId="4670" xr:uid="{00000000-0005-0000-0000-0000CA0F0000}"/>
    <cellStyle name="Normal 14 4 2 2" xfId="8888" xr:uid="{00000000-0005-0000-0000-0000CB0F0000}"/>
    <cellStyle name="Normal 14 4 3" xfId="6743" xr:uid="{00000000-0005-0000-0000-0000CC0F0000}"/>
    <cellStyle name="Normal 14 5" xfId="2854" xr:uid="{00000000-0005-0000-0000-0000CD0F0000}"/>
    <cellStyle name="Normal 14 5 2" xfId="5083" xr:uid="{00000000-0005-0000-0000-0000CE0F0000}"/>
    <cellStyle name="Normal 14 5 2 2" xfId="9301" xr:uid="{00000000-0005-0000-0000-0000CF0F0000}"/>
    <cellStyle name="Normal 14 5 3" xfId="7156" xr:uid="{00000000-0005-0000-0000-0000D00F0000}"/>
    <cellStyle name="Normal 14 6" xfId="3290" xr:uid="{00000000-0005-0000-0000-0000D10F0000}"/>
    <cellStyle name="Normal 14 6 2" xfId="7569" xr:uid="{00000000-0005-0000-0000-0000D20F0000}"/>
    <cellStyle name="Normal 14 7" xfId="5503" xr:uid="{00000000-0005-0000-0000-0000D30F0000}"/>
    <cellStyle name="Normal 14 8" xfId="1199" xr:uid="{00000000-0005-0000-0000-0000D40F0000}"/>
    <cellStyle name="Normal 15" xfId="575" xr:uid="{00000000-0005-0000-0000-0000D50F0000}"/>
    <cellStyle name="Normal 15 2" xfId="5329" xr:uid="{00000000-0005-0000-0000-0000D60F0000}"/>
    <cellStyle name="Normal 16" xfId="5332" xr:uid="{00000000-0005-0000-0000-0000D70F0000}"/>
    <cellStyle name="Normal 16 2" xfId="9546" xr:uid="{00000000-0005-0000-0000-0000D80F0000}"/>
    <cellStyle name="Normal 16 3" xfId="9549" xr:uid="{00000000-0005-0000-0000-0000D90F0000}"/>
    <cellStyle name="Normal 2" xfId="273" xr:uid="{00000000-0005-0000-0000-0000DA0F0000}"/>
    <cellStyle name="Normal 2 2" xfId="274" xr:uid="{00000000-0005-0000-0000-0000DB0F0000}"/>
    <cellStyle name="Normal 2 2 2" xfId="275" xr:uid="{00000000-0005-0000-0000-0000DC0F0000}"/>
    <cellStyle name="Normal 2 2 2 2" xfId="276" xr:uid="{00000000-0005-0000-0000-0000DD0F0000}"/>
    <cellStyle name="Normal 2 2 2 3" xfId="277" xr:uid="{00000000-0005-0000-0000-0000DE0F0000}"/>
    <cellStyle name="Normal 2 2 2 4" xfId="278" xr:uid="{00000000-0005-0000-0000-0000DF0F0000}"/>
    <cellStyle name="Normal 2 2 2 4 2" xfId="778" xr:uid="{00000000-0005-0000-0000-0000E00F0000}"/>
    <cellStyle name="Normal 2 2 3" xfId="777" xr:uid="{00000000-0005-0000-0000-0000E10F0000}"/>
    <cellStyle name="Normal 2 3" xfId="279" xr:uid="{00000000-0005-0000-0000-0000E20F0000}"/>
    <cellStyle name="Normal 2 3 2" xfId="280" xr:uid="{00000000-0005-0000-0000-0000E30F0000}"/>
    <cellStyle name="Normal 2 4" xfId="281" xr:uid="{00000000-0005-0000-0000-0000E40F0000}"/>
    <cellStyle name="Normal 2 4 2" xfId="282" xr:uid="{00000000-0005-0000-0000-0000E50F0000}"/>
    <cellStyle name="Normal 2 4 2 10" xfId="2855" xr:uid="{00000000-0005-0000-0000-0000E60F0000}"/>
    <cellStyle name="Normal 2 4 2 10 2" xfId="5084" xr:uid="{00000000-0005-0000-0000-0000E70F0000}"/>
    <cellStyle name="Normal 2 4 2 10 2 2" xfId="9302" xr:uid="{00000000-0005-0000-0000-0000E80F0000}"/>
    <cellStyle name="Normal 2 4 2 10 3" xfId="7157" xr:uid="{00000000-0005-0000-0000-0000E90F0000}"/>
    <cellStyle name="Normal 2 4 2 11" xfId="3291" xr:uid="{00000000-0005-0000-0000-0000EA0F0000}"/>
    <cellStyle name="Normal 2 4 2 11 2" xfId="7570" xr:uid="{00000000-0005-0000-0000-0000EB0F0000}"/>
    <cellStyle name="Normal 2 4 2 12" xfId="5504" xr:uid="{00000000-0005-0000-0000-0000EC0F0000}"/>
    <cellStyle name="Normal 2 4 2 13" xfId="1200" xr:uid="{00000000-0005-0000-0000-0000ED0F0000}"/>
    <cellStyle name="Normal 2 4 2 2" xfId="283" xr:uid="{00000000-0005-0000-0000-0000EE0F0000}"/>
    <cellStyle name="Normal 2 4 2 3" xfId="284" xr:uid="{00000000-0005-0000-0000-0000EF0F0000}"/>
    <cellStyle name="Normal 2 4 2 3 10" xfId="5505" xr:uid="{00000000-0005-0000-0000-0000F00F0000}"/>
    <cellStyle name="Normal 2 4 2 3 11" xfId="1201" xr:uid="{00000000-0005-0000-0000-0000F10F0000}"/>
    <cellStyle name="Normal 2 4 2 3 2" xfId="285" xr:uid="{00000000-0005-0000-0000-0000F20F0000}"/>
    <cellStyle name="Normal 2 4 2 3 2 10" xfId="1202" xr:uid="{00000000-0005-0000-0000-0000F30F0000}"/>
    <cellStyle name="Normal 2 4 2 3 2 2" xfId="286" xr:uid="{00000000-0005-0000-0000-0000F40F0000}"/>
    <cellStyle name="Normal 2 4 2 3 2 2 2" xfId="287" xr:uid="{00000000-0005-0000-0000-0000F50F0000}"/>
    <cellStyle name="Normal 2 4 2 3 2 2 2 2" xfId="783" xr:uid="{00000000-0005-0000-0000-0000F60F0000}"/>
    <cellStyle name="Normal 2 4 2 3 2 2 2 2 2" xfId="3849" xr:uid="{00000000-0005-0000-0000-0000F70F0000}"/>
    <cellStyle name="Normal 2 4 2 3 2 2 2 2 2 2" xfId="8067" xr:uid="{00000000-0005-0000-0000-0000F80F0000}"/>
    <cellStyle name="Normal 2 4 2 3 2 2 2 2 3" xfId="5922" xr:uid="{00000000-0005-0000-0000-0000F90F0000}"/>
    <cellStyle name="Normal 2 4 2 3 2 2 2 2 4" xfId="1620" xr:uid="{00000000-0005-0000-0000-0000FA0F0000}"/>
    <cellStyle name="Normal 2 4 2 3 2 2 2 3" xfId="2033" xr:uid="{00000000-0005-0000-0000-0000FB0F0000}"/>
    <cellStyle name="Normal 2 4 2 3 2 2 2 3 2" xfId="4262" xr:uid="{00000000-0005-0000-0000-0000FC0F0000}"/>
    <cellStyle name="Normal 2 4 2 3 2 2 2 3 2 2" xfId="8480" xr:uid="{00000000-0005-0000-0000-0000FD0F0000}"/>
    <cellStyle name="Normal 2 4 2 3 2 2 2 3 3" xfId="6335" xr:uid="{00000000-0005-0000-0000-0000FE0F0000}"/>
    <cellStyle name="Normal 2 4 2 3 2 2 2 4" xfId="2446" xr:uid="{00000000-0005-0000-0000-0000FF0F0000}"/>
    <cellStyle name="Normal 2 4 2 3 2 2 2 4 2" xfId="4675" xr:uid="{00000000-0005-0000-0000-000000100000}"/>
    <cellStyle name="Normal 2 4 2 3 2 2 2 4 2 2" xfId="8893" xr:uid="{00000000-0005-0000-0000-000001100000}"/>
    <cellStyle name="Normal 2 4 2 3 2 2 2 4 3" xfId="6748" xr:uid="{00000000-0005-0000-0000-000002100000}"/>
    <cellStyle name="Normal 2 4 2 3 2 2 2 5" xfId="2859" xr:uid="{00000000-0005-0000-0000-000003100000}"/>
    <cellStyle name="Normal 2 4 2 3 2 2 2 5 2" xfId="5088" xr:uid="{00000000-0005-0000-0000-000004100000}"/>
    <cellStyle name="Normal 2 4 2 3 2 2 2 5 2 2" xfId="9306" xr:uid="{00000000-0005-0000-0000-000005100000}"/>
    <cellStyle name="Normal 2 4 2 3 2 2 2 5 3" xfId="7161" xr:uid="{00000000-0005-0000-0000-000006100000}"/>
    <cellStyle name="Normal 2 4 2 3 2 2 2 6" xfId="3295" xr:uid="{00000000-0005-0000-0000-000007100000}"/>
    <cellStyle name="Normal 2 4 2 3 2 2 2 6 2" xfId="7574" xr:uid="{00000000-0005-0000-0000-000008100000}"/>
    <cellStyle name="Normal 2 4 2 3 2 2 2 7" xfId="5508" xr:uid="{00000000-0005-0000-0000-000009100000}"/>
    <cellStyle name="Normal 2 4 2 3 2 2 2 8" xfId="1204" xr:uid="{00000000-0005-0000-0000-00000A100000}"/>
    <cellStyle name="Normal 2 4 2 3 2 2 3" xfId="782" xr:uid="{00000000-0005-0000-0000-00000B100000}"/>
    <cellStyle name="Normal 2 4 2 3 2 2 3 2" xfId="3848" xr:uid="{00000000-0005-0000-0000-00000C100000}"/>
    <cellStyle name="Normal 2 4 2 3 2 2 3 2 2" xfId="8066" xr:uid="{00000000-0005-0000-0000-00000D100000}"/>
    <cellStyle name="Normal 2 4 2 3 2 2 3 3" xfId="5921" xr:uid="{00000000-0005-0000-0000-00000E100000}"/>
    <cellStyle name="Normal 2 4 2 3 2 2 3 4" xfId="1619" xr:uid="{00000000-0005-0000-0000-00000F100000}"/>
    <cellStyle name="Normal 2 4 2 3 2 2 4" xfId="2032" xr:uid="{00000000-0005-0000-0000-000010100000}"/>
    <cellStyle name="Normal 2 4 2 3 2 2 4 2" xfId="4261" xr:uid="{00000000-0005-0000-0000-000011100000}"/>
    <cellStyle name="Normal 2 4 2 3 2 2 4 2 2" xfId="8479" xr:uid="{00000000-0005-0000-0000-000012100000}"/>
    <cellStyle name="Normal 2 4 2 3 2 2 4 3" xfId="6334" xr:uid="{00000000-0005-0000-0000-000013100000}"/>
    <cellStyle name="Normal 2 4 2 3 2 2 5" xfId="2445" xr:uid="{00000000-0005-0000-0000-000014100000}"/>
    <cellStyle name="Normal 2 4 2 3 2 2 5 2" xfId="4674" xr:uid="{00000000-0005-0000-0000-000015100000}"/>
    <cellStyle name="Normal 2 4 2 3 2 2 5 2 2" xfId="8892" xr:uid="{00000000-0005-0000-0000-000016100000}"/>
    <cellStyle name="Normal 2 4 2 3 2 2 5 3" xfId="6747" xr:uid="{00000000-0005-0000-0000-000017100000}"/>
    <cellStyle name="Normal 2 4 2 3 2 2 6" xfId="2858" xr:uid="{00000000-0005-0000-0000-000018100000}"/>
    <cellStyle name="Normal 2 4 2 3 2 2 6 2" xfId="5087" xr:uid="{00000000-0005-0000-0000-000019100000}"/>
    <cellStyle name="Normal 2 4 2 3 2 2 6 2 2" xfId="9305" xr:uid="{00000000-0005-0000-0000-00001A100000}"/>
    <cellStyle name="Normal 2 4 2 3 2 2 6 3" xfId="7160" xr:uid="{00000000-0005-0000-0000-00001B100000}"/>
    <cellStyle name="Normal 2 4 2 3 2 2 7" xfId="3294" xr:uid="{00000000-0005-0000-0000-00001C100000}"/>
    <cellStyle name="Normal 2 4 2 3 2 2 7 2" xfId="7573" xr:uid="{00000000-0005-0000-0000-00001D100000}"/>
    <cellStyle name="Normal 2 4 2 3 2 2 8" xfId="5507" xr:uid="{00000000-0005-0000-0000-00001E100000}"/>
    <cellStyle name="Normal 2 4 2 3 2 2 9" xfId="1203" xr:uid="{00000000-0005-0000-0000-00001F100000}"/>
    <cellStyle name="Normal 2 4 2 3 2 3" xfId="288" xr:uid="{00000000-0005-0000-0000-000020100000}"/>
    <cellStyle name="Normal 2 4 2 3 2 3 2" xfId="784" xr:uid="{00000000-0005-0000-0000-000021100000}"/>
    <cellStyle name="Normal 2 4 2 3 2 3 2 2" xfId="3850" xr:uid="{00000000-0005-0000-0000-000022100000}"/>
    <cellStyle name="Normal 2 4 2 3 2 3 2 2 2" xfId="8068" xr:uid="{00000000-0005-0000-0000-000023100000}"/>
    <cellStyle name="Normal 2 4 2 3 2 3 2 3" xfId="5923" xr:uid="{00000000-0005-0000-0000-000024100000}"/>
    <cellStyle name="Normal 2 4 2 3 2 3 2 4" xfId="1621" xr:uid="{00000000-0005-0000-0000-000025100000}"/>
    <cellStyle name="Normal 2 4 2 3 2 3 3" xfId="2034" xr:uid="{00000000-0005-0000-0000-000026100000}"/>
    <cellStyle name="Normal 2 4 2 3 2 3 3 2" xfId="4263" xr:uid="{00000000-0005-0000-0000-000027100000}"/>
    <cellStyle name="Normal 2 4 2 3 2 3 3 2 2" xfId="8481" xr:uid="{00000000-0005-0000-0000-000028100000}"/>
    <cellStyle name="Normal 2 4 2 3 2 3 3 3" xfId="6336" xr:uid="{00000000-0005-0000-0000-000029100000}"/>
    <cellStyle name="Normal 2 4 2 3 2 3 4" xfId="2447" xr:uid="{00000000-0005-0000-0000-00002A100000}"/>
    <cellStyle name="Normal 2 4 2 3 2 3 4 2" xfId="4676" xr:uid="{00000000-0005-0000-0000-00002B100000}"/>
    <cellStyle name="Normal 2 4 2 3 2 3 4 2 2" xfId="8894" xr:uid="{00000000-0005-0000-0000-00002C100000}"/>
    <cellStyle name="Normal 2 4 2 3 2 3 4 3" xfId="6749" xr:uid="{00000000-0005-0000-0000-00002D100000}"/>
    <cellStyle name="Normal 2 4 2 3 2 3 5" xfId="2860" xr:uid="{00000000-0005-0000-0000-00002E100000}"/>
    <cellStyle name="Normal 2 4 2 3 2 3 5 2" xfId="5089" xr:uid="{00000000-0005-0000-0000-00002F100000}"/>
    <cellStyle name="Normal 2 4 2 3 2 3 5 2 2" xfId="9307" xr:uid="{00000000-0005-0000-0000-000030100000}"/>
    <cellStyle name="Normal 2 4 2 3 2 3 5 3" xfId="7162" xr:uid="{00000000-0005-0000-0000-000031100000}"/>
    <cellStyle name="Normal 2 4 2 3 2 3 6" xfId="3296" xr:uid="{00000000-0005-0000-0000-000032100000}"/>
    <cellStyle name="Normal 2 4 2 3 2 3 6 2" xfId="7575" xr:uid="{00000000-0005-0000-0000-000033100000}"/>
    <cellStyle name="Normal 2 4 2 3 2 3 7" xfId="5509" xr:uid="{00000000-0005-0000-0000-000034100000}"/>
    <cellStyle name="Normal 2 4 2 3 2 3 8" xfId="1205" xr:uid="{00000000-0005-0000-0000-000035100000}"/>
    <cellStyle name="Normal 2 4 2 3 2 4" xfId="781" xr:uid="{00000000-0005-0000-0000-000036100000}"/>
    <cellStyle name="Normal 2 4 2 3 2 4 2" xfId="3847" xr:uid="{00000000-0005-0000-0000-000037100000}"/>
    <cellStyle name="Normal 2 4 2 3 2 4 2 2" xfId="8065" xr:uid="{00000000-0005-0000-0000-000038100000}"/>
    <cellStyle name="Normal 2 4 2 3 2 4 3" xfId="5920" xr:uid="{00000000-0005-0000-0000-000039100000}"/>
    <cellStyle name="Normal 2 4 2 3 2 4 4" xfId="1618" xr:uid="{00000000-0005-0000-0000-00003A100000}"/>
    <cellStyle name="Normal 2 4 2 3 2 5" xfId="2031" xr:uid="{00000000-0005-0000-0000-00003B100000}"/>
    <cellStyle name="Normal 2 4 2 3 2 5 2" xfId="4260" xr:uid="{00000000-0005-0000-0000-00003C100000}"/>
    <cellStyle name="Normal 2 4 2 3 2 5 2 2" xfId="8478" xr:uid="{00000000-0005-0000-0000-00003D100000}"/>
    <cellStyle name="Normal 2 4 2 3 2 5 3" xfId="6333" xr:uid="{00000000-0005-0000-0000-00003E100000}"/>
    <cellStyle name="Normal 2 4 2 3 2 6" xfId="2444" xr:uid="{00000000-0005-0000-0000-00003F100000}"/>
    <cellStyle name="Normal 2 4 2 3 2 6 2" xfId="4673" xr:uid="{00000000-0005-0000-0000-000040100000}"/>
    <cellStyle name="Normal 2 4 2 3 2 6 2 2" xfId="8891" xr:uid="{00000000-0005-0000-0000-000041100000}"/>
    <cellStyle name="Normal 2 4 2 3 2 6 3" xfId="6746" xr:uid="{00000000-0005-0000-0000-000042100000}"/>
    <cellStyle name="Normal 2 4 2 3 2 7" xfId="2857" xr:uid="{00000000-0005-0000-0000-000043100000}"/>
    <cellStyle name="Normal 2 4 2 3 2 7 2" xfId="5086" xr:uid="{00000000-0005-0000-0000-000044100000}"/>
    <cellStyle name="Normal 2 4 2 3 2 7 2 2" xfId="9304" xr:uid="{00000000-0005-0000-0000-000045100000}"/>
    <cellStyle name="Normal 2 4 2 3 2 7 3" xfId="7159" xr:uid="{00000000-0005-0000-0000-000046100000}"/>
    <cellStyle name="Normal 2 4 2 3 2 8" xfId="3293" xr:uid="{00000000-0005-0000-0000-000047100000}"/>
    <cellStyle name="Normal 2 4 2 3 2 8 2" xfId="7572" xr:uid="{00000000-0005-0000-0000-000048100000}"/>
    <cellStyle name="Normal 2 4 2 3 2 9" xfId="5506" xr:uid="{00000000-0005-0000-0000-000049100000}"/>
    <cellStyle name="Normal 2 4 2 3 3" xfId="289" xr:uid="{00000000-0005-0000-0000-00004A100000}"/>
    <cellStyle name="Normal 2 4 2 3 3 2" xfId="290" xr:uid="{00000000-0005-0000-0000-00004B100000}"/>
    <cellStyle name="Normal 2 4 2 3 3 2 2" xfId="786" xr:uid="{00000000-0005-0000-0000-00004C100000}"/>
    <cellStyle name="Normal 2 4 2 3 3 2 2 2" xfId="3852" xr:uid="{00000000-0005-0000-0000-00004D100000}"/>
    <cellStyle name="Normal 2 4 2 3 3 2 2 2 2" xfId="8070" xr:uid="{00000000-0005-0000-0000-00004E100000}"/>
    <cellStyle name="Normal 2 4 2 3 3 2 2 3" xfId="5925" xr:uid="{00000000-0005-0000-0000-00004F100000}"/>
    <cellStyle name="Normal 2 4 2 3 3 2 2 4" xfId="1623" xr:uid="{00000000-0005-0000-0000-000050100000}"/>
    <cellStyle name="Normal 2 4 2 3 3 2 3" xfId="2036" xr:uid="{00000000-0005-0000-0000-000051100000}"/>
    <cellStyle name="Normal 2 4 2 3 3 2 3 2" xfId="4265" xr:uid="{00000000-0005-0000-0000-000052100000}"/>
    <cellStyle name="Normal 2 4 2 3 3 2 3 2 2" xfId="8483" xr:uid="{00000000-0005-0000-0000-000053100000}"/>
    <cellStyle name="Normal 2 4 2 3 3 2 3 3" xfId="6338" xr:uid="{00000000-0005-0000-0000-000054100000}"/>
    <cellStyle name="Normal 2 4 2 3 3 2 4" xfId="2449" xr:uid="{00000000-0005-0000-0000-000055100000}"/>
    <cellStyle name="Normal 2 4 2 3 3 2 4 2" xfId="4678" xr:uid="{00000000-0005-0000-0000-000056100000}"/>
    <cellStyle name="Normal 2 4 2 3 3 2 4 2 2" xfId="8896" xr:uid="{00000000-0005-0000-0000-000057100000}"/>
    <cellStyle name="Normal 2 4 2 3 3 2 4 3" xfId="6751" xr:uid="{00000000-0005-0000-0000-000058100000}"/>
    <cellStyle name="Normal 2 4 2 3 3 2 5" xfId="2862" xr:uid="{00000000-0005-0000-0000-000059100000}"/>
    <cellStyle name="Normal 2 4 2 3 3 2 5 2" xfId="5091" xr:uid="{00000000-0005-0000-0000-00005A100000}"/>
    <cellStyle name="Normal 2 4 2 3 3 2 5 2 2" xfId="9309" xr:uid="{00000000-0005-0000-0000-00005B100000}"/>
    <cellStyle name="Normal 2 4 2 3 3 2 5 3" xfId="7164" xr:uid="{00000000-0005-0000-0000-00005C100000}"/>
    <cellStyle name="Normal 2 4 2 3 3 2 6" xfId="3298" xr:uid="{00000000-0005-0000-0000-00005D100000}"/>
    <cellStyle name="Normal 2 4 2 3 3 2 6 2" xfId="7577" xr:uid="{00000000-0005-0000-0000-00005E100000}"/>
    <cellStyle name="Normal 2 4 2 3 3 2 7" xfId="5511" xr:uid="{00000000-0005-0000-0000-00005F100000}"/>
    <cellStyle name="Normal 2 4 2 3 3 2 8" xfId="1207" xr:uid="{00000000-0005-0000-0000-000060100000}"/>
    <cellStyle name="Normal 2 4 2 3 3 3" xfId="785" xr:uid="{00000000-0005-0000-0000-000061100000}"/>
    <cellStyle name="Normal 2 4 2 3 3 3 2" xfId="3851" xr:uid="{00000000-0005-0000-0000-000062100000}"/>
    <cellStyle name="Normal 2 4 2 3 3 3 2 2" xfId="8069" xr:uid="{00000000-0005-0000-0000-000063100000}"/>
    <cellStyle name="Normal 2 4 2 3 3 3 3" xfId="5924" xr:uid="{00000000-0005-0000-0000-000064100000}"/>
    <cellStyle name="Normal 2 4 2 3 3 3 4" xfId="1622" xr:uid="{00000000-0005-0000-0000-000065100000}"/>
    <cellStyle name="Normal 2 4 2 3 3 4" xfId="2035" xr:uid="{00000000-0005-0000-0000-000066100000}"/>
    <cellStyle name="Normal 2 4 2 3 3 4 2" xfId="4264" xr:uid="{00000000-0005-0000-0000-000067100000}"/>
    <cellStyle name="Normal 2 4 2 3 3 4 2 2" xfId="8482" xr:uid="{00000000-0005-0000-0000-000068100000}"/>
    <cellStyle name="Normal 2 4 2 3 3 4 3" xfId="6337" xr:uid="{00000000-0005-0000-0000-000069100000}"/>
    <cellStyle name="Normal 2 4 2 3 3 5" xfId="2448" xr:uid="{00000000-0005-0000-0000-00006A100000}"/>
    <cellStyle name="Normal 2 4 2 3 3 5 2" xfId="4677" xr:uid="{00000000-0005-0000-0000-00006B100000}"/>
    <cellStyle name="Normal 2 4 2 3 3 5 2 2" xfId="8895" xr:uid="{00000000-0005-0000-0000-00006C100000}"/>
    <cellStyle name="Normal 2 4 2 3 3 5 3" xfId="6750" xr:uid="{00000000-0005-0000-0000-00006D100000}"/>
    <cellStyle name="Normal 2 4 2 3 3 6" xfId="2861" xr:uid="{00000000-0005-0000-0000-00006E100000}"/>
    <cellStyle name="Normal 2 4 2 3 3 6 2" xfId="5090" xr:uid="{00000000-0005-0000-0000-00006F100000}"/>
    <cellStyle name="Normal 2 4 2 3 3 6 2 2" xfId="9308" xr:uid="{00000000-0005-0000-0000-000070100000}"/>
    <cellStyle name="Normal 2 4 2 3 3 6 3" xfId="7163" xr:uid="{00000000-0005-0000-0000-000071100000}"/>
    <cellStyle name="Normal 2 4 2 3 3 7" xfId="3297" xr:uid="{00000000-0005-0000-0000-000072100000}"/>
    <cellStyle name="Normal 2 4 2 3 3 7 2" xfId="7576" xr:uid="{00000000-0005-0000-0000-000073100000}"/>
    <cellStyle name="Normal 2 4 2 3 3 8" xfId="5510" xr:uid="{00000000-0005-0000-0000-000074100000}"/>
    <cellStyle name="Normal 2 4 2 3 3 9" xfId="1206" xr:uid="{00000000-0005-0000-0000-000075100000}"/>
    <cellStyle name="Normal 2 4 2 3 4" xfId="291" xr:uid="{00000000-0005-0000-0000-000076100000}"/>
    <cellStyle name="Normal 2 4 2 3 4 2" xfId="787" xr:uid="{00000000-0005-0000-0000-000077100000}"/>
    <cellStyle name="Normal 2 4 2 3 4 2 2" xfId="3853" xr:uid="{00000000-0005-0000-0000-000078100000}"/>
    <cellStyle name="Normal 2 4 2 3 4 2 2 2" xfId="8071" xr:uid="{00000000-0005-0000-0000-000079100000}"/>
    <cellStyle name="Normal 2 4 2 3 4 2 3" xfId="5926" xr:uid="{00000000-0005-0000-0000-00007A100000}"/>
    <cellStyle name="Normal 2 4 2 3 4 2 4" xfId="1624" xr:uid="{00000000-0005-0000-0000-00007B100000}"/>
    <cellStyle name="Normal 2 4 2 3 4 3" xfId="2037" xr:uid="{00000000-0005-0000-0000-00007C100000}"/>
    <cellStyle name="Normal 2 4 2 3 4 3 2" xfId="4266" xr:uid="{00000000-0005-0000-0000-00007D100000}"/>
    <cellStyle name="Normal 2 4 2 3 4 3 2 2" xfId="8484" xr:uid="{00000000-0005-0000-0000-00007E100000}"/>
    <cellStyle name="Normal 2 4 2 3 4 3 3" xfId="6339" xr:uid="{00000000-0005-0000-0000-00007F100000}"/>
    <cellStyle name="Normal 2 4 2 3 4 4" xfId="2450" xr:uid="{00000000-0005-0000-0000-000080100000}"/>
    <cellStyle name="Normal 2 4 2 3 4 4 2" xfId="4679" xr:uid="{00000000-0005-0000-0000-000081100000}"/>
    <cellStyle name="Normal 2 4 2 3 4 4 2 2" xfId="8897" xr:uid="{00000000-0005-0000-0000-000082100000}"/>
    <cellStyle name="Normal 2 4 2 3 4 4 3" xfId="6752" xr:uid="{00000000-0005-0000-0000-000083100000}"/>
    <cellStyle name="Normal 2 4 2 3 4 5" xfId="2863" xr:uid="{00000000-0005-0000-0000-000084100000}"/>
    <cellStyle name="Normal 2 4 2 3 4 5 2" xfId="5092" xr:uid="{00000000-0005-0000-0000-000085100000}"/>
    <cellStyle name="Normal 2 4 2 3 4 5 2 2" xfId="9310" xr:uid="{00000000-0005-0000-0000-000086100000}"/>
    <cellStyle name="Normal 2 4 2 3 4 5 3" xfId="7165" xr:uid="{00000000-0005-0000-0000-000087100000}"/>
    <cellStyle name="Normal 2 4 2 3 4 6" xfId="3299" xr:uid="{00000000-0005-0000-0000-000088100000}"/>
    <cellStyle name="Normal 2 4 2 3 4 6 2" xfId="7578" xr:uid="{00000000-0005-0000-0000-000089100000}"/>
    <cellStyle name="Normal 2 4 2 3 4 7" xfId="5512" xr:uid="{00000000-0005-0000-0000-00008A100000}"/>
    <cellStyle name="Normal 2 4 2 3 4 8" xfId="1208" xr:uid="{00000000-0005-0000-0000-00008B100000}"/>
    <cellStyle name="Normal 2 4 2 3 5" xfId="780" xr:uid="{00000000-0005-0000-0000-00008C100000}"/>
    <cellStyle name="Normal 2 4 2 3 5 2" xfId="3846" xr:uid="{00000000-0005-0000-0000-00008D100000}"/>
    <cellStyle name="Normal 2 4 2 3 5 2 2" xfId="8064" xr:uid="{00000000-0005-0000-0000-00008E100000}"/>
    <cellStyle name="Normal 2 4 2 3 5 3" xfId="5919" xr:uid="{00000000-0005-0000-0000-00008F100000}"/>
    <cellStyle name="Normal 2 4 2 3 5 4" xfId="1617" xr:uid="{00000000-0005-0000-0000-000090100000}"/>
    <cellStyle name="Normal 2 4 2 3 6" xfId="2030" xr:uid="{00000000-0005-0000-0000-000091100000}"/>
    <cellStyle name="Normal 2 4 2 3 6 2" xfId="4259" xr:uid="{00000000-0005-0000-0000-000092100000}"/>
    <cellStyle name="Normal 2 4 2 3 6 2 2" xfId="8477" xr:uid="{00000000-0005-0000-0000-000093100000}"/>
    <cellStyle name="Normal 2 4 2 3 6 3" xfId="6332" xr:uid="{00000000-0005-0000-0000-000094100000}"/>
    <cellStyle name="Normal 2 4 2 3 7" xfId="2443" xr:uid="{00000000-0005-0000-0000-000095100000}"/>
    <cellStyle name="Normal 2 4 2 3 7 2" xfId="4672" xr:uid="{00000000-0005-0000-0000-000096100000}"/>
    <cellStyle name="Normal 2 4 2 3 7 2 2" xfId="8890" xr:uid="{00000000-0005-0000-0000-000097100000}"/>
    <cellStyle name="Normal 2 4 2 3 7 3" xfId="6745" xr:uid="{00000000-0005-0000-0000-000098100000}"/>
    <cellStyle name="Normal 2 4 2 3 8" xfId="2856" xr:uid="{00000000-0005-0000-0000-000099100000}"/>
    <cellStyle name="Normal 2 4 2 3 8 2" xfId="5085" xr:uid="{00000000-0005-0000-0000-00009A100000}"/>
    <cellStyle name="Normal 2 4 2 3 8 2 2" xfId="9303" xr:uid="{00000000-0005-0000-0000-00009B100000}"/>
    <cellStyle name="Normal 2 4 2 3 8 3" xfId="7158" xr:uid="{00000000-0005-0000-0000-00009C100000}"/>
    <cellStyle name="Normal 2 4 2 3 9" xfId="3292" xr:uid="{00000000-0005-0000-0000-00009D100000}"/>
    <cellStyle name="Normal 2 4 2 3 9 2" xfId="7571" xr:uid="{00000000-0005-0000-0000-00009E100000}"/>
    <cellStyle name="Normal 2 4 2 4" xfId="292" xr:uid="{00000000-0005-0000-0000-00009F100000}"/>
    <cellStyle name="Normal 2 4 2 4 10" xfId="1209" xr:uid="{00000000-0005-0000-0000-0000A0100000}"/>
    <cellStyle name="Normal 2 4 2 4 2" xfId="293" xr:uid="{00000000-0005-0000-0000-0000A1100000}"/>
    <cellStyle name="Normal 2 4 2 4 2 2" xfId="294" xr:uid="{00000000-0005-0000-0000-0000A2100000}"/>
    <cellStyle name="Normal 2 4 2 4 2 2 2" xfId="790" xr:uid="{00000000-0005-0000-0000-0000A3100000}"/>
    <cellStyle name="Normal 2 4 2 4 2 2 2 2" xfId="3856" xr:uid="{00000000-0005-0000-0000-0000A4100000}"/>
    <cellStyle name="Normal 2 4 2 4 2 2 2 2 2" xfId="8074" xr:uid="{00000000-0005-0000-0000-0000A5100000}"/>
    <cellStyle name="Normal 2 4 2 4 2 2 2 3" xfId="5929" xr:uid="{00000000-0005-0000-0000-0000A6100000}"/>
    <cellStyle name="Normal 2 4 2 4 2 2 2 4" xfId="1627" xr:uid="{00000000-0005-0000-0000-0000A7100000}"/>
    <cellStyle name="Normal 2 4 2 4 2 2 3" xfId="2040" xr:uid="{00000000-0005-0000-0000-0000A8100000}"/>
    <cellStyle name="Normal 2 4 2 4 2 2 3 2" xfId="4269" xr:uid="{00000000-0005-0000-0000-0000A9100000}"/>
    <cellStyle name="Normal 2 4 2 4 2 2 3 2 2" xfId="8487" xr:uid="{00000000-0005-0000-0000-0000AA100000}"/>
    <cellStyle name="Normal 2 4 2 4 2 2 3 3" xfId="6342" xr:uid="{00000000-0005-0000-0000-0000AB100000}"/>
    <cellStyle name="Normal 2 4 2 4 2 2 4" xfId="2453" xr:uid="{00000000-0005-0000-0000-0000AC100000}"/>
    <cellStyle name="Normal 2 4 2 4 2 2 4 2" xfId="4682" xr:uid="{00000000-0005-0000-0000-0000AD100000}"/>
    <cellStyle name="Normal 2 4 2 4 2 2 4 2 2" xfId="8900" xr:uid="{00000000-0005-0000-0000-0000AE100000}"/>
    <cellStyle name="Normal 2 4 2 4 2 2 4 3" xfId="6755" xr:uid="{00000000-0005-0000-0000-0000AF100000}"/>
    <cellStyle name="Normal 2 4 2 4 2 2 5" xfId="2866" xr:uid="{00000000-0005-0000-0000-0000B0100000}"/>
    <cellStyle name="Normal 2 4 2 4 2 2 5 2" xfId="5095" xr:uid="{00000000-0005-0000-0000-0000B1100000}"/>
    <cellStyle name="Normal 2 4 2 4 2 2 5 2 2" xfId="9313" xr:uid="{00000000-0005-0000-0000-0000B2100000}"/>
    <cellStyle name="Normal 2 4 2 4 2 2 5 3" xfId="7168" xr:uid="{00000000-0005-0000-0000-0000B3100000}"/>
    <cellStyle name="Normal 2 4 2 4 2 2 6" xfId="3302" xr:uid="{00000000-0005-0000-0000-0000B4100000}"/>
    <cellStyle name="Normal 2 4 2 4 2 2 6 2" xfId="7581" xr:uid="{00000000-0005-0000-0000-0000B5100000}"/>
    <cellStyle name="Normal 2 4 2 4 2 2 7" xfId="5515" xr:uid="{00000000-0005-0000-0000-0000B6100000}"/>
    <cellStyle name="Normal 2 4 2 4 2 2 8" xfId="1211" xr:uid="{00000000-0005-0000-0000-0000B7100000}"/>
    <cellStyle name="Normal 2 4 2 4 2 3" xfId="789" xr:uid="{00000000-0005-0000-0000-0000B8100000}"/>
    <cellStyle name="Normal 2 4 2 4 2 3 2" xfId="3855" xr:uid="{00000000-0005-0000-0000-0000B9100000}"/>
    <cellStyle name="Normal 2 4 2 4 2 3 2 2" xfId="8073" xr:uid="{00000000-0005-0000-0000-0000BA100000}"/>
    <cellStyle name="Normal 2 4 2 4 2 3 3" xfId="5928" xr:uid="{00000000-0005-0000-0000-0000BB100000}"/>
    <cellStyle name="Normal 2 4 2 4 2 3 4" xfId="1626" xr:uid="{00000000-0005-0000-0000-0000BC100000}"/>
    <cellStyle name="Normal 2 4 2 4 2 4" xfId="2039" xr:uid="{00000000-0005-0000-0000-0000BD100000}"/>
    <cellStyle name="Normal 2 4 2 4 2 4 2" xfId="4268" xr:uid="{00000000-0005-0000-0000-0000BE100000}"/>
    <cellStyle name="Normal 2 4 2 4 2 4 2 2" xfId="8486" xr:uid="{00000000-0005-0000-0000-0000BF100000}"/>
    <cellStyle name="Normal 2 4 2 4 2 4 3" xfId="6341" xr:uid="{00000000-0005-0000-0000-0000C0100000}"/>
    <cellStyle name="Normal 2 4 2 4 2 5" xfId="2452" xr:uid="{00000000-0005-0000-0000-0000C1100000}"/>
    <cellStyle name="Normal 2 4 2 4 2 5 2" xfId="4681" xr:uid="{00000000-0005-0000-0000-0000C2100000}"/>
    <cellStyle name="Normal 2 4 2 4 2 5 2 2" xfId="8899" xr:uid="{00000000-0005-0000-0000-0000C3100000}"/>
    <cellStyle name="Normal 2 4 2 4 2 5 3" xfId="6754" xr:uid="{00000000-0005-0000-0000-0000C4100000}"/>
    <cellStyle name="Normal 2 4 2 4 2 6" xfId="2865" xr:uid="{00000000-0005-0000-0000-0000C5100000}"/>
    <cellStyle name="Normal 2 4 2 4 2 6 2" xfId="5094" xr:uid="{00000000-0005-0000-0000-0000C6100000}"/>
    <cellStyle name="Normal 2 4 2 4 2 6 2 2" xfId="9312" xr:uid="{00000000-0005-0000-0000-0000C7100000}"/>
    <cellStyle name="Normal 2 4 2 4 2 6 3" xfId="7167" xr:uid="{00000000-0005-0000-0000-0000C8100000}"/>
    <cellStyle name="Normal 2 4 2 4 2 7" xfId="3301" xr:uid="{00000000-0005-0000-0000-0000C9100000}"/>
    <cellStyle name="Normal 2 4 2 4 2 7 2" xfId="7580" xr:uid="{00000000-0005-0000-0000-0000CA100000}"/>
    <cellStyle name="Normal 2 4 2 4 2 8" xfId="5514" xr:uid="{00000000-0005-0000-0000-0000CB100000}"/>
    <cellStyle name="Normal 2 4 2 4 2 9" xfId="1210" xr:uid="{00000000-0005-0000-0000-0000CC100000}"/>
    <cellStyle name="Normal 2 4 2 4 3" xfId="295" xr:uid="{00000000-0005-0000-0000-0000CD100000}"/>
    <cellStyle name="Normal 2 4 2 4 3 2" xfId="791" xr:uid="{00000000-0005-0000-0000-0000CE100000}"/>
    <cellStyle name="Normal 2 4 2 4 3 2 2" xfId="3857" xr:uid="{00000000-0005-0000-0000-0000CF100000}"/>
    <cellStyle name="Normal 2 4 2 4 3 2 2 2" xfId="8075" xr:uid="{00000000-0005-0000-0000-0000D0100000}"/>
    <cellStyle name="Normal 2 4 2 4 3 2 3" xfId="5930" xr:uid="{00000000-0005-0000-0000-0000D1100000}"/>
    <cellStyle name="Normal 2 4 2 4 3 2 4" xfId="1628" xr:uid="{00000000-0005-0000-0000-0000D2100000}"/>
    <cellStyle name="Normal 2 4 2 4 3 3" xfId="2041" xr:uid="{00000000-0005-0000-0000-0000D3100000}"/>
    <cellStyle name="Normal 2 4 2 4 3 3 2" xfId="4270" xr:uid="{00000000-0005-0000-0000-0000D4100000}"/>
    <cellStyle name="Normal 2 4 2 4 3 3 2 2" xfId="8488" xr:uid="{00000000-0005-0000-0000-0000D5100000}"/>
    <cellStyle name="Normal 2 4 2 4 3 3 3" xfId="6343" xr:uid="{00000000-0005-0000-0000-0000D6100000}"/>
    <cellStyle name="Normal 2 4 2 4 3 4" xfId="2454" xr:uid="{00000000-0005-0000-0000-0000D7100000}"/>
    <cellStyle name="Normal 2 4 2 4 3 4 2" xfId="4683" xr:uid="{00000000-0005-0000-0000-0000D8100000}"/>
    <cellStyle name="Normal 2 4 2 4 3 4 2 2" xfId="8901" xr:uid="{00000000-0005-0000-0000-0000D9100000}"/>
    <cellStyle name="Normal 2 4 2 4 3 4 3" xfId="6756" xr:uid="{00000000-0005-0000-0000-0000DA100000}"/>
    <cellStyle name="Normal 2 4 2 4 3 5" xfId="2867" xr:uid="{00000000-0005-0000-0000-0000DB100000}"/>
    <cellStyle name="Normal 2 4 2 4 3 5 2" xfId="5096" xr:uid="{00000000-0005-0000-0000-0000DC100000}"/>
    <cellStyle name="Normal 2 4 2 4 3 5 2 2" xfId="9314" xr:uid="{00000000-0005-0000-0000-0000DD100000}"/>
    <cellStyle name="Normal 2 4 2 4 3 5 3" xfId="7169" xr:uid="{00000000-0005-0000-0000-0000DE100000}"/>
    <cellStyle name="Normal 2 4 2 4 3 6" xfId="3303" xr:uid="{00000000-0005-0000-0000-0000DF100000}"/>
    <cellStyle name="Normal 2 4 2 4 3 6 2" xfId="7582" xr:uid="{00000000-0005-0000-0000-0000E0100000}"/>
    <cellStyle name="Normal 2 4 2 4 3 7" xfId="5516" xr:uid="{00000000-0005-0000-0000-0000E1100000}"/>
    <cellStyle name="Normal 2 4 2 4 3 8" xfId="1212" xr:uid="{00000000-0005-0000-0000-0000E2100000}"/>
    <cellStyle name="Normal 2 4 2 4 4" xfId="788" xr:uid="{00000000-0005-0000-0000-0000E3100000}"/>
    <cellStyle name="Normal 2 4 2 4 4 2" xfId="3854" xr:uid="{00000000-0005-0000-0000-0000E4100000}"/>
    <cellStyle name="Normal 2 4 2 4 4 2 2" xfId="8072" xr:uid="{00000000-0005-0000-0000-0000E5100000}"/>
    <cellStyle name="Normal 2 4 2 4 4 3" xfId="5927" xr:uid="{00000000-0005-0000-0000-0000E6100000}"/>
    <cellStyle name="Normal 2 4 2 4 4 4" xfId="1625" xr:uid="{00000000-0005-0000-0000-0000E7100000}"/>
    <cellStyle name="Normal 2 4 2 4 5" xfId="2038" xr:uid="{00000000-0005-0000-0000-0000E8100000}"/>
    <cellStyle name="Normal 2 4 2 4 5 2" xfId="4267" xr:uid="{00000000-0005-0000-0000-0000E9100000}"/>
    <cellStyle name="Normal 2 4 2 4 5 2 2" xfId="8485" xr:uid="{00000000-0005-0000-0000-0000EA100000}"/>
    <cellStyle name="Normal 2 4 2 4 5 3" xfId="6340" xr:uid="{00000000-0005-0000-0000-0000EB100000}"/>
    <cellStyle name="Normal 2 4 2 4 6" xfId="2451" xr:uid="{00000000-0005-0000-0000-0000EC100000}"/>
    <cellStyle name="Normal 2 4 2 4 6 2" xfId="4680" xr:uid="{00000000-0005-0000-0000-0000ED100000}"/>
    <cellStyle name="Normal 2 4 2 4 6 2 2" xfId="8898" xr:uid="{00000000-0005-0000-0000-0000EE100000}"/>
    <cellStyle name="Normal 2 4 2 4 6 3" xfId="6753" xr:uid="{00000000-0005-0000-0000-0000EF100000}"/>
    <cellStyle name="Normal 2 4 2 4 7" xfId="2864" xr:uid="{00000000-0005-0000-0000-0000F0100000}"/>
    <cellStyle name="Normal 2 4 2 4 7 2" xfId="5093" xr:uid="{00000000-0005-0000-0000-0000F1100000}"/>
    <cellStyle name="Normal 2 4 2 4 7 2 2" xfId="9311" xr:uid="{00000000-0005-0000-0000-0000F2100000}"/>
    <cellStyle name="Normal 2 4 2 4 7 3" xfId="7166" xr:uid="{00000000-0005-0000-0000-0000F3100000}"/>
    <cellStyle name="Normal 2 4 2 4 8" xfId="3300" xr:uid="{00000000-0005-0000-0000-0000F4100000}"/>
    <cellStyle name="Normal 2 4 2 4 8 2" xfId="7579" xr:uid="{00000000-0005-0000-0000-0000F5100000}"/>
    <cellStyle name="Normal 2 4 2 4 9" xfId="5513" xr:uid="{00000000-0005-0000-0000-0000F6100000}"/>
    <cellStyle name="Normal 2 4 2 5" xfId="296" xr:uid="{00000000-0005-0000-0000-0000F7100000}"/>
    <cellStyle name="Normal 2 4 2 5 2" xfId="297" xr:uid="{00000000-0005-0000-0000-0000F8100000}"/>
    <cellStyle name="Normal 2 4 2 5 2 2" xfId="793" xr:uid="{00000000-0005-0000-0000-0000F9100000}"/>
    <cellStyle name="Normal 2 4 2 5 2 2 2" xfId="3859" xr:uid="{00000000-0005-0000-0000-0000FA100000}"/>
    <cellStyle name="Normal 2 4 2 5 2 2 2 2" xfId="8077" xr:uid="{00000000-0005-0000-0000-0000FB100000}"/>
    <cellStyle name="Normal 2 4 2 5 2 2 3" xfId="5932" xr:uid="{00000000-0005-0000-0000-0000FC100000}"/>
    <cellStyle name="Normal 2 4 2 5 2 2 4" xfId="1630" xr:uid="{00000000-0005-0000-0000-0000FD100000}"/>
    <cellStyle name="Normal 2 4 2 5 2 3" xfId="2043" xr:uid="{00000000-0005-0000-0000-0000FE100000}"/>
    <cellStyle name="Normal 2 4 2 5 2 3 2" xfId="4272" xr:uid="{00000000-0005-0000-0000-0000FF100000}"/>
    <cellStyle name="Normal 2 4 2 5 2 3 2 2" xfId="8490" xr:uid="{00000000-0005-0000-0000-000000110000}"/>
    <cellStyle name="Normal 2 4 2 5 2 3 3" xfId="6345" xr:uid="{00000000-0005-0000-0000-000001110000}"/>
    <cellStyle name="Normal 2 4 2 5 2 4" xfId="2456" xr:uid="{00000000-0005-0000-0000-000002110000}"/>
    <cellStyle name="Normal 2 4 2 5 2 4 2" xfId="4685" xr:uid="{00000000-0005-0000-0000-000003110000}"/>
    <cellStyle name="Normal 2 4 2 5 2 4 2 2" xfId="8903" xr:uid="{00000000-0005-0000-0000-000004110000}"/>
    <cellStyle name="Normal 2 4 2 5 2 4 3" xfId="6758" xr:uid="{00000000-0005-0000-0000-000005110000}"/>
    <cellStyle name="Normal 2 4 2 5 2 5" xfId="2869" xr:uid="{00000000-0005-0000-0000-000006110000}"/>
    <cellStyle name="Normal 2 4 2 5 2 5 2" xfId="5098" xr:uid="{00000000-0005-0000-0000-000007110000}"/>
    <cellStyle name="Normal 2 4 2 5 2 5 2 2" xfId="9316" xr:uid="{00000000-0005-0000-0000-000008110000}"/>
    <cellStyle name="Normal 2 4 2 5 2 5 3" xfId="7171" xr:uid="{00000000-0005-0000-0000-000009110000}"/>
    <cellStyle name="Normal 2 4 2 5 2 6" xfId="3305" xr:uid="{00000000-0005-0000-0000-00000A110000}"/>
    <cellStyle name="Normal 2 4 2 5 2 6 2" xfId="7584" xr:uid="{00000000-0005-0000-0000-00000B110000}"/>
    <cellStyle name="Normal 2 4 2 5 2 7" xfId="5518" xr:uid="{00000000-0005-0000-0000-00000C110000}"/>
    <cellStyle name="Normal 2 4 2 5 2 8" xfId="1214" xr:uid="{00000000-0005-0000-0000-00000D110000}"/>
    <cellStyle name="Normal 2 4 2 5 3" xfId="792" xr:uid="{00000000-0005-0000-0000-00000E110000}"/>
    <cellStyle name="Normal 2 4 2 5 3 2" xfId="3858" xr:uid="{00000000-0005-0000-0000-00000F110000}"/>
    <cellStyle name="Normal 2 4 2 5 3 2 2" xfId="8076" xr:uid="{00000000-0005-0000-0000-000010110000}"/>
    <cellStyle name="Normal 2 4 2 5 3 3" xfId="5931" xr:uid="{00000000-0005-0000-0000-000011110000}"/>
    <cellStyle name="Normal 2 4 2 5 3 4" xfId="1629" xr:uid="{00000000-0005-0000-0000-000012110000}"/>
    <cellStyle name="Normal 2 4 2 5 4" xfId="2042" xr:uid="{00000000-0005-0000-0000-000013110000}"/>
    <cellStyle name="Normal 2 4 2 5 4 2" xfId="4271" xr:uid="{00000000-0005-0000-0000-000014110000}"/>
    <cellStyle name="Normal 2 4 2 5 4 2 2" xfId="8489" xr:uid="{00000000-0005-0000-0000-000015110000}"/>
    <cellStyle name="Normal 2 4 2 5 4 3" xfId="6344" xr:uid="{00000000-0005-0000-0000-000016110000}"/>
    <cellStyle name="Normal 2 4 2 5 5" xfId="2455" xr:uid="{00000000-0005-0000-0000-000017110000}"/>
    <cellStyle name="Normal 2 4 2 5 5 2" xfId="4684" xr:uid="{00000000-0005-0000-0000-000018110000}"/>
    <cellStyle name="Normal 2 4 2 5 5 2 2" xfId="8902" xr:uid="{00000000-0005-0000-0000-000019110000}"/>
    <cellStyle name="Normal 2 4 2 5 5 3" xfId="6757" xr:uid="{00000000-0005-0000-0000-00001A110000}"/>
    <cellStyle name="Normal 2 4 2 5 6" xfId="2868" xr:uid="{00000000-0005-0000-0000-00001B110000}"/>
    <cellStyle name="Normal 2 4 2 5 6 2" xfId="5097" xr:uid="{00000000-0005-0000-0000-00001C110000}"/>
    <cellStyle name="Normal 2 4 2 5 6 2 2" xfId="9315" xr:uid="{00000000-0005-0000-0000-00001D110000}"/>
    <cellStyle name="Normal 2 4 2 5 6 3" xfId="7170" xr:uid="{00000000-0005-0000-0000-00001E110000}"/>
    <cellStyle name="Normal 2 4 2 5 7" xfId="3304" xr:uid="{00000000-0005-0000-0000-00001F110000}"/>
    <cellStyle name="Normal 2 4 2 5 7 2" xfId="7583" xr:uid="{00000000-0005-0000-0000-000020110000}"/>
    <cellStyle name="Normal 2 4 2 5 8" xfId="5517" xr:uid="{00000000-0005-0000-0000-000021110000}"/>
    <cellStyle name="Normal 2 4 2 5 9" xfId="1213" xr:uid="{00000000-0005-0000-0000-000022110000}"/>
    <cellStyle name="Normal 2 4 2 6" xfId="298" xr:uid="{00000000-0005-0000-0000-000023110000}"/>
    <cellStyle name="Normal 2 4 2 6 2" xfId="794" xr:uid="{00000000-0005-0000-0000-000024110000}"/>
    <cellStyle name="Normal 2 4 2 6 2 2" xfId="3860" xr:uid="{00000000-0005-0000-0000-000025110000}"/>
    <cellStyle name="Normal 2 4 2 6 2 2 2" xfId="8078" xr:uid="{00000000-0005-0000-0000-000026110000}"/>
    <cellStyle name="Normal 2 4 2 6 2 3" xfId="5933" xr:uid="{00000000-0005-0000-0000-000027110000}"/>
    <cellStyle name="Normal 2 4 2 6 2 4" xfId="1631" xr:uid="{00000000-0005-0000-0000-000028110000}"/>
    <cellStyle name="Normal 2 4 2 6 3" xfId="2044" xr:uid="{00000000-0005-0000-0000-000029110000}"/>
    <cellStyle name="Normal 2 4 2 6 3 2" xfId="4273" xr:uid="{00000000-0005-0000-0000-00002A110000}"/>
    <cellStyle name="Normal 2 4 2 6 3 2 2" xfId="8491" xr:uid="{00000000-0005-0000-0000-00002B110000}"/>
    <cellStyle name="Normal 2 4 2 6 3 3" xfId="6346" xr:uid="{00000000-0005-0000-0000-00002C110000}"/>
    <cellStyle name="Normal 2 4 2 6 4" xfId="2457" xr:uid="{00000000-0005-0000-0000-00002D110000}"/>
    <cellStyle name="Normal 2 4 2 6 4 2" xfId="4686" xr:uid="{00000000-0005-0000-0000-00002E110000}"/>
    <cellStyle name="Normal 2 4 2 6 4 2 2" xfId="8904" xr:uid="{00000000-0005-0000-0000-00002F110000}"/>
    <cellStyle name="Normal 2 4 2 6 4 3" xfId="6759" xr:uid="{00000000-0005-0000-0000-000030110000}"/>
    <cellStyle name="Normal 2 4 2 6 5" xfId="2870" xr:uid="{00000000-0005-0000-0000-000031110000}"/>
    <cellStyle name="Normal 2 4 2 6 5 2" xfId="5099" xr:uid="{00000000-0005-0000-0000-000032110000}"/>
    <cellStyle name="Normal 2 4 2 6 5 2 2" xfId="9317" xr:uid="{00000000-0005-0000-0000-000033110000}"/>
    <cellStyle name="Normal 2 4 2 6 5 3" xfId="7172" xr:uid="{00000000-0005-0000-0000-000034110000}"/>
    <cellStyle name="Normal 2 4 2 6 6" xfId="3306" xr:uid="{00000000-0005-0000-0000-000035110000}"/>
    <cellStyle name="Normal 2 4 2 6 6 2" xfId="7585" xr:uid="{00000000-0005-0000-0000-000036110000}"/>
    <cellStyle name="Normal 2 4 2 6 7" xfId="5519" xr:uid="{00000000-0005-0000-0000-000037110000}"/>
    <cellStyle name="Normal 2 4 2 6 8" xfId="1215" xr:uid="{00000000-0005-0000-0000-000038110000}"/>
    <cellStyle name="Normal 2 4 2 7" xfId="779" xr:uid="{00000000-0005-0000-0000-000039110000}"/>
    <cellStyle name="Normal 2 4 2 7 2" xfId="3845" xr:uid="{00000000-0005-0000-0000-00003A110000}"/>
    <cellStyle name="Normal 2 4 2 7 2 2" xfId="8063" xr:uid="{00000000-0005-0000-0000-00003B110000}"/>
    <cellStyle name="Normal 2 4 2 7 3" xfId="5918" xr:uid="{00000000-0005-0000-0000-00003C110000}"/>
    <cellStyle name="Normal 2 4 2 7 4" xfId="1616" xr:uid="{00000000-0005-0000-0000-00003D110000}"/>
    <cellStyle name="Normal 2 4 2 8" xfId="2029" xr:uid="{00000000-0005-0000-0000-00003E110000}"/>
    <cellStyle name="Normal 2 4 2 8 2" xfId="4258" xr:uid="{00000000-0005-0000-0000-00003F110000}"/>
    <cellStyle name="Normal 2 4 2 8 2 2" xfId="8476" xr:uid="{00000000-0005-0000-0000-000040110000}"/>
    <cellStyle name="Normal 2 4 2 8 3" xfId="6331" xr:uid="{00000000-0005-0000-0000-000041110000}"/>
    <cellStyle name="Normal 2 4 2 9" xfId="2442" xr:uid="{00000000-0005-0000-0000-000042110000}"/>
    <cellStyle name="Normal 2 4 2 9 2" xfId="4671" xr:uid="{00000000-0005-0000-0000-000043110000}"/>
    <cellStyle name="Normal 2 4 2 9 2 2" xfId="8889" xr:uid="{00000000-0005-0000-0000-000044110000}"/>
    <cellStyle name="Normal 2 4 2 9 3" xfId="6744" xr:uid="{00000000-0005-0000-0000-000045110000}"/>
    <cellStyle name="Normal 2 4 3" xfId="299" xr:uid="{00000000-0005-0000-0000-000046110000}"/>
    <cellStyle name="Normal 2 4 3 10" xfId="1216" xr:uid="{00000000-0005-0000-0000-000047110000}"/>
    <cellStyle name="Normal 2 4 3 2" xfId="300" xr:uid="{00000000-0005-0000-0000-000048110000}"/>
    <cellStyle name="Normal 2 4 3 3" xfId="301" xr:uid="{00000000-0005-0000-0000-000049110000}"/>
    <cellStyle name="Normal 2 4 3 3 10" xfId="1217" xr:uid="{00000000-0005-0000-0000-00004A110000}"/>
    <cellStyle name="Normal 2 4 3 3 2" xfId="302" xr:uid="{00000000-0005-0000-0000-00004B110000}"/>
    <cellStyle name="Normal 2 4 3 3 2 2" xfId="303" xr:uid="{00000000-0005-0000-0000-00004C110000}"/>
    <cellStyle name="Normal 2 4 3 3 2 2 2" xfId="798" xr:uid="{00000000-0005-0000-0000-00004D110000}"/>
    <cellStyle name="Normal 2 4 3 3 2 2 2 2" xfId="3864" xr:uid="{00000000-0005-0000-0000-00004E110000}"/>
    <cellStyle name="Normal 2 4 3 3 2 2 2 2 2" xfId="8082" xr:uid="{00000000-0005-0000-0000-00004F110000}"/>
    <cellStyle name="Normal 2 4 3 3 2 2 2 3" xfId="5937" xr:uid="{00000000-0005-0000-0000-000050110000}"/>
    <cellStyle name="Normal 2 4 3 3 2 2 2 4" xfId="1635" xr:uid="{00000000-0005-0000-0000-000051110000}"/>
    <cellStyle name="Normal 2 4 3 3 2 2 3" xfId="2048" xr:uid="{00000000-0005-0000-0000-000052110000}"/>
    <cellStyle name="Normal 2 4 3 3 2 2 3 2" xfId="4277" xr:uid="{00000000-0005-0000-0000-000053110000}"/>
    <cellStyle name="Normal 2 4 3 3 2 2 3 2 2" xfId="8495" xr:uid="{00000000-0005-0000-0000-000054110000}"/>
    <cellStyle name="Normal 2 4 3 3 2 2 3 3" xfId="6350" xr:uid="{00000000-0005-0000-0000-000055110000}"/>
    <cellStyle name="Normal 2 4 3 3 2 2 4" xfId="2461" xr:uid="{00000000-0005-0000-0000-000056110000}"/>
    <cellStyle name="Normal 2 4 3 3 2 2 4 2" xfId="4690" xr:uid="{00000000-0005-0000-0000-000057110000}"/>
    <cellStyle name="Normal 2 4 3 3 2 2 4 2 2" xfId="8908" xr:uid="{00000000-0005-0000-0000-000058110000}"/>
    <cellStyle name="Normal 2 4 3 3 2 2 4 3" xfId="6763" xr:uid="{00000000-0005-0000-0000-000059110000}"/>
    <cellStyle name="Normal 2 4 3 3 2 2 5" xfId="2874" xr:uid="{00000000-0005-0000-0000-00005A110000}"/>
    <cellStyle name="Normal 2 4 3 3 2 2 5 2" xfId="5103" xr:uid="{00000000-0005-0000-0000-00005B110000}"/>
    <cellStyle name="Normal 2 4 3 3 2 2 5 2 2" xfId="9321" xr:uid="{00000000-0005-0000-0000-00005C110000}"/>
    <cellStyle name="Normal 2 4 3 3 2 2 5 3" xfId="7176" xr:uid="{00000000-0005-0000-0000-00005D110000}"/>
    <cellStyle name="Normal 2 4 3 3 2 2 6" xfId="3310" xr:uid="{00000000-0005-0000-0000-00005E110000}"/>
    <cellStyle name="Normal 2 4 3 3 2 2 6 2" xfId="7589" xr:uid="{00000000-0005-0000-0000-00005F110000}"/>
    <cellStyle name="Normal 2 4 3 3 2 2 7" xfId="5523" xr:uid="{00000000-0005-0000-0000-000060110000}"/>
    <cellStyle name="Normal 2 4 3 3 2 2 8" xfId="1219" xr:uid="{00000000-0005-0000-0000-000061110000}"/>
    <cellStyle name="Normal 2 4 3 3 2 3" xfId="797" xr:uid="{00000000-0005-0000-0000-000062110000}"/>
    <cellStyle name="Normal 2 4 3 3 2 3 2" xfId="3863" xr:uid="{00000000-0005-0000-0000-000063110000}"/>
    <cellStyle name="Normal 2 4 3 3 2 3 2 2" xfId="8081" xr:uid="{00000000-0005-0000-0000-000064110000}"/>
    <cellStyle name="Normal 2 4 3 3 2 3 3" xfId="5936" xr:uid="{00000000-0005-0000-0000-000065110000}"/>
    <cellStyle name="Normal 2 4 3 3 2 3 4" xfId="1634" xr:uid="{00000000-0005-0000-0000-000066110000}"/>
    <cellStyle name="Normal 2 4 3 3 2 4" xfId="2047" xr:uid="{00000000-0005-0000-0000-000067110000}"/>
    <cellStyle name="Normal 2 4 3 3 2 4 2" xfId="4276" xr:uid="{00000000-0005-0000-0000-000068110000}"/>
    <cellStyle name="Normal 2 4 3 3 2 4 2 2" xfId="8494" xr:uid="{00000000-0005-0000-0000-000069110000}"/>
    <cellStyle name="Normal 2 4 3 3 2 4 3" xfId="6349" xr:uid="{00000000-0005-0000-0000-00006A110000}"/>
    <cellStyle name="Normal 2 4 3 3 2 5" xfId="2460" xr:uid="{00000000-0005-0000-0000-00006B110000}"/>
    <cellStyle name="Normal 2 4 3 3 2 5 2" xfId="4689" xr:uid="{00000000-0005-0000-0000-00006C110000}"/>
    <cellStyle name="Normal 2 4 3 3 2 5 2 2" xfId="8907" xr:uid="{00000000-0005-0000-0000-00006D110000}"/>
    <cellStyle name="Normal 2 4 3 3 2 5 3" xfId="6762" xr:uid="{00000000-0005-0000-0000-00006E110000}"/>
    <cellStyle name="Normal 2 4 3 3 2 6" xfId="2873" xr:uid="{00000000-0005-0000-0000-00006F110000}"/>
    <cellStyle name="Normal 2 4 3 3 2 6 2" xfId="5102" xr:uid="{00000000-0005-0000-0000-000070110000}"/>
    <cellStyle name="Normal 2 4 3 3 2 6 2 2" xfId="9320" xr:uid="{00000000-0005-0000-0000-000071110000}"/>
    <cellStyle name="Normal 2 4 3 3 2 6 3" xfId="7175" xr:uid="{00000000-0005-0000-0000-000072110000}"/>
    <cellStyle name="Normal 2 4 3 3 2 7" xfId="3309" xr:uid="{00000000-0005-0000-0000-000073110000}"/>
    <cellStyle name="Normal 2 4 3 3 2 7 2" xfId="7588" xr:uid="{00000000-0005-0000-0000-000074110000}"/>
    <cellStyle name="Normal 2 4 3 3 2 8" xfId="5522" xr:uid="{00000000-0005-0000-0000-000075110000}"/>
    <cellStyle name="Normal 2 4 3 3 2 9" xfId="1218" xr:uid="{00000000-0005-0000-0000-000076110000}"/>
    <cellStyle name="Normal 2 4 3 3 3" xfId="304" xr:uid="{00000000-0005-0000-0000-000077110000}"/>
    <cellStyle name="Normal 2 4 3 3 3 2" xfId="799" xr:uid="{00000000-0005-0000-0000-000078110000}"/>
    <cellStyle name="Normal 2 4 3 3 3 2 2" xfId="3865" xr:uid="{00000000-0005-0000-0000-000079110000}"/>
    <cellStyle name="Normal 2 4 3 3 3 2 2 2" xfId="8083" xr:uid="{00000000-0005-0000-0000-00007A110000}"/>
    <cellStyle name="Normal 2 4 3 3 3 2 3" xfId="5938" xr:uid="{00000000-0005-0000-0000-00007B110000}"/>
    <cellStyle name="Normal 2 4 3 3 3 2 4" xfId="1636" xr:uid="{00000000-0005-0000-0000-00007C110000}"/>
    <cellStyle name="Normal 2 4 3 3 3 3" xfId="2049" xr:uid="{00000000-0005-0000-0000-00007D110000}"/>
    <cellStyle name="Normal 2 4 3 3 3 3 2" xfId="4278" xr:uid="{00000000-0005-0000-0000-00007E110000}"/>
    <cellStyle name="Normal 2 4 3 3 3 3 2 2" xfId="8496" xr:uid="{00000000-0005-0000-0000-00007F110000}"/>
    <cellStyle name="Normal 2 4 3 3 3 3 3" xfId="6351" xr:uid="{00000000-0005-0000-0000-000080110000}"/>
    <cellStyle name="Normal 2 4 3 3 3 4" xfId="2462" xr:uid="{00000000-0005-0000-0000-000081110000}"/>
    <cellStyle name="Normal 2 4 3 3 3 4 2" xfId="4691" xr:uid="{00000000-0005-0000-0000-000082110000}"/>
    <cellStyle name="Normal 2 4 3 3 3 4 2 2" xfId="8909" xr:uid="{00000000-0005-0000-0000-000083110000}"/>
    <cellStyle name="Normal 2 4 3 3 3 4 3" xfId="6764" xr:uid="{00000000-0005-0000-0000-000084110000}"/>
    <cellStyle name="Normal 2 4 3 3 3 5" xfId="2875" xr:uid="{00000000-0005-0000-0000-000085110000}"/>
    <cellStyle name="Normal 2 4 3 3 3 5 2" xfId="5104" xr:uid="{00000000-0005-0000-0000-000086110000}"/>
    <cellStyle name="Normal 2 4 3 3 3 5 2 2" xfId="9322" xr:uid="{00000000-0005-0000-0000-000087110000}"/>
    <cellStyle name="Normal 2 4 3 3 3 5 3" xfId="7177" xr:uid="{00000000-0005-0000-0000-000088110000}"/>
    <cellStyle name="Normal 2 4 3 3 3 6" xfId="3311" xr:uid="{00000000-0005-0000-0000-000089110000}"/>
    <cellStyle name="Normal 2 4 3 3 3 6 2" xfId="7590" xr:uid="{00000000-0005-0000-0000-00008A110000}"/>
    <cellStyle name="Normal 2 4 3 3 3 7" xfId="5524" xr:uid="{00000000-0005-0000-0000-00008B110000}"/>
    <cellStyle name="Normal 2 4 3 3 3 8" xfId="1220" xr:uid="{00000000-0005-0000-0000-00008C110000}"/>
    <cellStyle name="Normal 2 4 3 3 4" xfId="796" xr:uid="{00000000-0005-0000-0000-00008D110000}"/>
    <cellStyle name="Normal 2 4 3 3 4 2" xfId="3862" xr:uid="{00000000-0005-0000-0000-00008E110000}"/>
    <cellStyle name="Normal 2 4 3 3 4 2 2" xfId="8080" xr:uid="{00000000-0005-0000-0000-00008F110000}"/>
    <cellStyle name="Normal 2 4 3 3 4 3" xfId="5935" xr:uid="{00000000-0005-0000-0000-000090110000}"/>
    <cellStyle name="Normal 2 4 3 3 4 4" xfId="1633" xr:uid="{00000000-0005-0000-0000-000091110000}"/>
    <cellStyle name="Normal 2 4 3 3 5" xfId="2046" xr:uid="{00000000-0005-0000-0000-000092110000}"/>
    <cellStyle name="Normal 2 4 3 3 5 2" xfId="4275" xr:uid="{00000000-0005-0000-0000-000093110000}"/>
    <cellStyle name="Normal 2 4 3 3 5 2 2" xfId="8493" xr:uid="{00000000-0005-0000-0000-000094110000}"/>
    <cellStyle name="Normal 2 4 3 3 5 3" xfId="6348" xr:uid="{00000000-0005-0000-0000-000095110000}"/>
    <cellStyle name="Normal 2 4 3 3 6" xfId="2459" xr:uid="{00000000-0005-0000-0000-000096110000}"/>
    <cellStyle name="Normal 2 4 3 3 6 2" xfId="4688" xr:uid="{00000000-0005-0000-0000-000097110000}"/>
    <cellStyle name="Normal 2 4 3 3 6 2 2" xfId="8906" xr:uid="{00000000-0005-0000-0000-000098110000}"/>
    <cellStyle name="Normal 2 4 3 3 6 3" xfId="6761" xr:uid="{00000000-0005-0000-0000-000099110000}"/>
    <cellStyle name="Normal 2 4 3 3 7" xfId="2872" xr:uid="{00000000-0005-0000-0000-00009A110000}"/>
    <cellStyle name="Normal 2 4 3 3 7 2" xfId="5101" xr:uid="{00000000-0005-0000-0000-00009B110000}"/>
    <cellStyle name="Normal 2 4 3 3 7 2 2" xfId="9319" xr:uid="{00000000-0005-0000-0000-00009C110000}"/>
    <cellStyle name="Normal 2 4 3 3 7 3" xfId="7174" xr:uid="{00000000-0005-0000-0000-00009D110000}"/>
    <cellStyle name="Normal 2 4 3 3 8" xfId="3308" xr:uid="{00000000-0005-0000-0000-00009E110000}"/>
    <cellStyle name="Normal 2 4 3 3 8 2" xfId="7587" xr:uid="{00000000-0005-0000-0000-00009F110000}"/>
    <cellStyle name="Normal 2 4 3 3 9" xfId="5521" xr:uid="{00000000-0005-0000-0000-0000A0110000}"/>
    <cellStyle name="Normal 2 4 3 4" xfId="795" xr:uid="{00000000-0005-0000-0000-0000A1110000}"/>
    <cellStyle name="Normal 2 4 3 4 2" xfId="3861" xr:uid="{00000000-0005-0000-0000-0000A2110000}"/>
    <cellStyle name="Normal 2 4 3 4 2 2" xfId="8079" xr:uid="{00000000-0005-0000-0000-0000A3110000}"/>
    <cellStyle name="Normal 2 4 3 4 3" xfId="5934" xr:uid="{00000000-0005-0000-0000-0000A4110000}"/>
    <cellStyle name="Normal 2 4 3 4 4" xfId="1632" xr:uid="{00000000-0005-0000-0000-0000A5110000}"/>
    <cellStyle name="Normal 2 4 3 5" xfId="2045" xr:uid="{00000000-0005-0000-0000-0000A6110000}"/>
    <cellStyle name="Normal 2 4 3 5 2" xfId="4274" xr:uid="{00000000-0005-0000-0000-0000A7110000}"/>
    <cellStyle name="Normal 2 4 3 5 2 2" xfId="8492" xr:uid="{00000000-0005-0000-0000-0000A8110000}"/>
    <cellStyle name="Normal 2 4 3 5 3" xfId="6347" xr:uid="{00000000-0005-0000-0000-0000A9110000}"/>
    <cellStyle name="Normal 2 4 3 6" xfId="2458" xr:uid="{00000000-0005-0000-0000-0000AA110000}"/>
    <cellStyle name="Normal 2 4 3 6 2" xfId="4687" xr:uid="{00000000-0005-0000-0000-0000AB110000}"/>
    <cellStyle name="Normal 2 4 3 6 2 2" xfId="8905" xr:uid="{00000000-0005-0000-0000-0000AC110000}"/>
    <cellStyle name="Normal 2 4 3 6 3" xfId="6760" xr:uid="{00000000-0005-0000-0000-0000AD110000}"/>
    <cellStyle name="Normal 2 4 3 7" xfId="2871" xr:uid="{00000000-0005-0000-0000-0000AE110000}"/>
    <cellStyle name="Normal 2 4 3 7 2" xfId="5100" xr:uid="{00000000-0005-0000-0000-0000AF110000}"/>
    <cellStyle name="Normal 2 4 3 7 2 2" xfId="9318" xr:uid="{00000000-0005-0000-0000-0000B0110000}"/>
    <cellStyle name="Normal 2 4 3 7 3" xfId="7173" xr:uid="{00000000-0005-0000-0000-0000B1110000}"/>
    <cellStyle name="Normal 2 4 3 8" xfId="3307" xr:uid="{00000000-0005-0000-0000-0000B2110000}"/>
    <cellStyle name="Normal 2 4 3 8 2" xfId="7586" xr:uid="{00000000-0005-0000-0000-0000B3110000}"/>
    <cellStyle name="Normal 2 4 3 9" xfId="5520" xr:uid="{00000000-0005-0000-0000-0000B4110000}"/>
    <cellStyle name="Normal 2 4 4" xfId="305" xr:uid="{00000000-0005-0000-0000-0000B5110000}"/>
    <cellStyle name="Normal 2 4 5" xfId="306" xr:uid="{00000000-0005-0000-0000-0000B6110000}"/>
    <cellStyle name="Normal 2 4 5 10" xfId="5525" xr:uid="{00000000-0005-0000-0000-0000B7110000}"/>
    <cellStyle name="Normal 2 4 5 11" xfId="1221" xr:uid="{00000000-0005-0000-0000-0000B8110000}"/>
    <cellStyle name="Normal 2 4 5 2" xfId="307" xr:uid="{00000000-0005-0000-0000-0000B9110000}"/>
    <cellStyle name="Normal 2 4 5 2 10" xfId="1222" xr:uid="{00000000-0005-0000-0000-0000BA110000}"/>
    <cellStyle name="Normal 2 4 5 2 2" xfId="308" xr:uid="{00000000-0005-0000-0000-0000BB110000}"/>
    <cellStyle name="Normal 2 4 5 2 2 2" xfId="309" xr:uid="{00000000-0005-0000-0000-0000BC110000}"/>
    <cellStyle name="Normal 2 4 5 2 2 2 2" xfId="803" xr:uid="{00000000-0005-0000-0000-0000BD110000}"/>
    <cellStyle name="Normal 2 4 5 2 2 2 2 2" xfId="3869" xr:uid="{00000000-0005-0000-0000-0000BE110000}"/>
    <cellStyle name="Normal 2 4 5 2 2 2 2 2 2" xfId="8087" xr:uid="{00000000-0005-0000-0000-0000BF110000}"/>
    <cellStyle name="Normal 2 4 5 2 2 2 2 3" xfId="5942" xr:uid="{00000000-0005-0000-0000-0000C0110000}"/>
    <cellStyle name="Normal 2 4 5 2 2 2 2 4" xfId="1640" xr:uid="{00000000-0005-0000-0000-0000C1110000}"/>
    <cellStyle name="Normal 2 4 5 2 2 2 3" xfId="2053" xr:uid="{00000000-0005-0000-0000-0000C2110000}"/>
    <cellStyle name="Normal 2 4 5 2 2 2 3 2" xfId="4282" xr:uid="{00000000-0005-0000-0000-0000C3110000}"/>
    <cellStyle name="Normal 2 4 5 2 2 2 3 2 2" xfId="8500" xr:uid="{00000000-0005-0000-0000-0000C4110000}"/>
    <cellStyle name="Normal 2 4 5 2 2 2 3 3" xfId="6355" xr:uid="{00000000-0005-0000-0000-0000C5110000}"/>
    <cellStyle name="Normal 2 4 5 2 2 2 4" xfId="2466" xr:uid="{00000000-0005-0000-0000-0000C6110000}"/>
    <cellStyle name="Normal 2 4 5 2 2 2 4 2" xfId="4695" xr:uid="{00000000-0005-0000-0000-0000C7110000}"/>
    <cellStyle name="Normal 2 4 5 2 2 2 4 2 2" xfId="8913" xr:uid="{00000000-0005-0000-0000-0000C8110000}"/>
    <cellStyle name="Normal 2 4 5 2 2 2 4 3" xfId="6768" xr:uid="{00000000-0005-0000-0000-0000C9110000}"/>
    <cellStyle name="Normal 2 4 5 2 2 2 5" xfId="2879" xr:uid="{00000000-0005-0000-0000-0000CA110000}"/>
    <cellStyle name="Normal 2 4 5 2 2 2 5 2" xfId="5108" xr:uid="{00000000-0005-0000-0000-0000CB110000}"/>
    <cellStyle name="Normal 2 4 5 2 2 2 5 2 2" xfId="9326" xr:uid="{00000000-0005-0000-0000-0000CC110000}"/>
    <cellStyle name="Normal 2 4 5 2 2 2 5 3" xfId="7181" xr:uid="{00000000-0005-0000-0000-0000CD110000}"/>
    <cellStyle name="Normal 2 4 5 2 2 2 6" xfId="3315" xr:uid="{00000000-0005-0000-0000-0000CE110000}"/>
    <cellStyle name="Normal 2 4 5 2 2 2 6 2" xfId="7594" xr:uid="{00000000-0005-0000-0000-0000CF110000}"/>
    <cellStyle name="Normal 2 4 5 2 2 2 7" xfId="5528" xr:uid="{00000000-0005-0000-0000-0000D0110000}"/>
    <cellStyle name="Normal 2 4 5 2 2 2 8" xfId="1224" xr:uid="{00000000-0005-0000-0000-0000D1110000}"/>
    <cellStyle name="Normal 2 4 5 2 2 3" xfId="802" xr:uid="{00000000-0005-0000-0000-0000D2110000}"/>
    <cellStyle name="Normal 2 4 5 2 2 3 2" xfId="3868" xr:uid="{00000000-0005-0000-0000-0000D3110000}"/>
    <cellStyle name="Normal 2 4 5 2 2 3 2 2" xfId="8086" xr:uid="{00000000-0005-0000-0000-0000D4110000}"/>
    <cellStyle name="Normal 2 4 5 2 2 3 3" xfId="5941" xr:uid="{00000000-0005-0000-0000-0000D5110000}"/>
    <cellStyle name="Normal 2 4 5 2 2 3 4" xfId="1639" xr:uid="{00000000-0005-0000-0000-0000D6110000}"/>
    <cellStyle name="Normal 2 4 5 2 2 4" xfId="2052" xr:uid="{00000000-0005-0000-0000-0000D7110000}"/>
    <cellStyle name="Normal 2 4 5 2 2 4 2" xfId="4281" xr:uid="{00000000-0005-0000-0000-0000D8110000}"/>
    <cellStyle name="Normal 2 4 5 2 2 4 2 2" xfId="8499" xr:uid="{00000000-0005-0000-0000-0000D9110000}"/>
    <cellStyle name="Normal 2 4 5 2 2 4 3" xfId="6354" xr:uid="{00000000-0005-0000-0000-0000DA110000}"/>
    <cellStyle name="Normal 2 4 5 2 2 5" xfId="2465" xr:uid="{00000000-0005-0000-0000-0000DB110000}"/>
    <cellStyle name="Normal 2 4 5 2 2 5 2" xfId="4694" xr:uid="{00000000-0005-0000-0000-0000DC110000}"/>
    <cellStyle name="Normal 2 4 5 2 2 5 2 2" xfId="8912" xr:uid="{00000000-0005-0000-0000-0000DD110000}"/>
    <cellStyle name="Normal 2 4 5 2 2 5 3" xfId="6767" xr:uid="{00000000-0005-0000-0000-0000DE110000}"/>
    <cellStyle name="Normal 2 4 5 2 2 6" xfId="2878" xr:uid="{00000000-0005-0000-0000-0000DF110000}"/>
    <cellStyle name="Normal 2 4 5 2 2 6 2" xfId="5107" xr:uid="{00000000-0005-0000-0000-0000E0110000}"/>
    <cellStyle name="Normal 2 4 5 2 2 6 2 2" xfId="9325" xr:uid="{00000000-0005-0000-0000-0000E1110000}"/>
    <cellStyle name="Normal 2 4 5 2 2 6 3" xfId="7180" xr:uid="{00000000-0005-0000-0000-0000E2110000}"/>
    <cellStyle name="Normal 2 4 5 2 2 7" xfId="3314" xr:uid="{00000000-0005-0000-0000-0000E3110000}"/>
    <cellStyle name="Normal 2 4 5 2 2 7 2" xfId="7593" xr:uid="{00000000-0005-0000-0000-0000E4110000}"/>
    <cellStyle name="Normal 2 4 5 2 2 8" xfId="5527" xr:uid="{00000000-0005-0000-0000-0000E5110000}"/>
    <cellStyle name="Normal 2 4 5 2 2 9" xfId="1223" xr:uid="{00000000-0005-0000-0000-0000E6110000}"/>
    <cellStyle name="Normal 2 4 5 2 3" xfId="310" xr:uid="{00000000-0005-0000-0000-0000E7110000}"/>
    <cellStyle name="Normal 2 4 5 2 3 2" xfId="804" xr:uid="{00000000-0005-0000-0000-0000E8110000}"/>
    <cellStyle name="Normal 2 4 5 2 3 2 2" xfId="3870" xr:uid="{00000000-0005-0000-0000-0000E9110000}"/>
    <cellStyle name="Normal 2 4 5 2 3 2 2 2" xfId="8088" xr:uid="{00000000-0005-0000-0000-0000EA110000}"/>
    <cellStyle name="Normal 2 4 5 2 3 2 3" xfId="5943" xr:uid="{00000000-0005-0000-0000-0000EB110000}"/>
    <cellStyle name="Normal 2 4 5 2 3 2 4" xfId="1641" xr:uid="{00000000-0005-0000-0000-0000EC110000}"/>
    <cellStyle name="Normal 2 4 5 2 3 3" xfId="2054" xr:uid="{00000000-0005-0000-0000-0000ED110000}"/>
    <cellStyle name="Normal 2 4 5 2 3 3 2" xfId="4283" xr:uid="{00000000-0005-0000-0000-0000EE110000}"/>
    <cellStyle name="Normal 2 4 5 2 3 3 2 2" xfId="8501" xr:uid="{00000000-0005-0000-0000-0000EF110000}"/>
    <cellStyle name="Normal 2 4 5 2 3 3 3" xfId="6356" xr:uid="{00000000-0005-0000-0000-0000F0110000}"/>
    <cellStyle name="Normal 2 4 5 2 3 4" xfId="2467" xr:uid="{00000000-0005-0000-0000-0000F1110000}"/>
    <cellStyle name="Normal 2 4 5 2 3 4 2" xfId="4696" xr:uid="{00000000-0005-0000-0000-0000F2110000}"/>
    <cellStyle name="Normal 2 4 5 2 3 4 2 2" xfId="8914" xr:uid="{00000000-0005-0000-0000-0000F3110000}"/>
    <cellStyle name="Normal 2 4 5 2 3 4 3" xfId="6769" xr:uid="{00000000-0005-0000-0000-0000F4110000}"/>
    <cellStyle name="Normal 2 4 5 2 3 5" xfId="2880" xr:uid="{00000000-0005-0000-0000-0000F5110000}"/>
    <cellStyle name="Normal 2 4 5 2 3 5 2" xfId="5109" xr:uid="{00000000-0005-0000-0000-0000F6110000}"/>
    <cellStyle name="Normal 2 4 5 2 3 5 2 2" xfId="9327" xr:uid="{00000000-0005-0000-0000-0000F7110000}"/>
    <cellStyle name="Normal 2 4 5 2 3 5 3" xfId="7182" xr:uid="{00000000-0005-0000-0000-0000F8110000}"/>
    <cellStyle name="Normal 2 4 5 2 3 6" xfId="3316" xr:uid="{00000000-0005-0000-0000-0000F9110000}"/>
    <cellStyle name="Normal 2 4 5 2 3 6 2" xfId="7595" xr:uid="{00000000-0005-0000-0000-0000FA110000}"/>
    <cellStyle name="Normal 2 4 5 2 3 7" xfId="5529" xr:uid="{00000000-0005-0000-0000-0000FB110000}"/>
    <cellStyle name="Normal 2 4 5 2 3 8" xfId="1225" xr:uid="{00000000-0005-0000-0000-0000FC110000}"/>
    <cellStyle name="Normal 2 4 5 2 4" xfId="801" xr:uid="{00000000-0005-0000-0000-0000FD110000}"/>
    <cellStyle name="Normal 2 4 5 2 4 2" xfId="3867" xr:uid="{00000000-0005-0000-0000-0000FE110000}"/>
    <cellStyle name="Normal 2 4 5 2 4 2 2" xfId="8085" xr:uid="{00000000-0005-0000-0000-0000FF110000}"/>
    <cellStyle name="Normal 2 4 5 2 4 3" xfId="5940" xr:uid="{00000000-0005-0000-0000-000000120000}"/>
    <cellStyle name="Normal 2 4 5 2 4 4" xfId="1638" xr:uid="{00000000-0005-0000-0000-000001120000}"/>
    <cellStyle name="Normal 2 4 5 2 5" xfId="2051" xr:uid="{00000000-0005-0000-0000-000002120000}"/>
    <cellStyle name="Normal 2 4 5 2 5 2" xfId="4280" xr:uid="{00000000-0005-0000-0000-000003120000}"/>
    <cellStyle name="Normal 2 4 5 2 5 2 2" xfId="8498" xr:uid="{00000000-0005-0000-0000-000004120000}"/>
    <cellStyle name="Normal 2 4 5 2 5 3" xfId="6353" xr:uid="{00000000-0005-0000-0000-000005120000}"/>
    <cellStyle name="Normal 2 4 5 2 6" xfId="2464" xr:uid="{00000000-0005-0000-0000-000006120000}"/>
    <cellStyle name="Normal 2 4 5 2 6 2" xfId="4693" xr:uid="{00000000-0005-0000-0000-000007120000}"/>
    <cellStyle name="Normal 2 4 5 2 6 2 2" xfId="8911" xr:uid="{00000000-0005-0000-0000-000008120000}"/>
    <cellStyle name="Normal 2 4 5 2 6 3" xfId="6766" xr:uid="{00000000-0005-0000-0000-000009120000}"/>
    <cellStyle name="Normal 2 4 5 2 7" xfId="2877" xr:uid="{00000000-0005-0000-0000-00000A120000}"/>
    <cellStyle name="Normal 2 4 5 2 7 2" xfId="5106" xr:uid="{00000000-0005-0000-0000-00000B120000}"/>
    <cellStyle name="Normal 2 4 5 2 7 2 2" xfId="9324" xr:uid="{00000000-0005-0000-0000-00000C120000}"/>
    <cellStyle name="Normal 2 4 5 2 7 3" xfId="7179" xr:uid="{00000000-0005-0000-0000-00000D120000}"/>
    <cellStyle name="Normal 2 4 5 2 8" xfId="3313" xr:uid="{00000000-0005-0000-0000-00000E120000}"/>
    <cellStyle name="Normal 2 4 5 2 8 2" xfId="7592" xr:uid="{00000000-0005-0000-0000-00000F120000}"/>
    <cellStyle name="Normal 2 4 5 2 9" xfId="5526" xr:uid="{00000000-0005-0000-0000-000010120000}"/>
    <cellStyle name="Normal 2 4 5 3" xfId="311" xr:uid="{00000000-0005-0000-0000-000011120000}"/>
    <cellStyle name="Normal 2 4 5 3 2" xfId="312" xr:uid="{00000000-0005-0000-0000-000012120000}"/>
    <cellStyle name="Normal 2 4 5 3 2 2" xfId="806" xr:uid="{00000000-0005-0000-0000-000013120000}"/>
    <cellStyle name="Normal 2 4 5 3 2 2 2" xfId="3872" xr:uid="{00000000-0005-0000-0000-000014120000}"/>
    <cellStyle name="Normal 2 4 5 3 2 2 2 2" xfId="8090" xr:uid="{00000000-0005-0000-0000-000015120000}"/>
    <cellStyle name="Normal 2 4 5 3 2 2 3" xfId="5945" xr:uid="{00000000-0005-0000-0000-000016120000}"/>
    <cellStyle name="Normal 2 4 5 3 2 2 4" xfId="1643" xr:uid="{00000000-0005-0000-0000-000017120000}"/>
    <cellStyle name="Normal 2 4 5 3 2 3" xfId="2056" xr:uid="{00000000-0005-0000-0000-000018120000}"/>
    <cellStyle name="Normal 2 4 5 3 2 3 2" xfId="4285" xr:uid="{00000000-0005-0000-0000-000019120000}"/>
    <cellStyle name="Normal 2 4 5 3 2 3 2 2" xfId="8503" xr:uid="{00000000-0005-0000-0000-00001A120000}"/>
    <cellStyle name="Normal 2 4 5 3 2 3 3" xfId="6358" xr:uid="{00000000-0005-0000-0000-00001B120000}"/>
    <cellStyle name="Normal 2 4 5 3 2 4" xfId="2469" xr:uid="{00000000-0005-0000-0000-00001C120000}"/>
    <cellStyle name="Normal 2 4 5 3 2 4 2" xfId="4698" xr:uid="{00000000-0005-0000-0000-00001D120000}"/>
    <cellStyle name="Normal 2 4 5 3 2 4 2 2" xfId="8916" xr:uid="{00000000-0005-0000-0000-00001E120000}"/>
    <cellStyle name="Normal 2 4 5 3 2 4 3" xfId="6771" xr:uid="{00000000-0005-0000-0000-00001F120000}"/>
    <cellStyle name="Normal 2 4 5 3 2 5" xfId="2882" xr:uid="{00000000-0005-0000-0000-000020120000}"/>
    <cellStyle name="Normal 2 4 5 3 2 5 2" xfId="5111" xr:uid="{00000000-0005-0000-0000-000021120000}"/>
    <cellStyle name="Normal 2 4 5 3 2 5 2 2" xfId="9329" xr:uid="{00000000-0005-0000-0000-000022120000}"/>
    <cellStyle name="Normal 2 4 5 3 2 5 3" xfId="7184" xr:uid="{00000000-0005-0000-0000-000023120000}"/>
    <cellStyle name="Normal 2 4 5 3 2 6" xfId="3318" xr:uid="{00000000-0005-0000-0000-000024120000}"/>
    <cellStyle name="Normal 2 4 5 3 2 6 2" xfId="7597" xr:uid="{00000000-0005-0000-0000-000025120000}"/>
    <cellStyle name="Normal 2 4 5 3 2 7" xfId="5531" xr:uid="{00000000-0005-0000-0000-000026120000}"/>
    <cellStyle name="Normal 2 4 5 3 2 8" xfId="1227" xr:uid="{00000000-0005-0000-0000-000027120000}"/>
    <cellStyle name="Normal 2 4 5 3 3" xfId="805" xr:uid="{00000000-0005-0000-0000-000028120000}"/>
    <cellStyle name="Normal 2 4 5 3 3 2" xfId="3871" xr:uid="{00000000-0005-0000-0000-000029120000}"/>
    <cellStyle name="Normal 2 4 5 3 3 2 2" xfId="8089" xr:uid="{00000000-0005-0000-0000-00002A120000}"/>
    <cellStyle name="Normal 2 4 5 3 3 3" xfId="5944" xr:uid="{00000000-0005-0000-0000-00002B120000}"/>
    <cellStyle name="Normal 2 4 5 3 3 4" xfId="1642" xr:uid="{00000000-0005-0000-0000-00002C120000}"/>
    <cellStyle name="Normal 2 4 5 3 4" xfId="2055" xr:uid="{00000000-0005-0000-0000-00002D120000}"/>
    <cellStyle name="Normal 2 4 5 3 4 2" xfId="4284" xr:uid="{00000000-0005-0000-0000-00002E120000}"/>
    <cellStyle name="Normal 2 4 5 3 4 2 2" xfId="8502" xr:uid="{00000000-0005-0000-0000-00002F120000}"/>
    <cellStyle name="Normal 2 4 5 3 4 3" xfId="6357" xr:uid="{00000000-0005-0000-0000-000030120000}"/>
    <cellStyle name="Normal 2 4 5 3 5" xfId="2468" xr:uid="{00000000-0005-0000-0000-000031120000}"/>
    <cellStyle name="Normal 2 4 5 3 5 2" xfId="4697" xr:uid="{00000000-0005-0000-0000-000032120000}"/>
    <cellStyle name="Normal 2 4 5 3 5 2 2" xfId="8915" xr:uid="{00000000-0005-0000-0000-000033120000}"/>
    <cellStyle name="Normal 2 4 5 3 5 3" xfId="6770" xr:uid="{00000000-0005-0000-0000-000034120000}"/>
    <cellStyle name="Normal 2 4 5 3 6" xfId="2881" xr:uid="{00000000-0005-0000-0000-000035120000}"/>
    <cellStyle name="Normal 2 4 5 3 6 2" xfId="5110" xr:uid="{00000000-0005-0000-0000-000036120000}"/>
    <cellStyle name="Normal 2 4 5 3 6 2 2" xfId="9328" xr:uid="{00000000-0005-0000-0000-000037120000}"/>
    <cellStyle name="Normal 2 4 5 3 6 3" xfId="7183" xr:uid="{00000000-0005-0000-0000-000038120000}"/>
    <cellStyle name="Normal 2 4 5 3 7" xfId="3317" xr:uid="{00000000-0005-0000-0000-000039120000}"/>
    <cellStyle name="Normal 2 4 5 3 7 2" xfId="7596" xr:uid="{00000000-0005-0000-0000-00003A120000}"/>
    <cellStyle name="Normal 2 4 5 3 8" xfId="5530" xr:uid="{00000000-0005-0000-0000-00003B120000}"/>
    <cellStyle name="Normal 2 4 5 3 9" xfId="1226" xr:uid="{00000000-0005-0000-0000-00003C120000}"/>
    <cellStyle name="Normal 2 4 5 4" xfId="313" xr:uid="{00000000-0005-0000-0000-00003D120000}"/>
    <cellStyle name="Normal 2 4 5 4 2" xfId="807" xr:uid="{00000000-0005-0000-0000-00003E120000}"/>
    <cellStyle name="Normal 2 4 5 4 2 2" xfId="3873" xr:uid="{00000000-0005-0000-0000-00003F120000}"/>
    <cellStyle name="Normal 2 4 5 4 2 2 2" xfId="8091" xr:uid="{00000000-0005-0000-0000-000040120000}"/>
    <cellStyle name="Normal 2 4 5 4 2 3" xfId="5946" xr:uid="{00000000-0005-0000-0000-000041120000}"/>
    <cellStyle name="Normal 2 4 5 4 2 4" xfId="1644" xr:uid="{00000000-0005-0000-0000-000042120000}"/>
    <cellStyle name="Normal 2 4 5 4 3" xfId="2057" xr:uid="{00000000-0005-0000-0000-000043120000}"/>
    <cellStyle name="Normal 2 4 5 4 3 2" xfId="4286" xr:uid="{00000000-0005-0000-0000-000044120000}"/>
    <cellStyle name="Normal 2 4 5 4 3 2 2" xfId="8504" xr:uid="{00000000-0005-0000-0000-000045120000}"/>
    <cellStyle name="Normal 2 4 5 4 3 3" xfId="6359" xr:uid="{00000000-0005-0000-0000-000046120000}"/>
    <cellStyle name="Normal 2 4 5 4 4" xfId="2470" xr:uid="{00000000-0005-0000-0000-000047120000}"/>
    <cellStyle name="Normal 2 4 5 4 4 2" xfId="4699" xr:uid="{00000000-0005-0000-0000-000048120000}"/>
    <cellStyle name="Normal 2 4 5 4 4 2 2" xfId="8917" xr:uid="{00000000-0005-0000-0000-000049120000}"/>
    <cellStyle name="Normal 2 4 5 4 4 3" xfId="6772" xr:uid="{00000000-0005-0000-0000-00004A120000}"/>
    <cellStyle name="Normal 2 4 5 4 5" xfId="2883" xr:uid="{00000000-0005-0000-0000-00004B120000}"/>
    <cellStyle name="Normal 2 4 5 4 5 2" xfId="5112" xr:uid="{00000000-0005-0000-0000-00004C120000}"/>
    <cellStyle name="Normal 2 4 5 4 5 2 2" xfId="9330" xr:uid="{00000000-0005-0000-0000-00004D120000}"/>
    <cellStyle name="Normal 2 4 5 4 5 3" xfId="7185" xr:uid="{00000000-0005-0000-0000-00004E120000}"/>
    <cellStyle name="Normal 2 4 5 4 6" xfId="3319" xr:uid="{00000000-0005-0000-0000-00004F120000}"/>
    <cellStyle name="Normal 2 4 5 4 6 2" xfId="7598" xr:uid="{00000000-0005-0000-0000-000050120000}"/>
    <cellStyle name="Normal 2 4 5 4 7" xfId="5532" xr:uid="{00000000-0005-0000-0000-000051120000}"/>
    <cellStyle name="Normal 2 4 5 4 8" xfId="1228" xr:uid="{00000000-0005-0000-0000-000052120000}"/>
    <cellStyle name="Normal 2 4 5 5" xfId="800" xr:uid="{00000000-0005-0000-0000-000053120000}"/>
    <cellStyle name="Normal 2 4 5 5 2" xfId="3866" xr:uid="{00000000-0005-0000-0000-000054120000}"/>
    <cellStyle name="Normal 2 4 5 5 2 2" xfId="8084" xr:uid="{00000000-0005-0000-0000-000055120000}"/>
    <cellStyle name="Normal 2 4 5 5 3" xfId="5939" xr:uid="{00000000-0005-0000-0000-000056120000}"/>
    <cellStyle name="Normal 2 4 5 5 4" xfId="1637" xr:uid="{00000000-0005-0000-0000-000057120000}"/>
    <cellStyle name="Normal 2 4 5 6" xfId="2050" xr:uid="{00000000-0005-0000-0000-000058120000}"/>
    <cellStyle name="Normal 2 4 5 6 2" xfId="4279" xr:uid="{00000000-0005-0000-0000-000059120000}"/>
    <cellStyle name="Normal 2 4 5 6 2 2" xfId="8497" xr:uid="{00000000-0005-0000-0000-00005A120000}"/>
    <cellStyle name="Normal 2 4 5 6 3" xfId="6352" xr:uid="{00000000-0005-0000-0000-00005B120000}"/>
    <cellStyle name="Normal 2 4 5 7" xfId="2463" xr:uid="{00000000-0005-0000-0000-00005C120000}"/>
    <cellStyle name="Normal 2 4 5 7 2" xfId="4692" xr:uid="{00000000-0005-0000-0000-00005D120000}"/>
    <cellStyle name="Normal 2 4 5 7 2 2" xfId="8910" xr:uid="{00000000-0005-0000-0000-00005E120000}"/>
    <cellStyle name="Normal 2 4 5 7 3" xfId="6765" xr:uid="{00000000-0005-0000-0000-00005F120000}"/>
    <cellStyle name="Normal 2 4 5 8" xfId="2876" xr:uid="{00000000-0005-0000-0000-000060120000}"/>
    <cellStyle name="Normal 2 4 5 8 2" xfId="5105" xr:uid="{00000000-0005-0000-0000-000061120000}"/>
    <cellStyle name="Normal 2 4 5 8 2 2" xfId="9323" xr:uid="{00000000-0005-0000-0000-000062120000}"/>
    <cellStyle name="Normal 2 4 5 8 3" xfId="7178" xr:uid="{00000000-0005-0000-0000-000063120000}"/>
    <cellStyle name="Normal 2 4 5 9" xfId="3312" xr:uid="{00000000-0005-0000-0000-000064120000}"/>
    <cellStyle name="Normal 2 4 5 9 2" xfId="7591" xr:uid="{00000000-0005-0000-0000-000065120000}"/>
    <cellStyle name="Normal 2 4 6" xfId="314" xr:uid="{00000000-0005-0000-0000-000066120000}"/>
    <cellStyle name="Normal 2 4 7" xfId="315" xr:uid="{00000000-0005-0000-0000-000067120000}"/>
    <cellStyle name="Normal 2 4 7 2" xfId="316" xr:uid="{00000000-0005-0000-0000-000068120000}"/>
    <cellStyle name="Normal 2 4 7 2 2" xfId="809" xr:uid="{00000000-0005-0000-0000-000069120000}"/>
    <cellStyle name="Normal 2 4 7 2 2 2" xfId="3875" xr:uid="{00000000-0005-0000-0000-00006A120000}"/>
    <cellStyle name="Normal 2 4 7 2 2 2 2" xfId="8093" xr:uid="{00000000-0005-0000-0000-00006B120000}"/>
    <cellStyle name="Normal 2 4 7 2 2 3" xfId="5948" xr:uid="{00000000-0005-0000-0000-00006C120000}"/>
    <cellStyle name="Normal 2 4 7 2 2 4" xfId="1646" xr:uid="{00000000-0005-0000-0000-00006D120000}"/>
    <cellStyle name="Normal 2 4 7 2 3" xfId="2059" xr:uid="{00000000-0005-0000-0000-00006E120000}"/>
    <cellStyle name="Normal 2 4 7 2 3 2" xfId="4288" xr:uid="{00000000-0005-0000-0000-00006F120000}"/>
    <cellStyle name="Normal 2 4 7 2 3 2 2" xfId="8506" xr:uid="{00000000-0005-0000-0000-000070120000}"/>
    <cellStyle name="Normal 2 4 7 2 3 3" xfId="6361" xr:uid="{00000000-0005-0000-0000-000071120000}"/>
    <cellStyle name="Normal 2 4 7 2 4" xfId="2472" xr:uid="{00000000-0005-0000-0000-000072120000}"/>
    <cellStyle name="Normal 2 4 7 2 4 2" xfId="4701" xr:uid="{00000000-0005-0000-0000-000073120000}"/>
    <cellStyle name="Normal 2 4 7 2 4 2 2" xfId="8919" xr:uid="{00000000-0005-0000-0000-000074120000}"/>
    <cellStyle name="Normal 2 4 7 2 4 3" xfId="6774" xr:uid="{00000000-0005-0000-0000-000075120000}"/>
    <cellStyle name="Normal 2 4 7 2 5" xfId="2885" xr:uid="{00000000-0005-0000-0000-000076120000}"/>
    <cellStyle name="Normal 2 4 7 2 5 2" xfId="5114" xr:uid="{00000000-0005-0000-0000-000077120000}"/>
    <cellStyle name="Normal 2 4 7 2 5 2 2" xfId="9332" xr:uid="{00000000-0005-0000-0000-000078120000}"/>
    <cellStyle name="Normal 2 4 7 2 5 3" xfId="7187" xr:uid="{00000000-0005-0000-0000-000079120000}"/>
    <cellStyle name="Normal 2 4 7 2 6" xfId="3321" xr:uid="{00000000-0005-0000-0000-00007A120000}"/>
    <cellStyle name="Normal 2 4 7 2 6 2" xfId="7600" xr:uid="{00000000-0005-0000-0000-00007B120000}"/>
    <cellStyle name="Normal 2 4 7 2 7" xfId="5534" xr:uid="{00000000-0005-0000-0000-00007C120000}"/>
    <cellStyle name="Normal 2 4 7 2 8" xfId="1230" xr:uid="{00000000-0005-0000-0000-00007D120000}"/>
    <cellStyle name="Normal 2 4 7 3" xfId="808" xr:uid="{00000000-0005-0000-0000-00007E120000}"/>
    <cellStyle name="Normal 2 4 7 3 2" xfId="3874" xr:uid="{00000000-0005-0000-0000-00007F120000}"/>
    <cellStyle name="Normal 2 4 7 3 2 2" xfId="8092" xr:uid="{00000000-0005-0000-0000-000080120000}"/>
    <cellStyle name="Normal 2 4 7 3 3" xfId="5947" xr:uid="{00000000-0005-0000-0000-000081120000}"/>
    <cellStyle name="Normal 2 4 7 3 4" xfId="1645" xr:uid="{00000000-0005-0000-0000-000082120000}"/>
    <cellStyle name="Normal 2 4 7 4" xfId="2058" xr:uid="{00000000-0005-0000-0000-000083120000}"/>
    <cellStyle name="Normal 2 4 7 4 2" xfId="4287" xr:uid="{00000000-0005-0000-0000-000084120000}"/>
    <cellStyle name="Normal 2 4 7 4 2 2" xfId="8505" xr:uid="{00000000-0005-0000-0000-000085120000}"/>
    <cellStyle name="Normal 2 4 7 4 3" xfId="6360" xr:uid="{00000000-0005-0000-0000-000086120000}"/>
    <cellStyle name="Normal 2 4 7 5" xfId="2471" xr:uid="{00000000-0005-0000-0000-000087120000}"/>
    <cellStyle name="Normal 2 4 7 5 2" xfId="4700" xr:uid="{00000000-0005-0000-0000-000088120000}"/>
    <cellStyle name="Normal 2 4 7 5 2 2" xfId="8918" xr:uid="{00000000-0005-0000-0000-000089120000}"/>
    <cellStyle name="Normal 2 4 7 5 3" xfId="6773" xr:uid="{00000000-0005-0000-0000-00008A120000}"/>
    <cellStyle name="Normal 2 4 7 6" xfId="2884" xr:uid="{00000000-0005-0000-0000-00008B120000}"/>
    <cellStyle name="Normal 2 4 7 6 2" xfId="5113" xr:uid="{00000000-0005-0000-0000-00008C120000}"/>
    <cellStyle name="Normal 2 4 7 6 2 2" xfId="9331" xr:uid="{00000000-0005-0000-0000-00008D120000}"/>
    <cellStyle name="Normal 2 4 7 6 3" xfId="7186" xr:uid="{00000000-0005-0000-0000-00008E120000}"/>
    <cellStyle name="Normal 2 4 7 7" xfId="3320" xr:uid="{00000000-0005-0000-0000-00008F120000}"/>
    <cellStyle name="Normal 2 4 7 7 2" xfId="7599" xr:uid="{00000000-0005-0000-0000-000090120000}"/>
    <cellStyle name="Normal 2 4 7 8" xfId="5533" xr:uid="{00000000-0005-0000-0000-000091120000}"/>
    <cellStyle name="Normal 2 4 7 9" xfId="1229" xr:uid="{00000000-0005-0000-0000-000092120000}"/>
    <cellStyle name="Normal 2 4 8" xfId="317" xr:uid="{00000000-0005-0000-0000-000093120000}"/>
    <cellStyle name="Normal 2 4 8 2" xfId="810" xr:uid="{00000000-0005-0000-0000-000094120000}"/>
    <cellStyle name="Normal 2 4 8 2 2" xfId="3876" xr:uid="{00000000-0005-0000-0000-000095120000}"/>
    <cellStyle name="Normal 2 4 8 2 2 2" xfId="8094" xr:uid="{00000000-0005-0000-0000-000096120000}"/>
    <cellStyle name="Normal 2 4 8 2 3" xfId="5949" xr:uid="{00000000-0005-0000-0000-000097120000}"/>
    <cellStyle name="Normal 2 4 8 2 4" xfId="1647" xr:uid="{00000000-0005-0000-0000-000098120000}"/>
    <cellStyle name="Normal 2 4 8 3" xfId="2060" xr:uid="{00000000-0005-0000-0000-000099120000}"/>
    <cellStyle name="Normal 2 4 8 3 2" xfId="4289" xr:uid="{00000000-0005-0000-0000-00009A120000}"/>
    <cellStyle name="Normal 2 4 8 3 2 2" xfId="8507" xr:uid="{00000000-0005-0000-0000-00009B120000}"/>
    <cellStyle name="Normal 2 4 8 3 3" xfId="6362" xr:uid="{00000000-0005-0000-0000-00009C120000}"/>
    <cellStyle name="Normal 2 4 8 4" xfId="2473" xr:uid="{00000000-0005-0000-0000-00009D120000}"/>
    <cellStyle name="Normal 2 4 8 4 2" xfId="4702" xr:uid="{00000000-0005-0000-0000-00009E120000}"/>
    <cellStyle name="Normal 2 4 8 4 2 2" xfId="8920" xr:uid="{00000000-0005-0000-0000-00009F120000}"/>
    <cellStyle name="Normal 2 4 8 4 3" xfId="6775" xr:uid="{00000000-0005-0000-0000-0000A0120000}"/>
    <cellStyle name="Normal 2 4 8 5" xfId="2886" xr:uid="{00000000-0005-0000-0000-0000A1120000}"/>
    <cellStyle name="Normal 2 4 8 5 2" xfId="5115" xr:uid="{00000000-0005-0000-0000-0000A2120000}"/>
    <cellStyle name="Normal 2 4 8 5 2 2" xfId="9333" xr:uid="{00000000-0005-0000-0000-0000A3120000}"/>
    <cellStyle name="Normal 2 4 8 5 3" xfId="7188" xr:uid="{00000000-0005-0000-0000-0000A4120000}"/>
    <cellStyle name="Normal 2 4 8 6" xfId="3322" xr:uid="{00000000-0005-0000-0000-0000A5120000}"/>
    <cellStyle name="Normal 2 4 8 6 2" xfId="7601" xr:uid="{00000000-0005-0000-0000-0000A6120000}"/>
    <cellStyle name="Normal 2 4 8 7" xfId="5535" xr:uid="{00000000-0005-0000-0000-0000A7120000}"/>
    <cellStyle name="Normal 2 4 8 8" xfId="1231" xr:uid="{00000000-0005-0000-0000-0000A8120000}"/>
    <cellStyle name="Normal 2 5" xfId="318" xr:uid="{00000000-0005-0000-0000-0000A9120000}"/>
    <cellStyle name="Normal 2 5 10" xfId="5536" xr:uid="{00000000-0005-0000-0000-0000AA120000}"/>
    <cellStyle name="Normal 2 5 11" xfId="1232" xr:uid="{00000000-0005-0000-0000-0000AB120000}"/>
    <cellStyle name="Normal 2 5 2" xfId="319" xr:uid="{00000000-0005-0000-0000-0000AC120000}"/>
    <cellStyle name="Normal 2 5 3" xfId="320" xr:uid="{00000000-0005-0000-0000-0000AD120000}"/>
    <cellStyle name="Normal 2 5 4" xfId="321" xr:uid="{00000000-0005-0000-0000-0000AE120000}"/>
    <cellStyle name="Normal 2 5 4 10" xfId="1233" xr:uid="{00000000-0005-0000-0000-0000AF120000}"/>
    <cellStyle name="Normal 2 5 4 2" xfId="322" xr:uid="{00000000-0005-0000-0000-0000B0120000}"/>
    <cellStyle name="Normal 2 5 4 2 2" xfId="323" xr:uid="{00000000-0005-0000-0000-0000B1120000}"/>
    <cellStyle name="Normal 2 5 4 2 2 2" xfId="814" xr:uid="{00000000-0005-0000-0000-0000B2120000}"/>
    <cellStyle name="Normal 2 5 4 2 2 2 2" xfId="3880" xr:uid="{00000000-0005-0000-0000-0000B3120000}"/>
    <cellStyle name="Normal 2 5 4 2 2 2 2 2" xfId="8098" xr:uid="{00000000-0005-0000-0000-0000B4120000}"/>
    <cellStyle name="Normal 2 5 4 2 2 2 3" xfId="5953" xr:uid="{00000000-0005-0000-0000-0000B5120000}"/>
    <cellStyle name="Normal 2 5 4 2 2 2 4" xfId="1651" xr:uid="{00000000-0005-0000-0000-0000B6120000}"/>
    <cellStyle name="Normal 2 5 4 2 2 3" xfId="2064" xr:uid="{00000000-0005-0000-0000-0000B7120000}"/>
    <cellStyle name="Normal 2 5 4 2 2 3 2" xfId="4293" xr:uid="{00000000-0005-0000-0000-0000B8120000}"/>
    <cellStyle name="Normal 2 5 4 2 2 3 2 2" xfId="8511" xr:uid="{00000000-0005-0000-0000-0000B9120000}"/>
    <cellStyle name="Normal 2 5 4 2 2 3 3" xfId="6366" xr:uid="{00000000-0005-0000-0000-0000BA120000}"/>
    <cellStyle name="Normal 2 5 4 2 2 4" xfId="2477" xr:uid="{00000000-0005-0000-0000-0000BB120000}"/>
    <cellStyle name="Normal 2 5 4 2 2 4 2" xfId="4706" xr:uid="{00000000-0005-0000-0000-0000BC120000}"/>
    <cellStyle name="Normal 2 5 4 2 2 4 2 2" xfId="8924" xr:uid="{00000000-0005-0000-0000-0000BD120000}"/>
    <cellStyle name="Normal 2 5 4 2 2 4 3" xfId="6779" xr:uid="{00000000-0005-0000-0000-0000BE120000}"/>
    <cellStyle name="Normal 2 5 4 2 2 5" xfId="2890" xr:uid="{00000000-0005-0000-0000-0000BF120000}"/>
    <cellStyle name="Normal 2 5 4 2 2 5 2" xfId="5119" xr:uid="{00000000-0005-0000-0000-0000C0120000}"/>
    <cellStyle name="Normal 2 5 4 2 2 5 2 2" xfId="9337" xr:uid="{00000000-0005-0000-0000-0000C1120000}"/>
    <cellStyle name="Normal 2 5 4 2 2 5 3" xfId="7192" xr:uid="{00000000-0005-0000-0000-0000C2120000}"/>
    <cellStyle name="Normal 2 5 4 2 2 6" xfId="3326" xr:uid="{00000000-0005-0000-0000-0000C3120000}"/>
    <cellStyle name="Normal 2 5 4 2 2 6 2" xfId="7605" xr:uid="{00000000-0005-0000-0000-0000C4120000}"/>
    <cellStyle name="Normal 2 5 4 2 2 7" xfId="5539" xr:uid="{00000000-0005-0000-0000-0000C5120000}"/>
    <cellStyle name="Normal 2 5 4 2 2 8" xfId="1235" xr:uid="{00000000-0005-0000-0000-0000C6120000}"/>
    <cellStyle name="Normal 2 5 4 2 3" xfId="813" xr:uid="{00000000-0005-0000-0000-0000C7120000}"/>
    <cellStyle name="Normal 2 5 4 2 3 2" xfId="3879" xr:uid="{00000000-0005-0000-0000-0000C8120000}"/>
    <cellStyle name="Normal 2 5 4 2 3 2 2" xfId="8097" xr:uid="{00000000-0005-0000-0000-0000C9120000}"/>
    <cellStyle name="Normal 2 5 4 2 3 3" xfId="5952" xr:uid="{00000000-0005-0000-0000-0000CA120000}"/>
    <cellStyle name="Normal 2 5 4 2 3 4" xfId="1650" xr:uid="{00000000-0005-0000-0000-0000CB120000}"/>
    <cellStyle name="Normal 2 5 4 2 4" xfId="2063" xr:uid="{00000000-0005-0000-0000-0000CC120000}"/>
    <cellStyle name="Normal 2 5 4 2 4 2" xfId="4292" xr:uid="{00000000-0005-0000-0000-0000CD120000}"/>
    <cellStyle name="Normal 2 5 4 2 4 2 2" xfId="8510" xr:uid="{00000000-0005-0000-0000-0000CE120000}"/>
    <cellStyle name="Normal 2 5 4 2 4 3" xfId="6365" xr:uid="{00000000-0005-0000-0000-0000CF120000}"/>
    <cellStyle name="Normal 2 5 4 2 5" xfId="2476" xr:uid="{00000000-0005-0000-0000-0000D0120000}"/>
    <cellStyle name="Normal 2 5 4 2 5 2" xfId="4705" xr:uid="{00000000-0005-0000-0000-0000D1120000}"/>
    <cellStyle name="Normal 2 5 4 2 5 2 2" xfId="8923" xr:uid="{00000000-0005-0000-0000-0000D2120000}"/>
    <cellStyle name="Normal 2 5 4 2 5 3" xfId="6778" xr:uid="{00000000-0005-0000-0000-0000D3120000}"/>
    <cellStyle name="Normal 2 5 4 2 6" xfId="2889" xr:uid="{00000000-0005-0000-0000-0000D4120000}"/>
    <cellStyle name="Normal 2 5 4 2 6 2" xfId="5118" xr:uid="{00000000-0005-0000-0000-0000D5120000}"/>
    <cellStyle name="Normal 2 5 4 2 6 2 2" xfId="9336" xr:uid="{00000000-0005-0000-0000-0000D6120000}"/>
    <cellStyle name="Normal 2 5 4 2 6 3" xfId="7191" xr:uid="{00000000-0005-0000-0000-0000D7120000}"/>
    <cellStyle name="Normal 2 5 4 2 7" xfId="3325" xr:uid="{00000000-0005-0000-0000-0000D8120000}"/>
    <cellStyle name="Normal 2 5 4 2 7 2" xfId="7604" xr:uid="{00000000-0005-0000-0000-0000D9120000}"/>
    <cellStyle name="Normal 2 5 4 2 8" xfId="5538" xr:uid="{00000000-0005-0000-0000-0000DA120000}"/>
    <cellStyle name="Normal 2 5 4 2 9" xfId="1234" xr:uid="{00000000-0005-0000-0000-0000DB120000}"/>
    <cellStyle name="Normal 2 5 4 3" xfId="324" xr:uid="{00000000-0005-0000-0000-0000DC120000}"/>
    <cellStyle name="Normal 2 5 4 3 2" xfId="815" xr:uid="{00000000-0005-0000-0000-0000DD120000}"/>
    <cellStyle name="Normal 2 5 4 3 2 2" xfId="3881" xr:uid="{00000000-0005-0000-0000-0000DE120000}"/>
    <cellStyle name="Normal 2 5 4 3 2 2 2" xfId="8099" xr:uid="{00000000-0005-0000-0000-0000DF120000}"/>
    <cellStyle name="Normal 2 5 4 3 2 3" xfId="5954" xr:uid="{00000000-0005-0000-0000-0000E0120000}"/>
    <cellStyle name="Normal 2 5 4 3 2 4" xfId="1652" xr:uid="{00000000-0005-0000-0000-0000E1120000}"/>
    <cellStyle name="Normal 2 5 4 3 3" xfId="2065" xr:uid="{00000000-0005-0000-0000-0000E2120000}"/>
    <cellStyle name="Normal 2 5 4 3 3 2" xfId="4294" xr:uid="{00000000-0005-0000-0000-0000E3120000}"/>
    <cellStyle name="Normal 2 5 4 3 3 2 2" xfId="8512" xr:uid="{00000000-0005-0000-0000-0000E4120000}"/>
    <cellStyle name="Normal 2 5 4 3 3 3" xfId="6367" xr:uid="{00000000-0005-0000-0000-0000E5120000}"/>
    <cellStyle name="Normal 2 5 4 3 4" xfId="2478" xr:uid="{00000000-0005-0000-0000-0000E6120000}"/>
    <cellStyle name="Normal 2 5 4 3 4 2" xfId="4707" xr:uid="{00000000-0005-0000-0000-0000E7120000}"/>
    <cellStyle name="Normal 2 5 4 3 4 2 2" xfId="8925" xr:uid="{00000000-0005-0000-0000-0000E8120000}"/>
    <cellStyle name="Normal 2 5 4 3 4 3" xfId="6780" xr:uid="{00000000-0005-0000-0000-0000E9120000}"/>
    <cellStyle name="Normal 2 5 4 3 5" xfId="2891" xr:uid="{00000000-0005-0000-0000-0000EA120000}"/>
    <cellStyle name="Normal 2 5 4 3 5 2" xfId="5120" xr:uid="{00000000-0005-0000-0000-0000EB120000}"/>
    <cellStyle name="Normal 2 5 4 3 5 2 2" xfId="9338" xr:uid="{00000000-0005-0000-0000-0000EC120000}"/>
    <cellStyle name="Normal 2 5 4 3 5 3" xfId="7193" xr:uid="{00000000-0005-0000-0000-0000ED120000}"/>
    <cellStyle name="Normal 2 5 4 3 6" xfId="3327" xr:uid="{00000000-0005-0000-0000-0000EE120000}"/>
    <cellStyle name="Normal 2 5 4 3 6 2" xfId="7606" xr:uid="{00000000-0005-0000-0000-0000EF120000}"/>
    <cellStyle name="Normal 2 5 4 3 7" xfId="5540" xr:uid="{00000000-0005-0000-0000-0000F0120000}"/>
    <cellStyle name="Normal 2 5 4 3 8" xfId="1236" xr:uid="{00000000-0005-0000-0000-0000F1120000}"/>
    <cellStyle name="Normal 2 5 4 4" xfId="812" xr:uid="{00000000-0005-0000-0000-0000F2120000}"/>
    <cellStyle name="Normal 2 5 4 4 2" xfId="3878" xr:uid="{00000000-0005-0000-0000-0000F3120000}"/>
    <cellStyle name="Normal 2 5 4 4 2 2" xfId="8096" xr:uid="{00000000-0005-0000-0000-0000F4120000}"/>
    <cellStyle name="Normal 2 5 4 4 3" xfId="5951" xr:uid="{00000000-0005-0000-0000-0000F5120000}"/>
    <cellStyle name="Normal 2 5 4 4 4" xfId="1649" xr:uid="{00000000-0005-0000-0000-0000F6120000}"/>
    <cellStyle name="Normal 2 5 4 5" xfId="2062" xr:uid="{00000000-0005-0000-0000-0000F7120000}"/>
    <cellStyle name="Normal 2 5 4 5 2" xfId="4291" xr:uid="{00000000-0005-0000-0000-0000F8120000}"/>
    <cellStyle name="Normal 2 5 4 5 2 2" xfId="8509" xr:uid="{00000000-0005-0000-0000-0000F9120000}"/>
    <cellStyle name="Normal 2 5 4 5 3" xfId="6364" xr:uid="{00000000-0005-0000-0000-0000FA120000}"/>
    <cellStyle name="Normal 2 5 4 6" xfId="2475" xr:uid="{00000000-0005-0000-0000-0000FB120000}"/>
    <cellStyle name="Normal 2 5 4 6 2" xfId="4704" xr:uid="{00000000-0005-0000-0000-0000FC120000}"/>
    <cellStyle name="Normal 2 5 4 6 2 2" xfId="8922" xr:uid="{00000000-0005-0000-0000-0000FD120000}"/>
    <cellStyle name="Normal 2 5 4 6 3" xfId="6777" xr:uid="{00000000-0005-0000-0000-0000FE120000}"/>
    <cellStyle name="Normal 2 5 4 7" xfId="2888" xr:uid="{00000000-0005-0000-0000-0000FF120000}"/>
    <cellStyle name="Normal 2 5 4 7 2" xfId="5117" xr:uid="{00000000-0005-0000-0000-000000130000}"/>
    <cellStyle name="Normal 2 5 4 7 2 2" xfId="9335" xr:uid="{00000000-0005-0000-0000-000001130000}"/>
    <cellStyle name="Normal 2 5 4 7 3" xfId="7190" xr:uid="{00000000-0005-0000-0000-000002130000}"/>
    <cellStyle name="Normal 2 5 4 8" xfId="3324" xr:uid="{00000000-0005-0000-0000-000003130000}"/>
    <cellStyle name="Normal 2 5 4 8 2" xfId="7603" xr:uid="{00000000-0005-0000-0000-000004130000}"/>
    <cellStyle name="Normal 2 5 4 9" xfId="5537" xr:uid="{00000000-0005-0000-0000-000005130000}"/>
    <cellStyle name="Normal 2 5 5" xfId="811" xr:uid="{00000000-0005-0000-0000-000006130000}"/>
    <cellStyle name="Normal 2 5 5 2" xfId="3877" xr:uid="{00000000-0005-0000-0000-000007130000}"/>
    <cellStyle name="Normal 2 5 5 2 2" xfId="8095" xr:uid="{00000000-0005-0000-0000-000008130000}"/>
    <cellStyle name="Normal 2 5 5 3" xfId="5950" xr:uid="{00000000-0005-0000-0000-000009130000}"/>
    <cellStyle name="Normal 2 5 5 4" xfId="1648" xr:uid="{00000000-0005-0000-0000-00000A130000}"/>
    <cellStyle name="Normal 2 5 6" xfId="2061" xr:uid="{00000000-0005-0000-0000-00000B130000}"/>
    <cellStyle name="Normal 2 5 6 2" xfId="4290" xr:uid="{00000000-0005-0000-0000-00000C130000}"/>
    <cellStyle name="Normal 2 5 6 2 2" xfId="8508" xr:uid="{00000000-0005-0000-0000-00000D130000}"/>
    <cellStyle name="Normal 2 5 6 3" xfId="6363" xr:uid="{00000000-0005-0000-0000-00000E130000}"/>
    <cellStyle name="Normal 2 5 7" xfId="2474" xr:uid="{00000000-0005-0000-0000-00000F130000}"/>
    <cellStyle name="Normal 2 5 7 2" xfId="4703" xr:uid="{00000000-0005-0000-0000-000010130000}"/>
    <cellStyle name="Normal 2 5 7 2 2" xfId="8921" xr:uid="{00000000-0005-0000-0000-000011130000}"/>
    <cellStyle name="Normal 2 5 7 3" xfId="6776" xr:uid="{00000000-0005-0000-0000-000012130000}"/>
    <cellStyle name="Normal 2 5 8" xfId="2887" xr:uid="{00000000-0005-0000-0000-000013130000}"/>
    <cellStyle name="Normal 2 5 8 2" xfId="5116" xr:uid="{00000000-0005-0000-0000-000014130000}"/>
    <cellStyle name="Normal 2 5 8 2 2" xfId="9334" xr:uid="{00000000-0005-0000-0000-000015130000}"/>
    <cellStyle name="Normal 2 5 8 3" xfId="7189" xr:uid="{00000000-0005-0000-0000-000016130000}"/>
    <cellStyle name="Normal 2 5 9" xfId="3323" xr:uid="{00000000-0005-0000-0000-000017130000}"/>
    <cellStyle name="Normal 2 5 9 2" xfId="7602" xr:uid="{00000000-0005-0000-0000-000018130000}"/>
    <cellStyle name="Normal 2 6" xfId="325" xr:uid="{00000000-0005-0000-0000-000019130000}"/>
    <cellStyle name="Normal 2 7" xfId="1615" xr:uid="{00000000-0005-0000-0000-00001A130000}"/>
    <cellStyle name="Normal 2 8" xfId="574" xr:uid="{00000000-0005-0000-0000-00001B130000}"/>
    <cellStyle name="Normal 3" xfId="326" xr:uid="{00000000-0005-0000-0000-00001C130000}"/>
    <cellStyle name="Normal 3 2" xfId="327" xr:uid="{00000000-0005-0000-0000-00001D130000}"/>
    <cellStyle name="Normal 3 2 10" xfId="1237" xr:uid="{00000000-0005-0000-0000-00001E130000}"/>
    <cellStyle name="Normal 3 2 2" xfId="328" xr:uid="{00000000-0005-0000-0000-00001F130000}"/>
    <cellStyle name="Normal 3 2 2 2" xfId="818" xr:uid="{00000000-0005-0000-0000-000020130000}"/>
    <cellStyle name="Normal 3 2 3" xfId="329" xr:uid="{00000000-0005-0000-0000-000021130000}"/>
    <cellStyle name="Normal 3 2 3 10" xfId="1238" xr:uid="{00000000-0005-0000-0000-000022130000}"/>
    <cellStyle name="Normal 3 2 3 2" xfId="330" xr:uid="{00000000-0005-0000-0000-000023130000}"/>
    <cellStyle name="Normal 3 2 3 2 2" xfId="331" xr:uid="{00000000-0005-0000-0000-000024130000}"/>
    <cellStyle name="Normal 3 2 3 2 2 2" xfId="821" xr:uid="{00000000-0005-0000-0000-000025130000}"/>
    <cellStyle name="Normal 3 2 3 2 2 2 2" xfId="3885" xr:uid="{00000000-0005-0000-0000-000026130000}"/>
    <cellStyle name="Normal 3 2 3 2 2 2 2 2" xfId="8103" xr:uid="{00000000-0005-0000-0000-000027130000}"/>
    <cellStyle name="Normal 3 2 3 2 2 2 3" xfId="5958" xr:uid="{00000000-0005-0000-0000-000028130000}"/>
    <cellStyle name="Normal 3 2 3 2 2 2 4" xfId="1656" xr:uid="{00000000-0005-0000-0000-000029130000}"/>
    <cellStyle name="Normal 3 2 3 2 2 3" xfId="2069" xr:uid="{00000000-0005-0000-0000-00002A130000}"/>
    <cellStyle name="Normal 3 2 3 2 2 3 2" xfId="4298" xr:uid="{00000000-0005-0000-0000-00002B130000}"/>
    <cellStyle name="Normal 3 2 3 2 2 3 2 2" xfId="8516" xr:uid="{00000000-0005-0000-0000-00002C130000}"/>
    <cellStyle name="Normal 3 2 3 2 2 3 3" xfId="6371" xr:uid="{00000000-0005-0000-0000-00002D130000}"/>
    <cellStyle name="Normal 3 2 3 2 2 4" xfId="2482" xr:uid="{00000000-0005-0000-0000-00002E130000}"/>
    <cellStyle name="Normal 3 2 3 2 2 4 2" xfId="4711" xr:uid="{00000000-0005-0000-0000-00002F130000}"/>
    <cellStyle name="Normal 3 2 3 2 2 4 2 2" xfId="8929" xr:uid="{00000000-0005-0000-0000-000030130000}"/>
    <cellStyle name="Normal 3 2 3 2 2 4 3" xfId="6784" xr:uid="{00000000-0005-0000-0000-000031130000}"/>
    <cellStyle name="Normal 3 2 3 2 2 5" xfId="2895" xr:uid="{00000000-0005-0000-0000-000032130000}"/>
    <cellStyle name="Normal 3 2 3 2 2 5 2" xfId="5124" xr:uid="{00000000-0005-0000-0000-000033130000}"/>
    <cellStyle name="Normal 3 2 3 2 2 5 2 2" xfId="9342" xr:uid="{00000000-0005-0000-0000-000034130000}"/>
    <cellStyle name="Normal 3 2 3 2 2 5 3" xfId="7197" xr:uid="{00000000-0005-0000-0000-000035130000}"/>
    <cellStyle name="Normal 3 2 3 2 2 6" xfId="3331" xr:uid="{00000000-0005-0000-0000-000036130000}"/>
    <cellStyle name="Normal 3 2 3 2 2 6 2" xfId="7610" xr:uid="{00000000-0005-0000-0000-000037130000}"/>
    <cellStyle name="Normal 3 2 3 2 2 7" xfId="5544" xr:uid="{00000000-0005-0000-0000-000038130000}"/>
    <cellStyle name="Normal 3 2 3 2 2 8" xfId="1240" xr:uid="{00000000-0005-0000-0000-000039130000}"/>
    <cellStyle name="Normal 3 2 3 2 3" xfId="820" xr:uid="{00000000-0005-0000-0000-00003A130000}"/>
    <cellStyle name="Normal 3 2 3 2 3 2" xfId="3884" xr:uid="{00000000-0005-0000-0000-00003B130000}"/>
    <cellStyle name="Normal 3 2 3 2 3 2 2" xfId="8102" xr:uid="{00000000-0005-0000-0000-00003C130000}"/>
    <cellStyle name="Normal 3 2 3 2 3 3" xfId="5957" xr:uid="{00000000-0005-0000-0000-00003D130000}"/>
    <cellStyle name="Normal 3 2 3 2 3 4" xfId="1655" xr:uid="{00000000-0005-0000-0000-00003E130000}"/>
    <cellStyle name="Normal 3 2 3 2 4" xfId="2068" xr:uid="{00000000-0005-0000-0000-00003F130000}"/>
    <cellStyle name="Normal 3 2 3 2 4 2" xfId="4297" xr:uid="{00000000-0005-0000-0000-000040130000}"/>
    <cellStyle name="Normal 3 2 3 2 4 2 2" xfId="8515" xr:uid="{00000000-0005-0000-0000-000041130000}"/>
    <cellStyle name="Normal 3 2 3 2 4 3" xfId="6370" xr:uid="{00000000-0005-0000-0000-000042130000}"/>
    <cellStyle name="Normal 3 2 3 2 5" xfId="2481" xr:uid="{00000000-0005-0000-0000-000043130000}"/>
    <cellStyle name="Normal 3 2 3 2 5 2" xfId="4710" xr:uid="{00000000-0005-0000-0000-000044130000}"/>
    <cellStyle name="Normal 3 2 3 2 5 2 2" xfId="8928" xr:uid="{00000000-0005-0000-0000-000045130000}"/>
    <cellStyle name="Normal 3 2 3 2 5 3" xfId="6783" xr:uid="{00000000-0005-0000-0000-000046130000}"/>
    <cellStyle name="Normal 3 2 3 2 6" xfId="2894" xr:uid="{00000000-0005-0000-0000-000047130000}"/>
    <cellStyle name="Normal 3 2 3 2 6 2" xfId="5123" xr:uid="{00000000-0005-0000-0000-000048130000}"/>
    <cellStyle name="Normal 3 2 3 2 6 2 2" xfId="9341" xr:uid="{00000000-0005-0000-0000-000049130000}"/>
    <cellStyle name="Normal 3 2 3 2 6 3" xfId="7196" xr:uid="{00000000-0005-0000-0000-00004A130000}"/>
    <cellStyle name="Normal 3 2 3 2 7" xfId="3330" xr:uid="{00000000-0005-0000-0000-00004B130000}"/>
    <cellStyle name="Normal 3 2 3 2 7 2" xfId="7609" xr:uid="{00000000-0005-0000-0000-00004C130000}"/>
    <cellStyle name="Normal 3 2 3 2 8" xfId="5543" xr:uid="{00000000-0005-0000-0000-00004D130000}"/>
    <cellStyle name="Normal 3 2 3 2 9" xfId="1239" xr:uid="{00000000-0005-0000-0000-00004E130000}"/>
    <cellStyle name="Normal 3 2 3 3" xfId="332" xr:uid="{00000000-0005-0000-0000-00004F130000}"/>
    <cellStyle name="Normal 3 2 3 3 2" xfId="822" xr:uid="{00000000-0005-0000-0000-000050130000}"/>
    <cellStyle name="Normal 3 2 3 3 2 2" xfId="3886" xr:uid="{00000000-0005-0000-0000-000051130000}"/>
    <cellStyle name="Normal 3 2 3 3 2 2 2" xfId="8104" xr:uid="{00000000-0005-0000-0000-000052130000}"/>
    <cellStyle name="Normal 3 2 3 3 2 3" xfId="5959" xr:uid="{00000000-0005-0000-0000-000053130000}"/>
    <cellStyle name="Normal 3 2 3 3 2 4" xfId="1657" xr:uid="{00000000-0005-0000-0000-000054130000}"/>
    <cellStyle name="Normal 3 2 3 3 3" xfId="2070" xr:uid="{00000000-0005-0000-0000-000055130000}"/>
    <cellStyle name="Normal 3 2 3 3 3 2" xfId="4299" xr:uid="{00000000-0005-0000-0000-000056130000}"/>
    <cellStyle name="Normal 3 2 3 3 3 2 2" xfId="8517" xr:uid="{00000000-0005-0000-0000-000057130000}"/>
    <cellStyle name="Normal 3 2 3 3 3 3" xfId="6372" xr:uid="{00000000-0005-0000-0000-000058130000}"/>
    <cellStyle name="Normal 3 2 3 3 4" xfId="2483" xr:uid="{00000000-0005-0000-0000-000059130000}"/>
    <cellStyle name="Normal 3 2 3 3 4 2" xfId="4712" xr:uid="{00000000-0005-0000-0000-00005A130000}"/>
    <cellStyle name="Normal 3 2 3 3 4 2 2" xfId="8930" xr:uid="{00000000-0005-0000-0000-00005B130000}"/>
    <cellStyle name="Normal 3 2 3 3 4 3" xfId="6785" xr:uid="{00000000-0005-0000-0000-00005C130000}"/>
    <cellStyle name="Normal 3 2 3 3 5" xfId="2896" xr:uid="{00000000-0005-0000-0000-00005D130000}"/>
    <cellStyle name="Normal 3 2 3 3 5 2" xfId="5125" xr:uid="{00000000-0005-0000-0000-00005E130000}"/>
    <cellStyle name="Normal 3 2 3 3 5 2 2" xfId="9343" xr:uid="{00000000-0005-0000-0000-00005F130000}"/>
    <cellStyle name="Normal 3 2 3 3 5 3" xfId="7198" xr:uid="{00000000-0005-0000-0000-000060130000}"/>
    <cellStyle name="Normal 3 2 3 3 6" xfId="3332" xr:uid="{00000000-0005-0000-0000-000061130000}"/>
    <cellStyle name="Normal 3 2 3 3 6 2" xfId="7611" xr:uid="{00000000-0005-0000-0000-000062130000}"/>
    <cellStyle name="Normal 3 2 3 3 7" xfId="5545" xr:uid="{00000000-0005-0000-0000-000063130000}"/>
    <cellStyle name="Normal 3 2 3 3 8" xfId="1241" xr:uid="{00000000-0005-0000-0000-000064130000}"/>
    <cellStyle name="Normal 3 2 3 4" xfId="819" xr:uid="{00000000-0005-0000-0000-000065130000}"/>
    <cellStyle name="Normal 3 2 3 4 2" xfId="3883" xr:uid="{00000000-0005-0000-0000-000066130000}"/>
    <cellStyle name="Normal 3 2 3 4 2 2" xfId="8101" xr:uid="{00000000-0005-0000-0000-000067130000}"/>
    <cellStyle name="Normal 3 2 3 4 3" xfId="5956" xr:uid="{00000000-0005-0000-0000-000068130000}"/>
    <cellStyle name="Normal 3 2 3 4 4" xfId="1654" xr:uid="{00000000-0005-0000-0000-000069130000}"/>
    <cellStyle name="Normal 3 2 3 5" xfId="2067" xr:uid="{00000000-0005-0000-0000-00006A130000}"/>
    <cellStyle name="Normal 3 2 3 5 2" xfId="4296" xr:uid="{00000000-0005-0000-0000-00006B130000}"/>
    <cellStyle name="Normal 3 2 3 5 2 2" xfId="8514" xr:uid="{00000000-0005-0000-0000-00006C130000}"/>
    <cellStyle name="Normal 3 2 3 5 3" xfId="6369" xr:uid="{00000000-0005-0000-0000-00006D130000}"/>
    <cellStyle name="Normal 3 2 3 6" xfId="2480" xr:uid="{00000000-0005-0000-0000-00006E130000}"/>
    <cellStyle name="Normal 3 2 3 6 2" xfId="4709" xr:uid="{00000000-0005-0000-0000-00006F130000}"/>
    <cellStyle name="Normal 3 2 3 6 2 2" xfId="8927" xr:uid="{00000000-0005-0000-0000-000070130000}"/>
    <cellStyle name="Normal 3 2 3 6 3" xfId="6782" xr:uid="{00000000-0005-0000-0000-000071130000}"/>
    <cellStyle name="Normal 3 2 3 7" xfId="2893" xr:uid="{00000000-0005-0000-0000-000072130000}"/>
    <cellStyle name="Normal 3 2 3 7 2" xfId="5122" xr:uid="{00000000-0005-0000-0000-000073130000}"/>
    <cellStyle name="Normal 3 2 3 7 2 2" xfId="9340" xr:uid="{00000000-0005-0000-0000-000074130000}"/>
    <cellStyle name="Normal 3 2 3 7 3" xfId="7195" xr:uid="{00000000-0005-0000-0000-000075130000}"/>
    <cellStyle name="Normal 3 2 3 8" xfId="3329" xr:uid="{00000000-0005-0000-0000-000076130000}"/>
    <cellStyle name="Normal 3 2 3 8 2" xfId="7608" xr:uid="{00000000-0005-0000-0000-000077130000}"/>
    <cellStyle name="Normal 3 2 3 9" xfId="5542" xr:uid="{00000000-0005-0000-0000-000078130000}"/>
    <cellStyle name="Normal 3 2 4" xfId="817" xr:uid="{00000000-0005-0000-0000-000079130000}"/>
    <cellStyle name="Normal 3 2 4 2" xfId="3882" xr:uid="{00000000-0005-0000-0000-00007A130000}"/>
    <cellStyle name="Normal 3 2 4 2 2" xfId="8100" xr:uid="{00000000-0005-0000-0000-00007B130000}"/>
    <cellStyle name="Normal 3 2 4 3" xfId="5955" xr:uid="{00000000-0005-0000-0000-00007C130000}"/>
    <cellStyle name="Normal 3 2 4 4" xfId="1653" xr:uid="{00000000-0005-0000-0000-00007D130000}"/>
    <cellStyle name="Normal 3 2 5" xfId="2066" xr:uid="{00000000-0005-0000-0000-00007E130000}"/>
    <cellStyle name="Normal 3 2 5 2" xfId="4295" xr:uid="{00000000-0005-0000-0000-00007F130000}"/>
    <cellStyle name="Normal 3 2 5 2 2" xfId="8513" xr:uid="{00000000-0005-0000-0000-000080130000}"/>
    <cellStyle name="Normal 3 2 5 3" xfId="6368" xr:uid="{00000000-0005-0000-0000-000081130000}"/>
    <cellStyle name="Normal 3 2 6" xfId="2479" xr:uid="{00000000-0005-0000-0000-000082130000}"/>
    <cellStyle name="Normal 3 2 6 2" xfId="4708" xr:uid="{00000000-0005-0000-0000-000083130000}"/>
    <cellStyle name="Normal 3 2 6 2 2" xfId="8926" xr:uid="{00000000-0005-0000-0000-000084130000}"/>
    <cellStyle name="Normal 3 2 6 3" xfId="6781" xr:uid="{00000000-0005-0000-0000-000085130000}"/>
    <cellStyle name="Normal 3 2 7" xfId="2892" xr:uid="{00000000-0005-0000-0000-000086130000}"/>
    <cellStyle name="Normal 3 2 7 2" xfId="5121" xr:uid="{00000000-0005-0000-0000-000087130000}"/>
    <cellStyle name="Normal 3 2 7 2 2" xfId="9339" xr:uid="{00000000-0005-0000-0000-000088130000}"/>
    <cellStyle name="Normal 3 2 7 3" xfId="7194" xr:uid="{00000000-0005-0000-0000-000089130000}"/>
    <cellStyle name="Normal 3 2 8" xfId="3328" xr:uid="{00000000-0005-0000-0000-00008A130000}"/>
    <cellStyle name="Normal 3 2 8 2" xfId="7607" xr:uid="{00000000-0005-0000-0000-00008B130000}"/>
    <cellStyle name="Normal 3 2 9" xfId="5541" xr:uid="{00000000-0005-0000-0000-00008C130000}"/>
    <cellStyle name="Normal 3 3" xfId="333" xr:uid="{00000000-0005-0000-0000-00008D130000}"/>
    <cellStyle name="Normal 3 3 2" xfId="334" xr:uid="{00000000-0005-0000-0000-00008E130000}"/>
    <cellStyle name="Normal 3 3 3" xfId="335" xr:uid="{00000000-0005-0000-0000-00008F130000}"/>
    <cellStyle name="Normal 3 4" xfId="336" xr:uid="{00000000-0005-0000-0000-000090130000}"/>
    <cellStyle name="Normal 3 5" xfId="337" xr:uid="{00000000-0005-0000-0000-000091130000}"/>
    <cellStyle name="Normal 3 6" xfId="816" xr:uid="{00000000-0005-0000-0000-000092130000}"/>
    <cellStyle name="Normal 4" xfId="338" xr:uid="{00000000-0005-0000-0000-000093130000}"/>
    <cellStyle name="Normal 4 10" xfId="1242" xr:uid="{00000000-0005-0000-0000-000094130000}"/>
    <cellStyle name="Normal 4 2" xfId="339" xr:uid="{00000000-0005-0000-0000-000095130000}"/>
    <cellStyle name="Normal 4 2 2" xfId="340" xr:uid="{00000000-0005-0000-0000-000096130000}"/>
    <cellStyle name="Normal 4 2 2 10" xfId="2897" xr:uid="{00000000-0005-0000-0000-000097130000}"/>
    <cellStyle name="Normal 4 2 2 10 2" xfId="5126" xr:uid="{00000000-0005-0000-0000-000098130000}"/>
    <cellStyle name="Normal 4 2 2 10 2 2" xfId="9344" xr:uid="{00000000-0005-0000-0000-000099130000}"/>
    <cellStyle name="Normal 4 2 2 10 3" xfId="7199" xr:uid="{00000000-0005-0000-0000-00009A130000}"/>
    <cellStyle name="Normal 4 2 2 11" xfId="3333" xr:uid="{00000000-0005-0000-0000-00009B130000}"/>
    <cellStyle name="Normal 4 2 2 11 2" xfId="7612" xr:uid="{00000000-0005-0000-0000-00009C130000}"/>
    <cellStyle name="Normal 4 2 2 12" xfId="5547" xr:uid="{00000000-0005-0000-0000-00009D130000}"/>
    <cellStyle name="Normal 4 2 2 13" xfId="1243" xr:uid="{00000000-0005-0000-0000-00009E130000}"/>
    <cellStyle name="Normal 4 2 2 2" xfId="341" xr:uid="{00000000-0005-0000-0000-00009F130000}"/>
    <cellStyle name="Normal 4 2 2 3" xfId="342" xr:uid="{00000000-0005-0000-0000-0000A0130000}"/>
    <cellStyle name="Normal 4 2 2 3 10" xfId="5548" xr:uid="{00000000-0005-0000-0000-0000A1130000}"/>
    <cellStyle name="Normal 4 2 2 3 11" xfId="1244" xr:uid="{00000000-0005-0000-0000-0000A2130000}"/>
    <cellStyle name="Normal 4 2 2 3 2" xfId="343" xr:uid="{00000000-0005-0000-0000-0000A3130000}"/>
    <cellStyle name="Normal 4 2 2 3 2 10" xfId="1245" xr:uid="{00000000-0005-0000-0000-0000A4130000}"/>
    <cellStyle name="Normal 4 2 2 3 2 2" xfId="344" xr:uid="{00000000-0005-0000-0000-0000A5130000}"/>
    <cellStyle name="Normal 4 2 2 3 2 2 2" xfId="345" xr:uid="{00000000-0005-0000-0000-0000A6130000}"/>
    <cellStyle name="Normal 4 2 2 3 2 2 2 2" xfId="827" xr:uid="{00000000-0005-0000-0000-0000A7130000}"/>
    <cellStyle name="Normal 4 2 2 3 2 2 2 2 2" xfId="3891" xr:uid="{00000000-0005-0000-0000-0000A8130000}"/>
    <cellStyle name="Normal 4 2 2 3 2 2 2 2 2 2" xfId="8109" xr:uid="{00000000-0005-0000-0000-0000A9130000}"/>
    <cellStyle name="Normal 4 2 2 3 2 2 2 2 3" xfId="5964" xr:uid="{00000000-0005-0000-0000-0000AA130000}"/>
    <cellStyle name="Normal 4 2 2 3 2 2 2 2 4" xfId="1662" xr:uid="{00000000-0005-0000-0000-0000AB130000}"/>
    <cellStyle name="Normal 4 2 2 3 2 2 2 3" xfId="2075" xr:uid="{00000000-0005-0000-0000-0000AC130000}"/>
    <cellStyle name="Normal 4 2 2 3 2 2 2 3 2" xfId="4304" xr:uid="{00000000-0005-0000-0000-0000AD130000}"/>
    <cellStyle name="Normal 4 2 2 3 2 2 2 3 2 2" xfId="8522" xr:uid="{00000000-0005-0000-0000-0000AE130000}"/>
    <cellStyle name="Normal 4 2 2 3 2 2 2 3 3" xfId="6377" xr:uid="{00000000-0005-0000-0000-0000AF130000}"/>
    <cellStyle name="Normal 4 2 2 3 2 2 2 4" xfId="2488" xr:uid="{00000000-0005-0000-0000-0000B0130000}"/>
    <cellStyle name="Normal 4 2 2 3 2 2 2 4 2" xfId="4717" xr:uid="{00000000-0005-0000-0000-0000B1130000}"/>
    <cellStyle name="Normal 4 2 2 3 2 2 2 4 2 2" xfId="8935" xr:uid="{00000000-0005-0000-0000-0000B2130000}"/>
    <cellStyle name="Normal 4 2 2 3 2 2 2 4 3" xfId="6790" xr:uid="{00000000-0005-0000-0000-0000B3130000}"/>
    <cellStyle name="Normal 4 2 2 3 2 2 2 5" xfId="2901" xr:uid="{00000000-0005-0000-0000-0000B4130000}"/>
    <cellStyle name="Normal 4 2 2 3 2 2 2 5 2" xfId="5130" xr:uid="{00000000-0005-0000-0000-0000B5130000}"/>
    <cellStyle name="Normal 4 2 2 3 2 2 2 5 2 2" xfId="9348" xr:uid="{00000000-0005-0000-0000-0000B6130000}"/>
    <cellStyle name="Normal 4 2 2 3 2 2 2 5 3" xfId="7203" xr:uid="{00000000-0005-0000-0000-0000B7130000}"/>
    <cellStyle name="Normal 4 2 2 3 2 2 2 6" xfId="3337" xr:uid="{00000000-0005-0000-0000-0000B8130000}"/>
    <cellStyle name="Normal 4 2 2 3 2 2 2 6 2" xfId="7616" xr:uid="{00000000-0005-0000-0000-0000B9130000}"/>
    <cellStyle name="Normal 4 2 2 3 2 2 2 7" xfId="5551" xr:uid="{00000000-0005-0000-0000-0000BA130000}"/>
    <cellStyle name="Normal 4 2 2 3 2 2 2 8" xfId="1247" xr:uid="{00000000-0005-0000-0000-0000BB130000}"/>
    <cellStyle name="Normal 4 2 2 3 2 2 3" xfId="826" xr:uid="{00000000-0005-0000-0000-0000BC130000}"/>
    <cellStyle name="Normal 4 2 2 3 2 2 3 2" xfId="3890" xr:uid="{00000000-0005-0000-0000-0000BD130000}"/>
    <cellStyle name="Normal 4 2 2 3 2 2 3 2 2" xfId="8108" xr:uid="{00000000-0005-0000-0000-0000BE130000}"/>
    <cellStyle name="Normal 4 2 2 3 2 2 3 3" xfId="5963" xr:uid="{00000000-0005-0000-0000-0000BF130000}"/>
    <cellStyle name="Normal 4 2 2 3 2 2 3 4" xfId="1661" xr:uid="{00000000-0005-0000-0000-0000C0130000}"/>
    <cellStyle name="Normal 4 2 2 3 2 2 4" xfId="2074" xr:uid="{00000000-0005-0000-0000-0000C1130000}"/>
    <cellStyle name="Normal 4 2 2 3 2 2 4 2" xfId="4303" xr:uid="{00000000-0005-0000-0000-0000C2130000}"/>
    <cellStyle name="Normal 4 2 2 3 2 2 4 2 2" xfId="8521" xr:uid="{00000000-0005-0000-0000-0000C3130000}"/>
    <cellStyle name="Normal 4 2 2 3 2 2 4 3" xfId="6376" xr:uid="{00000000-0005-0000-0000-0000C4130000}"/>
    <cellStyle name="Normal 4 2 2 3 2 2 5" xfId="2487" xr:uid="{00000000-0005-0000-0000-0000C5130000}"/>
    <cellStyle name="Normal 4 2 2 3 2 2 5 2" xfId="4716" xr:uid="{00000000-0005-0000-0000-0000C6130000}"/>
    <cellStyle name="Normal 4 2 2 3 2 2 5 2 2" xfId="8934" xr:uid="{00000000-0005-0000-0000-0000C7130000}"/>
    <cellStyle name="Normal 4 2 2 3 2 2 5 3" xfId="6789" xr:uid="{00000000-0005-0000-0000-0000C8130000}"/>
    <cellStyle name="Normal 4 2 2 3 2 2 6" xfId="2900" xr:uid="{00000000-0005-0000-0000-0000C9130000}"/>
    <cellStyle name="Normal 4 2 2 3 2 2 6 2" xfId="5129" xr:uid="{00000000-0005-0000-0000-0000CA130000}"/>
    <cellStyle name="Normal 4 2 2 3 2 2 6 2 2" xfId="9347" xr:uid="{00000000-0005-0000-0000-0000CB130000}"/>
    <cellStyle name="Normal 4 2 2 3 2 2 6 3" xfId="7202" xr:uid="{00000000-0005-0000-0000-0000CC130000}"/>
    <cellStyle name="Normal 4 2 2 3 2 2 7" xfId="3336" xr:uid="{00000000-0005-0000-0000-0000CD130000}"/>
    <cellStyle name="Normal 4 2 2 3 2 2 7 2" xfId="7615" xr:uid="{00000000-0005-0000-0000-0000CE130000}"/>
    <cellStyle name="Normal 4 2 2 3 2 2 8" xfId="5550" xr:uid="{00000000-0005-0000-0000-0000CF130000}"/>
    <cellStyle name="Normal 4 2 2 3 2 2 9" xfId="1246" xr:uid="{00000000-0005-0000-0000-0000D0130000}"/>
    <cellStyle name="Normal 4 2 2 3 2 3" xfId="346" xr:uid="{00000000-0005-0000-0000-0000D1130000}"/>
    <cellStyle name="Normal 4 2 2 3 2 3 2" xfId="828" xr:uid="{00000000-0005-0000-0000-0000D2130000}"/>
    <cellStyle name="Normal 4 2 2 3 2 3 2 2" xfId="3892" xr:uid="{00000000-0005-0000-0000-0000D3130000}"/>
    <cellStyle name="Normal 4 2 2 3 2 3 2 2 2" xfId="8110" xr:uid="{00000000-0005-0000-0000-0000D4130000}"/>
    <cellStyle name="Normal 4 2 2 3 2 3 2 3" xfId="5965" xr:uid="{00000000-0005-0000-0000-0000D5130000}"/>
    <cellStyle name="Normal 4 2 2 3 2 3 2 4" xfId="1663" xr:uid="{00000000-0005-0000-0000-0000D6130000}"/>
    <cellStyle name="Normal 4 2 2 3 2 3 3" xfId="2076" xr:uid="{00000000-0005-0000-0000-0000D7130000}"/>
    <cellStyle name="Normal 4 2 2 3 2 3 3 2" xfId="4305" xr:uid="{00000000-0005-0000-0000-0000D8130000}"/>
    <cellStyle name="Normal 4 2 2 3 2 3 3 2 2" xfId="8523" xr:uid="{00000000-0005-0000-0000-0000D9130000}"/>
    <cellStyle name="Normal 4 2 2 3 2 3 3 3" xfId="6378" xr:uid="{00000000-0005-0000-0000-0000DA130000}"/>
    <cellStyle name="Normal 4 2 2 3 2 3 4" xfId="2489" xr:uid="{00000000-0005-0000-0000-0000DB130000}"/>
    <cellStyle name="Normal 4 2 2 3 2 3 4 2" xfId="4718" xr:uid="{00000000-0005-0000-0000-0000DC130000}"/>
    <cellStyle name="Normal 4 2 2 3 2 3 4 2 2" xfId="8936" xr:uid="{00000000-0005-0000-0000-0000DD130000}"/>
    <cellStyle name="Normal 4 2 2 3 2 3 4 3" xfId="6791" xr:uid="{00000000-0005-0000-0000-0000DE130000}"/>
    <cellStyle name="Normal 4 2 2 3 2 3 5" xfId="2902" xr:uid="{00000000-0005-0000-0000-0000DF130000}"/>
    <cellStyle name="Normal 4 2 2 3 2 3 5 2" xfId="5131" xr:uid="{00000000-0005-0000-0000-0000E0130000}"/>
    <cellStyle name="Normal 4 2 2 3 2 3 5 2 2" xfId="9349" xr:uid="{00000000-0005-0000-0000-0000E1130000}"/>
    <cellStyle name="Normal 4 2 2 3 2 3 5 3" xfId="7204" xr:uid="{00000000-0005-0000-0000-0000E2130000}"/>
    <cellStyle name="Normal 4 2 2 3 2 3 6" xfId="3338" xr:uid="{00000000-0005-0000-0000-0000E3130000}"/>
    <cellStyle name="Normal 4 2 2 3 2 3 6 2" xfId="7617" xr:uid="{00000000-0005-0000-0000-0000E4130000}"/>
    <cellStyle name="Normal 4 2 2 3 2 3 7" xfId="5552" xr:uid="{00000000-0005-0000-0000-0000E5130000}"/>
    <cellStyle name="Normal 4 2 2 3 2 3 8" xfId="1248" xr:uid="{00000000-0005-0000-0000-0000E6130000}"/>
    <cellStyle name="Normal 4 2 2 3 2 4" xfId="825" xr:uid="{00000000-0005-0000-0000-0000E7130000}"/>
    <cellStyle name="Normal 4 2 2 3 2 4 2" xfId="3889" xr:uid="{00000000-0005-0000-0000-0000E8130000}"/>
    <cellStyle name="Normal 4 2 2 3 2 4 2 2" xfId="8107" xr:uid="{00000000-0005-0000-0000-0000E9130000}"/>
    <cellStyle name="Normal 4 2 2 3 2 4 3" xfId="5962" xr:uid="{00000000-0005-0000-0000-0000EA130000}"/>
    <cellStyle name="Normal 4 2 2 3 2 4 4" xfId="1660" xr:uid="{00000000-0005-0000-0000-0000EB130000}"/>
    <cellStyle name="Normal 4 2 2 3 2 5" xfId="2073" xr:uid="{00000000-0005-0000-0000-0000EC130000}"/>
    <cellStyle name="Normal 4 2 2 3 2 5 2" xfId="4302" xr:uid="{00000000-0005-0000-0000-0000ED130000}"/>
    <cellStyle name="Normal 4 2 2 3 2 5 2 2" xfId="8520" xr:uid="{00000000-0005-0000-0000-0000EE130000}"/>
    <cellStyle name="Normal 4 2 2 3 2 5 3" xfId="6375" xr:uid="{00000000-0005-0000-0000-0000EF130000}"/>
    <cellStyle name="Normal 4 2 2 3 2 6" xfId="2486" xr:uid="{00000000-0005-0000-0000-0000F0130000}"/>
    <cellStyle name="Normal 4 2 2 3 2 6 2" xfId="4715" xr:uid="{00000000-0005-0000-0000-0000F1130000}"/>
    <cellStyle name="Normal 4 2 2 3 2 6 2 2" xfId="8933" xr:uid="{00000000-0005-0000-0000-0000F2130000}"/>
    <cellStyle name="Normal 4 2 2 3 2 6 3" xfId="6788" xr:uid="{00000000-0005-0000-0000-0000F3130000}"/>
    <cellStyle name="Normal 4 2 2 3 2 7" xfId="2899" xr:uid="{00000000-0005-0000-0000-0000F4130000}"/>
    <cellStyle name="Normal 4 2 2 3 2 7 2" xfId="5128" xr:uid="{00000000-0005-0000-0000-0000F5130000}"/>
    <cellStyle name="Normal 4 2 2 3 2 7 2 2" xfId="9346" xr:uid="{00000000-0005-0000-0000-0000F6130000}"/>
    <cellStyle name="Normal 4 2 2 3 2 7 3" xfId="7201" xr:uid="{00000000-0005-0000-0000-0000F7130000}"/>
    <cellStyle name="Normal 4 2 2 3 2 8" xfId="3335" xr:uid="{00000000-0005-0000-0000-0000F8130000}"/>
    <cellStyle name="Normal 4 2 2 3 2 8 2" xfId="7614" xr:uid="{00000000-0005-0000-0000-0000F9130000}"/>
    <cellStyle name="Normal 4 2 2 3 2 9" xfId="5549" xr:uid="{00000000-0005-0000-0000-0000FA130000}"/>
    <cellStyle name="Normal 4 2 2 3 3" xfId="347" xr:uid="{00000000-0005-0000-0000-0000FB130000}"/>
    <cellStyle name="Normal 4 2 2 3 3 2" xfId="348" xr:uid="{00000000-0005-0000-0000-0000FC130000}"/>
    <cellStyle name="Normal 4 2 2 3 3 2 2" xfId="830" xr:uid="{00000000-0005-0000-0000-0000FD130000}"/>
    <cellStyle name="Normal 4 2 2 3 3 2 2 2" xfId="3894" xr:uid="{00000000-0005-0000-0000-0000FE130000}"/>
    <cellStyle name="Normal 4 2 2 3 3 2 2 2 2" xfId="8112" xr:uid="{00000000-0005-0000-0000-0000FF130000}"/>
    <cellStyle name="Normal 4 2 2 3 3 2 2 3" xfId="5967" xr:uid="{00000000-0005-0000-0000-000000140000}"/>
    <cellStyle name="Normal 4 2 2 3 3 2 2 4" xfId="1665" xr:uid="{00000000-0005-0000-0000-000001140000}"/>
    <cellStyle name="Normal 4 2 2 3 3 2 3" xfId="2078" xr:uid="{00000000-0005-0000-0000-000002140000}"/>
    <cellStyle name="Normal 4 2 2 3 3 2 3 2" xfId="4307" xr:uid="{00000000-0005-0000-0000-000003140000}"/>
    <cellStyle name="Normal 4 2 2 3 3 2 3 2 2" xfId="8525" xr:uid="{00000000-0005-0000-0000-000004140000}"/>
    <cellStyle name="Normal 4 2 2 3 3 2 3 3" xfId="6380" xr:uid="{00000000-0005-0000-0000-000005140000}"/>
    <cellStyle name="Normal 4 2 2 3 3 2 4" xfId="2491" xr:uid="{00000000-0005-0000-0000-000006140000}"/>
    <cellStyle name="Normal 4 2 2 3 3 2 4 2" xfId="4720" xr:uid="{00000000-0005-0000-0000-000007140000}"/>
    <cellStyle name="Normal 4 2 2 3 3 2 4 2 2" xfId="8938" xr:uid="{00000000-0005-0000-0000-000008140000}"/>
    <cellStyle name="Normal 4 2 2 3 3 2 4 3" xfId="6793" xr:uid="{00000000-0005-0000-0000-000009140000}"/>
    <cellStyle name="Normal 4 2 2 3 3 2 5" xfId="2904" xr:uid="{00000000-0005-0000-0000-00000A140000}"/>
    <cellStyle name="Normal 4 2 2 3 3 2 5 2" xfId="5133" xr:uid="{00000000-0005-0000-0000-00000B140000}"/>
    <cellStyle name="Normal 4 2 2 3 3 2 5 2 2" xfId="9351" xr:uid="{00000000-0005-0000-0000-00000C140000}"/>
    <cellStyle name="Normal 4 2 2 3 3 2 5 3" xfId="7206" xr:uid="{00000000-0005-0000-0000-00000D140000}"/>
    <cellStyle name="Normal 4 2 2 3 3 2 6" xfId="3340" xr:uid="{00000000-0005-0000-0000-00000E140000}"/>
    <cellStyle name="Normal 4 2 2 3 3 2 6 2" xfId="7619" xr:uid="{00000000-0005-0000-0000-00000F140000}"/>
    <cellStyle name="Normal 4 2 2 3 3 2 7" xfId="5554" xr:uid="{00000000-0005-0000-0000-000010140000}"/>
    <cellStyle name="Normal 4 2 2 3 3 2 8" xfId="1250" xr:uid="{00000000-0005-0000-0000-000011140000}"/>
    <cellStyle name="Normal 4 2 2 3 3 3" xfId="829" xr:uid="{00000000-0005-0000-0000-000012140000}"/>
    <cellStyle name="Normal 4 2 2 3 3 3 2" xfId="3893" xr:uid="{00000000-0005-0000-0000-000013140000}"/>
    <cellStyle name="Normal 4 2 2 3 3 3 2 2" xfId="8111" xr:uid="{00000000-0005-0000-0000-000014140000}"/>
    <cellStyle name="Normal 4 2 2 3 3 3 3" xfId="5966" xr:uid="{00000000-0005-0000-0000-000015140000}"/>
    <cellStyle name="Normal 4 2 2 3 3 3 4" xfId="1664" xr:uid="{00000000-0005-0000-0000-000016140000}"/>
    <cellStyle name="Normal 4 2 2 3 3 4" xfId="2077" xr:uid="{00000000-0005-0000-0000-000017140000}"/>
    <cellStyle name="Normal 4 2 2 3 3 4 2" xfId="4306" xr:uid="{00000000-0005-0000-0000-000018140000}"/>
    <cellStyle name="Normal 4 2 2 3 3 4 2 2" xfId="8524" xr:uid="{00000000-0005-0000-0000-000019140000}"/>
    <cellStyle name="Normal 4 2 2 3 3 4 3" xfId="6379" xr:uid="{00000000-0005-0000-0000-00001A140000}"/>
    <cellStyle name="Normal 4 2 2 3 3 5" xfId="2490" xr:uid="{00000000-0005-0000-0000-00001B140000}"/>
    <cellStyle name="Normal 4 2 2 3 3 5 2" xfId="4719" xr:uid="{00000000-0005-0000-0000-00001C140000}"/>
    <cellStyle name="Normal 4 2 2 3 3 5 2 2" xfId="8937" xr:uid="{00000000-0005-0000-0000-00001D140000}"/>
    <cellStyle name="Normal 4 2 2 3 3 5 3" xfId="6792" xr:uid="{00000000-0005-0000-0000-00001E140000}"/>
    <cellStyle name="Normal 4 2 2 3 3 6" xfId="2903" xr:uid="{00000000-0005-0000-0000-00001F140000}"/>
    <cellStyle name="Normal 4 2 2 3 3 6 2" xfId="5132" xr:uid="{00000000-0005-0000-0000-000020140000}"/>
    <cellStyle name="Normal 4 2 2 3 3 6 2 2" xfId="9350" xr:uid="{00000000-0005-0000-0000-000021140000}"/>
    <cellStyle name="Normal 4 2 2 3 3 6 3" xfId="7205" xr:uid="{00000000-0005-0000-0000-000022140000}"/>
    <cellStyle name="Normal 4 2 2 3 3 7" xfId="3339" xr:uid="{00000000-0005-0000-0000-000023140000}"/>
    <cellStyle name="Normal 4 2 2 3 3 7 2" xfId="7618" xr:uid="{00000000-0005-0000-0000-000024140000}"/>
    <cellStyle name="Normal 4 2 2 3 3 8" xfId="5553" xr:uid="{00000000-0005-0000-0000-000025140000}"/>
    <cellStyle name="Normal 4 2 2 3 3 9" xfId="1249" xr:uid="{00000000-0005-0000-0000-000026140000}"/>
    <cellStyle name="Normal 4 2 2 3 4" xfId="349" xr:uid="{00000000-0005-0000-0000-000027140000}"/>
    <cellStyle name="Normal 4 2 2 3 4 2" xfId="831" xr:uid="{00000000-0005-0000-0000-000028140000}"/>
    <cellStyle name="Normal 4 2 2 3 4 2 2" xfId="3895" xr:uid="{00000000-0005-0000-0000-000029140000}"/>
    <cellStyle name="Normal 4 2 2 3 4 2 2 2" xfId="8113" xr:uid="{00000000-0005-0000-0000-00002A140000}"/>
    <cellStyle name="Normal 4 2 2 3 4 2 3" xfId="5968" xr:uid="{00000000-0005-0000-0000-00002B140000}"/>
    <cellStyle name="Normal 4 2 2 3 4 2 4" xfId="1666" xr:uid="{00000000-0005-0000-0000-00002C140000}"/>
    <cellStyle name="Normal 4 2 2 3 4 3" xfId="2079" xr:uid="{00000000-0005-0000-0000-00002D140000}"/>
    <cellStyle name="Normal 4 2 2 3 4 3 2" xfId="4308" xr:uid="{00000000-0005-0000-0000-00002E140000}"/>
    <cellStyle name="Normal 4 2 2 3 4 3 2 2" xfId="8526" xr:uid="{00000000-0005-0000-0000-00002F140000}"/>
    <cellStyle name="Normal 4 2 2 3 4 3 3" xfId="6381" xr:uid="{00000000-0005-0000-0000-000030140000}"/>
    <cellStyle name="Normal 4 2 2 3 4 4" xfId="2492" xr:uid="{00000000-0005-0000-0000-000031140000}"/>
    <cellStyle name="Normal 4 2 2 3 4 4 2" xfId="4721" xr:uid="{00000000-0005-0000-0000-000032140000}"/>
    <cellStyle name="Normal 4 2 2 3 4 4 2 2" xfId="8939" xr:uid="{00000000-0005-0000-0000-000033140000}"/>
    <cellStyle name="Normal 4 2 2 3 4 4 3" xfId="6794" xr:uid="{00000000-0005-0000-0000-000034140000}"/>
    <cellStyle name="Normal 4 2 2 3 4 5" xfId="2905" xr:uid="{00000000-0005-0000-0000-000035140000}"/>
    <cellStyle name="Normal 4 2 2 3 4 5 2" xfId="5134" xr:uid="{00000000-0005-0000-0000-000036140000}"/>
    <cellStyle name="Normal 4 2 2 3 4 5 2 2" xfId="9352" xr:uid="{00000000-0005-0000-0000-000037140000}"/>
    <cellStyle name="Normal 4 2 2 3 4 5 3" xfId="7207" xr:uid="{00000000-0005-0000-0000-000038140000}"/>
    <cellStyle name="Normal 4 2 2 3 4 6" xfId="3341" xr:uid="{00000000-0005-0000-0000-000039140000}"/>
    <cellStyle name="Normal 4 2 2 3 4 6 2" xfId="7620" xr:uid="{00000000-0005-0000-0000-00003A140000}"/>
    <cellStyle name="Normal 4 2 2 3 4 7" xfId="5555" xr:uid="{00000000-0005-0000-0000-00003B140000}"/>
    <cellStyle name="Normal 4 2 2 3 4 8" xfId="1251" xr:uid="{00000000-0005-0000-0000-00003C140000}"/>
    <cellStyle name="Normal 4 2 2 3 5" xfId="824" xr:uid="{00000000-0005-0000-0000-00003D140000}"/>
    <cellStyle name="Normal 4 2 2 3 5 2" xfId="3888" xr:uid="{00000000-0005-0000-0000-00003E140000}"/>
    <cellStyle name="Normal 4 2 2 3 5 2 2" xfId="8106" xr:uid="{00000000-0005-0000-0000-00003F140000}"/>
    <cellStyle name="Normal 4 2 2 3 5 3" xfId="5961" xr:uid="{00000000-0005-0000-0000-000040140000}"/>
    <cellStyle name="Normal 4 2 2 3 5 4" xfId="1659" xr:uid="{00000000-0005-0000-0000-000041140000}"/>
    <cellStyle name="Normal 4 2 2 3 6" xfId="2072" xr:uid="{00000000-0005-0000-0000-000042140000}"/>
    <cellStyle name="Normal 4 2 2 3 6 2" xfId="4301" xr:uid="{00000000-0005-0000-0000-000043140000}"/>
    <cellStyle name="Normal 4 2 2 3 6 2 2" xfId="8519" xr:uid="{00000000-0005-0000-0000-000044140000}"/>
    <cellStyle name="Normal 4 2 2 3 6 3" xfId="6374" xr:uid="{00000000-0005-0000-0000-000045140000}"/>
    <cellStyle name="Normal 4 2 2 3 7" xfId="2485" xr:uid="{00000000-0005-0000-0000-000046140000}"/>
    <cellStyle name="Normal 4 2 2 3 7 2" xfId="4714" xr:uid="{00000000-0005-0000-0000-000047140000}"/>
    <cellStyle name="Normal 4 2 2 3 7 2 2" xfId="8932" xr:uid="{00000000-0005-0000-0000-000048140000}"/>
    <cellStyle name="Normal 4 2 2 3 7 3" xfId="6787" xr:uid="{00000000-0005-0000-0000-000049140000}"/>
    <cellStyle name="Normal 4 2 2 3 8" xfId="2898" xr:uid="{00000000-0005-0000-0000-00004A140000}"/>
    <cellStyle name="Normal 4 2 2 3 8 2" xfId="5127" xr:uid="{00000000-0005-0000-0000-00004B140000}"/>
    <cellStyle name="Normal 4 2 2 3 8 2 2" xfId="9345" xr:uid="{00000000-0005-0000-0000-00004C140000}"/>
    <cellStyle name="Normal 4 2 2 3 8 3" xfId="7200" xr:uid="{00000000-0005-0000-0000-00004D140000}"/>
    <cellStyle name="Normal 4 2 2 3 9" xfId="3334" xr:uid="{00000000-0005-0000-0000-00004E140000}"/>
    <cellStyle name="Normal 4 2 2 3 9 2" xfId="7613" xr:uid="{00000000-0005-0000-0000-00004F140000}"/>
    <cellStyle name="Normal 4 2 2 4" xfId="350" xr:uid="{00000000-0005-0000-0000-000050140000}"/>
    <cellStyle name="Normal 4 2 2 4 10" xfId="1252" xr:uid="{00000000-0005-0000-0000-000051140000}"/>
    <cellStyle name="Normal 4 2 2 4 2" xfId="351" xr:uid="{00000000-0005-0000-0000-000052140000}"/>
    <cellStyle name="Normal 4 2 2 4 2 2" xfId="352" xr:uid="{00000000-0005-0000-0000-000053140000}"/>
    <cellStyle name="Normal 4 2 2 4 2 2 2" xfId="834" xr:uid="{00000000-0005-0000-0000-000054140000}"/>
    <cellStyle name="Normal 4 2 2 4 2 2 2 2" xfId="3898" xr:uid="{00000000-0005-0000-0000-000055140000}"/>
    <cellStyle name="Normal 4 2 2 4 2 2 2 2 2" xfId="8116" xr:uid="{00000000-0005-0000-0000-000056140000}"/>
    <cellStyle name="Normal 4 2 2 4 2 2 2 3" xfId="5971" xr:uid="{00000000-0005-0000-0000-000057140000}"/>
    <cellStyle name="Normal 4 2 2 4 2 2 2 4" xfId="1669" xr:uid="{00000000-0005-0000-0000-000058140000}"/>
    <cellStyle name="Normal 4 2 2 4 2 2 3" xfId="2082" xr:uid="{00000000-0005-0000-0000-000059140000}"/>
    <cellStyle name="Normal 4 2 2 4 2 2 3 2" xfId="4311" xr:uid="{00000000-0005-0000-0000-00005A140000}"/>
    <cellStyle name="Normal 4 2 2 4 2 2 3 2 2" xfId="8529" xr:uid="{00000000-0005-0000-0000-00005B140000}"/>
    <cellStyle name="Normal 4 2 2 4 2 2 3 3" xfId="6384" xr:uid="{00000000-0005-0000-0000-00005C140000}"/>
    <cellStyle name="Normal 4 2 2 4 2 2 4" xfId="2495" xr:uid="{00000000-0005-0000-0000-00005D140000}"/>
    <cellStyle name="Normal 4 2 2 4 2 2 4 2" xfId="4724" xr:uid="{00000000-0005-0000-0000-00005E140000}"/>
    <cellStyle name="Normal 4 2 2 4 2 2 4 2 2" xfId="8942" xr:uid="{00000000-0005-0000-0000-00005F140000}"/>
    <cellStyle name="Normal 4 2 2 4 2 2 4 3" xfId="6797" xr:uid="{00000000-0005-0000-0000-000060140000}"/>
    <cellStyle name="Normal 4 2 2 4 2 2 5" xfId="2908" xr:uid="{00000000-0005-0000-0000-000061140000}"/>
    <cellStyle name="Normal 4 2 2 4 2 2 5 2" xfId="5137" xr:uid="{00000000-0005-0000-0000-000062140000}"/>
    <cellStyle name="Normal 4 2 2 4 2 2 5 2 2" xfId="9355" xr:uid="{00000000-0005-0000-0000-000063140000}"/>
    <cellStyle name="Normal 4 2 2 4 2 2 5 3" xfId="7210" xr:uid="{00000000-0005-0000-0000-000064140000}"/>
    <cellStyle name="Normal 4 2 2 4 2 2 6" xfId="3344" xr:uid="{00000000-0005-0000-0000-000065140000}"/>
    <cellStyle name="Normal 4 2 2 4 2 2 6 2" xfId="7623" xr:uid="{00000000-0005-0000-0000-000066140000}"/>
    <cellStyle name="Normal 4 2 2 4 2 2 7" xfId="5558" xr:uid="{00000000-0005-0000-0000-000067140000}"/>
    <cellStyle name="Normal 4 2 2 4 2 2 8" xfId="1254" xr:uid="{00000000-0005-0000-0000-000068140000}"/>
    <cellStyle name="Normal 4 2 2 4 2 3" xfId="833" xr:uid="{00000000-0005-0000-0000-000069140000}"/>
    <cellStyle name="Normal 4 2 2 4 2 3 2" xfId="3897" xr:uid="{00000000-0005-0000-0000-00006A140000}"/>
    <cellStyle name="Normal 4 2 2 4 2 3 2 2" xfId="8115" xr:uid="{00000000-0005-0000-0000-00006B140000}"/>
    <cellStyle name="Normal 4 2 2 4 2 3 3" xfId="5970" xr:uid="{00000000-0005-0000-0000-00006C140000}"/>
    <cellStyle name="Normal 4 2 2 4 2 3 4" xfId="1668" xr:uid="{00000000-0005-0000-0000-00006D140000}"/>
    <cellStyle name="Normal 4 2 2 4 2 4" xfId="2081" xr:uid="{00000000-0005-0000-0000-00006E140000}"/>
    <cellStyle name="Normal 4 2 2 4 2 4 2" xfId="4310" xr:uid="{00000000-0005-0000-0000-00006F140000}"/>
    <cellStyle name="Normal 4 2 2 4 2 4 2 2" xfId="8528" xr:uid="{00000000-0005-0000-0000-000070140000}"/>
    <cellStyle name="Normal 4 2 2 4 2 4 3" xfId="6383" xr:uid="{00000000-0005-0000-0000-000071140000}"/>
    <cellStyle name="Normal 4 2 2 4 2 5" xfId="2494" xr:uid="{00000000-0005-0000-0000-000072140000}"/>
    <cellStyle name="Normal 4 2 2 4 2 5 2" xfId="4723" xr:uid="{00000000-0005-0000-0000-000073140000}"/>
    <cellStyle name="Normal 4 2 2 4 2 5 2 2" xfId="8941" xr:uid="{00000000-0005-0000-0000-000074140000}"/>
    <cellStyle name="Normal 4 2 2 4 2 5 3" xfId="6796" xr:uid="{00000000-0005-0000-0000-000075140000}"/>
    <cellStyle name="Normal 4 2 2 4 2 6" xfId="2907" xr:uid="{00000000-0005-0000-0000-000076140000}"/>
    <cellStyle name="Normal 4 2 2 4 2 6 2" xfId="5136" xr:uid="{00000000-0005-0000-0000-000077140000}"/>
    <cellStyle name="Normal 4 2 2 4 2 6 2 2" xfId="9354" xr:uid="{00000000-0005-0000-0000-000078140000}"/>
    <cellStyle name="Normal 4 2 2 4 2 6 3" xfId="7209" xr:uid="{00000000-0005-0000-0000-000079140000}"/>
    <cellStyle name="Normal 4 2 2 4 2 7" xfId="3343" xr:uid="{00000000-0005-0000-0000-00007A140000}"/>
    <cellStyle name="Normal 4 2 2 4 2 7 2" xfId="7622" xr:uid="{00000000-0005-0000-0000-00007B140000}"/>
    <cellStyle name="Normal 4 2 2 4 2 8" xfId="5557" xr:uid="{00000000-0005-0000-0000-00007C140000}"/>
    <cellStyle name="Normal 4 2 2 4 2 9" xfId="1253" xr:uid="{00000000-0005-0000-0000-00007D140000}"/>
    <cellStyle name="Normal 4 2 2 4 3" xfId="353" xr:uid="{00000000-0005-0000-0000-00007E140000}"/>
    <cellStyle name="Normal 4 2 2 4 3 2" xfId="835" xr:uid="{00000000-0005-0000-0000-00007F140000}"/>
    <cellStyle name="Normal 4 2 2 4 3 2 2" xfId="3899" xr:uid="{00000000-0005-0000-0000-000080140000}"/>
    <cellStyle name="Normal 4 2 2 4 3 2 2 2" xfId="8117" xr:uid="{00000000-0005-0000-0000-000081140000}"/>
    <cellStyle name="Normal 4 2 2 4 3 2 3" xfId="5972" xr:uid="{00000000-0005-0000-0000-000082140000}"/>
    <cellStyle name="Normal 4 2 2 4 3 2 4" xfId="1670" xr:uid="{00000000-0005-0000-0000-000083140000}"/>
    <cellStyle name="Normal 4 2 2 4 3 3" xfId="2083" xr:uid="{00000000-0005-0000-0000-000084140000}"/>
    <cellStyle name="Normal 4 2 2 4 3 3 2" xfId="4312" xr:uid="{00000000-0005-0000-0000-000085140000}"/>
    <cellStyle name="Normal 4 2 2 4 3 3 2 2" xfId="8530" xr:uid="{00000000-0005-0000-0000-000086140000}"/>
    <cellStyle name="Normal 4 2 2 4 3 3 3" xfId="6385" xr:uid="{00000000-0005-0000-0000-000087140000}"/>
    <cellStyle name="Normal 4 2 2 4 3 4" xfId="2496" xr:uid="{00000000-0005-0000-0000-000088140000}"/>
    <cellStyle name="Normal 4 2 2 4 3 4 2" xfId="4725" xr:uid="{00000000-0005-0000-0000-000089140000}"/>
    <cellStyle name="Normal 4 2 2 4 3 4 2 2" xfId="8943" xr:uid="{00000000-0005-0000-0000-00008A140000}"/>
    <cellStyle name="Normal 4 2 2 4 3 4 3" xfId="6798" xr:uid="{00000000-0005-0000-0000-00008B140000}"/>
    <cellStyle name="Normal 4 2 2 4 3 5" xfId="2909" xr:uid="{00000000-0005-0000-0000-00008C140000}"/>
    <cellStyle name="Normal 4 2 2 4 3 5 2" xfId="5138" xr:uid="{00000000-0005-0000-0000-00008D140000}"/>
    <cellStyle name="Normal 4 2 2 4 3 5 2 2" xfId="9356" xr:uid="{00000000-0005-0000-0000-00008E140000}"/>
    <cellStyle name="Normal 4 2 2 4 3 5 3" xfId="7211" xr:uid="{00000000-0005-0000-0000-00008F140000}"/>
    <cellStyle name="Normal 4 2 2 4 3 6" xfId="3345" xr:uid="{00000000-0005-0000-0000-000090140000}"/>
    <cellStyle name="Normal 4 2 2 4 3 6 2" xfId="7624" xr:uid="{00000000-0005-0000-0000-000091140000}"/>
    <cellStyle name="Normal 4 2 2 4 3 7" xfId="5559" xr:uid="{00000000-0005-0000-0000-000092140000}"/>
    <cellStyle name="Normal 4 2 2 4 3 8" xfId="1255" xr:uid="{00000000-0005-0000-0000-000093140000}"/>
    <cellStyle name="Normal 4 2 2 4 4" xfId="832" xr:uid="{00000000-0005-0000-0000-000094140000}"/>
    <cellStyle name="Normal 4 2 2 4 4 2" xfId="3896" xr:uid="{00000000-0005-0000-0000-000095140000}"/>
    <cellStyle name="Normal 4 2 2 4 4 2 2" xfId="8114" xr:uid="{00000000-0005-0000-0000-000096140000}"/>
    <cellStyle name="Normal 4 2 2 4 4 3" xfId="5969" xr:uid="{00000000-0005-0000-0000-000097140000}"/>
    <cellStyle name="Normal 4 2 2 4 4 4" xfId="1667" xr:uid="{00000000-0005-0000-0000-000098140000}"/>
    <cellStyle name="Normal 4 2 2 4 5" xfId="2080" xr:uid="{00000000-0005-0000-0000-000099140000}"/>
    <cellStyle name="Normal 4 2 2 4 5 2" xfId="4309" xr:uid="{00000000-0005-0000-0000-00009A140000}"/>
    <cellStyle name="Normal 4 2 2 4 5 2 2" xfId="8527" xr:uid="{00000000-0005-0000-0000-00009B140000}"/>
    <cellStyle name="Normal 4 2 2 4 5 3" xfId="6382" xr:uid="{00000000-0005-0000-0000-00009C140000}"/>
    <cellStyle name="Normal 4 2 2 4 6" xfId="2493" xr:uid="{00000000-0005-0000-0000-00009D140000}"/>
    <cellStyle name="Normal 4 2 2 4 6 2" xfId="4722" xr:uid="{00000000-0005-0000-0000-00009E140000}"/>
    <cellStyle name="Normal 4 2 2 4 6 2 2" xfId="8940" xr:uid="{00000000-0005-0000-0000-00009F140000}"/>
    <cellStyle name="Normal 4 2 2 4 6 3" xfId="6795" xr:uid="{00000000-0005-0000-0000-0000A0140000}"/>
    <cellStyle name="Normal 4 2 2 4 7" xfId="2906" xr:uid="{00000000-0005-0000-0000-0000A1140000}"/>
    <cellStyle name="Normal 4 2 2 4 7 2" xfId="5135" xr:uid="{00000000-0005-0000-0000-0000A2140000}"/>
    <cellStyle name="Normal 4 2 2 4 7 2 2" xfId="9353" xr:uid="{00000000-0005-0000-0000-0000A3140000}"/>
    <cellStyle name="Normal 4 2 2 4 7 3" xfId="7208" xr:uid="{00000000-0005-0000-0000-0000A4140000}"/>
    <cellStyle name="Normal 4 2 2 4 8" xfId="3342" xr:uid="{00000000-0005-0000-0000-0000A5140000}"/>
    <cellStyle name="Normal 4 2 2 4 8 2" xfId="7621" xr:uid="{00000000-0005-0000-0000-0000A6140000}"/>
    <cellStyle name="Normal 4 2 2 4 9" xfId="5556" xr:uid="{00000000-0005-0000-0000-0000A7140000}"/>
    <cellStyle name="Normal 4 2 2 5" xfId="354" xr:uid="{00000000-0005-0000-0000-0000A8140000}"/>
    <cellStyle name="Normal 4 2 2 5 2" xfId="355" xr:uid="{00000000-0005-0000-0000-0000A9140000}"/>
    <cellStyle name="Normal 4 2 2 5 2 2" xfId="837" xr:uid="{00000000-0005-0000-0000-0000AA140000}"/>
    <cellStyle name="Normal 4 2 2 5 2 2 2" xfId="3901" xr:uid="{00000000-0005-0000-0000-0000AB140000}"/>
    <cellStyle name="Normal 4 2 2 5 2 2 2 2" xfId="8119" xr:uid="{00000000-0005-0000-0000-0000AC140000}"/>
    <cellStyle name="Normal 4 2 2 5 2 2 3" xfId="5974" xr:uid="{00000000-0005-0000-0000-0000AD140000}"/>
    <cellStyle name="Normal 4 2 2 5 2 2 4" xfId="1672" xr:uid="{00000000-0005-0000-0000-0000AE140000}"/>
    <cellStyle name="Normal 4 2 2 5 2 3" xfId="2085" xr:uid="{00000000-0005-0000-0000-0000AF140000}"/>
    <cellStyle name="Normal 4 2 2 5 2 3 2" xfId="4314" xr:uid="{00000000-0005-0000-0000-0000B0140000}"/>
    <cellStyle name="Normal 4 2 2 5 2 3 2 2" xfId="8532" xr:uid="{00000000-0005-0000-0000-0000B1140000}"/>
    <cellStyle name="Normal 4 2 2 5 2 3 3" xfId="6387" xr:uid="{00000000-0005-0000-0000-0000B2140000}"/>
    <cellStyle name="Normal 4 2 2 5 2 4" xfId="2498" xr:uid="{00000000-0005-0000-0000-0000B3140000}"/>
    <cellStyle name="Normal 4 2 2 5 2 4 2" xfId="4727" xr:uid="{00000000-0005-0000-0000-0000B4140000}"/>
    <cellStyle name="Normal 4 2 2 5 2 4 2 2" xfId="8945" xr:uid="{00000000-0005-0000-0000-0000B5140000}"/>
    <cellStyle name="Normal 4 2 2 5 2 4 3" xfId="6800" xr:uid="{00000000-0005-0000-0000-0000B6140000}"/>
    <cellStyle name="Normal 4 2 2 5 2 5" xfId="2911" xr:uid="{00000000-0005-0000-0000-0000B7140000}"/>
    <cellStyle name="Normal 4 2 2 5 2 5 2" xfId="5140" xr:uid="{00000000-0005-0000-0000-0000B8140000}"/>
    <cellStyle name="Normal 4 2 2 5 2 5 2 2" xfId="9358" xr:uid="{00000000-0005-0000-0000-0000B9140000}"/>
    <cellStyle name="Normal 4 2 2 5 2 5 3" xfId="7213" xr:uid="{00000000-0005-0000-0000-0000BA140000}"/>
    <cellStyle name="Normal 4 2 2 5 2 6" xfId="3347" xr:uid="{00000000-0005-0000-0000-0000BB140000}"/>
    <cellStyle name="Normal 4 2 2 5 2 6 2" xfId="7626" xr:uid="{00000000-0005-0000-0000-0000BC140000}"/>
    <cellStyle name="Normal 4 2 2 5 2 7" xfId="5561" xr:uid="{00000000-0005-0000-0000-0000BD140000}"/>
    <cellStyle name="Normal 4 2 2 5 2 8" xfId="1257" xr:uid="{00000000-0005-0000-0000-0000BE140000}"/>
    <cellStyle name="Normal 4 2 2 5 3" xfId="836" xr:uid="{00000000-0005-0000-0000-0000BF140000}"/>
    <cellStyle name="Normal 4 2 2 5 3 2" xfId="3900" xr:uid="{00000000-0005-0000-0000-0000C0140000}"/>
    <cellStyle name="Normal 4 2 2 5 3 2 2" xfId="8118" xr:uid="{00000000-0005-0000-0000-0000C1140000}"/>
    <cellStyle name="Normal 4 2 2 5 3 3" xfId="5973" xr:uid="{00000000-0005-0000-0000-0000C2140000}"/>
    <cellStyle name="Normal 4 2 2 5 3 4" xfId="1671" xr:uid="{00000000-0005-0000-0000-0000C3140000}"/>
    <cellStyle name="Normal 4 2 2 5 4" xfId="2084" xr:uid="{00000000-0005-0000-0000-0000C4140000}"/>
    <cellStyle name="Normal 4 2 2 5 4 2" xfId="4313" xr:uid="{00000000-0005-0000-0000-0000C5140000}"/>
    <cellStyle name="Normal 4 2 2 5 4 2 2" xfId="8531" xr:uid="{00000000-0005-0000-0000-0000C6140000}"/>
    <cellStyle name="Normal 4 2 2 5 4 3" xfId="6386" xr:uid="{00000000-0005-0000-0000-0000C7140000}"/>
    <cellStyle name="Normal 4 2 2 5 5" xfId="2497" xr:uid="{00000000-0005-0000-0000-0000C8140000}"/>
    <cellStyle name="Normal 4 2 2 5 5 2" xfId="4726" xr:uid="{00000000-0005-0000-0000-0000C9140000}"/>
    <cellStyle name="Normal 4 2 2 5 5 2 2" xfId="8944" xr:uid="{00000000-0005-0000-0000-0000CA140000}"/>
    <cellStyle name="Normal 4 2 2 5 5 3" xfId="6799" xr:uid="{00000000-0005-0000-0000-0000CB140000}"/>
    <cellStyle name="Normal 4 2 2 5 6" xfId="2910" xr:uid="{00000000-0005-0000-0000-0000CC140000}"/>
    <cellStyle name="Normal 4 2 2 5 6 2" xfId="5139" xr:uid="{00000000-0005-0000-0000-0000CD140000}"/>
    <cellStyle name="Normal 4 2 2 5 6 2 2" xfId="9357" xr:uid="{00000000-0005-0000-0000-0000CE140000}"/>
    <cellStyle name="Normal 4 2 2 5 6 3" xfId="7212" xr:uid="{00000000-0005-0000-0000-0000CF140000}"/>
    <cellStyle name="Normal 4 2 2 5 7" xfId="3346" xr:uid="{00000000-0005-0000-0000-0000D0140000}"/>
    <cellStyle name="Normal 4 2 2 5 7 2" xfId="7625" xr:uid="{00000000-0005-0000-0000-0000D1140000}"/>
    <cellStyle name="Normal 4 2 2 5 8" xfId="5560" xr:uid="{00000000-0005-0000-0000-0000D2140000}"/>
    <cellStyle name="Normal 4 2 2 5 9" xfId="1256" xr:uid="{00000000-0005-0000-0000-0000D3140000}"/>
    <cellStyle name="Normal 4 2 2 6" xfId="356" xr:uid="{00000000-0005-0000-0000-0000D4140000}"/>
    <cellStyle name="Normal 4 2 2 6 2" xfId="838" xr:uid="{00000000-0005-0000-0000-0000D5140000}"/>
    <cellStyle name="Normal 4 2 2 6 2 2" xfId="3902" xr:uid="{00000000-0005-0000-0000-0000D6140000}"/>
    <cellStyle name="Normal 4 2 2 6 2 2 2" xfId="8120" xr:uid="{00000000-0005-0000-0000-0000D7140000}"/>
    <cellStyle name="Normal 4 2 2 6 2 3" xfId="5975" xr:uid="{00000000-0005-0000-0000-0000D8140000}"/>
    <cellStyle name="Normal 4 2 2 6 2 4" xfId="1673" xr:uid="{00000000-0005-0000-0000-0000D9140000}"/>
    <cellStyle name="Normal 4 2 2 6 3" xfId="2086" xr:uid="{00000000-0005-0000-0000-0000DA140000}"/>
    <cellStyle name="Normal 4 2 2 6 3 2" xfId="4315" xr:uid="{00000000-0005-0000-0000-0000DB140000}"/>
    <cellStyle name="Normal 4 2 2 6 3 2 2" xfId="8533" xr:uid="{00000000-0005-0000-0000-0000DC140000}"/>
    <cellStyle name="Normal 4 2 2 6 3 3" xfId="6388" xr:uid="{00000000-0005-0000-0000-0000DD140000}"/>
    <cellStyle name="Normal 4 2 2 6 4" xfId="2499" xr:uid="{00000000-0005-0000-0000-0000DE140000}"/>
    <cellStyle name="Normal 4 2 2 6 4 2" xfId="4728" xr:uid="{00000000-0005-0000-0000-0000DF140000}"/>
    <cellStyle name="Normal 4 2 2 6 4 2 2" xfId="8946" xr:uid="{00000000-0005-0000-0000-0000E0140000}"/>
    <cellStyle name="Normal 4 2 2 6 4 3" xfId="6801" xr:uid="{00000000-0005-0000-0000-0000E1140000}"/>
    <cellStyle name="Normal 4 2 2 6 5" xfId="2912" xr:uid="{00000000-0005-0000-0000-0000E2140000}"/>
    <cellStyle name="Normal 4 2 2 6 5 2" xfId="5141" xr:uid="{00000000-0005-0000-0000-0000E3140000}"/>
    <cellStyle name="Normal 4 2 2 6 5 2 2" xfId="9359" xr:uid="{00000000-0005-0000-0000-0000E4140000}"/>
    <cellStyle name="Normal 4 2 2 6 5 3" xfId="7214" xr:uid="{00000000-0005-0000-0000-0000E5140000}"/>
    <cellStyle name="Normal 4 2 2 6 6" xfId="3348" xr:uid="{00000000-0005-0000-0000-0000E6140000}"/>
    <cellStyle name="Normal 4 2 2 6 6 2" xfId="7627" xr:uid="{00000000-0005-0000-0000-0000E7140000}"/>
    <cellStyle name="Normal 4 2 2 6 7" xfId="5562" xr:uid="{00000000-0005-0000-0000-0000E8140000}"/>
    <cellStyle name="Normal 4 2 2 6 8" xfId="1258" xr:uid="{00000000-0005-0000-0000-0000E9140000}"/>
    <cellStyle name="Normal 4 2 2 7" xfId="823" xr:uid="{00000000-0005-0000-0000-0000EA140000}"/>
    <cellStyle name="Normal 4 2 2 7 2" xfId="3887" xr:uid="{00000000-0005-0000-0000-0000EB140000}"/>
    <cellStyle name="Normal 4 2 2 7 2 2" xfId="8105" xr:uid="{00000000-0005-0000-0000-0000EC140000}"/>
    <cellStyle name="Normal 4 2 2 7 3" xfId="5960" xr:uid="{00000000-0005-0000-0000-0000ED140000}"/>
    <cellStyle name="Normal 4 2 2 7 4" xfId="1658" xr:uid="{00000000-0005-0000-0000-0000EE140000}"/>
    <cellStyle name="Normal 4 2 2 8" xfId="2071" xr:uid="{00000000-0005-0000-0000-0000EF140000}"/>
    <cellStyle name="Normal 4 2 2 8 2" xfId="4300" xr:uid="{00000000-0005-0000-0000-0000F0140000}"/>
    <cellStyle name="Normal 4 2 2 8 2 2" xfId="8518" xr:uid="{00000000-0005-0000-0000-0000F1140000}"/>
    <cellStyle name="Normal 4 2 2 8 3" xfId="6373" xr:uid="{00000000-0005-0000-0000-0000F2140000}"/>
    <cellStyle name="Normal 4 2 2 9" xfId="2484" xr:uid="{00000000-0005-0000-0000-0000F3140000}"/>
    <cellStyle name="Normal 4 2 2 9 2" xfId="4713" xr:uid="{00000000-0005-0000-0000-0000F4140000}"/>
    <cellStyle name="Normal 4 2 2 9 2 2" xfId="8931" xr:uid="{00000000-0005-0000-0000-0000F5140000}"/>
    <cellStyle name="Normal 4 2 2 9 3" xfId="6786" xr:uid="{00000000-0005-0000-0000-0000F6140000}"/>
    <cellStyle name="Normal 4 2 3" xfId="357" xr:uid="{00000000-0005-0000-0000-0000F7140000}"/>
    <cellStyle name="Normal 4 2 4" xfId="358" xr:uid="{00000000-0005-0000-0000-0000F8140000}"/>
    <cellStyle name="Normal 4 2 4 10" xfId="5563" xr:uid="{00000000-0005-0000-0000-0000F9140000}"/>
    <cellStyle name="Normal 4 2 4 11" xfId="1259" xr:uid="{00000000-0005-0000-0000-0000FA140000}"/>
    <cellStyle name="Normal 4 2 4 2" xfId="359" xr:uid="{00000000-0005-0000-0000-0000FB140000}"/>
    <cellStyle name="Normal 4 2 4 2 10" xfId="1260" xr:uid="{00000000-0005-0000-0000-0000FC140000}"/>
    <cellStyle name="Normal 4 2 4 2 2" xfId="360" xr:uid="{00000000-0005-0000-0000-0000FD140000}"/>
    <cellStyle name="Normal 4 2 4 2 2 2" xfId="361" xr:uid="{00000000-0005-0000-0000-0000FE140000}"/>
    <cellStyle name="Normal 4 2 4 2 2 2 2" xfId="842" xr:uid="{00000000-0005-0000-0000-0000FF140000}"/>
    <cellStyle name="Normal 4 2 4 2 2 2 2 2" xfId="3906" xr:uid="{00000000-0005-0000-0000-000000150000}"/>
    <cellStyle name="Normal 4 2 4 2 2 2 2 2 2" xfId="8124" xr:uid="{00000000-0005-0000-0000-000001150000}"/>
    <cellStyle name="Normal 4 2 4 2 2 2 2 3" xfId="5979" xr:uid="{00000000-0005-0000-0000-000002150000}"/>
    <cellStyle name="Normal 4 2 4 2 2 2 2 4" xfId="1677" xr:uid="{00000000-0005-0000-0000-000003150000}"/>
    <cellStyle name="Normal 4 2 4 2 2 2 3" xfId="2090" xr:uid="{00000000-0005-0000-0000-000004150000}"/>
    <cellStyle name="Normal 4 2 4 2 2 2 3 2" xfId="4319" xr:uid="{00000000-0005-0000-0000-000005150000}"/>
    <cellStyle name="Normal 4 2 4 2 2 2 3 2 2" xfId="8537" xr:uid="{00000000-0005-0000-0000-000006150000}"/>
    <cellStyle name="Normal 4 2 4 2 2 2 3 3" xfId="6392" xr:uid="{00000000-0005-0000-0000-000007150000}"/>
    <cellStyle name="Normal 4 2 4 2 2 2 4" xfId="2503" xr:uid="{00000000-0005-0000-0000-000008150000}"/>
    <cellStyle name="Normal 4 2 4 2 2 2 4 2" xfId="4732" xr:uid="{00000000-0005-0000-0000-000009150000}"/>
    <cellStyle name="Normal 4 2 4 2 2 2 4 2 2" xfId="8950" xr:uid="{00000000-0005-0000-0000-00000A150000}"/>
    <cellStyle name="Normal 4 2 4 2 2 2 4 3" xfId="6805" xr:uid="{00000000-0005-0000-0000-00000B150000}"/>
    <cellStyle name="Normal 4 2 4 2 2 2 5" xfId="2916" xr:uid="{00000000-0005-0000-0000-00000C150000}"/>
    <cellStyle name="Normal 4 2 4 2 2 2 5 2" xfId="5145" xr:uid="{00000000-0005-0000-0000-00000D150000}"/>
    <cellStyle name="Normal 4 2 4 2 2 2 5 2 2" xfId="9363" xr:uid="{00000000-0005-0000-0000-00000E150000}"/>
    <cellStyle name="Normal 4 2 4 2 2 2 5 3" xfId="7218" xr:uid="{00000000-0005-0000-0000-00000F150000}"/>
    <cellStyle name="Normal 4 2 4 2 2 2 6" xfId="3352" xr:uid="{00000000-0005-0000-0000-000010150000}"/>
    <cellStyle name="Normal 4 2 4 2 2 2 6 2" xfId="7631" xr:uid="{00000000-0005-0000-0000-000011150000}"/>
    <cellStyle name="Normal 4 2 4 2 2 2 7" xfId="5566" xr:uid="{00000000-0005-0000-0000-000012150000}"/>
    <cellStyle name="Normal 4 2 4 2 2 2 8" xfId="1262" xr:uid="{00000000-0005-0000-0000-000013150000}"/>
    <cellStyle name="Normal 4 2 4 2 2 3" xfId="841" xr:uid="{00000000-0005-0000-0000-000014150000}"/>
    <cellStyle name="Normal 4 2 4 2 2 3 2" xfId="3905" xr:uid="{00000000-0005-0000-0000-000015150000}"/>
    <cellStyle name="Normal 4 2 4 2 2 3 2 2" xfId="8123" xr:uid="{00000000-0005-0000-0000-000016150000}"/>
    <cellStyle name="Normal 4 2 4 2 2 3 3" xfId="5978" xr:uid="{00000000-0005-0000-0000-000017150000}"/>
    <cellStyle name="Normal 4 2 4 2 2 3 4" xfId="1676" xr:uid="{00000000-0005-0000-0000-000018150000}"/>
    <cellStyle name="Normal 4 2 4 2 2 4" xfId="2089" xr:uid="{00000000-0005-0000-0000-000019150000}"/>
    <cellStyle name="Normal 4 2 4 2 2 4 2" xfId="4318" xr:uid="{00000000-0005-0000-0000-00001A150000}"/>
    <cellStyle name="Normal 4 2 4 2 2 4 2 2" xfId="8536" xr:uid="{00000000-0005-0000-0000-00001B150000}"/>
    <cellStyle name="Normal 4 2 4 2 2 4 3" xfId="6391" xr:uid="{00000000-0005-0000-0000-00001C150000}"/>
    <cellStyle name="Normal 4 2 4 2 2 5" xfId="2502" xr:uid="{00000000-0005-0000-0000-00001D150000}"/>
    <cellStyle name="Normal 4 2 4 2 2 5 2" xfId="4731" xr:uid="{00000000-0005-0000-0000-00001E150000}"/>
    <cellStyle name="Normal 4 2 4 2 2 5 2 2" xfId="8949" xr:uid="{00000000-0005-0000-0000-00001F150000}"/>
    <cellStyle name="Normal 4 2 4 2 2 5 3" xfId="6804" xr:uid="{00000000-0005-0000-0000-000020150000}"/>
    <cellStyle name="Normal 4 2 4 2 2 6" xfId="2915" xr:uid="{00000000-0005-0000-0000-000021150000}"/>
    <cellStyle name="Normal 4 2 4 2 2 6 2" xfId="5144" xr:uid="{00000000-0005-0000-0000-000022150000}"/>
    <cellStyle name="Normal 4 2 4 2 2 6 2 2" xfId="9362" xr:uid="{00000000-0005-0000-0000-000023150000}"/>
    <cellStyle name="Normal 4 2 4 2 2 6 3" xfId="7217" xr:uid="{00000000-0005-0000-0000-000024150000}"/>
    <cellStyle name="Normal 4 2 4 2 2 7" xfId="3351" xr:uid="{00000000-0005-0000-0000-000025150000}"/>
    <cellStyle name="Normal 4 2 4 2 2 7 2" xfId="7630" xr:uid="{00000000-0005-0000-0000-000026150000}"/>
    <cellStyle name="Normal 4 2 4 2 2 8" xfId="5565" xr:uid="{00000000-0005-0000-0000-000027150000}"/>
    <cellStyle name="Normal 4 2 4 2 2 9" xfId="1261" xr:uid="{00000000-0005-0000-0000-000028150000}"/>
    <cellStyle name="Normal 4 2 4 2 3" xfId="362" xr:uid="{00000000-0005-0000-0000-000029150000}"/>
    <cellStyle name="Normal 4 2 4 2 3 2" xfId="843" xr:uid="{00000000-0005-0000-0000-00002A150000}"/>
    <cellStyle name="Normal 4 2 4 2 3 2 2" xfId="3907" xr:uid="{00000000-0005-0000-0000-00002B150000}"/>
    <cellStyle name="Normal 4 2 4 2 3 2 2 2" xfId="8125" xr:uid="{00000000-0005-0000-0000-00002C150000}"/>
    <cellStyle name="Normal 4 2 4 2 3 2 3" xfId="5980" xr:uid="{00000000-0005-0000-0000-00002D150000}"/>
    <cellStyle name="Normal 4 2 4 2 3 2 4" xfId="1678" xr:uid="{00000000-0005-0000-0000-00002E150000}"/>
    <cellStyle name="Normal 4 2 4 2 3 3" xfId="2091" xr:uid="{00000000-0005-0000-0000-00002F150000}"/>
    <cellStyle name="Normal 4 2 4 2 3 3 2" xfId="4320" xr:uid="{00000000-0005-0000-0000-000030150000}"/>
    <cellStyle name="Normal 4 2 4 2 3 3 2 2" xfId="8538" xr:uid="{00000000-0005-0000-0000-000031150000}"/>
    <cellStyle name="Normal 4 2 4 2 3 3 3" xfId="6393" xr:uid="{00000000-0005-0000-0000-000032150000}"/>
    <cellStyle name="Normal 4 2 4 2 3 4" xfId="2504" xr:uid="{00000000-0005-0000-0000-000033150000}"/>
    <cellStyle name="Normal 4 2 4 2 3 4 2" xfId="4733" xr:uid="{00000000-0005-0000-0000-000034150000}"/>
    <cellStyle name="Normal 4 2 4 2 3 4 2 2" xfId="8951" xr:uid="{00000000-0005-0000-0000-000035150000}"/>
    <cellStyle name="Normal 4 2 4 2 3 4 3" xfId="6806" xr:uid="{00000000-0005-0000-0000-000036150000}"/>
    <cellStyle name="Normal 4 2 4 2 3 5" xfId="2917" xr:uid="{00000000-0005-0000-0000-000037150000}"/>
    <cellStyle name="Normal 4 2 4 2 3 5 2" xfId="5146" xr:uid="{00000000-0005-0000-0000-000038150000}"/>
    <cellStyle name="Normal 4 2 4 2 3 5 2 2" xfId="9364" xr:uid="{00000000-0005-0000-0000-000039150000}"/>
    <cellStyle name="Normal 4 2 4 2 3 5 3" xfId="7219" xr:uid="{00000000-0005-0000-0000-00003A150000}"/>
    <cellStyle name="Normal 4 2 4 2 3 6" xfId="3353" xr:uid="{00000000-0005-0000-0000-00003B150000}"/>
    <cellStyle name="Normal 4 2 4 2 3 6 2" xfId="7632" xr:uid="{00000000-0005-0000-0000-00003C150000}"/>
    <cellStyle name="Normal 4 2 4 2 3 7" xfId="5567" xr:uid="{00000000-0005-0000-0000-00003D150000}"/>
    <cellStyle name="Normal 4 2 4 2 3 8" xfId="1263" xr:uid="{00000000-0005-0000-0000-00003E150000}"/>
    <cellStyle name="Normal 4 2 4 2 4" xfId="840" xr:uid="{00000000-0005-0000-0000-00003F150000}"/>
    <cellStyle name="Normal 4 2 4 2 4 2" xfId="3904" xr:uid="{00000000-0005-0000-0000-000040150000}"/>
    <cellStyle name="Normal 4 2 4 2 4 2 2" xfId="8122" xr:uid="{00000000-0005-0000-0000-000041150000}"/>
    <cellStyle name="Normal 4 2 4 2 4 3" xfId="5977" xr:uid="{00000000-0005-0000-0000-000042150000}"/>
    <cellStyle name="Normal 4 2 4 2 4 4" xfId="1675" xr:uid="{00000000-0005-0000-0000-000043150000}"/>
    <cellStyle name="Normal 4 2 4 2 5" xfId="2088" xr:uid="{00000000-0005-0000-0000-000044150000}"/>
    <cellStyle name="Normal 4 2 4 2 5 2" xfId="4317" xr:uid="{00000000-0005-0000-0000-000045150000}"/>
    <cellStyle name="Normal 4 2 4 2 5 2 2" xfId="8535" xr:uid="{00000000-0005-0000-0000-000046150000}"/>
    <cellStyle name="Normal 4 2 4 2 5 3" xfId="6390" xr:uid="{00000000-0005-0000-0000-000047150000}"/>
    <cellStyle name="Normal 4 2 4 2 6" xfId="2501" xr:uid="{00000000-0005-0000-0000-000048150000}"/>
    <cellStyle name="Normal 4 2 4 2 6 2" xfId="4730" xr:uid="{00000000-0005-0000-0000-000049150000}"/>
    <cellStyle name="Normal 4 2 4 2 6 2 2" xfId="8948" xr:uid="{00000000-0005-0000-0000-00004A150000}"/>
    <cellStyle name="Normal 4 2 4 2 6 3" xfId="6803" xr:uid="{00000000-0005-0000-0000-00004B150000}"/>
    <cellStyle name="Normal 4 2 4 2 7" xfId="2914" xr:uid="{00000000-0005-0000-0000-00004C150000}"/>
    <cellStyle name="Normal 4 2 4 2 7 2" xfId="5143" xr:uid="{00000000-0005-0000-0000-00004D150000}"/>
    <cellStyle name="Normal 4 2 4 2 7 2 2" xfId="9361" xr:uid="{00000000-0005-0000-0000-00004E150000}"/>
    <cellStyle name="Normal 4 2 4 2 7 3" xfId="7216" xr:uid="{00000000-0005-0000-0000-00004F150000}"/>
    <cellStyle name="Normal 4 2 4 2 8" xfId="3350" xr:uid="{00000000-0005-0000-0000-000050150000}"/>
    <cellStyle name="Normal 4 2 4 2 8 2" xfId="7629" xr:uid="{00000000-0005-0000-0000-000051150000}"/>
    <cellStyle name="Normal 4 2 4 2 9" xfId="5564" xr:uid="{00000000-0005-0000-0000-000052150000}"/>
    <cellStyle name="Normal 4 2 4 3" xfId="363" xr:uid="{00000000-0005-0000-0000-000053150000}"/>
    <cellStyle name="Normal 4 2 4 3 2" xfId="364" xr:uid="{00000000-0005-0000-0000-000054150000}"/>
    <cellStyle name="Normal 4 2 4 3 2 2" xfId="845" xr:uid="{00000000-0005-0000-0000-000055150000}"/>
    <cellStyle name="Normal 4 2 4 3 2 2 2" xfId="3909" xr:uid="{00000000-0005-0000-0000-000056150000}"/>
    <cellStyle name="Normal 4 2 4 3 2 2 2 2" xfId="8127" xr:uid="{00000000-0005-0000-0000-000057150000}"/>
    <cellStyle name="Normal 4 2 4 3 2 2 3" xfId="5982" xr:uid="{00000000-0005-0000-0000-000058150000}"/>
    <cellStyle name="Normal 4 2 4 3 2 2 4" xfId="1680" xr:uid="{00000000-0005-0000-0000-000059150000}"/>
    <cellStyle name="Normal 4 2 4 3 2 3" xfId="2093" xr:uid="{00000000-0005-0000-0000-00005A150000}"/>
    <cellStyle name="Normal 4 2 4 3 2 3 2" xfId="4322" xr:uid="{00000000-0005-0000-0000-00005B150000}"/>
    <cellStyle name="Normal 4 2 4 3 2 3 2 2" xfId="8540" xr:uid="{00000000-0005-0000-0000-00005C150000}"/>
    <cellStyle name="Normal 4 2 4 3 2 3 3" xfId="6395" xr:uid="{00000000-0005-0000-0000-00005D150000}"/>
    <cellStyle name="Normal 4 2 4 3 2 4" xfId="2506" xr:uid="{00000000-0005-0000-0000-00005E150000}"/>
    <cellStyle name="Normal 4 2 4 3 2 4 2" xfId="4735" xr:uid="{00000000-0005-0000-0000-00005F150000}"/>
    <cellStyle name="Normal 4 2 4 3 2 4 2 2" xfId="8953" xr:uid="{00000000-0005-0000-0000-000060150000}"/>
    <cellStyle name="Normal 4 2 4 3 2 4 3" xfId="6808" xr:uid="{00000000-0005-0000-0000-000061150000}"/>
    <cellStyle name="Normal 4 2 4 3 2 5" xfId="2919" xr:uid="{00000000-0005-0000-0000-000062150000}"/>
    <cellStyle name="Normal 4 2 4 3 2 5 2" xfId="5148" xr:uid="{00000000-0005-0000-0000-000063150000}"/>
    <cellStyle name="Normal 4 2 4 3 2 5 2 2" xfId="9366" xr:uid="{00000000-0005-0000-0000-000064150000}"/>
    <cellStyle name="Normal 4 2 4 3 2 5 3" xfId="7221" xr:uid="{00000000-0005-0000-0000-000065150000}"/>
    <cellStyle name="Normal 4 2 4 3 2 6" xfId="3355" xr:uid="{00000000-0005-0000-0000-000066150000}"/>
    <cellStyle name="Normal 4 2 4 3 2 6 2" xfId="7634" xr:uid="{00000000-0005-0000-0000-000067150000}"/>
    <cellStyle name="Normal 4 2 4 3 2 7" xfId="5569" xr:uid="{00000000-0005-0000-0000-000068150000}"/>
    <cellStyle name="Normal 4 2 4 3 2 8" xfId="1265" xr:uid="{00000000-0005-0000-0000-000069150000}"/>
    <cellStyle name="Normal 4 2 4 3 3" xfId="844" xr:uid="{00000000-0005-0000-0000-00006A150000}"/>
    <cellStyle name="Normal 4 2 4 3 3 2" xfId="3908" xr:uid="{00000000-0005-0000-0000-00006B150000}"/>
    <cellStyle name="Normal 4 2 4 3 3 2 2" xfId="8126" xr:uid="{00000000-0005-0000-0000-00006C150000}"/>
    <cellStyle name="Normal 4 2 4 3 3 3" xfId="5981" xr:uid="{00000000-0005-0000-0000-00006D150000}"/>
    <cellStyle name="Normal 4 2 4 3 3 4" xfId="1679" xr:uid="{00000000-0005-0000-0000-00006E150000}"/>
    <cellStyle name="Normal 4 2 4 3 4" xfId="2092" xr:uid="{00000000-0005-0000-0000-00006F150000}"/>
    <cellStyle name="Normal 4 2 4 3 4 2" xfId="4321" xr:uid="{00000000-0005-0000-0000-000070150000}"/>
    <cellStyle name="Normal 4 2 4 3 4 2 2" xfId="8539" xr:uid="{00000000-0005-0000-0000-000071150000}"/>
    <cellStyle name="Normal 4 2 4 3 4 3" xfId="6394" xr:uid="{00000000-0005-0000-0000-000072150000}"/>
    <cellStyle name="Normal 4 2 4 3 5" xfId="2505" xr:uid="{00000000-0005-0000-0000-000073150000}"/>
    <cellStyle name="Normal 4 2 4 3 5 2" xfId="4734" xr:uid="{00000000-0005-0000-0000-000074150000}"/>
    <cellStyle name="Normal 4 2 4 3 5 2 2" xfId="8952" xr:uid="{00000000-0005-0000-0000-000075150000}"/>
    <cellStyle name="Normal 4 2 4 3 5 3" xfId="6807" xr:uid="{00000000-0005-0000-0000-000076150000}"/>
    <cellStyle name="Normal 4 2 4 3 6" xfId="2918" xr:uid="{00000000-0005-0000-0000-000077150000}"/>
    <cellStyle name="Normal 4 2 4 3 6 2" xfId="5147" xr:uid="{00000000-0005-0000-0000-000078150000}"/>
    <cellStyle name="Normal 4 2 4 3 6 2 2" xfId="9365" xr:uid="{00000000-0005-0000-0000-000079150000}"/>
    <cellStyle name="Normal 4 2 4 3 6 3" xfId="7220" xr:uid="{00000000-0005-0000-0000-00007A150000}"/>
    <cellStyle name="Normal 4 2 4 3 7" xfId="3354" xr:uid="{00000000-0005-0000-0000-00007B150000}"/>
    <cellStyle name="Normal 4 2 4 3 7 2" xfId="7633" xr:uid="{00000000-0005-0000-0000-00007C150000}"/>
    <cellStyle name="Normal 4 2 4 3 8" xfId="5568" xr:uid="{00000000-0005-0000-0000-00007D150000}"/>
    <cellStyle name="Normal 4 2 4 3 9" xfId="1264" xr:uid="{00000000-0005-0000-0000-00007E150000}"/>
    <cellStyle name="Normal 4 2 4 4" xfId="365" xr:uid="{00000000-0005-0000-0000-00007F150000}"/>
    <cellStyle name="Normal 4 2 4 4 2" xfId="846" xr:uid="{00000000-0005-0000-0000-000080150000}"/>
    <cellStyle name="Normal 4 2 4 4 2 2" xfId="3910" xr:uid="{00000000-0005-0000-0000-000081150000}"/>
    <cellStyle name="Normal 4 2 4 4 2 2 2" xfId="8128" xr:uid="{00000000-0005-0000-0000-000082150000}"/>
    <cellStyle name="Normal 4 2 4 4 2 3" xfId="5983" xr:uid="{00000000-0005-0000-0000-000083150000}"/>
    <cellStyle name="Normal 4 2 4 4 2 4" xfId="1681" xr:uid="{00000000-0005-0000-0000-000084150000}"/>
    <cellStyle name="Normal 4 2 4 4 3" xfId="2094" xr:uid="{00000000-0005-0000-0000-000085150000}"/>
    <cellStyle name="Normal 4 2 4 4 3 2" xfId="4323" xr:uid="{00000000-0005-0000-0000-000086150000}"/>
    <cellStyle name="Normal 4 2 4 4 3 2 2" xfId="8541" xr:uid="{00000000-0005-0000-0000-000087150000}"/>
    <cellStyle name="Normal 4 2 4 4 3 3" xfId="6396" xr:uid="{00000000-0005-0000-0000-000088150000}"/>
    <cellStyle name="Normal 4 2 4 4 4" xfId="2507" xr:uid="{00000000-0005-0000-0000-000089150000}"/>
    <cellStyle name="Normal 4 2 4 4 4 2" xfId="4736" xr:uid="{00000000-0005-0000-0000-00008A150000}"/>
    <cellStyle name="Normal 4 2 4 4 4 2 2" xfId="8954" xr:uid="{00000000-0005-0000-0000-00008B150000}"/>
    <cellStyle name="Normal 4 2 4 4 4 3" xfId="6809" xr:uid="{00000000-0005-0000-0000-00008C150000}"/>
    <cellStyle name="Normal 4 2 4 4 5" xfId="2920" xr:uid="{00000000-0005-0000-0000-00008D150000}"/>
    <cellStyle name="Normal 4 2 4 4 5 2" xfId="5149" xr:uid="{00000000-0005-0000-0000-00008E150000}"/>
    <cellStyle name="Normal 4 2 4 4 5 2 2" xfId="9367" xr:uid="{00000000-0005-0000-0000-00008F150000}"/>
    <cellStyle name="Normal 4 2 4 4 5 3" xfId="7222" xr:uid="{00000000-0005-0000-0000-000090150000}"/>
    <cellStyle name="Normal 4 2 4 4 6" xfId="3356" xr:uid="{00000000-0005-0000-0000-000091150000}"/>
    <cellStyle name="Normal 4 2 4 4 6 2" xfId="7635" xr:uid="{00000000-0005-0000-0000-000092150000}"/>
    <cellStyle name="Normal 4 2 4 4 7" xfId="5570" xr:uid="{00000000-0005-0000-0000-000093150000}"/>
    <cellStyle name="Normal 4 2 4 4 8" xfId="1266" xr:uid="{00000000-0005-0000-0000-000094150000}"/>
    <cellStyle name="Normal 4 2 4 5" xfId="839" xr:uid="{00000000-0005-0000-0000-000095150000}"/>
    <cellStyle name="Normal 4 2 4 5 2" xfId="3903" xr:uid="{00000000-0005-0000-0000-000096150000}"/>
    <cellStyle name="Normal 4 2 4 5 2 2" xfId="8121" xr:uid="{00000000-0005-0000-0000-000097150000}"/>
    <cellStyle name="Normal 4 2 4 5 3" xfId="5976" xr:uid="{00000000-0005-0000-0000-000098150000}"/>
    <cellStyle name="Normal 4 2 4 5 4" xfId="1674" xr:uid="{00000000-0005-0000-0000-000099150000}"/>
    <cellStyle name="Normal 4 2 4 6" xfId="2087" xr:uid="{00000000-0005-0000-0000-00009A150000}"/>
    <cellStyle name="Normal 4 2 4 6 2" xfId="4316" xr:uid="{00000000-0005-0000-0000-00009B150000}"/>
    <cellStyle name="Normal 4 2 4 6 2 2" xfId="8534" xr:uid="{00000000-0005-0000-0000-00009C150000}"/>
    <cellStyle name="Normal 4 2 4 6 3" xfId="6389" xr:uid="{00000000-0005-0000-0000-00009D150000}"/>
    <cellStyle name="Normal 4 2 4 7" xfId="2500" xr:uid="{00000000-0005-0000-0000-00009E150000}"/>
    <cellStyle name="Normal 4 2 4 7 2" xfId="4729" xr:uid="{00000000-0005-0000-0000-00009F150000}"/>
    <cellStyle name="Normal 4 2 4 7 2 2" xfId="8947" xr:uid="{00000000-0005-0000-0000-0000A0150000}"/>
    <cellStyle name="Normal 4 2 4 7 3" xfId="6802" xr:uid="{00000000-0005-0000-0000-0000A1150000}"/>
    <cellStyle name="Normal 4 2 4 8" xfId="2913" xr:uid="{00000000-0005-0000-0000-0000A2150000}"/>
    <cellStyle name="Normal 4 2 4 8 2" xfId="5142" xr:uid="{00000000-0005-0000-0000-0000A3150000}"/>
    <cellStyle name="Normal 4 2 4 8 2 2" xfId="9360" xr:uid="{00000000-0005-0000-0000-0000A4150000}"/>
    <cellStyle name="Normal 4 2 4 8 3" xfId="7215" xr:uid="{00000000-0005-0000-0000-0000A5150000}"/>
    <cellStyle name="Normal 4 2 4 9" xfId="3349" xr:uid="{00000000-0005-0000-0000-0000A6150000}"/>
    <cellStyle name="Normal 4 2 4 9 2" xfId="7628" xr:uid="{00000000-0005-0000-0000-0000A7150000}"/>
    <cellStyle name="Normal 4 2 5" xfId="366" xr:uid="{00000000-0005-0000-0000-0000A8150000}"/>
    <cellStyle name="Normal 4 2 5 2" xfId="367" xr:uid="{00000000-0005-0000-0000-0000A9150000}"/>
    <cellStyle name="Normal 4 2 5 2 2" xfId="848" xr:uid="{00000000-0005-0000-0000-0000AA150000}"/>
    <cellStyle name="Normal 4 2 5 2 2 2" xfId="3912" xr:uid="{00000000-0005-0000-0000-0000AB150000}"/>
    <cellStyle name="Normal 4 2 5 2 2 2 2" xfId="8130" xr:uid="{00000000-0005-0000-0000-0000AC150000}"/>
    <cellStyle name="Normal 4 2 5 2 2 3" xfId="5985" xr:uid="{00000000-0005-0000-0000-0000AD150000}"/>
    <cellStyle name="Normal 4 2 5 2 2 4" xfId="1683" xr:uid="{00000000-0005-0000-0000-0000AE150000}"/>
    <cellStyle name="Normal 4 2 5 2 3" xfId="2096" xr:uid="{00000000-0005-0000-0000-0000AF150000}"/>
    <cellStyle name="Normal 4 2 5 2 3 2" xfId="4325" xr:uid="{00000000-0005-0000-0000-0000B0150000}"/>
    <cellStyle name="Normal 4 2 5 2 3 2 2" xfId="8543" xr:uid="{00000000-0005-0000-0000-0000B1150000}"/>
    <cellStyle name="Normal 4 2 5 2 3 3" xfId="6398" xr:uid="{00000000-0005-0000-0000-0000B2150000}"/>
    <cellStyle name="Normal 4 2 5 2 4" xfId="2509" xr:uid="{00000000-0005-0000-0000-0000B3150000}"/>
    <cellStyle name="Normal 4 2 5 2 4 2" xfId="4738" xr:uid="{00000000-0005-0000-0000-0000B4150000}"/>
    <cellStyle name="Normal 4 2 5 2 4 2 2" xfId="8956" xr:uid="{00000000-0005-0000-0000-0000B5150000}"/>
    <cellStyle name="Normal 4 2 5 2 4 3" xfId="6811" xr:uid="{00000000-0005-0000-0000-0000B6150000}"/>
    <cellStyle name="Normal 4 2 5 2 5" xfId="2922" xr:uid="{00000000-0005-0000-0000-0000B7150000}"/>
    <cellStyle name="Normal 4 2 5 2 5 2" xfId="5151" xr:uid="{00000000-0005-0000-0000-0000B8150000}"/>
    <cellStyle name="Normal 4 2 5 2 5 2 2" xfId="9369" xr:uid="{00000000-0005-0000-0000-0000B9150000}"/>
    <cellStyle name="Normal 4 2 5 2 5 3" xfId="7224" xr:uid="{00000000-0005-0000-0000-0000BA150000}"/>
    <cellStyle name="Normal 4 2 5 2 6" xfId="3358" xr:uid="{00000000-0005-0000-0000-0000BB150000}"/>
    <cellStyle name="Normal 4 2 5 2 6 2" xfId="7637" xr:uid="{00000000-0005-0000-0000-0000BC150000}"/>
    <cellStyle name="Normal 4 2 5 2 7" xfId="5572" xr:uid="{00000000-0005-0000-0000-0000BD150000}"/>
    <cellStyle name="Normal 4 2 5 2 8" xfId="1268" xr:uid="{00000000-0005-0000-0000-0000BE150000}"/>
    <cellStyle name="Normal 4 2 5 3" xfId="847" xr:uid="{00000000-0005-0000-0000-0000BF150000}"/>
    <cellStyle name="Normal 4 2 5 3 2" xfId="3911" xr:uid="{00000000-0005-0000-0000-0000C0150000}"/>
    <cellStyle name="Normal 4 2 5 3 2 2" xfId="8129" xr:uid="{00000000-0005-0000-0000-0000C1150000}"/>
    <cellStyle name="Normal 4 2 5 3 3" xfId="5984" xr:uid="{00000000-0005-0000-0000-0000C2150000}"/>
    <cellStyle name="Normal 4 2 5 3 4" xfId="1682" xr:uid="{00000000-0005-0000-0000-0000C3150000}"/>
    <cellStyle name="Normal 4 2 5 4" xfId="2095" xr:uid="{00000000-0005-0000-0000-0000C4150000}"/>
    <cellStyle name="Normal 4 2 5 4 2" xfId="4324" xr:uid="{00000000-0005-0000-0000-0000C5150000}"/>
    <cellStyle name="Normal 4 2 5 4 2 2" xfId="8542" xr:uid="{00000000-0005-0000-0000-0000C6150000}"/>
    <cellStyle name="Normal 4 2 5 4 3" xfId="6397" xr:uid="{00000000-0005-0000-0000-0000C7150000}"/>
    <cellStyle name="Normal 4 2 5 5" xfId="2508" xr:uid="{00000000-0005-0000-0000-0000C8150000}"/>
    <cellStyle name="Normal 4 2 5 5 2" xfId="4737" xr:uid="{00000000-0005-0000-0000-0000C9150000}"/>
    <cellStyle name="Normal 4 2 5 5 2 2" xfId="8955" xr:uid="{00000000-0005-0000-0000-0000CA150000}"/>
    <cellStyle name="Normal 4 2 5 5 3" xfId="6810" xr:uid="{00000000-0005-0000-0000-0000CB150000}"/>
    <cellStyle name="Normal 4 2 5 6" xfId="2921" xr:uid="{00000000-0005-0000-0000-0000CC150000}"/>
    <cellStyle name="Normal 4 2 5 6 2" xfId="5150" xr:uid="{00000000-0005-0000-0000-0000CD150000}"/>
    <cellStyle name="Normal 4 2 5 6 2 2" xfId="9368" xr:uid="{00000000-0005-0000-0000-0000CE150000}"/>
    <cellStyle name="Normal 4 2 5 6 3" xfId="7223" xr:uid="{00000000-0005-0000-0000-0000CF150000}"/>
    <cellStyle name="Normal 4 2 5 7" xfId="3357" xr:uid="{00000000-0005-0000-0000-0000D0150000}"/>
    <cellStyle name="Normal 4 2 5 7 2" xfId="7636" xr:uid="{00000000-0005-0000-0000-0000D1150000}"/>
    <cellStyle name="Normal 4 2 5 8" xfId="5571" xr:uid="{00000000-0005-0000-0000-0000D2150000}"/>
    <cellStyle name="Normal 4 2 5 9" xfId="1267" xr:uid="{00000000-0005-0000-0000-0000D3150000}"/>
    <cellStyle name="Normal 4 2 6" xfId="368" xr:uid="{00000000-0005-0000-0000-0000D4150000}"/>
    <cellStyle name="Normal 4 2 6 2" xfId="849" xr:uid="{00000000-0005-0000-0000-0000D5150000}"/>
    <cellStyle name="Normal 4 2 6 2 2" xfId="3913" xr:uid="{00000000-0005-0000-0000-0000D6150000}"/>
    <cellStyle name="Normal 4 2 6 2 2 2" xfId="8131" xr:uid="{00000000-0005-0000-0000-0000D7150000}"/>
    <cellStyle name="Normal 4 2 6 2 3" xfId="5986" xr:uid="{00000000-0005-0000-0000-0000D8150000}"/>
    <cellStyle name="Normal 4 2 6 2 4" xfId="1684" xr:uid="{00000000-0005-0000-0000-0000D9150000}"/>
    <cellStyle name="Normal 4 2 6 3" xfId="2097" xr:uid="{00000000-0005-0000-0000-0000DA150000}"/>
    <cellStyle name="Normal 4 2 6 3 2" xfId="4326" xr:uid="{00000000-0005-0000-0000-0000DB150000}"/>
    <cellStyle name="Normal 4 2 6 3 2 2" xfId="8544" xr:uid="{00000000-0005-0000-0000-0000DC150000}"/>
    <cellStyle name="Normal 4 2 6 3 3" xfId="6399" xr:uid="{00000000-0005-0000-0000-0000DD150000}"/>
    <cellStyle name="Normal 4 2 6 4" xfId="2510" xr:uid="{00000000-0005-0000-0000-0000DE150000}"/>
    <cellStyle name="Normal 4 2 6 4 2" xfId="4739" xr:uid="{00000000-0005-0000-0000-0000DF150000}"/>
    <cellStyle name="Normal 4 2 6 4 2 2" xfId="8957" xr:uid="{00000000-0005-0000-0000-0000E0150000}"/>
    <cellStyle name="Normal 4 2 6 4 3" xfId="6812" xr:uid="{00000000-0005-0000-0000-0000E1150000}"/>
    <cellStyle name="Normal 4 2 6 5" xfId="2923" xr:uid="{00000000-0005-0000-0000-0000E2150000}"/>
    <cellStyle name="Normal 4 2 6 5 2" xfId="5152" xr:uid="{00000000-0005-0000-0000-0000E3150000}"/>
    <cellStyle name="Normal 4 2 6 5 2 2" xfId="9370" xr:uid="{00000000-0005-0000-0000-0000E4150000}"/>
    <cellStyle name="Normal 4 2 6 5 3" xfId="7225" xr:uid="{00000000-0005-0000-0000-0000E5150000}"/>
    <cellStyle name="Normal 4 2 6 6" xfId="3359" xr:uid="{00000000-0005-0000-0000-0000E6150000}"/>
    <cellStyle name="Normal 4 2 6 6 2" xfId="7638" xr:uid="{00000000-0005-0000-0000-0000E7150000}"/>
    <cellStyle name="Normal 4 2 6 7" xfId="5573" xr:uid="{00000000-0005-0000-0000-0000E8150000}"/>
    <cellStyle name="Normal 4 2 6 8" xfId="1269" xr:uid="{00000000-0005-0000-0000-0000E9150000}"/>
    <cellStyle name="Normal 4 3" xfId="369" xr:uid="{00000000-0005-0000-0000-0000EA150000}"/>
    <cellStyle name="Normal 4 3 10" xfId="1270" xr:uid="{00000000-0005-0000-0000-0000EB150000}"/>
    <cellStyle name="Normal 4 3 2" xfId="370" xr:uid="{00000000-0005-0000-0000-0000EC150000}"/>
    <cellStyle name="Normal 4 3 2 2" xfId="371" xr:uid="{00000000-0005-0000-0000-0000ED150000}"/>
    <cellStyle name="Normal 4 3 2 2 2" xfId="372" xr:uid="{00000000-0005-0000-0000-0000EE150000}"/>
    <cellStyle name="Normal 4 3 2 2 2 10" xfId="1271" xr:uid="{00000000-0005-0000-0000-0000EF150000}"/>
    <cellStyle name="Normal 4 3 2 2 2 2" xfId="373" xr:uid="{00000000-0005-0000-0000-0000F0150000}"/>
    <cellStyle name="Normal 4 3 2 2 2 2 2" xfId="374" xr:uid="{00000000-0005-0000-0000-0000F1150000}"/>
    <cellStyle name="Normal 4 3 2 2 2 2 2 2" xfId="854" xr:uid="{00000000-0005-0000-0000-0000F2150000}"/>
    <cellStyle name="Normal 4 3 2 2 2 2 2 2 2" xfId="3917" xr:uid="{00000000-0005-0000-0000-0000F3150000}"/>
    <cellStyle name="Normal 4 3 2 2 2 2 2 2 2 2" xfId="8135" xr:uid="{00000000-0005-0000-0000-0000F4150000}"/>
    <cellStyle name="Normal 4 3 2 2 2 2 2 2 3" xfId="5990" xr:uid="{00000000-0005-0000-0000-0000F5150000}"/>
    <cellStyle name="Normal 4 3 2 2 2 2 2 2 4" xfId="1688" xr:uid="{00000000-0005-0000-0000-0000F6150000}"/>
    <cellStyle name="Normal 4 3 2 2 2 2 2 3" xfId="2101" xr:uid="{00000000-0005-0000-0000-0000F7150000}"/>
    <cellStyle name="Normal 4 3 2 2 2 2 2 3 2" xfId="4330" xr:uid="{00000000-0005-0000-0000-0000F8150000}"/>
    <cellStyle name="Normal 4 3 2 2 2 2 2 3 2 2" xfId="8548" xr:uid="{00000000-0005-0000-0000-0000F9150000}"/>
    <cellStyle name="Normal 4 3 2 2 2 2 2 3 3" xfId="6403" xr:uid="{00000000-0005-0000-0000-0000FA150000}"/>
    <cellStyle name="Normal 4 3 2 2 2 2 2 4" xfId="2514" xr:uid="{00000000-0005-0000-0000-0000FB150000}"/>
    <cellStyle name="Normal 4 3 2 2 2 2 2 4 2" xfId="4743" xr:uid="{00000000-0005-0000-0000-0000FC150000}"/>
    <cellStyle name="Normal 4 3 2 2 2 2 2 4 2 2" xfId="8961" xr:uid="{00000000-0005-0000-0000-0000FD150000}"/>
    <cellStyle name="Normal 4 3 2 2 2 2 2 4 3" xfId="6816" xr:uid="{00000000-0005-0000-0000-0000FE150000}"/>
    <cellStyle name="Normal 4 3 2 2 2 2 2 5" xfId="2927" xr:uid="{00000000-0005-0000-0000-0000FF150000}"/>
    <cellStyle name="Normal 4 3 2 2 2 2 2 5 2" xfId="5156" xr:uid="{00000000-0005-0000-0000-000000160000}"/>
    <cellStyle name="Normal 4 3 2 2 2 2 2 5 2 2" xfId="9374" xr:uid="{00000000-0005-0000-0000-000001160000}"/>
    <cellStyle name="Normal 4 3 2 2 2 2 2 5 3" xfId="7229" xr:uid="{00000000-0005-0000-0000-000002160000}"/>
    <cellStyle name="Normal 4 3 2 2 2 2 2 6" xfId="3363" xr:uid="{00000000-0005-0000-0000-000003160000}"/>
    <cellStyle name="Normal 4 3 2 2 2 2 2 6 2" xfId="7642" xr:uid="{00000000-0005-0000-0000-000004160000}"/>
    <cellStyle name="Normal 4 3 2 2 2 2 2 7" xfId="5577" xr:uid="{00000000-0005-0000-0000-000005160000}"/>
    <cellStyle name="Normal 4 3 2 2 2 2 2 8" xfId="1273" xr:uid="{00000000-0005-0000-0000-000006160000}"/>
    <cellStyle name="Normal 4 3 2 2 2 2 3" xfId="853" xr:uid="{00000000-0005-0000-0000-000007160000}"/>
    <cellStyle name="Normal 4 3 2 2 2 2 3 2" xfId="3916" xr:uid="{00000000-0005-0000-0000-000008160000}"/>
    <cellStyle name="Normal 4 3 2 2 2 2 3 2 2" xfId="8134" xr:uid="{00000000-0005-0000-0000-000009160000}"/>
    <cellStyle name="Normal 4 3 2 2 2 2 3 3" xfId="5989" xr:uid="{00000000-0005-0000-0000-00000A160000}"/>
    <cellStyle name="Normal 4 3 2 2 2 2 3 4" xfId="1687" xr:uid="{00000000-0005-0000-0000-00000B160000}"/>
    <cellStyle name="Normal 4 3 2 2 2 2 4" xfId="2100" xr:uid="{00000000-0005-0000-0000-00000C160000}"/>
    <cellStyle name="Normal 4 3 2 2 2 2 4 2" xfId="4329" xr:uid="{00000000-0005-0000-0000-00000D160000}"/>
    <cellStyle name="Normal 4 3 2 2 2 2 4 2 2" xfId="8547" xr:uid="{00000000-0005-0000-0000-00000E160000}"/>
    <cellStyle name="Normal 4 3 2 2 2 2 4 3" xfId="6402" xr:uid="{00000000-0005-0000-0000-00000F160000}"/>
    <cellStyle name="Normal 4 3 2 2 2 2 5" xfId="2513" xr:uid="{00000000-0005-0000-0000-000010160000}"/>
    <cellStyle name="Normal 4 3 2 2 2 2 5 2" xfId="4742" xr:uid="{00000000-0005-0000-0000-000011160000}"/>
    <cellStyle name="Normal 4 3 2 2 2 2 5 2 2" xfId="8960" xr:uid="{00000000-0005-0000-0000-000012160000}"/>
    <cellStyle name="Normal 4 3 2 2 2 2 5 3" xfId="6815" xr:uid="{00000000-0005-0000-0000-000013160000}"/>
    <cellStyle name="Normal 4 3 2 2 2 2 6" xfId="2926" xr:uid="{00000000-0005-0000-0000-000014160000}"/>
    <cellStyle name="Normal 4 3 2 2 2 2 6 2" xfId="5155" xr:uid="{00000000-0005-0000-0000-000015160000}"/>
    <cellStyle name="Normal 4 3 2 2 2 2 6 2 2" xfId="9373" xr:uid="{00000000-0005-0000-0000-000016160000}"/>
    <cellStyle name="Normal 4 3 2 2 2 2 6 3" xfId="7228" xr:uid="{00000000-0005-0000-0000-000017160000}"/>
    <cellStyle name="Normal 4 3 2 2 2 2 7" xfId="3362" xr:uid="{00000000-0005-0000-0000-000018160000}"/>
    <cellStyle name="Normal 4 3 2 2 2 2 7 2" xfId="7641" xr:uid="{00000000-0005-0000-0000-000019160000}"/>
    <cellStyle name="Normal 4 3 2 2 2 2 8" xfId="5576" xr:uid="{00000000-0005-0000-0000-00001A160000}"/>
    <cellStyle name="Normal 4 3 2 2 2 2 9" xfId="1272" xr:uid="{00000000-0005-0000-0000-00001B160000}"/>
    <cellStyle name="Normal 4 3 2 2 2 3" xfId="375" xr:uid="{00000000-0005-0000-0000-00001C160000}"/>
    <cellStyle name="Normal 4 3 2 2 2 3 2" xfId="855" xr:uid="{00000000-0005-0000-0000-00001D160000}"/>
    <cellStyle name="Normal 4 3 2 2 2 3 2 2" xfId="3918" xr:uid="{00000000-0005-0000-0000-00001E160000}"/>
    <cellStyle name="Normal 4 3 2 2 2 3 2 2 2" xfId="8136" xr:uid="{00000000-0005-0000-0000-00001F160000}"/>
    <cellStyle name="Normal 4 3 2 2 2 3 2 3" xfId="5991" xr:uid="{00000000-0005-0000-0000-000020160000}"/>
    <cellStyle name="Normal 4 3 2 2 2 3 2 4" xfId="1689" xr:uid="{00000000-0005-0000-0000-000021160000}"/>
    <cellStyle name="Normal 4 3 2 2 2 3 3" xfId="2102" xr:uid="{00000000-0005-0000-0000-000022160000}"/>
    <cellStyle name="Normal 4 3 2 2 2 3 3 2" xfId="4331" xr:uid="{00000000-0005-0000-0000-000023160000}"/>
    <cellStyle name="Normal 4 3 2 2 2 3 3 2 2" xfId="8549" xr:uid="{00000000-0005-0000-0000-000024160000}"/>
    <cellStyle name="Normal 4 3 2 2 2 3 3 3" xfId="6404" xr:uid="{00000000-0005-0000-0000-000025160000}"/>
    <cellStyle name="Normal 4 3 2 2 2 3 4" xfId="2515" xr:uid="{00000000-0005-0000-0000-000026160000}"/>
    <cellStyle name="Normal 4 3 2 2 2 3 4 2" xfId="4744" xr:uid="{00000000-0005-0000-0000-000027160000}"/>
    <cellStyle name="Normal 4 3 2 2 2 3 4 2 2" xfId="8962" xr:uid="{00000000-0005-0000-0000-000028160000}"/>
    <cellStyle name="Normal 4 3 2 2 2 3 4 3" xfId="6817" xr:uid="{00000000-0005-0000-0000-000029160000}"/>
    <cellStyle name="Normal 4 3 2 2 2 3 5" xfId="2928" xr:uid="{00000000-0005-0000-0000-00002A160000}"/>
    <cellStyle name="Normal 4 3 2 2 2 3 5 2" xfId="5157" xr:uid="{00000000-0005-0000-0000-00002B160000}"/>
    <cellStyle name="Normal 4 3 2 2 2 3 5 2 2" xfId="9375" xr:uid="{00000000-0005-0000-0000-00002C160000}"/>
    <cellStyle name="Normal 4 3 2 2 2 3 5 3" xfId="7230" xr:uid="{00000000-0005-0000-0000-00002D160000}"/>
    <cellStyle name="Normal 4 3 2 2 2 3 6" xfId="3364" xr:uid="{00000000-0005-0000-0000-00002E160000}"/>
    <cellStyle name="Normal 4 3 2 2 2 3 6 2" xfId="7643" xr:uid="{00000000-0005-0000-0000-00002F160000}"/>
    <cellStyle name="Normal 4 3 2 2 2 3 7" xfId="5578" xr:uid="{00000000-0005-0000-0000-000030160000}"/>
    <cellStyle name="Normal 4 3 2 2 2 3 8" xfId="1274" xr:uid="{00000000-0005-0000-0000-000031160000}"/>
    <cellStyle name="Normal 4 3 2 2 2 4" xfId="852" xr:uid="{00000000-0005-0000-0000-000032160000}"/>
    <cellStyle name="Normal 4 3 2 2 2 4 2" xfId="3915" xr:uid="{00000000-0005-0000-0000-000033160000}"/>
    <cellStyle name="Normal 4 3 2 2 2 4 2 2" xfId="8133" xr:uid="{00000000-0005-0000-0000-000034160000}"/>
    <cellStyle name="Normal 4 3 2 2 2 4 3" xfId="5988" xr:uid="{00000000-0005-0000-0000-000035160000}"/>
    <cellStyle name="Normal 4 3 2 2 2 4 4" xfId="1686" xr:uid="{00000000-0005-0000-0000-000036160000}"/>
    <cellStyle name="Normal 4 3 2 2 2 5" xfId="2099" xr:uid="{00000000-0005-0000-0000-000037160000}"/>
    <cellStyle name="Normal 4 3 2 2 2 5 2" xfId="4328" xr:uid="{00000000-0005-0000-0000-000038160000}"/>
    <cellStyle name="Normal 4 3 2 2 2 5 2 2" xfId="8546" xr:uid="{00000000-0005-0000-0000-000039160000}"/>
    <cellStyle name="Normal 4 3 2 2 2 5 3" xfId="6401" xr:uid="{00000000-0005-0000-0000-00003A160000}"/>
    <cellStyle name="Normal 4 3 2 2 2 6" xfId="2512" xr:uid="{00000000-0005-0000-0000-00003B160000}"/>
    <cellStyle name="Normal 4 3 2 2 2 6 2" xfId="4741" xr:uid="{00000000-0005-0000-0000-00003C160000}"/>
    <cellStyle name="Normal 4 3 2 2 2 6 2 2" xfId="8959" xr:uid="{00000000-0005-0000-0000-00003D160000}"/>
    <cellStyle name="Normal 4 3 2 2 2 6 3" xfId="6814" xr:uid="{00000000-0005-0000-0000-00003E160000}"/>
    <cellStyle name="Normal 4 3 2 2 2 7" xfId="2925" xr:uid="{00000000-0005-0000-0000-00003F160000}"/>
    <cellStyle name="Normal 4 3 2 2 2 7 2" xfId="5154" xr:uid="{00000000-0005-0000-0000-000040160000}"/>
    <cellStyle name="Normal 4 3 2 2 2 7 2 2" xfId="9372" xr:uid="{00000000-0005-0000-0000-000041160000}"/>
    <cellStyle name="Normal 4 3 2 2 2 7 3" xfId="7227" xr:uid="{00000000-0005-0000-0000-000042160000}"/>
    <cellStyle name="Normal 4 3 2 2 2 8" xfId="3361" xr:uid="{00000000-0005-0000-0000-000043160000}"/>
    <cellStyle name="Normal 4 3 2 2 2 8 2" xfId="7640" xr:uid="{00000000-0005-0000-0000-000044160000}"/>
    <cellStyle name="Normal 4 3 2 2 2 9" xfId="5575" xr:uid="{00000000-0005-0000-0000-000045160000}"/>
    <cellStyle name="Normal 4 3 2 3" xfId="376" xr:uid="{00000000-0005-0000-0000-000046160000}"/>
    <cellStyle name="Normal 4 3 2 3 2" xfId="856" xr:uid="{00000000-0005-0000-0000-000047160000}"/>
    <cellStyle name="Normal 4 3 2 4" xfId="851" xr:uid="{00000000-0005-0000-0000-000048160000}"/>
    <cellStyle name="Normal 4 3 3" xfId="377" xr:uid="{00000000-0005-0000-0000-000049160000}"/>
    <cellStyle name="Normal 4 3 3 10" xfId="1275" xr:uid="{00000000-0005-0000-0000-00004A160000}"/>
    <cellStyle name="Normal 4 3 3 2" xfId="378" xr:uid="{00000000-0005-0000-0000-00004B160000}"/>
    <cellStyle name="Normal 4 3 3 2 2" xfId="379" xr:uid="{00000000-0005-0000-0000-00004C160000}"/>
    <cellStyle name="Normal 4 3 3 2 2 2" xfId="859" xr:uid="{00000000-0005-0000-0000-00004D160000}"/>
    <cellStyle name="Normal 4 3 3 2 2 2 2" xfId="3921" xr:uid="{00000000-0005-0000-0000-00004E160000}"/>
    <cellStyle name="Normal 4 3 3 2 2 2 2 2" xfId="8139" xr:uid="{00000000-0005-0000-0000-00004F160000}"/>
    <cellStyle name="Normal 4 3 3 2 2 2 3" xfId="5994" xr:uid="{00000000-0005-0000-0000-000050160000}"/>
    <cellStyle name="Normal 4 3 3 2 2 2 4" xfId="1692" xr:uid="{00000000-0005-0000-0000-000051160000}"/>
    <cellStyle name="Normal 4 3 3 2 2 3" xfId="2105" xr:uid="{00000000-0005-0000-0000-000052160000}"/>
    <cellStyle name="Normal 4 3 3 2 2 3 2" xfId="4334" xr:uid="{00000000-0005-0000-0000-000053160000}"/>
    <cellStyle name="Normal 4 3 3 2 2 3 2 2" xfId="8552" xr:uid="{00000000-0005-0000-0000-000054160000}"/>
    <cellStyle name="Normal 4 3 3 2 2 3 3" xfId="6407" xr:uid="{00000000-0005-0000-0000-000055160000}"/>
    <cellStyle name="Normal 4 3 3 2 2 4" xfId="2518" xr:uid="{00000000-0005-0000-0000-000056160000}"/>
    <cellStyle name="Normal 4 3 3 2 2 4 2" xfId="4747" xr:uid="{00000000-0005-0000-0000-000057160000}"/>
    <cellStyle name="Normal 4 3 3 2 2 4 2 2" xfId="8965" xr:uid="{00000000-0005-0000-0000-000058160000}"/>
    <cellStyle name="Normal 4 3 3 2 2 4 3" xfId="6820" xr:uid="{00000000-0005-0000-0000-000059160000}"/>
    <cellStyle name="Normal 4 3 3 2 2 5" xfId="2931" xr:uid="{00000000-0005-0000-0000-00005A160000}"/>
    <cellStyle name="Normal 4 3 3 2 2 5 2" xfId="5160" xr:uid="{00000000-0005-0000-0000-00005B160000}"/>
    <cellStyle name="Normal 4 3 3 2 2 5 2 2" xfId="9378" xr:uid="{00000000-0005-0000-0000-00005C160000}"/>
    <cellStyle name="Normal 4 3 3 2 2 5 3" xfId="7233" xr:uid="{00000000-0005-0000-0000-00005D160000}"/>
    <cellStyle name="Normal 4 3 3 2 2 6" xfId="3367" xr:uid="{00000000-0005-0000-0000-00005E160000}"/>
    <cellStyle name="Normal 4 3 3 2 2 6 2" xfId="7646" xr:uid="{00000000-0005-0000-0000-00005F160000}"/>
    <cellStyle name="Normal 4 3 3 2 2 7" xfId="5581" xr:uid="{00000000-0005-0000-0000-000060160000}"/>
    <cellStyle name="Normal 4 3 3 2 2 8" xfId="1277" xr:uid="{00000000-0005-0000-0000-000061160000}"/>
    <cellStyle name="Normal 4 3 3 2 3" xfId="858" xr:uid="{00000000-0005-0000-0000-000062160000}"/>
    <cellStyle name="Normal 4 3 3 2 3 2" xfId="3920" xr:uid="{00000000-0005-0000-0000-000063160000}"/>
    <cellStyle name="Normal 4 3 3 2 3 2 2" xfId="8138" xr:uid="{00000000-0005-0000-0000-000064160000}"/>
    <cellStyle name="Normal 4 3 3 2 3 3" xfId="5993" xr:uid="{00000000-0005-0000-0000-000065160000}"/>
    <cellStyle name="Normal 4 3 3 2 3 4" xfId="1691" xr:uid="{00000000-0005-0000-0000-000066160000}"/>
    <cellStyle name="Normal 4 3 3 2 4" xfId="2104" xr:uid="{00000000-0005-0000-0000-000067160000}"/>
    <cellStyle name="Normal 4 3 3 2 4 2" xfId="4333" xr:uid="{00000000-0005-0000-0000-000068160000}"/>
    <cellStyle name="Normal 4 3 3 2 4 2 2" xfId="8551" xr:uid="{00000000-0005-0000-0000-000069160000}"/>
    <cellStyle name="Normal 4 3 3 2 4 3" xfId="6406" xr:uid="{00000000-0005-0000-0000-00006A160000}"/>
    <cellStyle name="Normal 4 3 3 2 5" xfId="2517" xr:uid="{00000000-0005-0000-0000-00006B160000}"/>
    <cellStyle name="Normal 4 3 3 2 5 2" xfId="4746" xr:uid="{00000000-0005-0000-0000-00006C160000}"/>
    <cellStyle name="Normal 4 3 3 2 5 2 2" xfId="8964" xr:uid="{00000000-0005-0000-0000-00006D160000}"/>
    <cellStyle name="Normal 4 3 3 2 5 3" xfId="6819" xr:uid="{00000000-0005-0000-0000-00006E160000}"/>
    <cellStyle name="Normal 4 3 3 2 6" xfId="2930" xr:uid="{00000000-0005-0000-0000-00006F160000}"/>
    <cellStyle name="Normal 4 3 3 2 6 2" xfId="5159" xr:uid="{00000000-0005-0000-0000-000070160000}"/>
    <cellStyle name="Normal 4 3 3 2 6 2 2" xfId="9377" xr:uid="{00000000-0005-0000-0000-000071160000}"/>
    <cellStyle name="Normal 4 3 3 2 6 3" xfId="7232" xr:uid="{00000000-0005-0000-0000-000072160000}"/>
    <cellStyle name="Normal 4 3 3 2 7" xfId="3366" xr:uid="{00000000-0005-0000-0000-000073160000}"/>
    <cellStyle name="Normal 4 3 3 2 7 2" xfId="7645" xr:uid="{00000000-0005-0000-0000-000074160000}"/>
    <cellStyle name="Normal 4 3 3 2 8" xfId="5580" xr:uid="{00000000-0005-0000-0000-000075160000}"/>
    <cellStyle name="Normal 4 3 3 2 9" xfId="1276" xr:uid="{00000000-0005-0000-0000-000076160000}"/>
    <cellStyle name="Normal 4 3 3 3" xfId="380" xr:uid="{00000000-0005-0000-0000-000077160000}"/>
    <cellStyle name="Normal 4 3 3 3 2" xfId="860" xr:uid="{00000000-0005-0000-0000-000078160000}"/>
    <cellStyle name="Normal 4 3 3 3 2 2" xfId="3922" xr:uid="{00000000-0005-0000-0000-000079160000}"/>
    <cellStyle name="Normal 4 3 3 3 2 2 2" xfId="8140" xr:uid="{00000000-0005-0000-0000-00007A160000}"/>
    <cellStyle name="Normal 4 3 3 3 2 3" xfId="5995" xr:uid="{00000000-0005-0000-0000-00007B160000}"/>
    <cellStyle name="Normal 4 3 3 3 2 4" xfId="1693" xr:uid="{00000000-0005-0000-0000-00007C160000}"/>
    <cellStyle name="Normal 4 3 3 3 3" xfId="2106" xr:uid="{00000000-0005-0000-0000-00007D160000}"/>
    <cellStyle name="Normal 4 3 3 3 3 2" xfId="4335" xr:uid="{00000000-0005-0000-0000-00007E160000}"/>
    <cellStyle name="Normal 4 3 3 3 3 2 2" xfId="8553" xr:uid="{00000000-0005-0000-0000-00007F160000}"/>
    <cellStyle name="Normal 4 3 3 3 3 3" xfId="6408" xr:uid="{00000000-0005-0000-0000-000080160000}"/>
    <cellStyle name="Normal 4 3 3 3 4" xfId="2519" xr:uid="{00000000-0005-0000-0000-000081160000}"/>
    <cellStyle name="Normal 4 3 3 3 4 2" xfId="4748" xr:uid="{00000000-0005-0000-0000-000082160000}"/>
    <cellStyle name="Normal 4 3 3 3 4 2 2" xfId="8966" xr:uid="{00000000-0005-0000-0000-000083160000}"/>
    <cellStyle name="Normal 4 3 3 3 4 3" xfId="6821" xr:uid="{00000000-0005-0000-0000-000084160000}"/>
    <cellStyle name="Normal 4 3 3 3 5" xfId="2932" xr:uid="{00000000-0005-0000-0000-000085160000}"/>
    <cellStyle name="Normal 4 3 3 3 5 2" xfId="5161" xr:uid="{00000000-0005-0000-0000-000086160000}"/>
    <cellStyle name="Normal 4 3 3 3 5 2 2" xfId="9379" xr:uid="{00000000-0005-0000-0000-000087160000}"/>
    <cellStyle name="Normal 4 3 3 3 5 3" xfId="7234" xr:uid="{00000000-0005-0000-0000-000088160000}"/>
    <cellStyle name="Normal 4 3 3 3 6" xfId="3368" xr:uid="{00000000-0005-0000-0000-000089160000}"/>
    <cellStyle name="Normal 4 3 3 3 6 2" xfId="7647" xr:uid="{00000000-0005-0000-0000-00008A160000}"/>
    <cellStyle name="Normal 4 3 3 3 7" xfId="5582" xr:uid="{00000000-0005-0000-0000-00008B160000}"/>
    <cellStyle name="Normal 4 3 3 3 8" xfId="1278" xr:uid="{00000000-0005-0000-0000-00008C160000}"/>
    <cellStyle name="Normal 4 3 3 4" xfId="857" xr:uid="{00000000-0005-0000-0000-00008D160000}"/>
    <cellStyle name="Normal 4 3 3 4 2" xfId="3919" xr:uid="{00000000-0005-0000-0000-00008E160000}"/>
    <cellStyle name="Normal 4 3 3 4 2 2" xfId="8137" xr:uid="{00000000-0005-0000-0000-00008F160000}"/>
    <cellStyle name="Normal 4 3 3 4 3" xfId="5992" xr:uid="{00000000-0005-0000-0000-000090160000}"/>
    <cellStyle name="Normal 4 3 3 4 4" xfId="1690" xr:uid="{00000000-0005-0000-0000-000091160000}"/>
    <cellStyle name="Normal 4 3 3 5" xfId="2103" xr:uid="{00000000-0005-0000-0000-000092160000}"/>
    <cellStyle name="Normal 4 3 3 5 2" xfId="4332" xr:uid="{00000000-0005-0000-0000-000093160000}"/>
    <cellStyle name="Normal 4 3 3 5 2 2" xfId="8550" xr:uid="{00000000-0005-0000-0000-000094160000}"/>
    <cellStyle name="Normal 4 3 3 5 3" xfId="6405" xr:uid="{00000000-0005-0000-0000-000095160000}"/>
    <cellStyle name="Normal 4 3 3 6" xfId="2516" xr:uid="{00000000-0005-0000-0000-000096160000}"/>
    <cellStyle name="Normal 4 3 3 6 2" xfId="4745" xr:uid="{00000000-0005-0000-0000-000097160000}"/>
    <cellStyle name="Normal 4 3 3 6 2 2" xfId="8963" xr:uid="{00000000-0005-0000-0000-000098160000}"/>
    <cellStyle name="Normal 4 3 3 6 3" xfId="6818" xr:uid="{00000000-0005-0000-0000-000099160000}"/>
    <cellStyle name="Normal 4 3 3 7" xfId="2929" xr:uid="{00000000-0005-0000-0000-00009A160000}"/>
    <cellStyle name="Normal 4 3 3 7 2" xfId="5158" xr:uid="{00000000-0005-0000-0000-00009B160000}"/>
    <cellStyle name="Normal 4 3 3 7 2 2" xfId="9376" xr:uid="{00000000-0005-0000-0000-00009C160000}"/>
    <cellStyle name="Normal 4 3 3 7 3" xfId="7231" xr:uid="{00000000-0005-0000-0000-00009D160000}"/>
    <cellStyle name="Normal 4 3 3 8" xfId="3365" xr:uid="{00000000-0005-0000-0000-00009E160000}"/>
    <cellStyle name="Normal 4 3 3 8 2" xfId="7644" xr:uid="{00000000-0005-0000-0000-00009F160000}"/>
    <cellStyle name="Normal 4 3 3 9" xfId="5579" xr:uid="{00000000-0005-0000-0000-0000A0160000}"/>
    <cellStyle name="Normal 4 3 4" xfId="850" xr:uid="{00000000-0005-0000-0000-0000A1160000}"/>
    <cellStyle name="Normal 4 3 4 2" xfId="3914" xr:uid="{00000000-0005-0000-0000-0000A2160000}"/>
    <cellStyle name="Normal 4 3 4 2 2" xfId="8132" xr:uid="{00000000-0005-0000-0000-0000A3160000}"/>
    <cellStyle name="Normal 4 3 4 3" xfId="5987" xr:uid="{00000000-0005-0000-0000-0000A4160000}"/>
    <cellStyle name="Normal 4 3 4 4" xfId="1685" xr:uid="{00000000-0005-0000-0000-0000A5160000}"/>
    <cellStyle name="Normal 4 3 5" xfId="2098" xr:uid="{00000000-0005-0000-0000-0000A6160000}"/>
    <cellStyle name="Normal 4 3 5 2" xfId="4327" xr:uid="{00000000-0005-0000-0000-0000A7160000}"/>
    <cellStyle name="Normal 4 3 5 2 2" xfId="8545" xr:uid="{00000000-0005-0000-0000-0000A8160000}"/>
    <cellStyle name="Normal 4 3 5 3" xfId="6400" xr:uid="{00000000-0005-0000-0000-0000A9160000}"/>
    <cellStyle name="Normal 4 3 6" xfId="2511" xr:uid="{00000000-0005-0000-0000-0000AA160000}"/>
    <cellStyle name="Normal 4 3 6 2" xfId="4740" xr:uid="{00000000-0005-0000-0000-0000AB160000}"/>
    <cellStyle name="Normal 4 3 6 2 2" xfId="8958" xr:uid="{00000000-0005-0000-0000-0000AC160000}"/>
    <cellStyle name="Normal 4 3 6 3" xfId="6813" xr:uid="{00000000-0005-0000-0000-0000AD160000}"/>
    <cellStyle name="Normal 4 3 7" xfId="2924" xr:uid="{00000000-0005-0000-0000-0000AE160000}"/>
    <cellStyle name="Normal 4 3 7 2" xfId="5153" xr:uid="{00000000-0005-0000-0000-0000AF160000}"/>
    <cellStyle name="Normal 4 3 7 2 2" xfId="9371" xr:uid="{00000000-0005-0000-0000-0000B0160000}"/>
    <cellStyle name="Normal 4 3 7 3" xfId="7226" xr:uid="{00000000-0005-0000-0000-0000B1160000}"/>
    <cellStyle name="Normal 4 3 8" xfId="3360" xr:uid="{00000000-0005-0000-0000-0000B2160000}"/>
    <cellStyle name="Normal 4 3 8 2" xfId="7639" xr:uid="{00000000-0005-0000-0000-0000B3160000}"/>
    <cellStyle name="Normal 4 3 9" xfId="5574" xr:uid="{00000000-0005-0000-0000-0000B4160000}"/>
    <cellStyle name="Normal 4 4" xfId="381" xr:uid="{00000000-0005-0000-0000-0000B5160000}"/>
    <cellStyle name="Normal 4 4 10" xfId="3369" xr:uid="{00000000-0005-0000-0000-0000B6160000}"/>
    <cellStyle name="Normal 4 4 10 2" xfId="7648" xr:uid="{00000000-0005-0000-0000-0000B7160000}"/>
    <cellStyle name="Normal 4 4 11" xfId="5583" xr:uid="{00000000-0005-0000-0000-0000B8160000}"/>
    <cellStyle name="Normal 4 4 12" xfId="1279" xr:uid="{00000000-0005-0000-0000-0000B9160000}"/>
    <cellStyle name="Normal 4 4 2" xfId="382" xr:uid="{00000000-0005-0000-0000-0000BA160000}"/>
    <cellStyle name="Normal 4 4 2 10" xfId="5584" xr:uid="{00000000-0005-0000-0000-0000BB160000}"/>
    <cellStyle name="Normal 4 4 2 11" xfId="1280" xr:uid="{00000000-0005-0000-0000-0000BC160000}"/>
    <cellStyle name="Normal 4 4 2 2" xfId="383" xr:uid="{00000000-0005-0000-0000-0000BD160000}"/>
    <cellStyle name="Normal 4 4 2 2 10" xfId="1281" xr:uid="{00000000-0005-0000-0000-0000BE160000}"/>
    <cellStyle name="Normal 4 4 2 2 2" xfId="384" xr:uid="{00000000-0005-0000-0000-0000BF160000}"/>
    <cellStyle name="Normal 4 4 2 2 2 2" xfId="385" xr:uid="{00000000-0005-0000-0000-0000C0160000}"/>
    <cellStyle name="Normal 4 4 2 2 2 2 2" xfId="865" xr:uid="{00000000-0005-0000-0000-0000C1160000}"/>
    <cellStyle name="Normal 4 4 2 2 2 2 2 2" xfId="3927" xr:uid="{00000000-0005-0000-0000-0000C2160000}"/>
    <cellStyle name="Normal 4 4 2 2 2 2 2 2 2" xfId="8145" xr:uid="{00000000-0005-0000-0000-0000C3160000}"/>
    <cellStyle name="Normal 4 4 2 2 2 2 2 3" xfId="6000" xr:uid="{00000000-0005-0000-0000-0000C4160000}"/>
    <cellStyle name="Normal 4 4 2 2 2 2 2 4" xfId="1698" xr:uid="{00000000-0005-0000-0000-0000C5160000}"/>
    <cellStyle name="Normal 4 4 2 2 2 2 3" xfId="2111" xr:uid="{00000000-0005-0000-0000-0000C6160000}"/>
    <cellStyle name="Normal 4 4 2 2 2 2 3 2" xfId="4340" xr:uid="{00000000-0005-0000-0000-0000C7160000}"/>
    <cellStyle name="Normal 4 4 2 2 2 2 3 2 2" xfId="8558" xr:uid="{00000000-0005-0000-0000-0000C8160000}"/>
    <cellStyle name="Normal 4 4 2 2 2 2 3 3" xfId="6413" xr:uid="{00000000-0005-0000-0000-0000C9160000}"/>
    <cellStyle name="Normal 4 4 2 2 2 2 4" xfId="2524" xr:uid="{00000000-0005-0000-0000-0000CA160000}"/>
    <cellStyle name="Normal 4 4 2 2 2 2 4 2" xfId="4753" xr:uid="{00000000-0005-0000-0000-0000CB160000}"/>
    <cellStyle name="Normal 4 4 2 2 2 2 4 2 2" xfId="8971" xr:uid="{00000000-0005-0000-0000-0000CC160000}"/>
    <cellStyle name="Normal 4 4 2 2 2 2 4 3" xfId="6826" xr:uid="{00000000-0005-0000-0000-0000CD160000}"/>
    <cellStyle name="Normal 4 4 2 2 2 2 5" xfId="2937" xr:uid="{00000000-0005-0000-0000-0000CE160000}"/>
    <cellStyle name="Normal 4 4 2 2 2 2 5 2" xfId="5166" xr:uid="{00000000-0005-0000-0000-0000CF160000}"/>
    <cellStyle name="Normal 4 4 2 2 2 2 5 2 2" xfId="9384" xr:uid="{00000000-0005-0000-0000-0000D0160000}"/>
    <cellStyle name="Normal 4 4 2 2 2 2 5 3" xfId="7239" xr:uid="{00000000-0005-0000-0000-0000D1160000}"/>
    <cellStyle name="Normal 4 4 2 2 2 2 6" xfId="3373" xr:uid="{00000000-0005-0000-0000-0000D2160000}"/>
    <cellStyle name="Normal 4 4 2 2 2 2 6 2" xfId="7652" xr:uid="{00000000-0005-0000-0000-0000D3160000}"/>
    <cellStyle name="Normal 4 4 2 2 2 2 7" xfId="5587" xr:uid="{00000000-0005-0000-0000-0000D4160000}"/>
    <cellStyle name="Normal 4 4 2 2 2 2 8" xfId="1283" xr:uid="{00000000-0005-0000-0000-0000D5160000}"/>
    <cellStyle name="Normal 4 4 2 2 2 3" xfId="864" xr:uid="{00000000-0005-0000-0000-0000D6160000}"/>
    <cellStyle name="Normal 4 4 2 2 2 3 2" xfId="3926" xr:uid="{00000000-0005-0000-0000-0000D7160000}"/>
    <cellStyle name="Normal 4 4 2 2 2 3 2 2" xfId="8144" xr:uid="{00000000-0005-0000-0000-0000D8160000}"/>
    <cellStyle name="Normal 4 4 2 2 2 3 3" xfId="5999" xr:uid="{00000000-0005-0000-0000-0000D9160000}"/>
    <cellStyle name="Normal 4 4 2 2 2 3 4" xfId="1697" xr:uid="{00000000-0005-0000-0000-0000DA160000}"/>
    <cellStyle name="Normal 4 4 2 2 2 4" xfId="2110" xr:uid="{00000000-0005-0000-0000-0000DB160000}"/>
    <cellStyle name="Normal 4 4 2 2 2 4 2" xfId="4339" xr:uid="{00000000-0005-0000-0000-0000DC160000}"/>
    <cellStyle name="Normal 4 4 2 2 2 4 2 2" xfId="8557" xr:uid="{00000000-0005-0000-0000-0000DD160000}"/>
    <cellStyle name="Normal 4 4 2 2 2 4 3" xfId="6412" xr:uid="{00000000-0005-0000-0000-0000DE160000}"/>
    <cellStyle name="Normal 4 4 2 2 2 5" xfId="2523" xr:uid="{00000000-0005-0000-0000-0000DF160000}"/>
    <cellStyle name="Normal 4 4 2 2 2 5 2" xfId="4752" xr:uid="{00000000-0005-0000-0000-0000E0160000}"/>
    <cellStyle name="Normal 4 4 2 2 2 5 2 2" xfId="8970" xr:uid="{00000000-0005-0000-0000-0000E1160000}"/>
    <cellStyle name="Normal 4 4 2 2 2 5 3" xfId="6825" xr:uid="{00000000-0005-0000-0000-0000E2160000}"/>
    <cellStyle name="Normal 4 4 2 2 2 6" xfId="2936" xr:uid="{00000000-0005-0000-0000-0000E3160000}"/>
    <cellStyle name="Normal 4 4 2 2 2 6 2" xfId="5165" xr:uid="{00000000-0005-0000-0000-0000E4160000}"/>
    <cellStyle name="Normal 4 4 2 2 2 6 2 2" xfId="9383" xr:uid="{00000000-0005-0000-0000-0000E5160000}"/>
    <cellStyle name="Normal 4 4 2 2 2 6 3" xfId="7238" xr:uid="{00000000-0005-0000-0000-0000E6160000}"/>
    <cellStyle name="Normal 4 4 2 2 2 7" xfId="3372" xr:uid="{00000000-0005-0000-0000-0000E7160000}"/>
    <cellStyle name="Normal 4 4 2 2 2 7 2" xfId="7651" xr:uid="{00000000-0005-0000-0000-0000E8160000}"/>
    <cellStyle name="Normal 4 4 2 2 2 8" xfId="5586" xr:uid="{00000000-0005-0000-0000-0000E9160000}"/>
    <cellStyle name="Normal 4 4 2 2 2 9" xfId="1282" xr:uid="{00000000-0005-0000-0000-0000EA160000}"/>
    <cellStyle name="Normal 4 4 2 2 3" xfId="386" xr:uid="{00000000-0005-0000-0000-0000EB160000}"/>
    <cellStyle name="Normal 4 4 2 2 3 2" xfId="866" xr:uid="{00000000-0005-0000-0000-0000EC160000}"/>
    <cellStyle name="Normal 4 4 2 2 3 2 2" xfId="3928" xr:uid="{00000000-0005-0000-0000-0000ED160000}"/>
    <cellStyle name="Normal 4 4 2 2 3 2 2 2" xfId="8146" xr:uid="{00000000-0005-0000-0000-0000EE160000}"/>
    <cellStyle name="Normal 4 4 2 2 3 2 3" xfId="6001" xr:uid="{00000000-0005-0000-0000-0000EF160000}"/>
    <cellStyle name="Normal 4 4 2 2 3 2 4" xfId="1699" xr:uid="{00000000-0005-0000-0000-0000F0160000}"/>
    <cellStyle name="Normal 4 4 2 2 3 3" xfId="2112" xr:uid="{00000000-0005-0000-0000-0000F1160000}"/>
    <cellStyle name="Normal 4 4 2 2 3 3 2" xfId="4341" xr:uid="{00000000-0005-0000-0000-0000F2160000}"/>
    <cellStyle name="Normal 4 4 2 2 3 3 2 2" xfId="8559" xr:uid="{00000000-0005-0000-0000-0000F3160000}"/>
    <cellStyle name="Normal 4 4 2 2 3 3 3" xfId="6414" xr:uid="{00000000-0005-0000-0000-0000F4160000}"/>
    <cellStyle name="Normal 4 4 2 2 3 4" xfId="2525" xr:uid="{00000000-0005-0000-0000-0000F5160000}"/>
    <cellStyle name="Normal 4 4 2 2 3 4 2" xfId="4754" xr:uid="{00000000-0005-0000-0000-0000F6160000}"/>
    <cellStyle name="Normal 4 4 2 2 3 4 2 2" xfId="8972" xr:uid="{00000000-0005-0000-0000-0000F7160000}"/>
    <cellStyle name="Normal 4 4 2 2 3 4 3" xfId="6827" xr:uid="{00000000-0005-0000-0000-0000F8160000}"/>
    <cellStyle name="Normal 4 4 2 2 3 5" xfId="2938" xr:uid="{00000000-0005-0000-0000-0000F9160000}"/>
    <cellStyle name="Normal 4 4 2 2 3 5 2" xfId="5167" xr:uid="{00000000-0005-0000-0000-0000FA160000}"/>
    <cellStyle name="Normal 4 4 2 2 3 5 2 2" xfId="9385" xr:uid="{00000000-0005-0000-0000-0000FB160000}"/>
    <cellStyle name="Normal 4 4 2 2 3 5 3" xfId="7240" xr:uid="{00000000-0005-0000-0000-0000FC160000}"/>
    <cellStyle name="Normal 4 4 2 2 3 6" xfId="3374" xr:uid="{00000000-0005-0000-0000-0000FD160000}"/>
    <cellStyle name="Normal 4 4 2 2 3 6 2" xfId="7653" xr:uid="{00000000-0005-0000-0000-0000FE160000}"/>
    <cellStyle name="Normal 4 4 2 2 3 7" xfId="5588" xr:uid="{00000000-0005-0000-0000-0000FF160000}"/>
    <cellStyle name="Normal 4 4 2 2 3 8" xfId="1284" xr:uid="{00000000-0005-0000-0000-000000170000}"/>
    <cellStyle name="Normal 4 4 2 2 4" xfId="863" xr:uid="{00000000-0005-0000-0000-000001170000}"/>
    <cellStyle name="Normal 4 4 2 2 4 2" xfId="3925" xr:uid="{00000000-0005-0000-0000-000002170000}"/>
    <cellStyle name="Normal 4 4 2 2 4 2 2" xfId="8143" xr:uid="{00000000-0005-0000-0000-000003170000}"/>
    <cellStyle name="Normal 4 4 2 2 4 3" xfId="5998" xr:uid="{00000000-0005-0000-0000-000004170000}"/>
    <cellStyle name="Normal 4 4 2 2 4 4" xfId="1696" xr:uid="{00000000-0005-0000-0000-000005170000}"/>
    <cellStyle name="Normal 4 4 2 2 5" xfId="2109" xr:uid="{00000000-0005-0000-0000-000006170000}"/>
    <cellStyle name="Normal 4 4 2 2 5 2" xfId="4338" xr:uid="{00000000-0005-0000-0000-000007170000}"/>
    <cellStyle name="Normal 4 4 2 2 5 2 2" xfId="8556" xr:uid="{00000000-0005-0000-0000-000008170000}"/>
    <cellStyle name="Normal 4 4 2 2 5 3" xfId="6411" xr:uid="{00000000-0005-0000-0000-000009170000}"/>
    <cellStyle name="Normal 4 4 2 2 6" xfId="2522" xr:uid="{00000000-0005-0000-0000-00000A170000}"/>
    <cellStyle name="Normal 4 4 2 2 6 2" xfId="4751" xr:uid="{00000000-0005-0000-0000-00000B170000}"/>
    <cellStyle name="Normal 4 4 2 2 6 2 2" xfId="8969" xr:uid="{00000000-0005-0000-0000-00000C170000}"/>
    <cellStyle name="Normal 4 4 2 2 6 3" xfId="6824" xr:uid="{00000000-0005-0000-0000-00000D170000}"/>
    <cellStyle name="Normal 4 4 2 2 7" xfId="2935" xr:uid="{00000000-0005-0000-0000-00000E170000}"/>
    <cellStyle name="Normal 4 4 2 2 7 2" xfId="5164" xr:uid="{00000000-0005-0000-0000-00000F170000}"/>
    <cellStyle name="Normal 4 4 2 2 7 2 2" xfId="9382" xr:uid="{00000000-0005-0000-0000-000010170000}"/>
    <cellStyle name="Normal 4 4 2 2 7 3" xfId="7237" xr:uid="{00000000-0005-0000-0000-000011170000}"/>
    <cellStyle name="Normal 4 4 2 2 8" xfId="3371" xr:uid="{00000000-0005-0000-0000-000012170000}"/>
    <cellStyle name="Normal 4 4 2 2 8 2" xfId="7650" xr:uid="{00000000-0005-0000-0000-000013170000}"/>
    <cellStyle name="Normal 4 4 2 2 9" xfId="5585" xr:uid="{00000000-0005-0000-0000-000014170000}"/>
    <cellStyle name="Normal 4 4 2 3" xfId="387" xr:uid="{00000000-0005-0000-0000-000015170000}"/>
    <cellStyle name="Normal 4 4 2 3 2" xfId="388" xr:uid="{00000000-0005-0000-0000-000016170000}"/>
    <cellStyle name="Normal 4 4 2 3 2 2" xfId="868" xr:uid="{00000000-0005-0000-0000-000017170000}"/>
    <cellStyle name="Normal 4 4 2 3 2 2 2" xfId="3930" xr:uid="{00000000-0005-0000-0000-000018170000}"/>
    <cellStyle name="Normal 4 4 2 3 2 2 2 2" xfId="8148" xr:uid="{00000000-0005-0000-0000-000019170000}"/>
    <cellStyle name="Normal 4 4 2 3 2 2 3" xfId="6003" xr:uid="{00000000-0005-0000-0000-00001A170000}"/>
    <cellStyle name="Normal 4 4 2 3 2 2 4" xfId="1701" xr:uid="{00000000-0005-0000-0000-00001B170000}"/>
    <cellStyle name="Normal 4 4 2 3 2 3" xfId="2114" xr:uid="{00000000-0005-0000-0000-00001C170000}"/>
    <cellStyle name="Normal 4 4 2 3 2 3 2" xfId="4343" xr:uid="{00000000-0005-0000-0000-00001D170000}"/>
    <cellStyle name="Normal 4 4 2 3 2 3 2 2" xfId="8561" xr:uid="{00000000-0005-0000-0000-00001E170000}"/>
    <cellStyle name="Normal 4 4 2 3 2 3 3" xfId="6416" xr:uid="{00000000-0005-0000-0000-00001F170000}"/>
    <cellStyle name="Normal 4 4 2 3 2 4" xfId="2527" xr:uid="{00000000-0005-0000-0000-000020170000}"/>
    <cellStyle name="Normal 4 4 2 3 2 4 2" xfId="4756" xr:uid="{00000000-0005-0000-0000-000021170000}"/>
    <cellStyle name="Normal 4 4 2 3 2 4 2 2" xfId="8974" xr:uid="{00000000-0005-0000-0000-000022170000}"/>
    <cellStyle name="Normal 4 4 2 3 2 4 3" xfId="6829" xr:uid="{00000000-0005-0000-0000-000023170000}"/>
    <cellStyle name="Normal 4 4 2 3 2 5" xfId="2940" xr:uid="{00000000-0005-0000-0000-000024170000}"/>
    <cellStyle name="Normal 4 4 2 3 2 5 2" xfId="5169" xr:uid="{00000000-0005-0000-0000-000025170000}"/>
    <cellStyle name="Normal 4 4 2 3 2 5 2 2" xfId="9387" xr:uid="{00000000-0005-0000-0000-000026170000}"/>
    <cellStyle name="Normal 4 4 2 3 2 5 3" xfId="7242" xr:uid="{00000000-0005-0000-0000-000027170000}"/>
    <cellStyle name="Normal 4 4 2 3 2 6" xfId="3376" xr:uid="{00000000-0005-0000-0000-000028170000}"/>
    <cellStyle name="Normal 4 4 2 3 2 6 2" xfId="7655" xr:uid="{00000000-0005-0000-0000-000029170000}"/>
    <cellStyle name="Normal 4 4 2 3 2 7" xfId="5590" xr:uid="{00000000-0005-0000-0000-00002A170000}"/>
    <cellStyle name="Normal 4 4 2 3 2 8" xfId="1286" xr:uid="{00000000-0005-0000-0000-00002B170000}"/>
    <cellStyle name="Normal 4 4 2 3 3" xfId="867" xr:uid="{00000000-0005-0000-0000-00002C170000}"/>
    <cellStyle name="Normal 4 4 2 3 3 2" xfId="3929" xr:uid="{00000000-0005-0000-0000-00002D170000}"/>
    <cellStyle name="Normal 4 4 2 3 3 2 2" xfId="8147" xr:uid="{00000000-0005-0000-0000-00002E170000}"/>
    <cellStyle name="Normal 4 4 2 3 3 3" xfId="6002" xr:uid="{00000000-0005-0000-0000-00002F170000}"/>
    <cellStyle name="Normal 4 4 2 3 3 4" xfId="1700" xr:uid="{00000000-0005-0000-0000-000030170000}"/>
    <cellStyle name="Normal 4 4 2 3 4" xfId="2113" xr:uid="{00000000-0005-0000-0000-000031170000}"/>
    <cellStyle name="Normal 4 4 2 3 4 2" xfId="4342" xr:uid="{00000000-0005-0000-0000-000032170000}"/>
    <cellStyle name="Normal 4 4 2 3 4 2 2" xfId="8560" xr:uid="{00000000-0005-0000-0000-000033170000}"/>
    <cellStyle name="Normal 4 4 2 3 4 3" xfId="6415" xr:uid="{00000000-0005-0000-0000-000034170000}"/>
    <cellStyle name="Normal 4 4 2 3 5" xfId="2526" xr:uid="{00000000-0005-0000-0000-000035170000}"/>
    <cellStyle name="Normal 4 4 2 3 5 2" xfId="4755" xr:uid="{00000000-0005-0000-0000-000036170000}"/>
    <cellStyle name="Normal 4 4 2 3 5 2 2" xfId="8973" xr:uid="{00000000-0005-0000-0000-000037170000}"/>
    <cellStyle name="Normal 4 4 2 3 5 3" xfId="6828" xr:uid="{00000000-0005-0000-0000-000038170000}"/>
    <cellStyle name="Normal 4 4 2 3 6" xfId="2939" xr:uid="{00000000-0005-0000-0000-000039170000}"/>
    <cellStyle name="Normal 4 4 2 3 6 2" xfId="5168" xr:uid="{00000000-0005-0000-0000-00003A170000}"/>
    <cellStyle name="Normal 4 4 2 3 6 2 2" xfId="9386" xr:uid="{00000000-0005-0000-0000-00003B170000}"/>
    <cellStyle name="Normal 4 4 2 3 6 3" xfId="7241" xr:uid="{00000000-0005-0000-0000-00003C170000}"/>
    <cellStyle name="Normal 4 4 2 3 7" xfId="3375" xr:uid="{00000000-0005-0000-0000-00003D170000}"/>
    <cellStyle name="Normal 4 4 2 3 7 2" xfId="7654" xr:uid="{00000000-0005-0000-0000-00003E170000}"/>
    <cellStyle name="Normal 4 4 2 3 8" xfId="5589" xr:uid="{00000000-0005-0000-0000-00003F170000}"/>
    <cellStyle name="Normal 4 4 2 3 9" xfId="1285" xr:uid="{00000000-0005-0000-0000-000040170000}"/>
    <cellStyle name="Normal 4 4 2 4" xfId="389" xr:uid="{00000000-0005-0000-0000-000041170000}"/>
    <cellStyle name="Normal 4 4 2 4 2" xfId="869" xr:uid="{00000000-0005-0000-0000-000042170000}"/>
    <cellStyle name="Normal 4 4 2 4 2 2" xfId="3931" xr:uid="{00000000-0005-0000-0000-000043170000}"/>
    <cellStyle name="Normal 4 4 2 4 2 2 2" xfId="8149" xr:uid="{00000000-0005-0000-0000-000044170000}"/>
    <cellStyle name="Normal 4 4 2 4 2 3" xfId="6004" xr:uid="{00000000-0005-0000-0000-000045170000}"/>
    <cellStyle name="Normal 4 4 2 4 2 4" xfId="1702" xr:uid="{00000000-0005-0000-0000-000046170000}"/>
    <cellStyle name="Normal 4 4 2 4 3" xfId="2115" xr:uid="{00000000-0005-0000-0000-000047170000}"/>
    <cellStyle name="Normal 4 4 2 4 3 2" xfId="4344" xr:uid="{00000000-0005-0000-0000-000048170000}"/>
    <cellStyle name="Normal 4 4 2 4 3 2 2" xfId="8562" xr:uid="{00000000-0005-0000-0000-000049170000}"/>
    <cellStyle name="Normal 4 4 2 4 3 3" xfId="6417" xr:uid="{00000000-0005-0000-0000-00004A170000}"/>
    <cellStyle name="Normal 4 4 2 4 4" xfId="2528" xr:uid="{00000000-0005-0000-0000-00004B170000}"/>
    <cellStyle name="Normal 4 4 2 4 4 2" xfId="4757" xr:uid="{00000000-0005-0000-0000-00004C170000}"/>
    <cellStyle name="Normal 4 4 2 4 4 2 2" xfId="8975" xr:uid="{00000000-0005-0000-0000-00004D170000}"/>
    <cellStyle name="Normal 4 4 2 4 4 3" xfId="6830" xr:uid="{00000000-0005-0000-0000-00004E170000}"/>
    <cellStyle name="Normal 4 4 2 4 5" xfId="2941" xr:uid="{00000000-0005-0000-0000-00004F170000}"/>
    <cellStyle name="Normal 4 4 2 4 5 2" xfId="5170" xr:uid="{00000000-0005-0000-0000-000050170000}"/>
    <cellStyle name="Normal 4 4 2 4 5 2 2" xfId="9388" xr:uid="{00000000-0005-0000-0000-000051170000}"/>
    <cellStyle name="Normal 4 4 2 4 5 3" xfId="7243" xr:uid="{00000000-0005-0000-0000-000052170000}"/>
    <cellStyle name="Normal 4 4 2 4 6" xfId="3377" xr:uid="{00000000-0005-0000-0000-000053170000}"/>
    <cellStyle name="Normal 4 4 2 4 6 2" xfId="7656" xr:uid="{00000000-0005-0000-0000-000054170000}"/>
    <cellStyle name="Normal 4 4 2 4 7" xfId="5591" xr:uid="{00000000-0005-0000-0000-000055170000}"/>
    <cellStyle name="Normal 4 4 2 4 8" xfId="1287" xr:uid="{00000000-0005-0000-0000-000056170000}"/>
    <cellStyle name="Normal 4 4 2 5" xfId="862" xr:uid="{00000000-0005-0000-0000-000057170000}"/>
    <cellStyle name="Normal 4 4 2 5 2" xfId="3924" xr:uid="{00000000-0005-0000-0000-000058170000}"/>
    <cellStyle name="Normal 4 4 2 5 2 2" xfId="8142" xr:uid="{00000000-0005-0000-0000-000059170000}"/>
    <cellStyle name="Normal 4 4 2 5 3" xfId="5997" xr:uid="{00000000-0005-0000-0000-00005A170000}"/>
    <cellStyle name="Normal 4 4 2 5 4" xfId="1695" xr:uid="{00000000-0005-0000-0000-00005B170000}"/>
    <cellStyle name="Normal 4 4 2 6" xfId="2108" xr:uid="{00000000-0005-0000-0000-00005C170000}"/>
    <cellStyle name="Normal 4 4 2 6 2" xfId="4337" xr:uid="{00000000-0005-0000-0000-00005D170000}"/>
    <cellStyle name="Normal 4 4 2 6 2 2" xfId="8555" xr:uid="{00000000-0005-0000-0000-00005E170000}"/>
    <cellStyle name="Normal 4 4 2 6 3" xfId="6410" xr:uid="{00000000-0005-0000-0000-00005F170000}"/>
    <cellStyle name="Normal 4 4 2 7" xfId="2521" xr:uid="{00000000-0005-0000-0000-000060170000}"/>
    <cellStyle name="Normal 4 4 2 7 2" xfId="4750" xr:uid="{00000000-0005-0000-0000-000061170000}"/>
    <cellStyle name="Normal 4 4 2 7 2 2" xfId="8968" xr:uid="{00000000-0005-0000-0000-000062170000}"/>
    <cellStyle name="Normal 4 4 2 7 3" xfId="6823" xr:uid="{00000000-0005-0000-0000-000063170000}"/>
    <cellStyle name="Normal 4 4 2 8" xfId="2934" xr:uid="{00000000-0005-0000-0000-000064170000}"/>
    <cellStyle name="Normal 4 4 2 8 2" xfId="5163" xr:uid="{00000000-0005-0000-0000-000065170000}"/>
    <cellStyle name="Normal 4 4 2 8 2 2" xfId="9381" xr:uid="{00000000-0005-0000-0000-000066170000}"/>
    <cellStyle name="Normal 4 4 2 8 3" xfId="7236" xr:uid="{00000000-0005-0000-0000-000067170000}"/>
    <cellStyle name="Normal 4 4 2 9" xfId="3370" xr:uid="{00000000-0005-0000-0000-000068170000}"/>
    <cellStyle name="Normal 4 4 2 9 2" xfId="7649" xr:uid="{00000000-0005-0000-0000-000069170000}"/>
    <cellStyle name="Normal 4 4 3" xfId="390" xr:uid="{00000000-0005-0000-0000-00006A170000}"/>
    <cellStyle name="Normal 4 4 3 10" xfId="1288" xr:uid="{00000000-0005-0000-0000-00006B170000}"/>
    <cellStyle name="Normal 4 4 3 2" xfId="391" xr:uid="{00000000-0005-0000-0000-00006C170000}"/>
    <cellStyle name="Normal 4 4 3 2 2" xfId="392" xr:uid="{00000000-0005-0000-0000-00006D170000}"/>
    <cellStyle name="Normal 4 4 3 2 2 2" xfId="872" xr:uid="{00000000-0005-0000-0000-00006E170000}"/>
    <cellStyle name="Normal 4 4 3 2 2 2 2" xfId="3934" xr:uid="{00000000-0005-0000-0000-00006F170000}"/>
    <cellStyle name="Normal 4 4 3 2 2 2 2 2" xfId="8152" xr:uid="{00000000-0005-0000-0000-000070170000}"/>
    <cellStyle name="Normal 4 4 3 2 2 2 3" xfId="6007" xr:uid="{00000000-0005-0000-0000-000071170000}"/>
    <cellStyle name="Normal 4 4 3 2 2 2 4" xfId="1705" xr:uid="{00000000-0005-0000-0000-000072170000}"/>
    <cellStyle name="Normal 4 4 3 2 2 3" xfId="2118" xr:uid="{00000000-0005-0000-0000-000073170000}"/>
    <cellStyle name="Normal 4 4 3 2 2 3 2" xfId="4347" xr:uid="{00000000-0005-0000-0000-000074170000}"/>
    <cellStyle name="Normal 4 4 3 2 2 3 2 2" xfId="8565" xr:uid="{00000000-0005-0000-0000-000075170000}"/>
    <cellStyle name="Normal 4 4 3 2 2 3 3" xfId="6420" xr:uid="{00000000-0005-0000-0000-000076170000}"/>
    <cellStyle name="Normal 4 4 3 2 2 4" xfId="2531" xr:uid="{00000000-0005-0000-0000-000077170000}"/>
    <cellStyle name="Normal 4 4 3 2 2 4 2" xfId="4760" xr:uid="{00000000-0005-0000-0000-000078170000}"/>
    <cellStyle name="Normal 4 4 3 2 2 4 2 2" xfId="8978" xr:uid="{00000000-0005-0000-0000-000079170000}"/>
    <cellStyle name="Normal 4 4 3 2 2 4 3" xfId="6833" xr:uid="{00000000-0005-0000-0000-00007A170000}"/>
    <cellStyle name="Normal 4 4 3 2 2 5" xfId="2944" xr:uid="{00000000-0005-0000-0000-00007B170000}"/>
    <cellStyle name="Normal 4 4 3 2 2 5 2" xfId="5173" xr:uid="{00000000-0005-0000-0000-00007C170000}"/>
    <cellStyle name="Normal 4 4 3 2 2 5 2 2" xfId="9391" xr:uid="{00000000-0005-0000-0000-00007D170000}"/>
    <cellStyle name="Normal 4 4 3 2 2 5 3" xfId="7246" xr:uid="{00000000-0005-0000-0000-00007E170000}"/>
    <cellStyle name="Normal 4 4 3 2 2 6" xfId="3380" xr:uid="{00000000-0005-0000-0000-00007F170000}"/>
    <cellStyle name="Normal 4 4 3 2 2 6 2" xfId="7659" xr:uid="{00000000-0005-0000-0000-000080170000}"/>
    <cellStyle name="Normal 4 4 3 2 2 7" xfId="5594" xr:uid="{00000000-0005-0000-0000-000081170000}"/>
    <cellStyle name="Normal 4 4 3 2 2 8" xfId="1290" xr:uid="{00000000-0005-0000-0000-000082170000}"/>
    <cellStyle name="Normal 4 4 3 2 3" xfId="871" xr:uid="{00000000-0005-0000-0000-000083170000}"/>
    <cellStyle name="Normal 4 4 3 2 3 2" xfId="3933" xr:uid="{00000000-0005-0000-0000-000084170000}"/>
    <cellStyle name="Normal 4 4 3 2 3 2 2" xfId="8151" xr:uid="{00000000-0005-0000-0000-000085170000}"/>
    <cellStyle name="Normal 4 4 3 2 3 3" xfId="6006" xr:uid="{00000000-0005-0000-0000-000086170000}"/>
    <cellStyle name="Normal 4 4 3 2 3 4" xfId="1704" xr:uid="{00000000-0005-0000-0000-000087170000}"/>
    <cellStyle name="Normal 4 4 3 2 4" xfId="2117" xr:uid="{00000000-0005-0000-0000-000088170000}"/>
    <cellStyle name="Normal 4 4 3 2 4 2" xfId="4346" xr:uid="{00000000-0005-0000-0000-000089170000}"/>
    <cellStyle name="Normal 4 4 3 2 4 2 2" xfId="8564" xr:uid="{00000000-0005-0000-0000-00008A170000}"/>
    <cellStyle name="Normal 4 4 3 2 4 3" xfId="6419" xr:uid="{00000000-0005-0000-0000-00008B170000}"/>
    <cellStyle name="Normal 4 4 3 2 5" xfId="2530" xr:uid="{00000000-0005-0000-0000-00008C170000}"/>
    <cellStyle name="Normal 4 4 3 2 5 2" xfId="4759" xr:uid="{00000000-0005-0000-0000-00008D170000}"/>
    <cellStyle name="Normal 4 4 3 2 5 2 2" xfId="8977" xr:uid="{00000000-0005-0000-0000-00008E170000}"/>
    <cellStyle name="Normal 4 4 3 2 5 3" xfId="6832" xr:uid="{00000000-0005-0000-0000-00008F170000}"/>
    <cellStyle name="Normal 4 4 3 2 6" xfId="2943" xr:uid="{00000000-0005-0000-0000-000090170000}"/>
    <cellStyle name="Normal 4 4 3 2 6 2" xfId="5172" xr:uid="{00000000-0005-0000-0000-000091170000}"/>
    <cellStyle name="Normal 4 4 3 2 6 2 2" xfId="9390" xr:uid="{00000000-0005-0000-0000-000092170000}"/>
    <cellStyle name="Normal 4 4 3 2 6 3" xfId="7245" xr:uid="{00000000-0005-0000-0000-000093170000}"/>
    <cellStyle name="Normal 4 4 3 2 7" xfId="3379" xr:uid="{00000000-0005-0000-0000-000094170000}"/>
    <cellStyle name="Normal 4 4 3 2 7 2" xfId="7658" xr:uid="{00000000-0005-0000-0000-000095170000}"/>
    <cellStyle name="Normal 4 4 3 2 8" xfId="5593" xr:uid="{00000000-0005-0000-0000-000096170000}"/>
    <cellStyle name="Normal 4 4 3 2 9" xfId="1289" xr:uid="{00000000-0005-0000-0000-000097170000}"/>
    <cellStyle name="Normal 4 4 3 3" xfId="393" xr:uid="{00000000-0005-0000-0000-000098170000}"/>
    <cellStyle name="Normal 4 4 3 3 2" xfId="873" xr:uid="{00000000-0005-0000-0000-000099170000}"/>
    <cellStyle name="Normal 4 4 3 3 2 2" xfId="3935" xr:uid="{00000000-0005-0000-0000-00009A170000}"/>
    <cellStyle name="Normal 4 4 3 3 2 2 2" xfId="8153" xr:uid="{00000000-0005-0000-0000-00009B170000}"/>
    <cellStyle name="Normal 4 4 3 3 2 3" xfId="6008" xr:uid="{00000000-0005-0000-0000-00009C170000}"/>
    <cellStyle name="Normal 4 4 3 3 2 4" xfId="1706" xr:uid="{00000000-0005-0000-0000-00009D170000}"/>
    <cellStyle name="Normal 4 4 3 3 3" xfId="2119" xr:uid="{00000000-0005-0000-0000-00009E170000}"/>
    <cellStyle name="Normal 4 4 3 3 3 2" xfId="4348" xr:uid="{00000000-0005-0000-0000-00009F170000}"/>
    <cellStyle name="Normal 4 4 3 3 3 2 2" xfId="8566" xr:uid="{00000000-0005-0000-0000-0000A0170000}"/>
    <cellStyle name="Normal 4 4 3 3 3 3" xfId="6421" xr:uid="{00000000-0005-0000-0000-0000A1170000}"/>
    <cellStyle name="Normal 4 4 3 3 4" xfId="2532" xr:uid="{00000000-0005-0000-0000-0000A2170000}"/>
    <cellStyle name="Normal 4 4 3 3 4 2" xfId="4761" xr:uid="{00000000-0005-0000-0000-0000A3170000}"/>
    <cellStyle name="Normal 4 4 3 3 4 2 2" xfId="8979" xr:uid="{00000000-0005-0000-0000-0000A4170000}"/>
    <cellStyle name="Normal 4 4 3 3 4 3" xfId="6834" xr:uid="{00000000-0005-0000-0000-0000A5170000}"/>
    <cellStyle name="Normal 4 4 3 3 5" xfId="2945" xr:uid="{00000000-0005-0000-0000-0000A6170000}"/>
    <cellStyle name="Normal 4 4 3 3 5 2" xfId="5174" xr:uid="{00000000-0005-0000-0000-0000A7170000}"/>
    <cellStyle name="Normal 4 4 3 3 5 2 2" xfId="9392" xr:uid="{00000000-0005-0000-0000-0000A8170000}"/>
    <cellStyle name="Normal 4 4 3 3 5 3" xfId="7247" xr:uid="{00000000-0005-0000-0000-0000A9170000}"/>
    <cellStyle name="Normal 4 4 3 3 6" xfId="3381" xr:uid="{00000000-0005-0000-0000-0000AA170000}"/>
    <cellStyle name="Normal 4 4 3 3 6 2" xfId="7660" xr:uid="{00000000-0005-0000-0000-0000AB170000}"/>
    <cellStyle name="Normal 4 4 3 3 7" xfId="5595" xr:uid="{00000000-0005-0000-0000-0000AC170000}"/>
    <cellStyle name="Normal 4 4 3 3 8" xfId="1291" xr:uid="{00000000-0005-0000-0000-0000AD170000}"/>
    <cellStyle name="Normal 4 4 3 4" xfId="870" xr:uid="{00000000-0005-0000-0000-0000AE170000}"/>
    <cellStyle name="Normal 4 4 3 4 2" xfId="3932" xr:uid="{00000000-0005-0000-0000-0000AF170000}"/>
    <cellStyle name="Normal 4 4 3 4 2 2" xfId="8150" xr:uid="{00000000-0005-0000-0000-0000B0170000}"/>
    <cellStyle name="Normal 4 4 3 4 3" xfId="6005" xr:uid="{00000000-0005-0000-0000-0000B1170000}"/>
    <cellStyle name="Normal 4 4 3 4 4" xfId="1703" xr:uid="{00000000-0005-0000-0000-0000B2170000}"/>
    <cellStyle name="Normal 4 4 3 5" xfId="2116" xr:uid="{00000000-0005-0000-0000-0000B3170000}"/>
    <cellStyle name="Normal 4 4 3 5 2" xfId="4345" xr:uid="{00000000-0005-0000-0000-0000B4170000}"/>
    <cellStyle name="Normal 4 4 3 5 2 2" xfId="8563" xr:uid="{00000000-0005-0000-0000-0000B5170000}"/>
    <cellStyle name="Normal 4 4 3 5 3" xfId="6418" xr:uid="{00000000-0005-0000-0000-0000B6170000}"/>
    <cellStyle name="Normal 4 4 3 6" xfId="2529" xr:uid="{00000000-0005-0000-0000-0000B7170000}"/>
    <cellStyle name="Normal 4 4 3 6 2" xfId="4758" xr:uid="{00000000-0005-0000-0000-0000B8170000}"/>
    <cellStyle name="Normal 4 4 3 6 2 2" xfId="8976" xr:uid="{00000000-0005-0000-0000-0000B9170000}"/>
    <cellStyle name="Normal 4 4 3 6 3" xfId="6831" xr:uid="{00000000-0005-0000-0000-0000BA170000}"/>
    <cellStyle name="Normal 4 4 3 7" xfId="2942" xr:uid="{00000000-0005-0000-0000-0000BB170000}"/>
    <cellStyle name="Normal 4 4 3 7 2" xfId="5171" xr:uid="{00000000-0005-0000-0000-0000BC170000}"/>
    <cellStyle name="Normal 4 4 3 7 2 2" xfId="9389" xr:uid="{00000000-0005-0000-0000-0000BD170000}"/>
    <cellStyle name="Normal 4 4 3 7 3" xfId="7244" xr:uid="{00000000-0005-0000-0000-0000BE170000}"/>
    <cellStyle name="Normal 4 4 3 8" xfId="3378" xr:uid="{00000000-0005-0000-0000-0000BF170000}"/>
    <cellStyle name="Normal 4 4 3 8 2" xfId="7657" xr:uid="{00000000-0005-0000-0000-0000C0170000}"/>
    <cellStyle name="Normal 4 4 3 9" xfId="5592" xr:uid="{00000000-0005-0000-0000-0000C1170000}"/>
    <cellStyle name="Normal 4 4 4" xfId="394" xr:uid="{00000000-0005-0000-0000-0000C2170000}"/>
    <cellStyle name="Normal 4 4 4 2" xfId="395" xr:uid="{00000000-0005-0000-0000-0000C3170000}"/>
    <cellStyle name="Normal 4 4 4 2 2" xfId="875" xr:uid="{00000000-0005-0000-0000-0000C4170000}"/>
    <cellStyle name="Normal 4 4 4 2 2 2" xfId="3937" xr:uid="{00000000-0005-0000-0000-0000C5170000}"/>
    <cellStyle name="Normal 4 4 4 2 2 2 2" xfId="8155" xr:uid="{00000000-0005-0000-0000-0000C6170000}"/>
    <cellStyle name="Normal 4 4 4 2 2 3" xfId="6010" xr:uid="{00000000-0005-0000-0000-0000C7170000}"/>
    <cellStyle name="Normal 4 4 4 2 2 4" xfId="1708" xr:uid="{00000000-0005-0000-0000-0000C8170000}"/>
    <cellStyle name="Normal 4 4 4 2 3" xfId="2121" xr:uid="{00000000-0005-0000-0000-0000C9170000}"/>
    <cellStyle name="Normal 4 4 4 2 3 2" xfId="4350" xr:uid="{00000000-0005-0000-0000-0000CA170000}"/>
    <cellStyle name="Normal 4 4 4 2 3 2 2" xfId="8568" xr:uid="{00000000-0005-0000-0000-0000CB170000}"/>
    <cellStyle name="Normal 4 4 4 2 3 3" xfId="6423" xr:uid="{00000000-0005-0000-0000-0000CC170000}"/>
    <cellStyle name="Normal 4 4 4 2 4" xfId="2534" xr:uid="{00000000-0005-0000-0000-0000CD170000}"/>
    <cellStyle name="Normal 4 4 4 2 4 2" xfId="4763" xr:uid="{00000000-0005-0000-0000-0000CE170000}"/>
    <cellStyle name="Normal 4 4 4 2 4 2 2" xfId="8981" xr:uid="{00000000-0005-0000-0000-0000CF170000}"/>
    <cellStyle name="Normal 4 4 4 2 4 3" xfId="6836" xr:uid="{00000000-0005-0000-0000-0000D0170000}"/>
    <cellStyle name="Normal 4 4 4 2 5" xfId="2947" xr:uid="{00000000-0005-0000-0000-0000D1170000}"/>
    <cellStyle name="Normal 4 4 4 2 5 2" xfId="5176" xr:uid="{00000000-0005-0000-0000-0000D2170000}"/>
    <cellStyle name="Normal 4 4 4 2 5 2 2" xfId="9394" xr:uid="{00000000-0005-0000-0000-0000D3170000}"/>
    <cellStyle name="Normal 4 4 4 2 5 3" xfId="7249" xr:uid="{00000000-0005-0000-0000-0000D4170000}"/>
    <cellStyle name="Normal 4 4 4 2 6" xfId="3383" xr:uid="{00000000-0005-0000-0000-0000D5170000}"/>
    <cellStyle name="Normal 4 4 4 2 6 2" xfId="7662" xr:uid="{00000000-0005-0000-0000-0000D6170000}"/>
    <cellStyle name="Normal 4 4 4 2 7" xfId="5597" xr:uid="{00000000-0005-0000-0000-0000D7170000}"/>
    <cellStyle name="Normal 4 4 4 2 8" xfId="1293" xr:uid="{00000000-0005-0000-0000-0000D8170000}"/>
    <cellStyle name="Normal 4 4 4 3" xfId="874" xr:uid="{00000000-0005-0000-0000-0000D9170000}"/>
    <cellStyle name="Normal 4 4 4 3 2" xfId="3936" xr:uid="{00000000-0005-0000-0000-0000DA170000}"/>
    <cellStyle name="Normal 4 4 4 3 2 2" xfId="8154" xr:uid="{00000000-0005-0000-0000-0000DB170000}"/>
    <cellStyle name="Normal 4 4 4 3 3" xfId="6009" xr:uid="{00000000-0005-0000-0000-0000DC170000}"/>
    <cellStyle name="Normal 4 4 4 3 4" xfId="1707" xr:uid="{00000000-0005-0000-0000-0000DD170000}"/>
    <cellStyle name="Normal 4 4 4 4" xfId="2120" xr:uid="{00000000-0005-0000-0000-0000DE170000}"/>
    <cellStyle name="Normal 4 4 4 4 2" xfId="4349" xr:uid="{00000000-0005-0000-0000-0000DF170000}"/>
    <cellStyle name="Normal 4 4 4 4 2 2" xfId="8567" xr:uid="{00000000-0005-0000-0000-0000E0170000}"/>
    <cellStyle name="Normal 4 4 4 4 3" xfId="6422" xr:uid="{00000000-0005-0000-0000-0000E1170000}"/>
    <cellStyle name="Normal 4 4 4 5" xfId="2533" xr:uid="{00000000-0005-0000-0000-0000E2170000}"/>
    <cellStyle name="Normal 4 4 4 5 2" xfId="4762" xr:uid="{00000000-0005-0000-0000-0000E3170000}"/>
    <cellStyle name="Normal 4 4 4 5 2 2" xfId="8980" xr:uid="{00000000-0005-0000-0000-0000E4170000}"/>
    <cellStyle name="Normal 4 4 4 5 3" xfId="6835" xr:uid="{00000000-0005-0000-0000-0000E5170000}"/>
    <cellStyle name="Normal 4 4 4 6" xfId="2946" xr:uid="{00000000-0005-0000-0000-0000E6170000}"/>
    <cellStyle name="Normal 4 4 4 6 2" xfId="5175" xr:uid="{00000000-0005-0000-0000-0000E7170000}"/>
    <cellStyle name="Normal 4 4 4 6 2 2" xfId="9393" xr:uid="{00000000-0005-0000-0000-0000E8170000}"/>
    <cellStyle name="Normal 4 4 4 6 3" xfId="7248" xr:uid="{00000000-0005-0000-0000-0000E9170000}"/>
    <cellStyle name="Normal 4 4 4 7" xfId="3382" xr:uid="{00000000-0005-0000-0000-0000EA170000}"/>
    <cellStyle name="Normal 4 4 4 7 2" xfId="7661" xr:uid="{00000000-0005-0000-0000-0000EB170000}"/>
    <cellStyle name="Normal 4 4 4 8" xfId="5596" xr:uid="{00000000-0005-0000-0000-0000EC170000}"/>
    <cellStyle name="Normal 4 4 4 9" xfId="1292" xr:uid="{00000000-0005-0000-0000-0000ED170000}"/>
    <cellStyle name="Normal 4 4 5" xfId="396" xr:uid="{00000000-0005-0000-0000-0000EE170000}"/>
    <cellStyle name="Normal 4 4 5 2" xfId="876" xr:uid="{00000000-0005-0000-0000-0000EF170000}"/>
    <cellStyle name="Normal 4 4 5 2 2" xfId="3938" xr:uid="{00000000-0005-0000-0000-0000F0170000}"/>
    <cellStyle name="Normal 4 4 5 2 2 2" xfId="8156" xr:uid="{00000000-0005-0000-0000-0000F1170000}"/>
    <cellStyle name="Normal 4 4 5 2 3" xfId="6011" xr:uid="{00000000-0005-0000-0000-0000F2170000}"/>
    <cellStyle name="Normal 4 4 5 2 4" xfId="1709" xr:uid="{00000000-0005-0000-0000-0000F3170000}"/>
    <cellStyle name="Normal 4 4 5 3" xfId="2122" xr:uid="{00000000-0005-0000-0000-0000F4170000}"/>
    <cellStyle name="Normal 4 4 5 3 2" xfId="4351" xr:uid="{00000000-0005-0000-0000-0000F5170000}"/>
    <cellStyle name="Normal 4 4 5 3 2 2" xfId="8569" xr:uid="{00000000-0005-0000-0000-0000F6170000}"/>
    <cellStyle name="Normal 4 4 5 3 3" xfId="6424" xr:uid="{00000000-0005-0000-0000-0000F7170000}"/>
    <cellStyle name="Normal 4 4 5 4" xfId="2535" xr:uid="{00000000-0005-0000-0000-0000F8170000}"/>
    <cellStyle name="Normal 4 4 5 4 2" xfId="4764" xr:uid="{00000000-0005-0000-0000-0000F9170000}"/>
    <cellStyle name="Normal 4 4 5 4 2 2" xfId="8982" xr:uid="{00000000-0005-0000-0000-0000FA170000}"/>
    <cellStyle name="Normal 4 4 5 4 3" xfId="6837" xr:uid="{00000000-0005-0000-0000-0000FB170000}"/>
    <cellStyle name="Normal 4 4 5 5" xfId="2948" xr:uid="{00000000-0005-0000-0000-0000FC170000}"/>
    <cellStyle name="Normal 4 4 5 5 2" xfId="5177" xr:uid="{00000000-0005-0000-0000-0000FD170000}"/>
    <cellStyle name="Normal 4 4 5 5 2 2" xfId="9395" xr:uid="{00000000-0005-0000-0000-0000FE170000}"/>
    <cellStyle name="Normal 4 4 5 5 3" xfId="7250" xr:uid="{00000000-0005-0000-0000-0000FF170000}"/>
    <cellStyle name="Normal 4 4 5 6" xfId="3384" xr:uid="{00000000-0005-0000-0000-000000180000}"/>
    <cellStyle name="Normal 4 4 5 6 2" xfId="7663" xr:uid="{00000000-0005-0000-0000-000001180000}"/>
    <cellStyle name="Normal 4 4 5 7" xfId="5598" xr:uid="{00000000-0005-0000-0000-000002180000}"/>
    <cellStyle name="Normal 4 4 5 8" xfId="1294" xr:uid="{00000000-0005-0000-0000-000003180000}"/>
    <cellStyle name="Normal 4 4 6" xfId="861" xr:uid="{00000000-0005-0000-0000-000004180000}"/>
    <cellStyle name="Normal 4 4 6 2" xfId="3923" xr:uid="{00000000-0005-0000-0000-000005180000}"/>
    <cellStyle name="Normal 4 4 6 2 2" xfId="8141" xr:uid="{00000000-0005-0000-0000-000006180000}"/>
    <cellStyle name="Normal 4 4 6 3" xfId="5996" xr:uid="{00000000-0005-0000-0000-000007180000}"/>
    <cellStyle name="Normal 4 4 6 4" xfId="1694" xr:uid="{00000000-0005-0000-0000-000008180000}"/>
    <cellStyle name="Normal 4 4 7" xfId="2107" xr:uid="{00000000-0005-0000-0000-000009180000}"/>
    <cellStyle name="Normal 4 4 7 2" xfId="4336" xr:uid="{00000000-0005-0000-0000-00000A180000}"/>
    <cellStyle name="Normal 4 4 7 2 2" xfId="8554" xr:uid="{00000000-0005-0000-0000-00000B180000}"/>
    <cellStyle name="Normal 4 4 7 3" xfId="6409" xr:uid="{00000000-0005-0000-0000-00000C180000}"/>
    <cellStyle name="Normal 4 4 8" xfId="2520" xr:uid="{00000000-0005-0000-0000-00000D180000}"/>
    <cellStyle name="Normal 4 4 8 2" xfId="4749" xr:uid="{00000000-0005-0000-0000-00000E180000}"/>
    <cellStyle name="Normal 4 4 8 2 2" xfId="8967" xr:uid="{00000000-0005-0000-0000-00000F180000}"/>
    <cellStyle name="Normal 4 4 8 3" xfId="6822" xr:uid="{00000000-0005-0000-0000-000010180000}"/>
    <cellStyle name="Normal 4 4 9" xfId="2933" xr:uid="{00000000-0005-0000-0000-000011180000}"/>
    <cellStyle name="Normal 4 4 9 2" xfId="5162" xr:uid="{00000000-0005-0000-0000-000012180000}"/>
    <cellStyle name="Normal 4 4 9 2 2" xfId="9380" xr:uid="{00000000-0005-0000-0000-000013180000}"/>
    <cellStyle name="Normal 4 4 9 3" xfId="7235" xr:uid="{00000000-0005-0000-0000-000014180000}"/>
    <cellStyle name="Normal 4 5" xfId="397" xr:uid="{00000000-0005-0000-0000-000015180000}"/>
    <cellStyle name="Normal 4 6" xfId="398" xr:uid="{00000000-0005-0000-0000-000016180000}"/>
    <cellStyle name="Normal 4 6 10" xfId="5599" xr:uid="{00000000-0005-0000-0000-000017180000}"/>
    <cellStyle name="Normal 4 6 11" xfId="1295" xr:uid="{00000000-0005-0000-0000-000018180000}"/>
    <cellStyle name="Normal 4 6 2" xfId="399" xr:uid="{00000000-0005-0000-0000-000019180000}"/>
    <cellStyle name="Normal 4 6 2 10" xfId="1296" xr:uid="{00000000-0005-0000-0000-00001A180000}"/>
    <cellStyle name="Normal 4 6 2 2" xfId="400" xr:uid="{00000000-0005-0000-0000-00001B180000}"/>
    <cellStyle name="Normal 4 6 2 2 2" xfId="401" xr:uid="{00000000-0005-0000-0000-00001C180000}"/>
    <cellStyle name="Normal 4 6 2 2 2 2" xfId="880" xr:uid="{00000000-0005-0000-0000-00001D180000}"/>
    <cellStyle name="Normal 4 6 2 2 2 2 2" xfId="3942" xr:uid="{00000000-0005-0000-0000-00001E180000}"/>
    <cellStyle name="Normal 4 6 2 2 2 2 2 2" xfId="8160" xr:uid="{00000000-0005-0000-0000-00001F180000}"/>
    <cellStyle name="Normal 4 6 2 2 2 2 3" xfId="6015" xr:uid="{00000000-0005-0000-0000-000020180000}"/>
    <cellStyle name="Normal 4 6 2 2 2 2 4" xfId="1713" xr:uid="{00000000-0005-0000-0000-000021180000}"/>
    <cellStyle name="Normal 4 6 2 2 2 3" xfId="2126" xr:uid="{00000000-0005-0000-0000-000022180000}"/>
    <cellStyle name="Normal 4 6 2 2 2 3 2" xfId="4355" xr:uid="{00000000-0005-0000-0000-000023180000}"/>
    <cellStyle name="Normal 4 6 2 2 2 3 2 2" xfId="8573" xr:uid="{00000000-0005-0000-0000-000024180000}"/>
    <cellStyle name="Normal 4 6 2 2 2 3 3" xfId="6428" xr:uid="{00000000-0005-0000-0000-000025180000}"/>
    <cellStyle name="Normal 4 6 2 2 2 4" xfId="2539" xr:uid="{00000000-0005-0000-0000-000026180000}"/>
    <cellStyle name="Normal 4 6 2 2 2 4 2" xfId="4768" xr:uid="{00000000-0005-0000-0000-000027180000}"/>
    <cellStyle name="Normal 4 6 2 2 2 4 2 2" xfId="8986" xr:uid="{00000000-0005-0000-0000-000028180000}"/>
    <cellStyle name="Normal 4 6 2 2 2 4 3" xfId="6841" xr:uid="{00000000-0005-0000-0000-000029180000}"/>
    <cellStyle name="Normal 4 6 2 2 2 5" xfId="2952" xr:uid="{00000000-0005-0000-0000-00002A180000}"/>
    <cellStyle name="Normal 4 6 2 2 2 5 2" xfId="5181" xr:uid="{00000000-0005-0000-0000-00002B180000}"/>
    <cellStyle name="Normal 4 6 2 2 2 5 2 2" xfId="9399" xr:uid="{00000000-0005-0000-0000-00002C180000}"/>
    <cellStyle name="Normal 4 6 2 2 2 5 3" xfId="7254" xr:uid="{00000000-0005-0000-0000-00002D180000}"/>
    <cellStyle name="Normal 4 6 2 2 2 6" xfId="3388" xr:uid="{00000000-0005-0000-0000-00002E180000}"/>
    <cellStyle name="Normal 4 6 2 2 2 6 2" xfId="7667" xr:uid="{00000000-0005-0000-0000-00002F180000}"/>
    <cellStyle name="Normal 4 6 2 2 2 7" xfId="5602" xr:uid="{00000000-0005-0000-0000-000030180000}"/>
    <cellStyle name="Normal 4 6 2 2 2 8" xfId="1298" xr:uid="{00000000-0005-0000-0000-000031180000}"/>
    <cellStyle name="Normal 4 6 2 2 3" xfId="879" xr:uid="{00000000-0005-0000-0000-000032180000}"/>
    <cellStyle name="Normal 4 6 2 2 3 2" xfId="3941" xr:uid="{00000000-0005-0000-0000-000033180000}"/>
    <cellStyle name="Normal 4 6 2 2 3 2 2" xfId="8159" xr:uid="{00000000-0005-0000-0000-000034180000}"/>
    <cellStyle name="Normal 4 6 2 2 3 3" xfId="6014" xr:uid="{00000000-0005-0000-0000-000035180000}"/>
    <cellStyle name="Normal 4 6 2 2 3 4" xfId="1712" xr:uid="{00000000-0005-0000-0000-000036180000}"/>
    <cellStyle name="Normal 4 6 2 2 4" xfId="2125" xr:uid="{00000000-0005-0000-0000-000037180000}"/>
    <cellStyle name="Normal 4 6 2 2 4 2" xfId="4354" xr:uid="{00000000-0005-0000-0000-000038180000}"/>
    <cellStyle name="Normal 4 6 2 2 4 2 2" xfId="8572" xr:uid="{00000000-0005-0000-0000-000039180000}"/>
    <cellStyle name="Normal 4 6 2 2 4 3" xfId="6427" xr:uid="{00000000-0005-0000-0000-00003A180000}"/>
    <cellStyle name="Normal 4 6 2 2 5" xfId="2538" xr:uid="{00000000-0005-0000-0000-00003B180000}"/>
    <cellStyle name="Normal 4 6 2 2 5 2" xfId="4767" xr:uid="{00000000-0005-0000-0000-00003C180000}"/>
    <cellStyle name="Normal 4 6 2 2 5 2 2" xfId="8985" xr:uid="{00000000-0005-0000-0000-00003D180000}"/>
    <cellStyle name="Normal 4 6 2 2 5 3" xfId="6840" xr:uid="{00000000-0005-0000-0000-00003E180000}"/>
    <cellStyle name="Normal 4 6 2 2 6" xfId="2951" xr:uid="{00000000-0005-0000-0000-00003F180000}"/>
    <cellStyle name="Normal 4 6 2 2 6 2" xfId="5180" xr:uid="{00000000-0005-0000-0000-000040180000}"/>
    <cellStyle name="Normal 4 6 2 2 6 2 2" xfId="9398" xr:uid="{00000000-0005-0000-0000-000041180000}"/>
    <cellStyle name="Normal 4 6 2 2 6 3" xfId="7253" xr:uid="{00000000-0005-0000-0000-000042180000}"/>
    <cellStyle name="Normal 4 6 2 2 7" xfId="3387" xr:uid="{00000000-0005-0000-0000-000043180000}"/>
    <cellStyle name="Normal 4 6 2 2 7 2" xfId="7666" xr:uid="{00000000-0005-0000-0000-000044180000}"/>
    <cellStyle name="Normal 4 6 2 2 8" xfId="5601" xr:uid="{00000000-0005-0000-0000-000045180000}"/>
    <cellStyle name="Normal 4 6 2 2 9" xfId="1297" xr:uid="{00000000-0005-0000-0000-000046180000}"/>
    <cellStyle name="Normal 4 6 2 3" xfId="402" xr:uid="{00000000-0005-0000-0000-000047180000}"/>
    <cellStyle name="Normal 4 6 2 3 2" xfId="881" xr:uid="{00000000-0005-0000-0000-000048180000}"/>
    <cellStyle name="Normal 4 6 2 3 2 2" xfId="3943" xr:uid="{00000000-0005-0000-0000-000049180000}"/>
    <cellStyle name="Normal 4 6 2 3 2 2 2" xfId="8161" xr:uid="{00000000-0005-0000-0000-00004A180000}"/>
    <cellStyle name="Normal 4 6 2 3 2 3" xfId="6016" xr:uid="{00000000-0005-0000-0000-00004B180000}"/>
    <cellStyle name="Normal 4 6 2 3 2 4" xfId="1714" xr:uid="{00000000-0005-0000-0000-00004C180000}"/>
    <cellStyle name="Normal 4 6 2 3 3" xfId="2127" xr:uid="{00000000-0005-0000-0000-00004D180000}"/>
    <cellStyle name="Normal 4 6 2 3 3 2" xfId="4356" xr:uid="{00000000-0005-0000-0000-00004E180000}"/>
    <cellStyle name="Normal 4 6 2 3 3 2 2" xfId="8574" xr:uid="{00000000-0005-0000-0000-00004F180000}"/>
    <cellStyle name="Normal 4 6 2 3 3 3" xfId="6429" xr:uid="{00000000-0005-0000-0000-000050180000}"/>
    <cellStyle name="Normal 4 6 2 3 4" xfId="2540" xr:uid="{00000000-0005-0000-0000-000051180000}"/>
    <cellStyle name="Normal 4 6 2 3 4 2" xfId="4769" xr:uid="{00000000-0005-0000-0000-000052180000}"/>
    <cellStyle name="Normal 4 6 2 3 4 2 2" xfId="8987" xr:uid="{00000000-0005-0000-0000-000053180000}"/>
    <cellStyle name="Normal 4 6 2 3 4 3" xfId="6842" xr:uid="{00000000-0005-0000-0000-000054180000}"/>
    <cellStyle name="Normal 4 6 2 3 5" xfId="2953" xr:uid="{00000000-0005-0000-0000-000055180000}"/>
    <cellStyle name="Normal 4 6 2 3 5 2" xfId="5182" xr:uid="{00000000-0005-0000-0000-000056180000}"/>
    <cellStyle name="Normal 4 6 2 3 5 2 2" xfId="9400" xr:uid="{00000000-0005-0000-0000-000057180000}"/>
    <cellStyle name="Normal 4 6 2 3 5 3" xfId="7255" xr:uid="{00000000-0005-0000-0000-000058180000}"/>
    <cellStyle name="Normal 4 6 2 3 6" xfId="3389" xr:uid="{00000000-0005-0000-0000-000059180000}"/>
    <cellStyle name="Normal 4 6 2 3 6 2" xfId="7668" xr:uid="{00000000-0005-0000-0000-00005A180000}"/>
    <cellStyle name="Normal 4 6 2 3 7" xfId="5603" xr:uid="{00000000-0005-0000-0000-00005B180000}"/>
    <cellStyle name="Normal 4 6 2 3 8" xfId="1299" xr:uid="{00000000-0005-0000-0000-00005C180000}"/>
    <cellStyle name="Normal 4 6 2 4" xfId="878" xr:uid="{00000000-0005-0000-0000-00005D180000}"/>
    <cellStyle name="Normal 4 6 2 4 2" xfId="3940" xr:uid="{00000000-0005-0000-0000-00005E180000}"/>
    <cellStyle name="Normal 4 6 2 4 2 2" xfId="8158" xr:uid="{00000000-0005-0000-0000-00005F180000}"/>
    <cellStyle name="Normal 4 6 2 4 3" xfId="6013" xr:uid="{00000000-0005-0000-0000-000060180000}"/>
    <cellStyle name="Normal 4 6 2 4 4" xfId="1711" xr:uid="{00000000-0005-0000-0000-000061180000}"/>
    <cellStyle name="Normal 4 6 2 5" xfId="2124" xr:uid="{00000000-0005-0000-0000-000062180000}"/>
    <cellStyle name="Normal 4 6 2 5 2" xfId="4353" xr:uid="{00000000-0005-0000-0000-000063180000}"/>
    <cellStyle name="Normal 4 6 2 5 2 2" xfId="8571" xr:uid="{00000000-0005-0000-0000-000064180000}"/>
    <cellStyle name="Normal 4 6 2 5 3" xfId="6426" xr:uid="{00000000-0005-0000-0000-000065180000}"/>
    <cellStyle name="Normal 4 6 2 6" xfId="2537" xr:uid="{00000000-0005-0000-0000-000066180000}"/>
    <cellStyle name="Normal 4 6 2 6 2" xfId="4766" xr:uid="{00000000-0005-0000-0000-000067180000}"/>
    <cellStyle name="Normal 4 6 2 6 2 2" xfId="8984" xr:uid="{00000000-0005-0000-0000-000068180000}"/>
    <cellStyle name="Normal 4 6 2 6 3" xfId="6839" xr:uid="{00000000-0005-0000-0000-000069180000}"/>
    <cellStyle name="Normal 4 6 2 7" xfId="2950" xr:uid="{00000000-0005-0000-0000-00006A180000}"/>
    <cellStyle name="Normal 4 6 2 7 2" xfId="5179" xr:uid="{00000000-0005-0000-0000-00006B180000}"/>
    <cellStyle name="Normal 4 6 2 7 2 2" xfId="9397" xr:uid="{00000000-0005-0000-0000-00006C180000}"/>
    <cellStyle name="Normal 4 6 2 7 3" xfId="7252" xr:uid="{00000000-0005-0000-0000-00006D180000}"/>
    <cellStyle name="Normal 4 6 2 8" xfId="3386" xr:uid="{00000000-0005-0000-0000-00006E180000}"/>
    <cellStyle name="Normal 4 6 2 8 2" xfId="7665" xr:uid="{00000000-0005-0000-0000-00006F180000}"/>
    <cellStyle name="Normal 4 6 2 9" xfId="5600" xr:uid="{00000000-0005-0000-0000-000070180000}"/>
    <cellStyle name="Normal 4 6 3" xfId="403" xr:uid="{00000000-0005-0000-0000-000071180000}"/>
    <cellStyle name="Normal 4 6 3 2" xfId="404" xr:uid="{00000000-0005-0000-0000-000072180000}"/>
    <cellStyle name="Normal 4 6 3 2 2" xfId="883" xr:uid="{00000000-0005-0000-0000-000073180000}"/>
    <cellStyle name="Normal 4 6 3 2 2 2" xfId="3945" xr:uid="{00000000-0005-0000-0000-000074180000}"/>
    <cellStyle name="Normal 4 6 3 2 2 2 2" xfId="8163" xr:uid="{00000000-0005-0000-0000-000075180000}"/>
    <cellStyle name="Normal 4 6 3 2 2 3" xfId="6018" xr:uid="{00000000-0005-0000-0000-000076180000}"/>
    <cellStyle name="Normal 4 6 3 2 2 4" xfId="1716" xr:uid="{00000000-0005-0000-0000-000077180000}"/>
    <cellStyle name="Normal 4 6 3 2 3" xfId="2129" xr:uid="{00000000-0005-0000-0000-000078180000}"/>
    <cellStyle name="Normal 4 6 3 2 3 2" xfId="4358" xr:uid="{00000000-0005-0000-0000-000079180000}"/>
    <cellStyle name="Normal 4 6 3 2 3 2 2" xfId="8576" xr:uid="{00000000-0005-0000-0000-00007A180000}"/>
    <cellStyle name="Normal 4 6 3 2 3 3" xfId="6431" xr:uid="{00000000-0005-0000-0000-00007B180000}"/>
    <cellStyle name="Normal 4 6 3 2 4" xfId="2542" xr:uid="{00000000-0005-0000-0000-00007C180000}"/>
    <cellStyle name="Normal 4 6 3 2 4 2" xfId="4771" xr:uid="{00000000-0005-0000-0000-00007D180000}"/>
    <cellStyle name="Normal 4 6 3 2 4 2 2" xfId="8989" xr:uid="{00000000-0005-0000-0000-00007E180000}"/>
    <cellStyle name="Normal 4 6 3 2 4 3" xfId="6844" xr:uid="{00000000-0005-0000-0000-00007F180000}"/>
    <cellStyle name="Normal 4 6 3 2 5" xfId="2955" xr:uid="{00000000-0005-0000-0000-000080180000}"/>
    <cellStyle name="Normal 4 6 3 2 5 2" xfId="5184" xr:uid="{00000000-0005-0000-0000-000081180000}"/>
    <cellStyle name="Normal 4 6 3 2 5 2 2" xfId="9402" xr:uid="{00000000-0005-0000-0000-000082180000}"/>
    <cellStyle name="Normal 4 6 3 2 5 3" xfId="7257" xr:uid="{00000000-0005-0000-0000-000083180000}"/>
    <cellStyle name="Normal 4 6 3 2 6" xfId="3391" xr:uid="{00000000-0005-0000-0000-000084180000}"/>
    <cellStyle name="Normal 4 6 3 2 6 2" xfId="7670" xr:uid="{00000000-0005-0000-0000-000085180000}"/>
    <cellStyle name="Normal 4 6 3 2 7" xfId="5605" xr:uid="{00000000-0005-0000-0000-000086180000}"/>
    <cellStyle name="Normal 4 6 3 2 8" xfId="1301" xr:uid="{00000000-0005-0000-0000-000087180000}"/>
    <cellStyle name="Normal 4 6 3 3" xfId="882" xr:uid="{00000000-0005-0000-0000-000088180000}"/>
    <cellStyle name="Normal 4 6 3 3 2" xfId="3944" xr:uid="{00000000-0005-0000-0000-000089180000}"/>
    <cellStyle name="Normal 4 6 3 3 2 2" xfId="8162" xr:uid="{00000000-0005-0000-0000-00008A180000}"/>
    <cellStyle name="Normal 4 6 3 3 3" xfId="6017" xr:uid="{00000000-0005-0000-0000-00008B180000}"/>
    <cellStyle name="Normal 4 6 3 3 4" xfId="1715" xr:uid="{00000000-0005-0000-0000-00008C180000}"/>
    <cellStyle name="Normal 4 6 3 4" xfId="2128" xr:uid="{00000000-0005-0000-0000-00008D180000}"/>
    <cellStyle name="Normal 4 6 3 4 2" xfId="4357" xr:uid="{00000000-0005-0000-0000-00008E180000}"/>
    <cellStyle name="Normal 4 6 3 4 2 2" xfId="8575" xr:uid="{00000000-0005-0000-0000-00008F180000}"/>
    <cellStyle name="Normal 4 6 3 4 3" xfId="6430" xr:uid="{00000000-0005-0000-0000-000090180000}"/>
    <cellStyle name="Normal 4 6 3 5" xfId="2541" xr:uid="{00000000-0005-0000-0000-000091180000}"/>
    <cellStyle name="Normal 4 6 3 5 2" xfId="4770" xr:uid="{00000000-0005-0000-0000-000092180000}"/>
    <cellStyle name="Normal 4 6 3 5 2 2" xfId="8988" xr:uid="{00000000-0005-0000-0000-000093180000}"/>
    <cellStyle name="Normal 4 6 3 5 3" xfId="6843" xr:uid="{00000000-0005-0000-0000-000094180000}"/>
    <cellStyle name="Normal 4 6 3 6" xfId="2954" xr:uid="{00000000-0005-0000-0000-000095180000}"/>
    <cellStyle name="Normal 4 6 3 6 2" xfId="5183" xr:uid="{00000000-0005-0000-0000-000096180000}"/>
    <cellStyle name="Normal 4 6 3 6 2 2" xfId="9401" xr:uid="{00000000-0005-0000-0000-000097180000}"/>
    <cellStyle name="Normal 4 6 3 6 3" xfId="7256" xr:uid="{00000000-0005-0000-0000-000098180000}"/>
    <cellStyle name="Normal 4 6 3 7" xfId="3390" xr:uid="{00000000-0005-0000-0000-000099180000}"/>
    <cellStyle name="Normal 4 6 3 7 2" xfId="7669" xr:uid="{00000000-0005-0000-0000-00009A180000}"/>
    <cellStyle name="Normal 4 6 3 8" xfId="5604" xr:uid="{00000000-0005-0000-0000-00009B180000}"/>
    <cellStyle name="Normal 4 6 3 9" xfId="1300" xr:uid="{00000000-0005-0000-0000-00009C180000}"/>
    <cellStyle name="Normal 4 6 4" xfId="405" xr:uid="{00000000-0005-0000-0000-00009D180000}"/>
    <cellStyle name="Normal 4 6 4 2" xfId="884" xr:uid="{00000000-0005-0000-0000-00009E180000}"/>
    <cellStyle name="Normal 4 6 4 2 2" xfId="3946" xr:uid="{00000000-0005-0000-0000-00009F180000}"/>
    <cellStyle name="Normal 4 6 4 2 2 2" xfId="8164" xr:uid="{00000000-0005-0000-0000-0000A0180000}"/>
    <cellStyle name="Normal 4 6 4 2 3" xfId="6019" xr:uid="{00000000-0005-0000-0000-0000A1180000}"/>
    <cellStyle name="Normal 4 6 4 2 4" xfId="1717" xr:uid="{00000000-0005-0000-0000-0000A2180000}"/>
    <cellStyle name="Normal 4 6 4 3" xfId="2130" xr:uid="{00000000-0005-0000-0000-0000A3180000}"/>
    <cellStyle name="Normal 4 6 4 3 2" xfId="4359" xr:uid="{00000000-0005-0000-0000-0000A4180000}"/>
    <cellStyle name="Normal 4 6 4 3 2 2" xfId="8577" xr:uid="{00000000-0005-0000-0000-0000A5180000}"/>
    <cellStyle name="Normal 4 6 4 3 3" xfId="6432" xr:uid="{00000000-0005-0000-0000-0000A6180000}"/>
    <cellStyle name="Normal 4 6 4 4" xfId="2543" xr:uid="{00000000-0005-0000-0000-0000A7180000}"/>
    <cellStyle name="Normal 4 6 4 4 2" xfId="4772" xr:uid="{00000000-0005-0000-0000-0000A8180000}"/>
    <cellStyle name="Normal 4 6 4 4 2 2" xfId="8990" xr:uid="{00000000-0005-0000-0000-0000A9180000}"/>
    <cellStyle name="Normal 4 6 4 4 3" xfId="6845" xr:uid="{00000000-0005-0000-0000-0000AA180000}"/>
    <cellStyle name="Normal 4 6 4 5" xfId="2956" xr:uid="{00000000-0005-0000-0000-0000AB180000}"/>
    <cellStyle name="Normal 4 6 4 5 2" xfId="5185" xr:uid="{00000000-0005-0000-0000-0000AC180000}"/>
    <cellStyle name="Normal 4 6 4 5 2 2" xfId="9403" xr:uid="{00000000-0005-0000-0000-0000AD180000}"/>
    <cellStyle name="Normal 4 6 4 5 3" xfId="7258" xr:uid="{00000000-0005-0000-0000-0000AE180000}"/>
    <cellStyle name="Normal 4 6 4 6" xfId="3392" xr:uid="{00000000-0005-0000-0000-0000AF180000}"/>
    <cellStyle name="Normal 4 6 4 6 2" xfId="7671" xr:uid="{00000000-0005-0000-0000-0000B0180000}"/>
    <cellStyle name="Normal 4 6 4 7" xfId="5606" xr:uid="{00000000-0005-0000-0000-0000B1180000}"/>
    <cellStyle name="Normal 4 6 4 8" xfId="1302" xr:uid="{00000000-0005-0000-0000-0000B2180000}"/>
    <cellStyle name="Normal 4 6 5" xfId="877" xr:uid="{00000000-0005-0000-0000-0000B3180000}"/>
    <cellStyle name="Normal 4 6 5 2" xfId="3939" xr:uid="{00000000-0005-0000-0000-0000B4180000}"/>
    <cellStyle name="Normal 4 6 5 2 2" xfId="8157" xr:uid="{00000000-0005-0000-0000-0000B5180000}"/>
    <cellStyle name="Normal 4 6 5 3" xfId="6012" xr:uid="{00000000-0005-0000-0000-0000B6180000}"/>
    <cellStyle name="Normal 4 6 5 4" xfId="1710" xr:uid="{00000000-0005-0000-0000-0000B7180000}"/>
    <cellStyle name="Normal 4 6 6" xfId="2123" xr:uid="{00000000-0005-0000-0000-0000B8180000}"/>
    <cellStyle name="Normal 4 6 6 2" xfId="4352" xr:uid="{00000000-0005-0000-0000-0000B9180000}"/>
    <cellStyle name="Normal 4 6 6 2 2" xfId="8570" xr:uid="{00000000-0005-0000-0000-0000BA180000}"/>
    <cellStyle name="Normal 4 6 6 3" xfId="6425" xr:uid="{00000000-0005-0000-0000-0000BB180000}"/>
    <cellStyle name="Normal 4 6 7" xfId="2536" xr:uid="{00000000-0005-0000-0000-0000BC180000}"/>
    <cellStyle name="Normal 4 6 7 2" xfId="4765" xr:uid="{00000000-0005-0000-0000-0000BD180000}"/>
    <cellStyle name="Normal 4 6 7 2 2" xfId="8983" xr:uid="{00000000-0005-0000-0000-0000BE180000}"/>
    <cellStyle name="Normal 4 6 7 3" xfId="6838" xr:uid="{00000000-0005-0000-0000-0000BF180000}"/>
    <cellStyle name="Normal 4 6 8" xfId="2949" xr:uid="{00000000-0005-0000-0000-0000C0180000}"/>
    <cellStyle name="Normal 4 6 8 2" xfId="5178" xr:uid="{00000000-0005-0000-0000-0000C1180000}"/>
    <cellStyle name="Normal 4 6 8 2 2" xfId="9396" xr:uid="{00000000-0005-0000-0000-0000C2180000}"/>
    <cellStyle name="Normal 4 6 8 3" xfId="7251" xr:uid="{00000000-0005-0000-0000-0000C3180000}"/>
    <cellStyle name="Normal 4 6 9" xfId="3385" xr:uid="{00000000-0005-0000-0000-0000C4180000}"/>
    <cellStyle name="Normal 4 6 9 2" xfId="7664" xr:uid="{00000000-0005-0000-0000-0000C5180000}"/>
    <cellStyle name="Normal 4 7" xfId="406" xr:uid="{00000000-0005-0000-0000-0000C6180000}"/>
    <cellStyle name="Normal 4 7 2" xfId="407" xr:uid="{00000000-0005-0000-0000-0000C7180000}"/>
    <cellStyle name="Normal 4 7 2 2" xfId="886" xr:uid="{00000000-0005-0000-0000-0000C8180000}"/>
    <cellStyle name="Normal 4 7 2 2 2" xfId="3948" xr:uid="{00000000-0005-0000-0000-0000C9180000}"/>
    <cellStyle name="Normal 4 7 2 2 2 2" xfId="8166" xr:uid="{00000000-0005-0000-0000-0000CA180000}"/>
    <cellStyle name="Normal 4 7 2 2 3" xfId="6021" xr:uid="{00000000-0005-0000-0000-0000CB180000}"/>
    <cellStyle name="Normal 4 7 2 2 4" xfId="1719" xr:uid="{00000000-0005-0000-0000-0000CC180000}"/>
    <cellStyle name="Normal 4 7 2 3" xfId="2132" xr:uid="{00000000-0005-0000-0000-0000CD180000}"/>
    <cellStyle name="Normal 4 7 2 3 2" xfId="4361" xr:uid="{00000000-0005-0000-0000-0000CE180000}"/>
    <cellStyle name="Normal 4 7 2 3 2 2" xfId="8579" xr:uid="{00000000-0005-0000-0000-0000CF180000}"/>
    <cellStyle name="Normal 4 7 2 3 3" xfId="6434" xr:uid="{00000000-0005-0000-0000-0000D0180000}"/>
    <cellStyle name="Normal 4 7 2 4" xfId="2545" xr:uid="{00000000-0005-0000-0000-0000D1180000}"/>
    <cellStyle name="Normal 4 7 2 4 2" xfId="4774" xr:uid="{00000000-0005-0000-0000-0000D2180000}"/>
    <cellStyle name="Normal 4 7 2 4 2 2" xfId="8992" xr:uid="{00000000-0005-0000-0000-0000D3180000}"/>
    <cellStyle name="Normal 4 7 2 4 3" xfId="6847" xr:uid="{00000000-0005-0000-0000-0000D4180000}"/>
    <cellStyle name="Normal 4 7 2 5" xfId="2958" xr:uid="{00000000-0005-0000-0000-0000D5180000}"/>
    <cellStyle name="Normal 4 7 2 5 2" xfId="5187" xr:uid="{00000000-0005-0000-0000-0000D6180000}"/>
    <cellStyle name="Normal 4 7 2 5 2 2" xfId="9405" xr:uid="{00000000-0005-0000-0000-0000D7180000}"/>
    <cellStyle name="Normal 4 7 2 5 3" xfId="7260" xr:uid="{00000000-0005-0000-0000-0000D8180000}"/>
    <cellStyle name="Normal 4 7 2 6" xfId="3394" xr:uid="{00000000-0005-0000-0000-0000D9180000}"/>
    <cellStyle name="Normal 4 7 2 6 2" xfId="7673" xr:uid="{00000000-0005-0000-0000-0000DA180000}"/>
    <cellStyle name="Normal 4 7 2 7" xfId="5608" xr:uid="{00000000-0005-0000-0000-0000DB180000}"/>
    <cellStyle name="Normal 4 7 2 8" xfId="1304" xr:uid="{00000000-0005-0000-0000-0000DC180000}"/>
    <cellStyle name="Normal 4 7 3" xfId="885" xr:uid="{00000000-0005-0000-0000-0000DD180000}"/>
    <cellStyle name="Normal 4 7 3 2" xfId="3947" xr:uid="{00000000-0005-0000-0000-0000DE180000}"/>
    <cellStyle name="Normal 4 7 3 2 2" xfId="8165" xr:uid="{00000000-0005-0000-0000-0000DF180000}"/>
    <cellStyle name="Normal 4 7 3 3" xfId="6020" xr:uid="{00000000-0005-0000-0000-0000E0180000}"/>
    <cellStyle name="Normal 4 7 3 4" xfId="1718" xr:uid="{00000000-0005-0000-0000-0000E1180000}"/>
    <cellStyle name="Normal 4 7 4" xfId="2131" xr:uid="{00000000-0005-0000-0000-0000E2180000}"/>
    <cellStyle name="Normal 4 7 4 2" xfId="4360" xr:uid="{00000000-0005-0000-0000-0000E3180000}"/>
    <cellStyle name="Normal 4 7 4 2 2" xfId="8578" xr:uid="{00000000-0005-0000-0000-0000E4180000}"/>
    <cellStyle name="Normal 4 7 4 3" xfId="6433" xr:uid="{00000000-0005-0000-0000-0000E5180000}"/>
    <cellStyle name="Normal 4 7 5" xfId="2544" xr:uid="{00000000-0005-0000-0000-0000E6180000}"/>
    <cellStyle name="Normal 4 7 5 2" xfId="4773" xr:uid="{00000000-0005-0000-0000-0000E7180000}"/>
    <cellStyle name="Normal 4 7 5 2 2" xfId="8991" xr:uid="{00000000-0005-0000-0000-0000E8180000}"/>
    <cellStyle name="Normal 4 7 5 3" xfId="6846" xr:uid="{00000000-0005-0000-0000-0000E9180000}"/>
    <cellStyle name="Normal 4 7 6" xfId="2957" xr:uid="{00000000-0005-0000-0000-0000EA180000}"/>
    <cellStyle name="Normal 4 7 6 2" xfId="5186" xr:uid="{00000000-0005-0000-0000-0000EB180000}"/>
    <cellStyle name="Normal 4 7 6 2 2" xfId="9404" xr:uid="{00000000-0005-0000-0000-0000EC180000}"/>
    <cellStyle name="Normal 4 7 6 3" xfId="7259" xr:uid="{00000000-0005-0000-0000-0000ED180000}"/>
    <cellStyle name="Normal 4 7 7" xfId="3393" xr:uid="{00000000-0005-0000-0000-0000EE180000}"/>
    <cellStyle name="Normal 4 7 7 2" xfId="7672" xr:uid="{00000000-0005-0000-0000-0000EF180000}"/>
    <cellStyle name="Normal 4 7 8" xfId="5607" xr:uid="{00000000-0005-0000-0000-0000F0180000}"/>
    <cellStyle name="Normal 4 7 9" xfId="1303" xr:uid="{00000000-0005-0000-0000-0000F1180000}"/>
    <cellStyle name="Normal 4 8" xfId="408" xr:uid="{00000000-0005-0000-0000-0000F2180000}"/>
    <cellStyle name="Normal 4 8 2" xfId="887" xr:uid="{00000000-0005-0000-0000-0000F3180000}"/>
    <cellStyle name="Normal 4 8 2 2" xfId="3949" xr:uid="{00000000-0005-0000-0000-0000F4180000}"/>
    <cellStyle name="Normal 4 8 2 2 2" xfId="8167" xr:uid="{00000000-0005-0000-0000-0000F5180000}"/>
    <cellStyle name="Normal 4 8 2 3" xfId="6022" xr:uid="{00000000-0005-0000-0000-0000F6180000}"/>
    <cellStyle name="Normal 4 8 2 4" xfId="1720" xr:uid="{00000000-0005-0000-0000-0000F7180000}"/>
    <cellStyle name="Normal 4 8 3" xfId="2133" xr:uid="{00000000-0005-0000-0000-0000F8180000}"/>
    <cellStyle name="Normal 4 8 3 2" xfId="4362" xr:uid="{00000000-0005-0000-0000-0000F9180000}"/>
    <cellStyle name="Normal 4 8 3 2 2" xfId="8580" xr:uid="{00000000-0005-0000-0000-0000FA180000}"/>
    <cellStyle name="Normal 4 8 3 3" xfId="6435" xr:uid="{00000000-0005-0000-0000-0000FB180000}"/>
    <cellStyle name="Normal 4 8 4" xfId="2546" xr:uid="{00000000-0005-0000-0000-0000FC180000}"/>
    <cellStyle name="Normal 4 8 4 2" xfId="4775" xr:uid="{00000000-0005-0000-0000-0000FD180000}"/>
    <cellStyle name="Normal 4 8 4 2 2" xfId="8993" xr:uid="{00000000-0005-0000-0000-0000FE180000}"/>
    <cellStyle name="Normal 4 8 4 3" xfId="6848" xr:uid="{00000000-0005-0000-0000-0000FF180000}"/>
    <cellStyle name="Normal 4 8 5" xfId="2959" xr:uid="{00000000-0005-0000-0000-000000190000}"/>
    <cellStyle name="Normal 4 8 5 2" xfId="5188" xr:uid="{00000000-0005-0000-0000-000001190000}"/>
    <cellStyle name="Normal 4 8 5 2 2" xfId="9406" xr:uid="{00000000-0005-0000-0000-000002190000}"/>
    <cellStyle name="Normal 4 8 5 3" xfId="7261" xr:uid="{00000000-0005-0000-0000-000003190000}"/>
    <cellStyle name="Normal 4 8 6" xfId="3395" xr:uid="{00000000-0005-0000-0000-000004190000}"/>
    <cellStyle name="Normal 4 8 6 2" xfId="7674" xr:uid="{00000000-0005-0000-0000-000005190000}"/>
    <cellStyle name="Normal 4 8 7" xfId="5609" xr:uid="{00000000-0005-0000-0000-000006190000}"/>
    <cellStyle name="Normal 4 8 8" xfId="1305" xr:uid="{00000000-0005-0000-0000-000007190000}"/>
    <cellStyle name="Normal 4 9" xfId="5546" xr:uid="{00000000-0005-0000-0000-000008190000}"/>
    <cellStyle name="Normal 5" xfId="409" xr:uid="{00000000-0005-0000-0000-000009190000}"/>
    <cellStyle name="Normal 5 10" xfId="2547" xr:uid="{00000000-0005-0000-0000-00000A190000}"/>
    <cellStyle name="Normal 5 10 2" xfId="4776" xr:uid="{00000000-0005-0000-0000-00000B190000}"/>
    <cellStyle name="Normal 5 10 2 2" xfId="8994" xr:uid="{00000000-0005-0000-0000-00000C190000}"/>
    <cellStyle name="Normal 5 10 3" xfId="6849" xr:uid="{00000000-0005-0000-0000-00000D190000}"/>
    <cellStyle name="Normal 5 11" xfId="2960" xr:uid="{00000000-0005-0000-0000-00000E190000}"/>
    <cellStyle name="Normal 5 11 2" xfId="5189" xr:uid="{00000000-0005-0000-0000-00000F190000}"/>
    <cellStyle name="Normal 5 11 2 2" xfId="9407" xr:uid="{00000000-0005-0000-0000-000010190000}"/>
    <cellStyle name="Normal 5 11 3" xfId="7262" xr:uid="{00000000-0005-0000-0000-000011190000}"/>
    <cellStyle name="Normal 5 12" xfId="3396" xr:uid="{00000000-0005-0000-0000-000012190000}"/>
    <cellStyle name="Normal 5 12 2" xfId="7675" xr:uid="{00000000-0005-0000-0000-000013190000}"/>
    <cellStyle name="Normal 5 13" xfId="5610" xr:uid="{00000000-0005-0000-0000-000014190000}"/>
    <cellStyle name="Normal 5 14" xfId="1306" xr:uid="{00000000-0005-0000-0000-000015190000}"/>
    <cellStyle name="Normal 5 2" xfId="410" xr:uid="{00000000-0005-0000-0000-000016190000}"/>
    <cellStyle name="Normal 5 2 10" xfId="2961" xr:uid="{00000000-0005-0000-0000-000017190000}"/>
    <cellStyle name="Normal 5 2 10 2" xfId="5190" xr:uid="{00000000-0005-0000-0000-000018190000}"/>
    <cellStyle name="Normal 5 2 10 2 2" xfId="9408" xr:uid="{00000000-0005-0000-0000-000019190000}"/>
    <cellStyle name="Normal 5 2 10 3" xfId="7263" xr:uid="{00000000-0005-0000-0000-00001A190000}"/>
    <cellStyle name="Normal 5 2 11" xfId="3397" xr:uid="{00000000-0005-0000-0000-00001B190000}"/>
    <cellStyle name="Normal 5 2 11 2" xfId="7676" xr:uid="{00000000-0005-0000-0000-00001C190000}"/>
    <cellStyle name="Normal 5 2 12" xfId="5611" xr:uid="{00000000-0005-0000-0000-00001D190000}"/>
    <cellStyle name="Normal 5 2 13" xfId="1307" xr:uid="{00000000-0005-0000-0000-00001E190000}"/>
    <cellStyle name="Normal 5 2 2" xfId="411" xr:uid="{00000000-0005-0000-0000-00001F190000}"/>
    <cellStyle name="Normal 5 2 2 10" xfId="3398" xr:uid="{00000000-0005-0000-0000-000020190000}"/>
    <cellStyle name="Normal 5 2 2 10 2" xfId="7677" xr:uid="{00000000-0005-0000-0000-000021190000}"/>
    <cellStyle name="Normal 5 2 2 11" xfId="5612" xr:uid="{00000000-0005-0000-0000-000022190000}"/>
    <cellStyle name="Normal 5 2 2 12" xfId="1308" xr:uid="{00000000-0005-0000-0000-000023190000}"/>
    <cellStyle name="Normal 5 2 2 2" xfId="412" xr:uid="{00000000-0005-0000-0000-000024190000}"/>
    <cellStyle name="Normal 5 2 2 2 10" xfId="5613" xr:uid="{00000000-0005-0000-0000-000025190000}"/>
    <cellStyle name="Normal 5 2 2 2 11" xfId="1309" xr:uid="{00000000-0005-0000-0000-000026190000}"/>
    <cellStyle name="Normal 5 2 2 2 2" xfId="413" xr:uid="{00000000-0005-0000-0000-000027190000}"/>
    <cellStyle name="Normal 5 2 2 2 2 10" xfId="1310" xr:uid="{00000000-0005-0000-0000-000028190000}"/>
    <cellStyle name="Normal 5 2 2 2 2 2" xfId="414" xr:uid="{00000000-0005-0000-0000-000029190000}"/>
    <cellStyle name="Normal 5 2 2 2 2 2 2" xfId="415" xr:uid="{00000000-0005-0000-0000-00002A190000}"/>
    <cellStyle name="Normal 5 2 2 2 2 2 2 2" xfId="894" xr:uid="{00000000-0005-0000-0000-00002B190000}"/>
    <cellStyle name="Normal 5 2 2 2 2 2 2 2 2" xfId="3956" xr:uid="{00000000-0005-0000-0000-00002C190000}"/>
    <cellStyle name="Normal 5 2 2 2 2 2 2 2 2 2" xfId="8174" xr:uid="{00000000-0005-0000-0000-00002D190000}"/>
    <cellStyle name="Normal 5 2 2 2 2 2 2 2 3" xfId="6029" xr:uid="{00000000-0005-0000-0000-00002E190000}"/>
    <cellStyle name="Normal 5 2 2 2 2 2 2 2 4" xfId="1727" xr:uid="{00000000-0005-0000-0000-00002F190000}"/>
    <cellStyle name="Normal 5 2 2 2 2 2 2 3" xfId="2140" xr:uid="{00000000-0005-0000-0000-000030190000}"/>
    <cellStyle name="Normal 5 2 2 2 2 2 2 3 2" xfId="4369" xr:uid="{00000000-0005-0000-0000-000031190000}"/>
    <cellStyle name="Normal 5 2 2 2 2 2 2 3 2 2" xfId="8587" xr:uid="{00000000-0005-0000-0000-000032190000}"/>
    <cellStyle name="Normal 5 2 2 2 2 2 2 3 3" xfId="6442" xr:uid="{00000000-0005-0000-0000-000033190000}"/>
    <cellStyle name="Normal 5 2 2 2 2 2 2 4" xfId="2553" xr:uid="{00000000-0005-0000-0000-000034190000}"/>
    <cellStyle name="Normal 5 2 2 2 2 2 2 4 2" xfId="4782" xr:uid="{00000000-0005-0000-0000-000035190000}"/>
    <cellStyle name="Normal 5 2 2 2 2 2 2 4 2 2" xfId="9000" xr:uid="{00000000-0005-0000-0000-000036190000}"/>
    <cellStyle name="Normal 5 2 2 2 2 2 2 4 3" xfId="6855" xr:uid="{00000000-0005-0000-0000-000037190000}"/>
    <cellStyle name="Normal 5 2 2 2 2 2 2 5" xfId="2966" xr:uid="{00000000-0005-0000-0000-000038190000}"/>
    <cellStyle name="Normal 5 2 2 2 2 2 2 5 2" xfId="5195" xr:uid="{00000000-0005-0000-0000-000039190000}"/>
    <cellStyle name="Normal 5 2 2 2 2 2 2 5 2 2" xfId="9413" xr:uid="{00000000-0005-0000-0000-00003A190000}"/>
    <cellStyle name="Normal 5 2 2 2 2 2 2 5 3" xfId="7268" xr:uid="{00000000-0005-0000-0000-00003B190000}"/>
    <cellStyle name="Normal 5 2 2 2 2 2 2 6" xfId="3402" xr:uid="{00000000-0005-0000-0000-00003C190000}"/>
    <cellStyle name="Normal 5 2 2 2 2 2 2 6 2" xfId="7681" xr:uid="{00000000-0005-0000-0000-00003D190000}"/>
    <cellStyle name="Normal 5 2 2 2 2 2 2 7" xfId="5616" xr:uid="{00000000-0005-0000-0000-00003E190000}"/>
    <cellStyle name="Normal 5 2 2 2 2 2 2 8" xfId="1312" xr:uid="{00000000-0005-0000-0000-00003F190000}"/>
    <cellStyle name="Normal 5 2 2 2 2 2 3" xfId="893" xr:uid="{00000000-0005-0000-0000-000040190000}"/>
    <cellStyle name="Normal 5 2 2 2 2 2 3 2" xfId="3955" xr:uid="{00000000-0005-0000-0000-000041190000}"/>
    <cellStyle name="Normal 5 2 2 2 2 2 3 2 2" xfId="8173" xr:uid="{00000000-0005-0000-0000-000042190000}"/>
    <cellStyle name="Normal 5 2 2 2 2 2 3 3" xfId="6028" xr:uid="{00000000-0005-0000-0000-000043190000}"/>
    <cellStyle name="Normal 5 2 2 2 2 2 3 4" xfId="1726" xr:uid="{00000000-0005-0000-0000-000044190000}"/>
    <cellStyle name="Normal 5 2 2 2 2 2 4" xfId="2139" xr:uid="{00000000-0005-0000-0000-000045190000}"/>
    <cellStyle name="Normal 5 2 2 2 2 2 4 2" xfId="4368" xr:uid="{00000000-0005-0000-0000-000046190000}"/>
    <cellStyle name="Normal 5 2 2 2 2 2 4 2 2" xfId="8586" xr:uid="{00000000-0005-0000-0000-000047190000}"/>
    <cellStyle name="Normal 5 2 2 2 2 2 4 3" xfId="6441" xr:uid="{00000000-0005-0000-0000-000048190000}"/>
    <cellStyle name="Normal 5 2 2 2 2 2 5" xfId="2552" xr:uid="{00000000-0005-0000-0000-000049190000}"/>
    <cellStyle name="Normal 5 2 2 2 2 2 5 2" xfId="4781" xr:uid="{00000000-0005-0000-0000-00004A190000}"/>
    <cellStyle name="Normal 5 2 2 2 2 2 5 2 2" xfId="8999" xr:uid="{00000000-0005-0000-0000-00004B190000}"/>
    <cellStyle name="Normal 5 2 2 2 2 2 5 3" xfId="6854" xr:uid="{00000000-0005-0000-0000-00004C190000}"/>
    <cellStyle name="Normal 5 2 2 2 2 2 6" xfId="2965" xr:uid="{00000000-0005-0000-0000-00004D190000}"/>
    <cellStyle name="Normal 5 2 2 2 2 2 6 2" xfId="5194" xr:uid="{00000000-0005-0000-0000-00004E190000}"/>
    <cellStyle name="Normal 5 2 2 2 2 2 6 2 2" xfId="9412" xr:uid="{00000000-0005-0000-0000-00004F190000}"/>
    <cellStyle name="Normal 5 2 2 2 2 2 6 3" xfId="7267" xr:uid="{00000000-0005-0000-0000-000050190000}"/>
    <cellStyle name="Normal 5 2 2 2 2 2 7" xfId="3401" xr:uid="{00000000-0005-0000-0000-000051190000}"/>
    <cellStyle name="Normal 5 2 2 2 2 2 7 2" xfId="7680" xr:uid="{00000000-0005-0000-0000-000052190000}"/>
    <cellStyle name="Normal 5 2 2 2 2 2 8" xfId="5615" xr:uid="{00000000-0005-0000-0000-000053190000}"/>
    <cellStyle name="Normal 5 2 2 2 2 2 9" xfId="1311" xr:uid="{00000000-0005-0000-0000-000054190000}"/>
    <cellStyle name="Normal 5 2 2 2 2 3" xfId="416" xr:uid="{00000000-0005-0000-0000-000055190000}"/>
    <cellStyle name="Normal 5 2 2 2 2 3 2" xfId="895" xr:uid="{00000000-0005-0000-0000-000056190000}"/>
    <cellStyle name="Normal 5 2 2 2 2 3 2 2" xfId="3957" xr:uid="{00000000-0005-0000-0000-000057190000}"/>
    <cellStyle name="Normal 5 2 2 2 2 3 2 2 2" xfId="8175" xr:uid="{00000000-0005-0000-0000-000058190000}"/>
    <cellStyle name="Normal 5 2 2 2 2 3 2 3" xfId="6030" xr:uid="{00000000-0005-0000-0000-000059190000}"/>
    <cellStyle name="Normal 5 2 2 2 2 3 2 4" xfId="1728" xr:uid="{00000000-0005-0000-0000-00005A190000}"/>
    <cellStyle name="Normal 5 2 2 2 2 3 3" xfId="2141" xr:uid="{00000000-0005-0000-0000-00005B190000}"/>
    <cellStyle name="Normal 5 2 2 2 2 3 3 2" xfId="4370" xr:uid="{00000000-0005-0000-0000-00005C190000}"/>
    <cellStyle name="Normal 5 2 2 2 2 3 3 2 2" xfId="8588" xr:uid="{00000000-0005-0000-0000-00005D190000}"/>
    <cellStyle name="Normal 5 2 2 2 2 3 3 3" xfId="6443" xr:uid="{00000000-0005-0000-0000-00005E190000}"/>
    <cellStyle name="Normal 5 2 2 2 2 3 4" xfId="2554" xr:uid="{00000000-0005-0000-0000-00005F190000}"/>
    <cellStyle name="Normal 5 2 2 2 2 3 4 2" xfId="4783" xr:uid="{00000000-0005-0000-0000-000060190000}"/>
    <cellStyle name="Normal 5 2 2 2 2 3 4 2 2" xfId="9001" xr:uid="{00000000-0005-0000-0000-000061190000}"/>
    <cellStyle name="Normal 5 2 2 2 2 3 4 3" xfId="6856" xr:uid="{00000000-0005-0000-0000-000062190000}"/>
    <cellStyle name="Normal 5 2 2 2 2 3 5" xfId="2967" xr:uid="{00000000-0005-0000-0000-000063190000}"/>
    <cellStyle name="Normal 5 2 2 2 2 3 5 2" xfId="5196" xr:uid="{00000000-0005-0000-0000-000064190000}"/>
    <cellStyle name="Normal 5 2 2 2 2 3 5 2 2" xfId="9414" xr:uid="{00000000-0005-0000-0000-000065190000}"/>
    <cellStyle name="Normal 5 2 2 2 2 3 5 3" xfId="7269" xr:uid="{00000000-0005-0000-0000-000066190000}"/>
    <cellStyle name="Normal 5 2 2 2 2 3 6" xfId="3403" xr:uid="{00000000-0005-0000-0000-000067190000}"/>
    <cellStyle name="Normal 5 2 2 2 2 3 6 2" xfId="7682" xr:uid="{00000000-0005-0000-0000-000068190000}"/>
    <cellStyle name="Normal 5 2 2 2 2 3 7" xfId="5617" xr:uid="{00000000-0005-0000-0000-000069190000}"/>
    <cellStyle name="Normal 5 2 2 2 2 3 8" xfId="1313" xr:uid="{00000000-0005-0000-0000-00006A190000}"/>
    <cellStyle name="Normal 5 2 2 2 2 4" xfId="892" xr:uid="{00000000-0005-0000-0000-00006B190000}"/>
    <cellStyle name="Normal 5 2 2 2 2 4 2" xfId="3954" xr:uid="{00000000-0005-0000-0000-00006C190000}"/>
    <cellStyle name="Normal 5 2 2 2 2 4 2 2" xfId="8172" xr:uid="{00000000-0005-0000-0000-00006D190000}"/>
    <cellStyle name="Normal 5 2 2 2 2 4 3" xfId="6027" xr:uid="{00000000-0005-0000-0000-00006E190000}"/>
    <cellStyle name="Normal 5 2 2 2 2 4 4" xfId="1725" xr:uid="{00000000-0005-0000-0000-00006F190000}"/>
    <cellStyle name="Normal 5 2 2 2 2 5" xfId="2138" xr:uid="{00000000-0005-0000-0000-000070190000}"/>
    <cellStyle name="Normal 5 2 2 2 2 5 2" xfId="4367" xr:uid="{00000000-0005-0000-0000-000071190000}"/>
    <cellStyle name="Normal 5 2 2 2 2 5 2 2" xfId="8585" xr:uid="{00000000-0005-0000-0000-000072190000}"/>
    <cellStyle name="Normal 5 2 2 2 2 5 3" xfId="6440" xr:uid="{00000000-0005-0000-0000-000073190000}"/>
    <cellStyle name="Normal 5 2 2 2 2 6" xfId="2551" xr:uid="{00000000-0005-0000-0000-000074190000}"/>
    <cellStyle name="Normal 5 2 2 2 2 6 2" xfId="4780" xr:uid="{00000000-0005-0000-0000-000075190000}"/>
    <cellStyle name="Normal 5 2 2 2 2 6 2 2" xfId="8998" xr:uid="{00000000-0005-0000-0000-000076190000}"/>
    <cellStyle name="Normal 5 2 2 2 2 6 3" xfId="6853" xr:uid="{00000000-0005-0000-0000-000077190000}"/>
    <cellStyle name="Normal 5 2 2 2 2 7" xfId="2964" xr:uid="{00000000-0005-0000-0000-000078190000}"/>
    <cellStyle name="Normal 5 2 2 2 2 7 2" xfId="5193" xr:uid="{00000000-0005-0000-0000-000079190000}"/>
    <cellStyle name="Normal 5 2 2 2 2 7 2 2" xfId="9411" xr:uid="{00000000-0005-0000-0000-00007A190000}"/>
    <cellStyle name="Normal 5 2 2 2 2 7 3" xfId="7266" xr:uid="{00000000-0005-0000-0000-00007B190000}"/>
    <cellStyle name="Normal 5 2 2 2 2 8" xfId="3400" xr:uid="{00000000-0005-0000-0000-00007C190000}"/>
    <cellStyle name="Normal 5 2 2 2 2 8 2" xfId="7679" xr:uid="{00000000-0005-0000-0000-00007D190000}"/>
    <cellStyle name="Normal 5 2 2 2 2 9" xfId="5614" xr:uid="{00000000-0005-0000-0000-00007E190000}"/>
    <cellStyle name="Normal 5 2 2 2 3" xfId="417" xr:uid="{00000000-0005-0000-0000-00007F190000}"/>
    <cellStyle name="Normal 5 2 2 2 3 2" xfId="418" xr:uid="{00000000-0005-0000-0000-000080190000}"/>
    <cellStyle name="Normal 5 2 2 2 3 2 2" xfId="897" xr:uid="{00000000-0005-0000-0000-000081190000}"/>
    <cellStyle name="Normal 5 2 2 2 3 2 2 2" xfId="3959" xr:uid="{00000000-0005-0000-0000-000082190000}"/>
    <cellStyle name="Normal 5 2 2 2 3 2 2 2 2" xfId="8177" xr:uid="{00000000-0005-0000-0000-000083190000}"/>
    <cellStyle name="Normal 5 2 2 2 3 2 2 3" xfId="6032" xr:uid="{00000000-0005-0000-0000-000084190000}"/>
    <cellStyle name="Normal 5 2 2 2 3 2 2 4" xfId="1730" xr:uid="{00000000-0005-0000-0000-000085190000}"/>
    <cellStyle name="Normal 5 2 2 2 3 2 3" xfId="2143" xr:uid="{00000000-0005-0000-0000-000086190000}"/>
    <cellStyle name="Normal 5 2 2 2 3 2 3 2" xfId="4372" xr:uid="{00000000-0005-0000-0000-000087190000}"/>
    <cellStyle name="Normal 5 2 2 2 3 2 3 2 2" xfId="8590" xr:uid="{00000000-0005-0000-0000-000088190000}"/>
    <cellStyle name="Normal 5 2 2 2 3 2 3 3" xfId="6445" xr:uid="{00000000-0005-0000-0000-000089190000}"/>
    <cellStyle name="Normal 5 2 2 2 3 2 4" xfId="2556" xr:uid="{00000000-0005-0000-0000-00008A190000}"/>
    <cellStyle name="Normal 5 2 2 2 3 2 4 2" xfId="4785" xr:uid="{00000000-0005-0000-0000-00008B190000}"/>
    <cellStyle name="Normal 5 2 2 2 3 2 4 2 2" xfId="9003" xr:uid="{00000000-0005-0000-0000-00008C190000}"/>
    <cellStyle name="Normal 5 2 2 2 3 2 4 3" xfId="6858" xr:uid="{00000000-0005-0000-0000-00008D190000}"/>
    <cellStyle name="Normal 5 2 2 2 3 2 5" xfId="2969" xr:uid="{00000000-0005-0000-0000-00008E190000}"/>
    <cellStyle name="Normal 5 2 2 2 3 2 5 2" xfId="5198" xr:uid="{00000000-0005-0000-0000-00008F190000}"/>
    <cellStyle name="Normal 5 2 2 2 3 2 5 2 2" xfId="9416" xr:uid="{00000000-0005-0000-0000-000090190000}"/>
    <cellStyle name="Normal 5 2 2 2 3 2 5 3" xfId="7271" xr:uid="{00000000-0005-0000-0000-000091190000}"/>
    <cellStyle name="Normal 5 2 2 2 3 2 6" xfId="3405" xr:uid="{00000000-0005-0000-0000-000092190000}"/>
    <cellStyle name="Normal 5 2 2 2 3 2 6 2" xfId="7684" xr:uid="{00000000-0005-0000-0000-000093190000}"/>
    <cellStyle name="Normal 5 2 2 2 3 2 7" xfId="5619" xr:uid="{00000000-0005-0000-0000-000094190000}"/>
    <cellStyle name="Normal 5 2 2 2 3 2 8" xfId="1315" xr:uid="{00000000-0005-0000-0000-000095190000}"/>
    <cellStyle name="Normal 5 2 2 2 3 3" xfId="896" xr:uid="{00000000-0005-0000-0000-000096190000}"/>
    <cellStyle name="Normal 5 2 2 2 3 3 2" xfId="3958" xr:uid="{00000000-0005-0000-0000-000097190000}"/>
    <cellStyle name="Normal 5 2 2 2 3 3 2 2" xfId="8176" xr:uid="{00000000-0005-0000-0000-000098190000}"/>
    <cellStyle name="Normal 5 2 2 2 3 3 3" xfId="6031" xr:uid="{00000000-0005-0000-0000-000099190000}"/>
    <cellStyle name="Normal 5 2 2 2 3 3 4" xfId="1729" xr:uid="{00000000-0005-0000-0000-00009A190000}"/>
    <cellStyle name="Normal 5 2 2 2 3 4" xfId="2142" xr:uid="{00000000-0005-0000-0000-00009B190000}"/>
    <cellStyle name="Normal 5 2 2 2 3 4 2" xfId="4371" xr:uid="{00000000-0005-0000-0000-00009C190000}"/>
    <cellStyle name="Normal 5 2 2 2 3 4 2 2" xfId="8589" xr:uid="{00000000-0005-0000-0000-00009D190000}"/>
    <cellStyle name="Normal 5 2 2 2 3 4 3" xfId="6444" xr:uid="{00000000-0005-0000-0000-00009E190000}"/>
    <cellStyle name="Normal 5 2 2 2 3 5" xfId="2555" xr:uid="{00000000-0005-0000-0000-00009F190000}"/>
    <cellStyle name="Normal 5 2 2 2 3 5 2" xfId="4784" xr:uid="{00000000-0005-0000-0000-0000A0190000}"/>
    <cellStyle name="Normal 5 2 2 2 3 5 2 2" xfId="9002" xr:uid="{00000000-0005-0000-0000-0000A1190000}"/>
    <cellStyle name="Normal 5 2 2 2 3 5 3" xfId="6857" xr:uid="{00000000-0005-0000-0000-0000A2190000}"/>
    <cellStyle name="Normal 5 2 2 2 3 6" xfId="2968" xr:uid="{00000000-0005-0000-0000-0000A3190000}"/>
    <cellStyle name="Normal 5 2 2 2 3 6 2" xfId="5197" xr:uid="{00000000-0005-0000-0000-0000A4190000}"/>
    <cellStyle name="Normal 5 2 2 2 3 6 2 2" xfId="9415" xr:uid="{00000000-0005-0000-0000-0000A5190000}"/>
    <cellStyle name="Normal 5 2 2 2 3 6 3" xfId="7270" xr:uid="{00000000-0005-0000-0000-0000A6190000}"/>
    <cellStyle name="Normal 5 2 2 2 3 7" xfId="3404" xr:uid="{00000000-0005-0000-0000-0000A7190000}"/>
    <cellStyle name="Normal 5 2 2 2 3 7 2" xfId="7683" xr:uid="{00000000-0005-0000-0000-0000A8190000}"/>
    <cellStyle name="Normal 5 2 2 2 3 8" xfId="5618" xr:uid="{00000000-0005-0000-0000-0000A9190000}"/>
    <cellStyle name="Normal 5 2 2 2 3 9" xfId="1314" xr:uid="{00000000-0005-0000-0000-0000AA190000}"/>
    <cellStyle name="Normal 5 2 2 2 4" xfId="419" xr:uid="{00000000-0005-0000-0000-0000AB190000}"/>
    <cellStyle name="Normal 5 2 2 2 4 2" xfId="898" xr:uid="{00000000-0005-0000-0000-0000AC190000}"/>
    <cellStyle name="Normal 5 2 2 2 4 2 2" xfId="3960" xr:uid="{00000000-0005-0000-0000-0000AD190000}"/>
    <cellStyle name="Normal 5 2 2 2 4 2 2 2" xfId="8178" xr:uid="{00000000-0005-0000-0000-0000AE190000}"/>
    <cellStyle name="Normal 5 2 2 2 4 2 3" xfId="6033" xr:uid="{00000000-0005-0000-0000-0000AF190000}"/>
    <cellStyle name="Normal 5 2 2 2 4 2 4" xfId="1731" xr:uid="{00000000-0005-0000-0000-0000B0190000}"/>
    <cellStyle name="Normal 5 2 2 2 4 3" xfId="2144" xr:uid="{00000000-0005-0000-0000-0000B1190000}"/>
    <cellStyle name="Normal 5 2 2 2 4 3 2" xfId="4373" xr:uid="{00000000-0005-0000-0000-0000B2190000}"/>
    <cellStyle name="Normal 5 2 2 2 4 3 2 2" xfId="8591" xr:uid="{00000000-0005-0000-0000-0000B3190000}"/>
    <cellStyle name="Normal 5 2 2 2 4 3 3" xfId="6446" xr:uid="{00000000-0005-0000-0000-0000B4190000}"/>
    <cellStyle name="Normal 5 2 2 2 4 4" xfId="2557" xr:uid="{00000000-0005-0000-0000-0000B5190000}"/>
    <cellStyle name="Normal 5 2 2 2 4 4 2" xfId="4786" xr:uid="{00000000-0005-0000-0000-0000B6190000}"/>
    <cellStyle name="Normal 5 2 2 2 4 4 2 2" xfId="9004" xr:uid="{00000000-0005-0000-0000-0000B7190000}"/>
    <cellStyle name="Normal 5 2 2 2 4 4 3" xfId="6859" xr:uid="{00000000-0005-0000-0000-0000B8190000}"/>
    <cellStyle name="Normal 5 2 2 2 4 5" xfId="2970" xr:uid="{00000000-0005-0000-0000-0000B9190000}"/>
    <cellStyle name="Normal 5 2 2 2 4 5 2" xfId="5199" xr:uid="{00000000-0005-0000-0000-0000BA190000}"/>
    <cellStyle name="Normal 5 2 2 2 4 5 2 2" xfId="9417" xr:uid="{00000000-0005-0000-0000-0000BB190000}"/>
    <cellStyle name="Normal 5 2 2 2 4 5 3" xfId="7272" xr:uid="{00000000-0005-0000-0000-0000BC190000}"/>
    <cellStyle name="Normal 5 2 2 2 4 6" xfId="3406" xr:uid="{00000000-0005-0000-0000-0000BD190000}"/>
    <cellStyle name="Normal 5 2 2 2 4 6 2" xfId="7685" xr:uid="{00000000-0005-0000-0000-0000BE190000}"/>
    <cellStyle name="Normal 5 2 2 2 4 7" xfId="5620" xr:uid="{00000000-0005-0000-0000-0000BF190000}"/>
    <cellStyle name="Normal 5 2 2 2 4 8" xfId="1316" xr:uid="{00000000-0005-0000-0000-0000C0190000}"/>
    <cellStyle name="Normal 5 2 2 2 5" xfId="891" xr:uid="{00000000-0005-0000-0000-0000C1190000}"/>
    <cellStyle name="Normal 5 2 2 2 5 2" xfId="3953" xr:uid="{00000000-0005-0000-0000-0000C2190000}"/>
    <cellStyle name="Normal 5 2 2 2 5 2 2" xfId="8171" xr:uid="{00000000-0005-0000-0000-0000C3190000}"/>
    <cellStyle name="Normal 5 2 2 2 5 3" xfId="6026" xr:uid="{00000000-0005-0000-0000-0000C4190000}"/>
    <cellStyle name="Normal 5 2 2 2 5 4" xfId="1724" xr:uid="{00000000-0005-0000-0000-0000C5190000}"/>
    <cellStyle name="Normal 5 2 2 2 6" xfId="2137" xr:uid="{00000000-0005-0000-0000-0000C6190000}"/>
    <cellStyle name="Normal 5 2 2 2 6 2" xfId="4366" xr:uid="{00000000-0005-0000-0000-0000C7190000}"/>
    <cellStyle name="Normal 5 2 2 2 6 2 2" xfId="8584" xr:uid="{00000000-0005-0000-0000-0000C8190000}"/>
    <cellStyle name="Normal 5 2 2 2 6 3" xfId="6439" xr:uid="{00000000-0005-0000-0000-0000C9190000}"/>
    <cellStyle name="Normal 5 2 2 2 7" xfId="2550" xr:uid="{00000000-0005-0000-0000-0000CA190000}"/>
    <cellStyle name="Normal 5 2 2 2 7 2" xfId="4779" xr:uid="{00000000-0005-0000-0000-0000CB190000}"/>
    <cellStyle name="Normal 5 2 2 2 7 2 2" xfId="8997" xr:uid="{00000000-0005-0000-0000-0000CC190000}"/>
    <cellStyle name="Normal 5 2 2 2 7 3" xfId="6852" xr:uid="{00000000-0005-0000-0000-0000CD190000}"/>
    <cellStyle name="Normal 5 2 2 2 8" xfId="2963" xr:uid="{00000000-0005-0000-0000-0000CE190000}"/>
    <cellStyle name="Normal 5 2 2 2 8 2" xfId="5192" xr:uid="{00000000-0005-0000-0000-0000CF190000}"/>
    <cellStyle name="Normal 5 2 2 2 8 2 2" xfId="9410" xr:uid="{00000000-0005-0000-0000-0000D0190000}"/>
    <cellStyle name="Normal 5 2 2 2 8 3" xfId="7265" xr:uid="{00000000-0005-0000-0000-0000D1190000}"/>
    <cellStyle name="Normal 5 2 2 2 9" xfId="3399" xr:uid="{00000000-0005-0000-0000-0000D2190000}"/>
    <cellStyle name="Normal 5 2 2 2 9 2" xfId="7678" xr:uid="{00000000-0005-0000-0000-0000D3190000}"/>
    <cellStyle name="Normal 5 2 2 3" xfId="420" xr:uid="{00000000-0005-0000-0000-0000D4190000}"/>
    <cellStyle name="Normal 5 2 2 3 10" xfId="1317" xr:uid="{00000000-0005-0000-0000-0000D5190000}"/>
    <cellStyle name="Normal 5 2 2 3 2" xfId="421" xr:uid="{00000000-0005-0000-0000-0000D6190000}"/>
    <cellStyle name="Normal 5 2 2 3 2 2" xfId="422" xr:uid="{00000000-0005-0000-0000-0000D7190000}"/>
    <cellStyle name="Normal 5 2 2 3 2 2 2" xfId="901" xr:uid="{00000000-0005-0000-0000-0000D8190000}"/>
    <cellStyle name="Normal 5 2 2 3 2 2 2 2" xfId="3963" xr:uid="{00000000-0005-0000-0000-0000D9190000}"/>
    <cellStyle name="Normal 5 2 2 3 2 2 2 2 2" xfId="8181" xr:uid="{00000000-0005-0000-0000-0000DA190000}"/>
    <cellStyle name="Normal 5 2 2 3 2 2 2 3" xfId="6036" xr:uid="{00000000-0005-0000-0000-0000DB190000}"/>
    <cellStyle name="Normal 5 2 2 3 2 2 2 4" xfId="1734" xr:uid="{00000000-0005-0000-0000-0000DC190000}"/>
    <cellStyle name="Normal 5 2 2 3 2 2 3" xfId="2147" xr:uid="{00000000-0005-0000-0000-0000DD190000}"/>
    <cellStyle name="Normal 5 2 2 3 2 2 3 2" xfId="4376" xr:uid="{00000000-0005-0000-0000-0000DE190000}"/>
    <cellStyle name="Normal 5 2 2 3 2 2 3 2 2" xfId="8594" xr:uid="{00000000-0005-0000-0000-0000DF190000}"/>
    <cellStyle name="Normal 5 2 2 3 2 2 3 3" xfId="6449" xr:uid="{00000000-0005-0000-0000-0000E0190000}"/>
    <cellStyle name="Normal 5 2 2 3 2 2 4" xfId="2560" xr:uid="{00000000-0005-0000-0000-0000E1190000}"/>
    <cellStyle name="Normal 5 2 2 3 2 2 4 2" xfId="4789" xr:uid="{00000000-0005-0000-0000-0000E2190000}"/>
    <cellStyle name="Normal 5 2 2 3 2 2 4 2 2" xfId="9007" xr:uid="{00000000-0005-0000-0000-0000E3190000}"/>
    <cellStyle name="Normal 5 2 2 3 2 2 4 3" xfId="6862" xr:uid="{00000000-0005-0000-0000-0000E4190000}"/>
    <cellStyle name="Normal 5 2 2 3 2 2 5" xfId="2973" xr:uid="{00000000-0005-0000-0000-0000E5190000}"/>
    <cellStyle name="Normal 5 2 2 3 2 2 5 2" xfId="5202" xr:uid="{00000000-0005-0000-0000-0000E6190000}"/>
    <cellStyle name="Normal 5 2 2 3 2 2 5 2 2" xfId="9420" xr:uid="{00000000-0005-0000-0000-0000E7190000}"/>
    <cellStyle name="Normal 5 2 2 3 2 2 5 3" xfId="7275" xr:uid="{00000000-0005-0000-0000-0000E8190000}"/>
    <cellStyle name="Normal 5 2 2 3 2 2 6" xfId="3409" xr:uid="{00000000-0005-0000-0000-0000E9190000}"/>
    <cellStyle name="Normal 5 2 2 3 2 2 6 2" xfId="7688" xr:uid="{00000000-0005-0000-0000-0000EA190000}"/>
    <cellStyle name="Normal 5 2 2 3 2 2 7" xfId="5623" xr:uid="{00000000-0005-0000-0000-0000EB190000}"/>
    <cellStyle name="Normal 5 2 2 3 2 2 8" xfId="1319" xr:uid="{00000000-0005-0000-0000-0000EC190000}"/>
    <cellStyle name="Normal 5 2 2 3 2 3" xfId="900" xr:uid="{00000000-0005-0000-0000-0000ED190000}"/>
    <cellStyle name="Normal 5 2 2 3 2 3 2" xfId="3962" xr:uid="{00000000-0005-0000-0000-0000EE190000}"/>
    <cellStyle name="Normal 5 2 2 3 2 3 2 2" xfId="8180" xr:uid="{00000000-0005-0000-0000-0000EF190000}"/>
    <cellStyle name="Normal 5 2 2 3 2 3 3" xfId="6035" xr:uid="{00000000-0005-0000-0000-0000F0190000}"/>
    <cellStyle name="Normal 5 2 2 3 2 3 4" xfId="1733" xr:uid="{00000000-0005-0000-0000-0000F1190000}"/>
    <cellStyle name="Normal 5 2 2 3 2 4" xfId="2146" xr:uid="{00000000-0005-0000-0000-0000F2190000}"/>
    <cellStyle name="Normal 5 2 2 3 2 4 2" xfId="4375" xr:uid="{00000000-0005-0000-0000-0000F3190000}"/>
    <cellStyle name="Normal 5 2 2 3 2 4 2 2" xfId="8593" xr:uid="{00000000-0005-0000-0000-0000F4190000}"/>
    <cellStyle name="Normal 5 2 2 3 2 4 3" xfId="6448" xr:uid="{00000000-0005-0000-0000-0000F5190000}"/>
    <cellStyle name="Normal 5 2 2 3 2 5" xfId="2559" xr:uid="{00000000-0005-0000-0000-0000F6190000}"/>
    <cellStyle name="Normal 5 2 2 3 2 5 2" xfId="4788" xr:uid="{00000000-0005-0000-0000-0000F7190000}"/>
    <cellStyle name="Normal 5 2 2 3 2 5 2 2" xfId="9006" xr:uid="{00000000-0005-0000-0000-0000F8190000}"/>
    <cellStyle name="Normal 5 2 2 3 2 5 3" xfId="6861" xr:uid="{00000000-0005-0000-0000-0000F9190000}"/>
    <cellStyle name="Normal 5 2 2 3 2 6" xfId="2972" xr:uid="{00000000-0005-0000-0000-0000FA190000}"/>
    <cellStyle name="Normal 5 2 2 3 2 6 2" xfId="5201" xr:uid="{00000000-0005-0000-0000-0000FB190000}"/>
    <cellStyle name="Normal 5 2 2 3 2 6 2 2" xfId="9419" xr:uid="{00000000-0005-0000-0000-0000FC190000}"/>
    <cellStyle name="Normal 5 2 2 3 2 6 3" xfId="7274" xr:uid="{00000000-0005-0000-0000-0000FD190000}"/>
    <cellStyle name="Normal 5 2 2 3 2 7" xfId="3408" xr:uid="{00000000-0005-0000-0000-0000FE190000}"/>
    <cellStyle name="Normal 5 2 2 3 2 7 2" xfId="7687" xr:uid="{00000000-0005-0000-0000-0000FF190000}"/>
    <cellStyle name="Normal 5 2 2 3 2 8" xfId="5622" xr:uid="{00000000-0005-0000-0000-0000001A0000}"/>
    <cellStyle name="Normal 5 2 2 3 2 9" xfId="1318" xr:uid="{00000000-0005-0000-0000-0000011A0000}"/>
    <cellStyle name="Normal 5 2 2 3 3" xfId="423" xr:uid="{00000000-0005-0000-0000-0000021A0000}"/>
    <cellStyle name="Normal 5 2 2 3 3 2" xfId="902" xr:uid="{00000000-0005-0000-0000-0000031A0000}"/>
    <cellStyle name="Normal 5 2 2 3 3 2 2" xfId="3964" xr:uid="{00000000-0005-0000-0000-0000041A0000}"/>
    <cellStyle name="Normal 5 2 2 3 3 2 2 2" xfId="8182" xr:uid="{00000000-0005-0000-0000-0000051A0000}"/>
    <cellStyle name="Normal 5 2 2 3 3 2 3" xfId="6037" xr:uid="{00000000-0005-0000-0000-0000061A0000}"/>
    <cellStyle name="Normal 5 2 2 3 3 2 4" xfId="1735" xr:uid="{00000000-0005-0000-0000-0000071A0000}"/>
    <cellStyle name="Normal 5 2 2 3 3 3" xfId="2148" xr:uid="{00000000-0005-0000-0000-0000081A0000}"/>
    <cellStyle name="Normal 5 2 2 3 3 3 2" xfId="4377" xr:uid="{00000000-0005-0000-0000-0000091A0000}"/>
    <cellStyle name="Normal 5 2 2 3 3 3 2 2" xfId="8595" xr:uid="{00000000-0005-0000-0000-00000A1A0000}"/>
    <cellStyle name="Normal 5 2 2 3 3 3 3" xfId="6450" xr:uid="{00000000-0005-0000-0000-00000B1A0000}"/>
    <cellStyle name="Normal 5 2 2 3 3 4" xfId="2561" xr:uid="{00000000-0005-0000-0000-00000C1A0000}"/>
    <cellStyle name="Normal 5 2 2 3 3 4 2" xfId="4790" xr:uid="{00000000-0005-0000-0000-00000D1A0000}"/>
    <cellStyle name="Normal 5 2 2 3 3 4 2 2" xfId="9008" xr:uid="{00000000-0005-0000-0000-00000E1A0000}"/>
    <cellStyle name="Normal 5 2 2 3 3 4 3" xfId="6863" xr:uid="{00000000-0005-0000-0000-00000F1A0000}"/>
    <cellStyle name="Normal 5 2 2 3 3 5" xfId="2974" xr:uid="{00000000-0005-0000-0000-0000101A0000}"/>
    <cellStyle name="Normal 5 2 2 3 3 5 2" xfId="5203" xr:uid="{00000000-0005-0000-0000-0000111A0000}"/>
    <cellStyle name="Normal 5 2 2 3 3 5 2 2" xfId="9421" xr:uid="{00000000-0005-0000-0000-0000121A0000}"/>
    <cellStyle name="Normal 5 2 2 3 3 5 3" xfId="7276" xr:uid="{00000000-0005-0000-0000-0000131A0000}"/>
    <cellStyle name="Normal 5 2 2 3 3 6" xfId="3410" xr:uid="{00000000-0005-0000-0000-0000141A0000}"/>
    <cellStyle name="Normal 5 2 2 3 3 6 2" xfId="7689" xr:uid="{00000000-0005-0000-0000-0000151A0000}"/>
    <cellStyle name="Normal 5 2 2 3 3 7" xfId="5624" xr:uid="{00000000-0005-0000-0000-0000161A0000}"/>
    <cellStyle name="Normal 5 2 2 3 3 8" xfId="1320" xr:uid="{00000000-0005-0000-0000-0000171A0000}"/>
    <cellStyle name="Normal 5 2 2 3 4" xfId="899" xr:uid="{00000000-0005-0000-0000-0000181A0000}"/>
    <cellStyle name="Normal 5 2 2 3 4 2" xfId="3961" xr:uid="{00000000-0005-0000-0000-0000191A0000}"/>
    <cellStyle name="Normal 5 2 2 3 4 2 2" xfId="8179" xr:uid="{00000000-0005-0000-0000-00001A1A0000}"/>
    <cellStyle name="Normal 5 2 2 3 4 3" xfId="6034" xr:uid="{00000000-0005-0000-0000-00001B1A0000}"/>
    <cellStyle name="Normal 5 2 2 3 4 4" xfId="1732" xr:uid="{00000000-0005-0000-0000-00001C1A0000}"/>
    <cellStyle name="Normal 5 2 2 3 5" xfId="2145" xr:uid="{00000000-0005-0000-0000-00001D1A0000}"/>
    <cellStyle name="Normal 5 2 2 3 5 2" xfId="4374" xr:uid="{00000000-0005-0000-0000-00001E1A0000}"/>
    <cellStyle name="Normal 5 2 2 3 5 2 2" xfId="8592" xr:uid="{00000000-0005-0000-0000-00001F1A0000}"/>
    <cellStyle name="Normal 5 2 2 3 5 3" xfId="6447" xr:uid="{00000000-0005-0000-0000-0000201A0000}"/>
    <cellStyle name="Normal 5 2 2 3 6" xfId="2558" xr:uid="{00000000-0005-0000-0000-0000211A0000}"/>
    <cellStyle name="Normal 5 2 2 3 6 2" xfId="4787" xr:uid="{00000000-0005-0000-0000-0000221A0000}"/>
    <cellStyle name="Normal 5 2 2 3 6 2 2" xfId="9005" xr:uid="{00000000-0005-0000-0000-0000231A0000}"/>
    <cellStyle name="Normal 5 2 2 3 6 3" xfId="6860" xr:uid="{00000000-0005-0000-0000-0000241A0000}"/>
    <cellStyle name="Normal 5 2 2 3 7" xfId="2971" xr:uid="{00000000-0005-0000-0000-0000251A0000}"/>
    <cellStyle name="Normal 5 2 2 3 7 2" xfId="5200" xr:uid="{00000000-0005-0000-0000-0000261A0000}"/>
    <cellStyle name="Normal 5 2 2 3 7 2 2" xfId="9418" xr:uid="{00000000-0005-0000-0000-0000271A0000}"/>
    <cellStyle name="Normal 5 2 2 3 7 3" xfId="7273" xr:uid="{00000000-0005-0000-0000-0000281A0000}"/>
    <cellStyle name="Normal 5 2 2 3 8" xfId="3407" xr:uid="{00000000-0005-0000-0000-0000291A0000}"/>
    <cellStyle name="Normal 5 2 2 3 8 2" xfId="7686" xr:uid="{00000000-0005-0000-0000-00002A1A0000}"/>
    <cellStyle name="Normal 5 2 2 3 9" xfId="5621" xr:uid="{00000000-0005-0000-0000-00002B1A0000}"/>
    <cellStyle name="Normal 5 2 2 4" xfId="424" xr:uid="{00000000-0005-0000-0000-00002C1A0000}"/>
    <cellStyle name="Normal 5 2 2 4 2" xfId="425" xr:uid="{00000000-0005-0000-0000-00002D1A0000}"/>
    <cellStyle name="Normal 5 2 2 4 2 2" xfId="904" xr:uid="{00000000-0005-0000-0000-00002E1A0000}"/>
    <cellStyle name="Normal 5 2 2 4 2 2 2" xfId="3966" xr:uid="{00000000-0005-0000-0000-00002F1A0000}"/>
    <cellStyle name="Normal 5 2 2 4 2 2 2 2" xfId="8184" xr:uid="{00000000-0005-0000-0000-0000301A0000}"/>
    <cellStyle name="Normal 5 2 2 4 2 2 3" xfId="6039" xr:uid="{00000000-0005-0000-0000-0000311A0000}"/>
    <cellStyle name="Normal 5 2 2 4 2 2 4" xfId="1737" xr:uid="{00000000-0005-0000-0000-0000321A0000}"/>
    <cellStyle name="Normal 5 2 2 4 2 3" xfId="2150" xr:uid="{00000000-0005-0000-0000-0000331A0000}"/>
    <cellStyle name="Normal 5 2 2 4 2 3 2" xfId="4379" xr:uid="{00000000-0005-0000-0000-0000341A0000}"/>
    <cellStyle name="Normal 5 2 2 4 2 3 2 2" xfId="8597" xr:uid="{00000000-0005-0000-0000-0000351A0000}"/>
    <cellStyle name="Normal 5 2 2 4 2 3 3" xfId="6452" xr:uid="{00000000-0005-0000-0000-0000361A0000}"/>
    <cellStyle name="Normal 5 2 2 4 2 4" xfId="2563" xr:uid="{00000000-0005-0000-0000-0000371A0000}"/>
    <cellStyle name="Normal 5 2 2 4 2 4 2" xfId="4792" xr:uid="{00000000-0005-0000-0000-0000381A0000}"/>
    <cellStyle name="Normal 5 2 2 4 2 4 2 2" xfId="9010" xr:uid="{00000000-0005-0000-0000-0000391A0000}"/>
    <cellStyle name="Normal 5 2 2 4 2 4 3" xfId="6865" xr:uid="{00000000-0005-0000-0000-00003A1A0000}"/>
    <cellStyle name="Normal 5 2 2 4 2 5" xfId="2976" xr:uid="{00000000-0005-0000-0000-00003B1A0000}"/>
    <cellStyle name="Normal 5 2 2 4 2 5 2" xfId="5205" xr:uid="{00000000-0005-0000-0000-00003C1A0000}"/>
    <cellStyle name="Normal 5 2 2 4 2 5 2 2" xfId="9423" xr:uid="{00000000-0005-0000-0000-00003D1A0000}"/>
    <cellStyle name="Normal 5 2 2 4 2 5 3" xfId="7278" xr:uid="{00000000-0005-0000-0000-00003E1A0000}"/>
    <cellStyle name="Normal 5 2 2 4 2 6" xfId="3412" xr:uid="{00000000-0005-0000-0000-00003F1A0000}"/>
    <cellStyle name="Normal 5 2 2 4 2 6 2" xfId="7691" xr:uid="{00000000-0005-0000-0000-0000401A0000}"/>
    <cellStyle name="Normal 5 2 2 4 2 7" xfId="5626" xr:uid="{00000000-0005-0000-0000-0000411A0000}"/>
    <cellStyle name="Normal 5 2 2 4 2 8" xfId="1322" xr:uid="{00000000-0005-0000-0000-0000421A0000}"/>
    <cellStyle name="Normal 5 2 2 4 3" xfId="903" xr:uid="{00000000-0005-0000-0000-0000431A0000}"/>
    <cellStyle name="Normal 5 2 2 4 3 2" xfId="3965" xr:uid="{00000000-0005-0000-0000-0000441A0000}"/>
    <cellStyle name="Normal 5 2 2 4 3 2 2" xfId="8183" xr:uid="{00000000-0005-0000-0000-0000451A0000}"/>
    <cellStyle name="Normal 5 2 2 4 3 3" xfId="6038" xr:uid="{00000000-0005-0000-0000-0000461A0000}"/>
    <cellStyle name="Normal 5 2 2 4 3 4" xfId="1736" xr:uid="{00000000-0005-0000-0000-0000471A0000}"/>
    <cellStyle name="Normal 5 2 2 4 4" xfId="2149" xr:uid="{00000000-0005-0000-0000-0000481A0000}"/>
    <cellStyle name="Normal 5 2 2 4 4 2" xfId="4378" xr:uid="{00000000-0005-0000-0000-0000491A0000}"/>
    <cellStyle name="Normal 5 2 2 4 4 2 2" xfId="8596" xr:uid="{00000000-0005-0000-0000-00004A1A0000}"/>
    <cellStyle name="Normal 5 2 2 4 4 3" xfId="6451" xr:uid="{00000000-0005-0000-0000-00004B1A0000}"/>
    <cellStyle name="Normal 5 2 2 4 5" xfId="2562" xr:uid="{00000000-0005-0000-0000-00004C1A0000}"/>
    <cellStyle name="Normal 5 2 2 4 5 2" xfId="4791" xr:uid="{00000000-0005-0000-0000-00004D1A0000}"/>
    <cellStyle name="Normal 5 2 2 4 5 2 2" xfId="9009" xr:uid="{00000000-0005-0000-0000-00004E1A0000}"/>
    <cellStyle name="Normal 5 2 2 4 5 3" xfId="6864" xr:uid="{00000000-0005-0000-0000-00004F1A0000}"/>
    <cellStyle name="Normal 5 2 2 4 6" xfId="2975" xr:uid="{00000000-0005-0000-0000-0000501A0000}"/>
    <cellStyle name="Normal 5 2 2 4 6 2" xfId="5204" xr:uid="{00000000-0005-0000-0000-0000511A0000}"/>
    <cellStyle name="Normal 5 2 2 4 6 2 2" xfId="9422" xr:uid="{00000000-0005-0000-0000-0000521A0000}"/>
    <cellStyle name="Normal 5 2 2 4 6 3" xfId="7277" xr:uid="{00000000-0005-0000-0000-0000531A0000}"/>
    <cellStyle name="Normal 5 2 2 4 7" xfId="3411" xr:uid="{00000000-0005-0000-0000-0000541A0000}"/>
    <cellStyle name="Normal 5 2 2 4 7 2" xfId="7690" xr:uid="{00000000-0005-0000-0000-0000551A0000}"/>
    <cellStyle name="Normal 5 2 2 4 8" xfId="5625" xr:uid="{00000000-0005-0000-0000-0000561A0000}"/>
    <cellStyle name="Normal 5 2 2 4 9" xfId="1321" xr:uid="{00000000-0005-0000-0000-0000571A0000}"/>
    <cellStyle name="Normal 5 2 2 5" xfId="426" xr:uid="{00000000-0005-0000-0000-0000581A0000}"/>
    <cellStyle name="Normal 5 2 2 5 2" xfId="905" xr:uid="{00000000-0005-0000-0000-0000591A0000}"/>
    <cellStyle name="Normal 5 2 2 5 2 2" xfId="3967" xr:uid="{00000000-0005-0000-0000-00005A1A0000}"/>
    <cellStyle name="Normal 5 2 2 5 2 2 2" xfId="8185" xr:uid="{00000000-0005-0000-0000-00005B1A0000}"/>
    <cellStyle name="Normal 5 2 2 5 2 3" xfId="6040" xr:uid="{00000000-0005-0000-0000-00005C1A0000}"/>
    <cellStyle name="Normal 5 2 2 5 2 4" xfId="1738" xr:uid="{00000000-0005-0000-0000-00005D1A0000}"/>
    <cellStyle name="Normal 5 2 2 5 3" xfId="2151" xr:uid="{00000000-0005-0000-0000-00005E1A0000}"/>
    <cellStyle name="Normal 5 2 2 5 3 2" xfId="4380" xr:uid="{00000000-0005-0000-0000-00005F1A0000}"/>
    <cellStyle name="Normal 5 2 2 5 3 2 2" xfId="8598" xr:uid="{00000000-0005-0000-0000-0000601A0000}"/>
    <cellStyle name="Normal 5 2 2 5 3 3" xfId="6453" xr:uid="{00000000-0005-0000-0000-0000611A0000}"/>
    <cellStyle name="Normal 5 2 2 5 4" xfId="2564" xr:uid="{00000000-0005-0000-0000-0000621A0000}"/>
    <cellStyle name="Normal 5 2 2 5 4 2" xfId="4793" xr:uid="{00000000-0005-0000-0000-0000631A0000}"/>
    <cellStyle name="Normal 5 2 2 5 4 2 2" xfId="9011" xr:uid="{00000000-0005-0000-0000-0000641A0000}"/>
    <cellStyle name="Normal 5 2 2 5 4 3" xfId="6866" xr:uid="{00000000-0005-0000-0000-0000651A0000}"/>
    <cellStyle name="Normal 5 2 2 5 5" xfId="2977" xr:uid="{00000000-0005-0000-0000-0000661A0000}"/>
    <cellStyle name="Normal 5 2 2 5 5 2" xfId="5206" xr:uid="{00000000-0005-0000-0000-0000671A0000}"/>
    <cellStyle name="Normal 5 2 2 5 5 2 2" xfId="9424" xr:uid="{00000000-0005-0000-0000-0000681A0000}"/>
    <cellStyle name="Normal 5 2 2 5 5 3" xfId="7279" xr:uid="{00000000-0005-0000-0000-0000691A0000}"/>
    <cellStyle name="Normal 5 2 2 5 6" xfId="3413" xr:uid="{00000000-0005-0000-0000-00006A1A0000}"/>
    <cellStyle name="Normal 5 2 2 5 6 2" xfId="7692" xr:uid="{00000000-0005-0000-0000-00006B1A0000}"/>
    <cellStyle name="Normal 5 2 2 5 7" xfId="5627" xr:uid="{00000000-0005-0000-0000-00006C1A0000}"/>
    <cellStyle name="Normal 5 2 2 5 8" xfId="1323" xr:uid="{00000000-0005-0000-0000-00006D1A0000}"/>
    <cellStyle name="Normal 5 2 2 6" xfId="890" xr:uid="{00000000-0005-0000-0000-00006E1A0000}"/>
    <cellStyle name="Normal 5 2 2 6 2" xfId="3952" xr:uid="{00000000-0005-0000-0000-00006F1A0000}"/>
    <cellStyle name="Normal 5 2 2 6 2 2" xfId="8170" xr:uid="{00000000-0005-0000-0000-0000701A0000}"/>
    <cellStyle name="Normal 5 2 2 6 3" xfId="6025" xr:uid="{00000000-0005-0000-0000-0000711A0000}"/>
    <cellStyle name="Normal 5 2 2 6 4" xfId="1723" xr:uid="{00000000-0005-0000-0000-0000721A0000}"/>
    <cellStyle name="Normal 5 2 2 7" xfId="2136" xr:uid="{00000000-0005-0000-0000-0000731A0000}"/>
    <cellStyle name="Normal 5 2 2 7 2" xfId="4365" xr:uid="{00000000-0005-0000-0000-0000741A0000}"/>
    <cellStyle name="Normal 5 2 2 7 2 2" xfId="8583" xr:uid="{00000000-0005-0000-0000-0000751A0000}"/>
    <cellStyle name="Normal 5 2 2 7 3" xfId="6438" xr:uid="{00000000-0005-0000-0000-0000761A0000}"/>
    <cellStyle name="Normal 5 2 2 8" xfId="2549" xr:uid="{00000000-0005-0000-0000-0000771A0000}"/>
    <cellStyle name="Normal 5 2 2 8 2" xfId="4778" xr:uid="{00000000-0005-0000-0000-0000781A0000}"/>
    <cellStyle name="Normal 5 2 2 8 2 2" xfId="8996" xr:uid="{00000000-0005-0000-0000-0000791A0000}"/>
    <cellStyle name="Normal 5 2 2 8 3" xfId="6851" xr:uid="{00000000-0005-0000-0000-00007A1A0000}"/>
    <cellStyle name="Normal 5 2 2 9" xfId="2962" xr:uid="{00000000-0005-0000-0000-00007B1A0000}"/>
    <cellStyle name="Normal 5 2 2 9 2" xfId="5191" xr:uid="{00000000-0005-0000-0000-00007C1A0000}"/>
    <cellStyle name="Normal 5 2 2 9 2 2" xfId="9409" xr:uid="{00000000-0005-0000-0000-00007D1A0000}"/>
    <cellStyle name="Normal 5 2 2 9 3" xfId="7264" xr:uid="{00000000-0005-0000-0000-00007E1A0000}"/>
    <cellStyle name="Normal 5 2 3" xfId="427" xr:uid="{00000000-0005-0000-0000-00007F1A0000}"/>
    <cellStyle name="Normal 5 2 3 10" xfId="5628" xr:uid="{00000000-0005-0000-0000-0000801A0000}"/>
    <cellStyle name="Normal 5 2 3 11" xfId="1324" xr:uid="{00000000-0005-0000-0000-0000811A0000}"/>
    <cellStyle name="Normal 5 2 3 2" xfId="428" xr:uid="{00000000-0005-0000-0000-0000821A0000}"/>
    <cellStyle name="Normal 5 2 3 2 10" xfId="1325" xr:uid="{00000000-0005-0000-0000-0000831A0000}"/>
    <cellStyle name="Normal 5 2 3 2 2" xfId="429" xr:uid="{00000000-0005-0000-0000-0000841A0000}"/>
    <cellStyle name="Normal 5 2 3 2 2 2" xfId="430" xr:uid="{00000000-0005-0000-0000-0000851A0000}"/>
    <cellStyle name="Normal 5 2 3 2 2 2 2" xfId="909" xr:uid="{00000000-0005-0000-0000-0000861A0000}"/>
    <cellStyle name="Normal 5 2 3 2 2 2 2 2" xfId="3971" xr:uid="{00000000-0005-0000-0000-0000871A0000}"/>
    <cellStyle name="Normal 5 2 3 2 2 2 2 2 2" xfId="8189" xr:uid="{00000000-0005-0000-0000-0000881A0000}"/>
    <cellStyle name="Normal 5 2 3 2 2 2 2 3" xfId="6044" xr:uid="{00000000-0005-0000-0000-0000891A0000}"/>
    <cellStyle name="Normal 5 2 3 2 2 2 2 4" xfId="1742" xr:uid="{00000000-0005-0000-0000-00008A1A0000}"/>
    <cellStyle name="Normal 5 2 3 2 2 2 3" xfId="2155" xr:uid="{00000000-0005-0000-0000-00008B1A0000}"/>
    <cellStyle name="Normal 5 2 3 2 2 2 3 2" xfId="4384" xr:uid="{00000000-0005-0000-0000-00008C1A0000}"/>
    <cellStyle name="Normal 5 2 3 2 2 2 3 2 2" xfId="8602" xr:uid="{00000000-0005-0000-0000-00008D1A0000}"/>
    <cellStyle name="Normal 5 2 3 2 2 2 3 3" xfId="6457" xr:uid="{00000000-0005-0000-0000-00008E1A0000}"/>
    <cellStyle name="Normal 5 2 3 2 2 2 4" xfId="2568" xr:uid="{00000000-0005-0000-0000-00008F1A0000}"/>
    <cellStyle name="Normal 5 2 3 2 2 2 4 2" xfId="4797" xr:uid="{00000000-0005-0000-0000-0000901A0000}"/>
    <cellStyle name="Normal 5 2 3 2 2 2 4 2 2" xfId="9015" xr:uid="{00000000-0005-0000-0000-0000911A0000}"/>
    <cellStyle name="Normal 5 2 3 2 2 2 4 3" xfId="6870" xr:uid="{00000000-0005-0000-0000-0000921A0000}"/>
    <cellStyle name="Normal 5 2 3 2 2 2 5" xfId="2981" xr:uid="{00000000-0005-0000-0000-0000931A0000}"/>
    <cellStyle name="Normal 5 2 3 2 2 2 5 2" xfId="5210" xr:uid="{00000000-0005-0000-0000-0000941A0000}"/>
    <cellStyle name="Normal 5 2 3 2 2 2 5 2 2" xfId="9428" xr:uid="{00000000-0005-0000-0000-0000951A0000}"/>
    <cellStyle name="Normal 5 2 3 2 2 2 5 3" xfId="7283" xr:uid="{00000000-0005-0000-0000-0000961A0000}"/>
    <cellStyle name="Normal 5 2 3 2 2 2 6" xfId="3417" xr:uid="{00000000-0005-0000-0000-0000971A0000}"/>
    <cellStyle name="Normal 5 2 3 2 2 2 6 2" xfId="7696" xr:uid="{00000000-0005-0000-0000-0000981A0000}"/>
    <cellStyle name="Normal 5 2 3 2 2 2 7" xfId="5631" xr:uid="{00000000-0005-0000-0000-0000991A0000}"/>
    <cellStyle name="Normal 5 2 3 2 2 2 8" xfId="1327" xr:uid="{00000000-0005-0000-0000-00009A1A0000}"/>
    <cellStyle name="Normal 5 2 3 2 2 3" xfId="908" xr:uid="{00000000-0005-0000-0000-00009B1A0000}"/>
    <cellStyle name="Normal 5 2 3 2 2 3 2" xfId="3970" xr:uid="{00000000-0005-0000-0000-00009C1A0000}"/>
    <cellStyle name="Normal 5 2 3 2 2 3 2 2" xfId="8188" xr:uid="{00000000-0005-0000-0000-00009D1A0000}"/>
    <cellStyle name="Normal 5 2 3 2 2 3 3" xfId="6043" xr:uid="{00000000-0005-0000-0000-00009E1A0000}"/>
    <cellStyle name="Normal 5 2 3 2 2 3 4" xfId="1741" xr:uid="{00000000-0005-0000-0000-00009F1A0000}"/>
    <cellStyle name="Normal 5 2 3 2 2 4" xfId="2154" xr:uid="{00000000-0005-0000-0000-0000A01A0000}"/>
    <cellStyle name="Normal 5 2 3 2 2 4 2" xfId="4383" xr:uid="{00000000-0005-0000-0000-0000A11A0000}"/>
    <cellStyle name="Normal 5 2 3 2 2 4 2 2" xfId="8601" xr:uid="{00000000-0005-0000-0000-0000A21A0000}"/>
    <cellStyle name="Normal 5 2 3 2 2 4 3" xfId="6456" xr:uid="{00000000-0005-0000-0000-0000A31A0000}"/>
    <cellStyle name="Normal 5 2 3 2 2 5" xfId="2567" xr:uid="{00000000-0005-0000-0000-0000A41A0000}"/>
    <cellStyle name="Normal 5 2 3 2 2 5 2" xfId="4796" xr:uid="{00000000-0005-0000-0000-0000A51A0000}"/>
    <cellStyle name="Normal 5 2 3 2 2 5 2 2" xfId="9014" xr:uid="{00000000-0005-0000-0000-0000A61A0000}"/>
    <cellStyle name="Normal 5 2 3 2 2 5 3" xfId="6869" xr:uid="{00000000-0005-0000-0000-0000A71A0000}"/>
    <cellStyle name="Normal 5 2 3 2 2 6" xfId="2980" xr:uid="{00000000-0005-0000-0000-0000A81A0000}"/>
    <cellStyle name="Normal 5 2 3 2 2 6 2" xfId="5209" xr:uid="{00000000-0005-0000-0000-0000A91A0000}"/>
    <cellStyle name="Normal 5 2 3 2 2 6 2 2" xfId="9427" xr:uid="{00000000-0005-0000-0000-0000AA1A0000}"/>
    <cellStyle name="Normal 5 2 3 2 2 6 3" xfId="7282" xr:uid="{00000000-0005-0000-0000-0000AB1A0000}"/>
    <cellStyle name="Normal 5 2 3 2 2 7" xfId="3416" xr:uid="{00000000-0005-0000-0000-0000AC1A0000}"/>
    <cellStyle name="Normal 5 2 3 2 2 7 2" xfId="7695" xr:uid="{00000000-0005-0000-0000-0000AD1A0000}"/>
    <cellStyle name="Normal 5 2 3 2 2 8" xfId="5630" xr:uid="{00000000-0005-0000-0000-0000AE1A0000}"/>
    <cellStyle name="Normal 5 2 3 2 2 9" xfId="1326" xr:uid="{00000000-0005-0000-0000-0000AF1A0000}"/>
    <cellStyle name="Normal 5 2 3 2 3" xfId="431" xr:uid="{00000000-0005-0000-0000-0000B01A0000}"/>
    <cellStyle name="Normal 5 2 3 2 3 2" xfId="910" xr:uid="{00000000-0005-0000-0000-0000B11A0000}"/>
    <cellStyle name="Normal 5 2 3 2 3 2 2" xfId="3972" xr:uid="{00000000-0005-0000-0000-0000B21A0000}"/>
    <cellStyle name="Normal 5 2 3 2 3 2 2 2" xfId="8190" xr:uid="{00000000-0005-0000-0000-0000B31A0000}"/>
    <cellStyle name="Normal 5 2 3 2 3 2 3" xfId="6045" xr:uid="{00000000-0005-0000-0000-0000B41A0000}"/>
    <cellStyle name="Normal 5 2 3 2 3 2 4" xfId="1743" xr:uid="{00000000-0005-0000-0000-0000B51A0000}"/>
    <cellStyle name="Normal 5 2 3 2 3 3" xfId="2156" xr:uid="{00000000-0005-0000-0000-0000B61A0000}"/>
    <cellStyle name="Normal 5 2 3 2 3 3 2" xfId="4385" xr:uid="{00000000-0005-0000-0000-0000B71A0000}"/>
    <cellStyle name="Normal 5 2 3 2 3 3 2 2" xfId="8603" xr:uid="{00000000-0005-0000-0000-0000B81A0000}"/>
    <cellStyle name="Normal 5 2 3 2 3 3 3" xfId="6458" xr:uid="{00000000-0005-0000-0000-0000B91A0000}"/>
    <cellStyle name="Normal 5 2 3 2 3 4" xfId="2569" xr:uid="{00000000-0005-0000-0000-0000BA1A0000}"/>
    <cellStyle name="Normal 5 2 3 2 3 4 2" xfId="4798" xr:uid="{00000000-0005-0000-0000-0000BB1A0000}"/>
    <cellStyle name="Normal 5 2 3 2 3 4 2 2" xfId="9016" xr:uid="{00000000-0005-0000-0000-0000BC1A0000}"/>
    <cellStyle name="Normal 5 2 3 2 3 4 3" xfId="6871" xr:uid="{00000000-0005-0000-0000-0000BD1A0000}"/>
    <cellStyle name="Normal 5 2 3 2 3 5" xfId="2982" xr:uid="{00000000-0005-0000-0000-0000BE1A0000}"/>
    <cellStyle name="Normal 5 2 3 2 3 5 2" xfId="5211" xr:uid="{00000000-0005-0000-0000-0000BF1A0000}"/>
    <cellStyle name="Normal 5 2 3 2 3 5 2 2" xfId="9429" xr:uid="{00000000-0005-0000-0000-0000C01A0000}"/>
    <cellStyle name="Normal 5 2 3 2 3 5 3" xfId="7284" xr:uid="{00000000-0005-0000-0000-0000C11A0000}"/>
    <cellStyle name="Normal 5 2 3 2 3 6" xfId="3418" xr:uid="{00000000-0005-0000-0000-0000C21A0000}"/>
    <cellStyle name="Normal 5 2 3 2 3 6 2" xfId="7697" xr:uid="{00000000-0005-0000-0000-0000C31A0000}"/>
    <cellStyle name="Normal 5 2 3 2 3 7" xfId="5632" xr:uid="{00000000-0005-0000-0000-0000C41A0000}"/>
    <cellStyle name="Normal 5 2 3 2 3 8" xfId="1328" xr:uid="{00000000-0005-0000-0000-0000C51A0000}"/>
    <cellStyle name="Normal 5 2 3 2 4" xfId="907" xr:uid="{00000000-0005-0000-0000-0000C61A0000}"/>
    <cellStyle name="Normal 5 2 3 2 4 2" xfId="3969" xr:uid="{00000000-0005-0000-0000-0000C71A0000}"/>
    <cellStyle name="Normal 5 2 3 2 4 2 2" xfId="8187" xr:uid="{00000000-0005-0000-0000-0000C81A0000}"/>
    <cellStyle name="Normal 5 2 3 2 4 3" xfId="6042" xr:uid="{00000000-0005-0000-0000-0000C91A0000}"/>
    <cellStyle name="Normal 5 2 3 2 4 4" xfId="1740" xr:uid="{00000000-0005-0000-0000-0000CA1A0000}"/>
    <cellStyle name="Normal 5 2 3 2 5" xfId="2153" xr:uid="{00000000-0005-0000-0000-0000CB1A0000}"/>
    <cellStyle name="Normal 5 2 3 2 5 2" xfId="4382" xr:uid="{00000000-0005-0000-0000-0000CC1A0000}"/>
    <cellStyle name="Normal 5 2 3 2 5 2 2" xfId="8600" xr:uid="{00000000-0005-0000-0000-0000CD1A0000}"/>
    <cellStyle name="Normal 5 2 3 2 5 3" xfId="6455" xr:uid="{00000000-0005-0000-0000-0000CE1A0000}"/>
    <cellStyle name="Normal 5 2 3 2 6" xfId="2566" xr:uid="{00000000-0005-0000-0000-0000CF1A0000}"/>
    <cellStyle name="Normal 5 2 3 2 6 2" xfId="4795" xr:uid="{00000000-0005-0000-0000-0000D01A0000}"/>
    <cellStyle name="Normal 5 2 3 2 6 2 2" xfId="9013" xr:uid="{00000000-0005-0000-0000-0000D11A0000}"/>
    <cellStyle name="Normal 5 2 3 2 6 3" xfId="6868" xr:uid="{00000000-0005-0000-0000-0000D21A0000}"/>
    <cellStyle name="Normal 5 2 3 2 7" xfId="2979" xr:uid="{00000000-0005-0000-0000-0000D31A0000}"/>
    <cellStyle name="Normal 5 2 3 2 7 2" xfId="5208" xr:uid="{00000000-0005-0000-0000-0000D41A0000}"/>
    <cellStyle name="Normal 5 2 3 2 7 2 2" xfId="9426" xr:uid="{00000000-0005-0000-0000-0000D51A0000}"/>
    <cellStyle name="Normal 5 2 3 2 7 3" xfId="7281" xr:uid="{00000000-0005-0000-0000-0000D61A0000}"/>
    <cellStyle name="Normal 5 2 3 2 8" xfId="3415" xr:uid="{00000000-0005-0000-0000-0000D71A0000}"/>
    <cellStyle name="Normal 5 2 3 2 8 2" xfId="7694" xr:uid="{00000000-0005-0000-0000-0000D81A0000}"/>
    <cellStyle name="Normal 5 2 3 2 9" xfId="5629" xr:uid="{00000000-0005-0000-0000-0000D91A0000}"/>
    <cellStyle name="Normal 5 2 3 3" xfId="432" xr:uid="{00000000-0005-0000-0000-0000DA1A0000}"/>
    <cellStyle name="Normal 5 2 3 3 2" xfId="433" xr:uid="{00000000-0005-0000-0000-0000DB1A0000}"/>
    <cellStyle name="Normal 5 2 3 3 2 2" xfId="912" xr:uid="{00000000-0005-0000-0000-0000DC1A0000}"/>
    <cellStyle name="Normal 5 2 3 3 2 2 2" xfId="3974" xr:uid="{00000000-0005-0000-0000-0000DD1A0000}"/>
    <cellStyle name="Normal 5 2 3 3 2 2 2 2" xfId="8192" xr:uid="{00000000-0005-0000-0000-0000DE1A0000}"/>
    <cellStyle name="Normal 5 2 3 3 2 2 3" xfId="6047" xr:uid="{00000000-0005-0000-0000-0000DF1A0000}"/>
    <cellStyle name="Normal 5 2 3 3 2 2 4" xfId="1745" xr:uid="{00000000-0005-0000-0000-0000E01A0000}"/>
    <cellStyle name="Normal 5 2 3 3 2 3" xfId="2158" xr:uid="{00000000-0005-0000-0000-0000E11A0000}"/>
    <cellStyle name="Normal 5 2 3 3 2 3 2" xfId="4387" xr:uid="{00000000-0005-0000-0000-0000E21A0000}"/>
    <cellStyle name="Normal 5 2 3 3 2 3 2 2" xfId="8605" xr:uid="{00000000-0005-0000-0000-0000E31A0000}"/>
    <cellStyle name="Normal 5 2 3 3 2 3 3" xfId="6460" xr:uid="{00000000-0005-0000-0000-0000E41A0000}"/>
    <cellStyle name="Normal 5 2 3 3 2 4" xfId="2571" xr:uid="{00000000-0005-0000-0000-0000E51A0000}"/>
    <cellStyle name="Normal 5 2 3 3 2 4 2" xfId="4800" xr:uid="{00000000-0005-0000-0000-0000E61A0000}"/>
    <cellStyle name="Normal 5 2 3 3 2 4 2 2" xfId="9018" xr:uid="{00000000-0005-0000-0000-0000E71A0000}"/>
    <cellStyle name="Normal 5 2 3 3 2 4 3" xfId="6873" xr:uid="{00000000-0005-0000-0000-0000E81A0000}"/>
    <cellStyle name="Normal 5 2 3 3 2 5" xfId="2984" xr:uid="{00000000-0005-0000-0000-0000E91A0000}"/>
    <cellStyle name="Normal 5 2 3 3 2 5 2" xfId="5213" xr:uid="{00000000-0005-0000-0000-0000EA1A0000}"/>
    <cellStyle name="Normal 5 2 3 3 2 5 2 2" xfId="9431" xr:uid="{00000000-0005-0000-0000-0000EB1A0000}"/>
    <cellStyle name="Normal 5 2 3 3 2 5 3" xfId="7286" xr:uid="{00000000-0005-0000-0000-0000EC1A0000}"/>
    <cellStyle name="Normal 5 2 3 3 2 6" xfId="3420" xr:uid="{00000000-0005-0000-0000-0000ED1A0000}"/>
    <cellStyle name="Normal 5 2 3 3 2 6 2" xfId="7699" xr:uid="{00000000-0005-0000-0000-0000EE1A0000}"/>
    <cellStyle name="Normal 5 2 3 3 2 7" xfId="5634" xr:uid="{00000000-0005-0000-0000-0000EF1A0000}"/>
    <cellStyle name="Normal 5 2 3 3 2 8" xfId="1330" xr:uid="{00000000-0005-0000-0000-0000F01A0000}"/>
    <cellStyle name="Normal 5 2 3 3 3" xfId="911" xr:uid="{00000000-0005-0000-0000-0000F11A0000}"/>
    <cellStyle name="Normal 5 2 3 3 3 2" xfId="3973" xr:uid="{00000000-0005-0000-0000-0000F21A0000}"/>
    <cellStyle name="Normal 5 2 3 3 3 2 2" xfId="8191" xr:uid="{00000000-0005-0000-0000-0000F31A0000}"/>
    <cellStyle name="Normal 5 2 3 3 3 3" xfId="6046" xr:uid="{00000000-0005-0000-0000-0000F41A0000}"/>
    <cellStyle name="Normal 5 2 3 3 3 4" xfId="1744" xr:uid="{00000000-0005-0000-0000-0000F51A0000}"/>
    <cellStyle name="Normal 5 2 3 3 4" xfId="2157" xr:uid="{00000000-0005-0000-0000-0000F61A0000}"/>
    <cellStyle name="Normal 5 2 3 3 4 2" xfId="4386" xr:uid="{00000000-0005-0000-0000-0000F71A0000}"/>
    <cellStyle name="Normal 5 2 3 3 4 2 2" xfId="8604" xr:uid="{00000000-0005-0000-0000-0000F81A0000}"/>
    <cellStyle name="Normal 5 2 3 3 4 3" xfId="6459" xr:uid="{00000000-0005-0000-0000-0000F91A0000}"/>
    <cellStyle name="Normal 5 2 3 3 5" xfId="2570" xr:uid="{00000000-0005-0000-0000-0000FA1A0000}"/>
    <cellStyle name="Normal 5 2 3 3 5 2" xfId="4799" xr:uid="{00000000-0005-0000-0000-0000FB1A0000}"/>
    <cellStyle name="Normal 5 2 3 3 5 2 2" xfId="9017" xr:uid="{00000000-0005-0000-0000-0000FC1A0000}"/>
    <cellStyle name="Normal 5 2 3 3 5 3" xfId="6872" xr:uid="{00000000-0005-0000-0000-0000FD1A0000}"/>
    <cellStyle name="Normal 5 2 3 3 6" xfId="2983" xr:uid="{00000000-0005-0000-0000-0000FE1A0000}"/>
    <cellStyle name="Normal 5 2 3 3 6 2" xfId="5212" xr:uid="{00000000-0005-0000-0000-0000FF1A0000}"/>
    <cellStyle name="Normal 5 2 3 3 6 2 2" xfId="9430" xr:uid="{00000000-0005-0000-0000-0000001B0000}"/>
    <cellStyle name="Normal 5 2 3 3 6 3" xfId="7285" xr:uid="{00000000-0005-0000-0000-0000011B0000}"/>
    <cellStyle name="Normal 5 2 3 3 7" xfId="3419" xr:uid="{00000000-0005-0000-0000-0000021B0000}"/>
    <cellStyle name="Normal 5 2 3 3 7 2" xfId="7698" xr:uid="{00000000-0005-0000-0000-0000031B0000}"/>
    <cellStyle name="Normal 5 2 3 3 8" xfId="5633" xr:uid="{00000000-0005-0000-0000-0000041B0000}"/>
    <cellStyle name="Normal 5 2 3 3 9" xfId="1329" xr:uid="{00000000-0005-0000-0000-0000051B0000}"/>
    <cellStyle name="Normal 5 2 3 4" xfId="434" xr:uid="{00000000-0005-0000-0000-0000061B0000}"/>
    <cellStyle name="Normal 5 2 3 4 2" xfId="913" xr:uid="{00000000-0005-0000-0000-0000071B0000}"/>
    <cellStyle name="Normal 5 2 3 4 2 2" xfId="3975" xr:uid="{00000000-0005-0000-0000-0000081B0000}"/>
    <cellStyle name="Normal 5 2 3 4 2 2 2" xfId="8193" xr:uid="{00000000-0005-0000-0000-0000091B0000}"/>
    <cellStyle name="Normal 5 2 3 4 2 3" xfId="6048" xr:uid="{00000000-0005-0000-0000-00000A1B0000}"/>
    <cellStyle name="Normal 5 2 3 4 2 4" xfId="1746" xr:uid="{00000000-0005-0000-0000-00000B1B0000}"/>
    <cellStyle name="Normal 5 2 3 4 3" xfId="2159" xr:uid="{00000000-0005-0000-0000-00000C1B0000}"/>
    <cellStyle name="Normal 5 2 3 4 3 2" xfId="4388" xr:uid="{00000000-0005-0000-0000-00000D1B0000}"/>
    <cellStyle name="Normal 5 2 3 4 3 2 2" xfId="8606" xr:uid="{00000000-0005-0000-0000-00000E1B0000}"/>
    <cellStyle name="Normal 5 2 3 4 3 3" xfId="6461" xr:uid="{00000000-0005-0000-0000-00000F1B0000}"/>
    <cellStyle name="Normal 5 2 3 4 4" xfId="2572" xr:uid="{00000000-0005-0000-0000-0000101B0000}"/>
    <cellStyle name="Normal 5 2 3 4 4 2" xfId="4801" xr:uid="{00000000-0005-0000-0000-0000111B0000}"/>
    <cellStyle name="Normal 5 2 3 4 4 2 2" xfId="9019" xr:uid="{00000000-0005-0000-0000-0000121B0000}"/>
    <cellStyle name="Normal 5 2 3 4 4 3" xfId="6874" xr:uid="{00000000-0005-0000-0000-0000131B0000}"/>
    <cellStyle name="Normal 5 2 3 4 5" xfId="2985" xr:uid="{00000000-0005-0000-0000-0000141B0000}"/>
    <cellStyle name="Normal 5 2 3 4 5 2" xfId="5214" xr:uid="{00000000-0005-0000-0000-0000151B0000}"/>
    <cellStyle name="Normal 5 2 3 4 5 2 2" xfId="9432" xr:uid="{00000000-0005-0000-0000-0000161B0000}"/>
    <cellStyle name="Normal 5 2 3 4 5 3" xfId="7287" xr:uid="{00000000-0005-0000-0000-0000171B0000}"/>
    <cellStyle name="Normal 5 2 3 4 6" xfId="3421" xr:uid="{00000000-0005-0000-0000-0000181B0000}"/>
    <cellStyle name="Normal 5 2 3 4 6 2" xfId="7700" xr:uid="{00000000-0005-0000-0000-0000191B0000}"/>
    <cellStyle name="Normal 5 2 3 4 7" xfId="5635" xr:uid="{00000000-0005-0000-0000-00001A1B0000}"/>
    <cellStyle name="Normal 5 2 3 4 8" xfId="1331" xr:uid="{00000000-0005-0000-0000-00001B1B0000}"/>
    <cellStyle name="Normal 5 2 3 5" xfId="906" xr:uid="{00000000-0005-0000-0000-00001C1B0000}"/>
    <cellStyle name="Normal 5 2 3 5 2" xfId="3968" xr:uid="{00000000-0005-0000-0000-00001D1B0000}"/>
    <cellStyle name="Normal 5 2 3 5 2 2" xfId="8186" xr:uid="{00000000-0005-0000-0000-00001E1B0000}"/>
    <cellStyle name="Normal 5 2 3 5 3" xfId="6041" xr:uid="{00000000-0005-0000-0000-00001F1B0000}"/>
    <cellStyle name="Normal 5 2 3 5 4" xfId="1739" xr:uid="{00000000-0005-0000-0000-0000201B0000}"/>
    <cellStyle name="Normal 5 2 3 6" xfId="2152" xr:uid="{00000000-0005-0000-0000-0000211B0000}"/>
    <cellStyle name="Normal 5 2 3 6 2" xfId="4381" xr:uid="{00000000-0005-0000-0000-0000221B0000}"/>
    <cellStyle name="Normal 5 2 3 6 2 2" xfId="8599" xr:uid="{00000000-0005-0000-0000-0000231B0000}"/>
    <cellStyle name="Normal 5 2 3 6 3" xfId="6454" xr:uid="{00000000-0005-0000-0000-0000241B0000}"/>
    <cellStyle name="Normal 5 2 3 7" xfId="2565" xr:uid="{00000000-0005-0000-0000-0000251B0000}"/>
    <cellStyle name="Normal 5 2 3 7 2" xfId="4794" xr:uid="{00000000-0005-0000-0000-0000261B0000}"/>
    <cellStyle name="Normal 5 2 3 7 2 2" xfId="9012" xr:uid="{00000000-0005-0000-0000-0000271B0000}"/>
    <cellStyle name="Normal 5 2 3 7 3" xfId="6867" xr:uid="{00000000-0005-0000-0000-0000281B0000}"/>
    <cellStyle name="Normal 5 2 3 8" xfId="2978" xr:uid="{00000000-0005-0000-0000-0000291B0000}"/>
    <cellStyle name="Normal 5 2 3 8 2" xfId="5207" xr:uid="{00000000-0005-0000-0000-00002A1B0000}"/>
    <cellStyle name="Normal 5 2 3 8 2 2" xfId="9425" xr:uid="{00000000-0005-0000-0000-00002B1B0000}"/>
    <cellStyle name="Normal 5 2 3 8 3" xfId="7280" xr:uid="{00000000-0005-0000-0000-00002C1B0000}"/>
    <cellStyle name="Normal 5 2 3 9" xfId="3414" xr:uid="{00000000-0005-0000-0000-00002D1B0000}"/>
    <cellStyle name="Normal 5 2 3 9 2" xfId="7693" xr:uid="{00000000-0005-0000-0000-00002E1B0000}"/>
    <cellStyle name="Normal 5 2 4" xfId="435" xr:uid="{00000000-0005-0000-0000-00002F1B0000}"/>
    <cellStyle name="Normal 5 2 4 10" xfId="1332" xr:uid="{00000000-0005-0000-0000-0000301B0000}"/>
    <cellStyle name="Normal 5 2 4 2" xfId="436" xr:uid="{00000000-0005-0000-0000-0000311B0000}"/>
    <cellStyle name="Normal 5 2 4 2 2" xfId="437" xr:uid="{00000000-0005-0000-0000-0000321B0000}"/>
    <cellStyle name="Normal 5 2 4 2 2 2" xfId="916" xr:uid="{00000000-0005-0000-0000-0000331B0000}"/>
    <cellStyle name="Normal 5 2 4 2 2 2 2" xfId="3978" xr:uid="{00000000-0005-0000-0000-0000341B0000}"/>
    <cellStyle name="Normal 5 2 4 2 2 2 2 2" xfId="8196" xr:uid="{00000000-0005-0000-0000-0000351B0000}"/>
    <cellStyle name="Normal 5 2 4 2 2 2 3" xfId="6051" xr:uid="{00000000-0005-0000-0000-0000361B0000}"/>
    <cellStyle name="Normal 5 2 4 2 2 2 4" xfId="1749" xr:uid="{00000000-0005-0000-0000-0000371B0000}"/>
    <cellStyle name="Normal 5 2 4 2 2 3" xfId="2162" xr:uid="{00000000-0005-0000-0000-0000381B0000}"/>
    <cellStyle name="Normal 5 2 4 2 2 3 2" xfId="4391" xr:uid="{00000000-0005-0000-0000-0000391B0000}"/>
    <cellStyle name="Normal 5 2 4 2 2 3 2 2" xfId="8609" xr:uid="{00000000-0005-0000-0000-00003A1B0000}"/>
    <cellStyle name="Normal 5 2 4 2 2 3 3" xfId="6464" xr:uid="{00000000-0005-0000-0000-00003B1B0000}"/>
    <cellStyle name="Normal 5 2 4 2 2 4" xfId="2575" xr:uid="{00000000-0005-0000-0000-00003C1B0000}"/>
    <cellStyle name="Normal 5 2 4 2 2 4 2" xfId="4804" xr:uid="{00000000-0005-0000-0000-00003D1B0000}"/>
    <cellStyle name="Normal 5 2 4 2 2 4 2 2" xfId="9022" xr:uid="{00000000-0005-0000-0000-00003E1B0000}"/>
    <cellStyle name="Normal 5 2 4 2 2 4 3" xfId="6877" xr:uid="{00000000-0005-0000-0000-00003F1B0000}"/>
    <cellStyle name="Normal 5 2 4 2 2 5" xfId="2988" xr:uid="{00000000-0005-0000-0000-0000401B0000}"/>
    <cellStyle name="Normal 5 2 4 2 2 5 2" xfId="5217" xr:uid="{00000000-0005-0000-0000-0000411B0000}"/>
    <cellStyle name="Normal 5 2 4 2 2 5 2 2" xfId="9435" xr:uid="{00000000-0005-0000-0000-0000421B0000}"/>
    <cellStyle name="Normal 5 2 4 2 2 5 3" xfId="7290" xr:uid="{00000000-0005-0000-0000-0000431B0000}"/>
    <cellStyle name="Normal 5 2 4 2 2 6" xfId="3424" xr:uid="{00000000-0005-0000-0000-0000441B0000}"/>
    <cellStyle name="Normal 5 2 4 2 2 6 2" xfId="7703" xr:uid="{00000000-0005-0000-0000-0000451B0000}"/>
    <cellStyle name="Normal 5 2 4 2 2 7" xfId="5638" xr:uid="{00000000-0005-0000-0000-0000461B0000}"/>
    <cellStyle name="Normal 5 2 4 2 2 8" xfId="1334" xr:uid="{00000000-0005-0000-0000-0000471B0000}"/>
    <cellStyle name="Normal 5 2 4 2 3" xfId="915" xr:uid="{00000000-0005-0000-0000-0000481B0000}"/>
    <cellStyle name="Normal 5 2 4 2 3 2" xfId="3977" xr:uid="{00000000-0005-0000-0000-0000491B0000}"/>
    <cellStyle name="Normal 5 2 4 2 3 2 2" xfId="8195" xr:uid="{00000000-0005-0000-0000-00004A1B0000}"/>
    <cellStyle name="Normal 5 2 4 2 3 3" xfId="6050" xr:uid="{00000000-0005-0000-0000-00004B1B0000}"/>
    <cellStyle name="Normal 5 2 4 2 3 4" xfId="1748" xr:uid="{00000000-0005-0000-0000-00004C1B0000}"/>
    <cellStyle name="Normal 5 2 4 2 4" xfId="2161" xr:uid="{00000000-0005-0000-0000-00004D1B0000}"/>
    <cellStyle name="Normal 5 2 4 2 4 2" xfId="4390" xr:uid="{00000000-0005-0000-0000-00004E1B0000}"/>
    <cellStyle name="Normal 5 2 4 2 4 2 2" xfId="8608" xr:uid="{00000000-0005-0000-0000-00004F1B0000}"/>
    <cellStyle name="Normal 5 2 4 2 4 3" xfId="6463" xr:uid="{00000000-0005-0000-0000-0000501B0000}"/>
    <cellStyle name="Normal 5 2 4 2 5" xfId="2574" xr:uid="{00000000-0005-0000-0000-0000511B0000}"/>
    <cellStyle name="Normal 5 2 4 2 5 2" xfId="4803" xr:uid="{00000000-0005-0000-0000-0000521B0000}"/>
    <cellStyle name="Normal 5 2 4 2 5 2 2" xfId="9021" xr:uid="{00000000-0005-0000-0000-0000531B0000}"/>
    <cellStyle name="Normal 5 2 4 2 5 3" xfId="6876" xr:uid="{00000000-0005-0000-0000-0000541B0000}"/>
    <cellStyle name="Normal 5 2 4 2 6" xfId="2987" xr:uid="{00000000-0005-0000-0000-0000551B0000}"/>
    <cellStyle name="Normal 5 2 4 2 6 2" xfId="5216" xr:uid="{00000000-0005-0000-0000-0000561B0000}"/>
    <cellStyle name="Normal 5 2 4 2 6 2 2" xfId="9434" xr:uid="{00000000-0005-0000-0000-0000571B0000}"/>
    <cellStyle name="Normal 5 2 4 2 6 3" xfId="7289" xr:uid="{00000000-0005-0000-0000-0000581B0000}"/>
    <cellStyle name="Normal 5 2 4 2 7" xfId="3423" xr:uid="{00000000-0005-0000-0000-0000591B0000}"/>
    <cellStyle name="Normal 5 2 4 2 7 2" xfId="7702" xr:uid="{00000000-0005-0000-0000-00005A1B0000}"/>
    <cellStyle name="Normal 5 2 4 2 8" xfId="5637" xr:uid="{00000000-0005-0000-0000-00005B1B0000}"/>
    <cellStyle name="Normal 5 2 4 2 9" xfId="1333" xr:uid="{00000000-0005-0000-0000-00005C1B0000}"/>
    <cellStyle name="Normal 5 2 4 3" xfId="438" xr:uid="{00000000-0005-0000-0000-00005D1B0000}"/>
    <cellStyle name="Normal 5 2 4 3 2" xfId="917" xr:uid="{00000000-0005-0000-0000-00005E1B0000}"/>
    <cellStyle name="Normal 5 2 4 3 2 2" xfId="3979" xr:uid="{00000000-0005-0000-0000-00005F1B0000}"/>
    <cellStyle name="Normal 5 2 4 3 2 2 2" xfId="8197" xr:uid="{00000000-0005-0000-0000-0000601B0000}"/>
    <cellStyle name="Normal 5 2 4 3 2 3" xfId="6052" xr:uid="{00000000-0005-0000-0000-0000611B0000}"/>
    <cellStyle name="Normal 5 2 4 3 2 4" xfId="1750" xr:uid="{00000000-0005-0000-0000-0000621B0000}"/>
    <cellStyle name="Normal 5 2 4 3 3" xfId="2163" xr:uid="{00000000-0005-0000-0000-0000631B0000}"/>
    <cellStyle name="Normal 5 2 4 3 3 2" xfId="4392" xr:uid="{00000000-0005-0000-0000-0000641B0000}"/>
    <cellStyle name="Normal 5 2 4 3 3 2 2" xfId="8610" xr:uid="{00000000-0005-0000-0000-0000651B0000}"/>
    <cellStyle name="Normal 5 2 4 3 3 3" xfId="6465" xr:uid="{00000000-0005-0000-0000-0000661B0000}"/>
    <cellStyle name="Normal 5 2 4 3 4" xfId="2576" xr:uid="{00000000-0005-0000-0000-0000671B0000}"/>
    <cellStyle name="Normal 5 2 4 3 4 2" xfId="4805" xr:uid="{00000000-0005-0000-0000-0000681B0000}"/>
    <cellStyle name="Normal 5 2 4 3 4 2 2" xfId="9023" xr:uid="{00000000-0005-0000-0000-0000691B0000}"/>
    <cellStyle name="Normal 5 2 4 3 4 3" xfId="6878" xr:uid="{00000000-0005-0000-0000-00006A1B0000}"/>
    <cellStyle name="Normal 5 2 4 3 5" xfId="2989" xr:uid="{00000000-0005-0000-0000-00006B1B0000}"/>
    <cellStyle name="Normal 5 2 4 3 5 2" xfId="5218" xr:uid="{00000000-0005-0000-0000-00006C1B0000}"/>
    <cellStyle name="Normal 5 2 4 3 5 2 2" xfId="9436" xr:uid="{00000000-0005-0000-0000-00006D1B0000}"/>
    <cellStyle name="Normal 5 2 4 3 5 3" xfId="7291" xr:uid="{00000000-0005-0000-0000-00006E1B0000}"/>
    <cellStyle name="Normal 5 2 4 3 6" xfId="3425" xr:uid="{00000000-0005-0000-0000-00006F1B0000}"/>
    <cellStyle name="Normal 5 2 4 3 6 2" xfId="7704" xr:uid="{00000000-0005-0000-0000-0000701B0000}"/>
    <cellStyle name="Normal 5 2 4 3 7" xfId="5639" xr:uid="{00000000-0005-0000-0000-0000711B0000}"/>
    <cellStyle name="Normal 5 2 4 3 8" xfId="1335" xr:uid="{00000000-0005-0000-0000-0000721B0000}"/>
    <cellStyle name="Normal 5 2 4 4" xfId="914" xr:uid="{00000000-0005-0000-0000-0000731B0000}"/>
    <cellStyle name="Normal 5 2 4 4 2" xfId="3976" xr:uid="{00000000-0005-0000-0000-0000741B0000}"/>
    <cellStyle name="Normal 5 2 4 4 2 2" xfId="8194" xr:uid="{00000000-0005-0000-0000-0000751B0000}"/>
    <cellStyle name="Normal 5 2 4 4 3" xfId="6049" xr:uid="{00000000-0005-0000-0000-0000761B0000}"/>
    <cellStyle name="Normal 5 2 4 4 4" xfId="1747" xr:uid="{00000000-0005-0000-0000-0000771B0000}"/>
    <cellStyle name="Normal 5 2 4 5" xfId="2160" xr:uid="{00000000-0005-0000-0000-0000781B0000}"/>
    <cellStyle name="Normal 5 2 4 5 2" xfId="4389" xr:uid="{00000000-0005-0000-0000-0000791B0000}"/>
    <cellStyle name="Normal 5 2 4 5 2 2" xfId="8607" xr:uid="{00000000-0005-0000-0000-00007A1B0000}"/>
    <cellStyle name="Normal 5 2 4 5 3" xfId="6462" xr:uid="{00000000-0005-0000-0000-00007B1B0000}"/>
    <cellStyle name="Normal 5 2 4 6" xfId="2573" xr:uid="{00000000-0005-0000-0000-00007C1B0000}"/>
    <cellStyle name="Normal 5 2 4 6 2" xfId="4802" xr:uid="{00000000-0005-0000-0000-00007D1B0000}"/>
    <cellStyle name="Normal 5 2 4 6 2 2" xfId="9020" xr:uid="{00000000-0005-0000-0000-00007E1B0000}"/>
    <cellStyle name="Normal 5 2 4 6 3" xfId="6875" xr:uid="{00000000-0005-0000-0000-00007F1B0000}"/>
    <cellStyle name="Normal 5 2 4 7" xfId="2986" xr:uid="{00000000-0005-0000-0000-0000801B0000}"/>
    <cellStyle name="Normal 5 2 4 7 2" xfId="5215" xr:uid="{00000000-0005-0000-0000-0000811B0000}"/>
    <cellStyle name="Normal 5 2 4 7 2 2" xfId="9433" xr:uid="{00000000-0005-0000-0000-0000821B0000}"/>
    <cellStyle name="Normal 5 2 4 7 3" xfId="7288" xr:uid="{00000000-0005-0000-0000-0000831B0000}"/>
    <cellStyle name="Normal 5 2 4 8" xfId="3422" xr:uid="{00000000-0005-0000-0000-0000841B0000}"/>
    <cellStyle name="Normal 5 2 4 8 2" xfId="7701" xr:uid="{00000000-0005-0000-0000-0000851B0000}"/>
    <cellStyle name="Normal 5 2 4 9" xfId="5636" xr:uid="{00000000-0005-0000-0000-0000861B0000}"/>
    <cellStyle name="Normal 5 2 5" xfId="439" xr:uid="{00000000-0005-0000-0000-0000871B0000}"/>
    <cellStyle name="Normal 5 2 5 2" xfId="440" xr:uid="{00000000-0005-0000-0000-0000881B0000}"/>
    <cellStyle name="Normal 5 2 5 2 2" xfId="919" xr:uid="{00000000-0005-0000-0000-0000891B0000}"/>
    <cellStyle name="Normal 5 2 5 2 2 2" xfId="3981" xr:uid="{00000000-0005-0000-0000-00008A1B0000}"/>
    <cellStyle name="Normal 5 2 5 2 2 2 2" xfId="8199" xr:uid="{00000000-0005-0000-0000-00008B1B0000}"/>
    <cellStyle name="Normal 5 2 5 2 2 3" xfId="6054" xr:uid="{00000000-0005-0000-0000-00008C1B0000}"/>
    <cellStyle name="Normal 5 2 5 2 2 4" xfId="1752" xr:uid="{00000000-0005-0000-0000-00008D1B0000}"/>
    <cellStyle name="Normal 5 2 5 2 3" xfId="2165" xr:uid="{00000000-0005-0000-0000-00008E1B0000}"/>
    <cellStyle name="Normal 5 2 5 2 3 2" xfId="4394" xr:uid="{00000000-0005-0000-0000-00008F1B0000}"/>
    <cellStyle name="Normal 5 2 5 2 3 2 2" xfId="8612" xr:uid="{00000000-0005-0000-0000-0000901B0000}"/>
    <cellStyle name="Normal 5 2 5 2 3 3" xfId="6467" xr:uid="{00000000-0005-0000-0000-0000911B0000}"/>
    <cellStyle name="Normal 5 2 5 2 4" xfId="2578" xr:uid="{00000000-0005-0000-0000-0000921B0000}"/>
    <cellStyle name="Normal 5 2 5 2 4 2" xfId="4807" xr:uid="{00000000-0005-0000-0000-0000931B0000}"/>
    <cellStyle name="Normal 5 2 5 2 4 2 2" xfId="9025" xr:uid="{00000000-0005-0000-0000-0000941B0000}"/>
    <cellStyle name="Normal 5 2 5 2 4 3" xfId="6880" xr:uid="{00000000-0005-0000-0000-0000951B0000}"/>
    <cellStyle name="Normal 5 2 5 2 5" xfId="2991" xr:uid="{00000000-0005-0000-0000-0000961B0000}"/>
    <cellStyle name="Normal 5 2 5 2 5 2" xfId="5220" xr:uid="{00000000-0005-0000-0000-0000971B0000}"/>
    <cellStyle name="Normal 5 2 5 2 5 2 2" xfId="9438" xr:uid="{00000000-0005-0000-0000-0000981B0000}"/>
    <cellStyle name="Normal 5 2 5 2 5 3" xfId="7293" xr:uid="{00000000-0005-0000-0000-0000991B0000}"/>
    <cellStyle name="Normal 5 2 5 2 6" xfId="3427" xr:uid="{00000000-0005-0000-0000-00009A1B0000}"/>
    <cellStyle name="Normal 5 2 5 2 6 2" xfId="7706" xr:uid="{00000000-0005-0000-0000-00009B1B0000}"/>
    <cellStyle name="Normal 5 2 5 2 7" xfId="5641" xr:uid="{00000000-0005-0000-0000-00009C1B0000}"/>
    <cellStyle name="Normal 5 2 5 2 8" xfId="1337" xr:uid="{00000000-0005-0000-0000-00009D1B0000}"/>
    <cellStyle name="Normal 5 2 5 3" xfId="918" xr:uid="{00000000-0005-0000-0000-00009E1B0000}"/>
    <cellStyle name="Normal 5 2 5 3 2" xfId="3980" xr:uid="{00000000-0005-0000-0000-00009F1B0000}"/>
    <cellStyle name="Normal 5 2 5 3 2 2" xfId="8198" xr:uid="{00000000-0005-0000-0000-0000A01B0000}"/>
    <cellStyle name="Normal 5 2 5 3 3" xfId="6053" xr:uid="{00000000-0005-0000-0000-0000A11B0000}"/>
    <cellStyle name="Normal 5 2 5 3 4" xfId="1751" xr:uid="{00000000-0005-0000-0000-0000A21B0000}"/>
    <cellStyle name="Normal 5 2 5 4" xfId="2164" xr:uid="{00000000-0005-0000-0000-0000A31B0000}"/>
    <cellStyle name="Normal 5 2 5 4 2" xfId="4393" xr:uid="{00000000-0005-0000-0000-0000A41B0000}"/>
    <cellStyle name="Normal 5 2 5 4 2 2" xfId="8611" xr:uid="{00000000-0005-0000-0000-0000A51B0000}"/>
    <cellStyle name="Normal 5 2 5 4 3" xfId="6466" xr:uid="{00000000-0005-0000-0000-0000A61B0000}"/>
    <cellStyle name="Normal 5 2 5 5" xfId="2577" xr:uid="{00000000-0005-0000-0000-0000A71B0000}"/>
    <cellStyle name="Normal 5 2 5 5 2" xfId="4806" xr:uid="{00000000-0005-0000-0000-0000A81B0000}"/>
    <cellStyle name="Normal 5 2 5 5 2 2" xfId="9024" xr:uid="{00000000-0005-0000-0000-0000A91B0000}"/>
    <cellStyle name="Normal 5 2 5 5 3" xfId="6879" xr:uid="{00000000-0005-0000-0000-0000AA1B0000}"/>
    <cellStyle name="Normal 5 2 5 6" xfId="2990" xr:uid="{00000000-0005-0000-0000-0000AB1B0000}"/>
    <cellStyle name="Normal 5 2 5 6 2" xfId="5219" xr:uid="{00000000-0005-0000-0000-0000AC1B0000}"/>
    <cellStyle name="Normal 5 2 5 6 2 2" xfId="9437" xr:uid="{00000000-0005-0000-0000-0000AD1B0000}"/>
    <cellStyle name="Normal 5 2 5 6 3" xfId="7292" xr:uid="{00000000-0005-0000-0000-0000AE1B0000}"/>
    <cellStyle name="Normal 5 2 5 7" xfId="3426" xr:uid="{00000000-0005-0000-0000-0000AF1B0000}"/>
    <cellStyle name="Normal 5 2 5 7 2" xfId="7705" xr:uid="{00000000-0005-0000-0000-0000B01B0000}"/>
    <cellStyle name="Normal 5 2 5 8" xfId="5640" xr:uid="{00000000-0005-0000-0000-0000B11B0000}"/>
    <cellStyle name="Normal 5 2 5 9" xfId="1336" xr:uid="{00000000-0005-0000-0000-0000B21B0000}"/>
    <cellStyle name="Normal 5 2 6" xfId="441" xr:uid="{00000000-0005-0000-0000-0000B31B0000}"/>
    <cellStyle name="Normal 5 2 6 2" xfId="920" xr:uid="{00000000-0005-0000-0000-0000B41B0000}"/>
    <cellStyle name="Normal 5 2 6 2 2" xfId="3982" xr:uid="{00000000-0005-0000-0000-0000B51B0000}"/>
    <cellStyle name="Normal 5 2 6 2 2 2" xfId="8200" xr:uid="{00000000-0005-0000-0000-0000B61B0000}"/>
    <cellStyle name="Normal 5 2 6 2 3" xfId="6055" xr:uid="{00000000-0005-0000-0000-0000B71B0000}"/>
    <cellStyle name="Normal 5 2 6 2 4" xfId="1753" xr:uid="{00000000-0005-0000-0000-0000B81B0000}"/>
    <cellStyle name="Normal 5 2 6 3" xfId="2166" xr:uid="{00000000-0005-0000-0000-0000B91B0000}"/>
    <cellStyle name="Normal 5 2 6 3 2" xfId="4395" xr:uid="{00000000-0005-0000-0000-0000BA1B0000}"/>
    <cellStyle name="Normal 5 2 6 3 2 2" xfId="8613" xr:uid="{00000000-0005-0000-0000-0000BB1B0000}"/>
    <cellStyle name="Normal 5 2 6 3 3" xfId="6468" xr:uid="{00000000-0005-0000-0000-0000BC1B0000}"/>
    <cellStyle name="Normal 5 2 6 4" xfId="2579" xr:uid="{00000000-0005-0000-0000-0000BD1B0000}"/>
    <cellStyle name="Normal 5 2 6 4 2" xfId="4808" xr:uid="{00000000-0005-0000-0000-0000BE1B0000}"/>
    <cellStyle name="Normal 5 2 6 4 2 2" xfId="9026" xr:uid="{00000000-0005-0000-0000-0000BF1B0000}"/>
    <cellStyle name="Normal 5 2 6 4 3" xfId="6881" xr:uid="{00000000-0005-0000-0000-0000C01B0000}"/>
    <cellStyle name="Normal 5 2 6 5" xfId="2992" xr:uid="{00000000-0005-0000-0000-0000C11B0000}"/>
    <cellStyle name="Normal 5 2 6 5 2" xfId="5221" xr:uid="{00000000-0005-0000-0000-0000C21B0000}"/>
    <cellStyle name="Normal 5 2 6 5 2 2" xfId="9439" xr:uid="{00000000-0005-0000-0000-0000C31B0000}"/>
    <cellStyle name="Normal 5 2 6 5 3" xfId="7294" xr:uid="{00000000-0005-0000-0000-0000C41B0000}"/>
    <cellStyle name="Normal 5 2 6 6" xfId="3428" xr:uid="{00000000-0005-0000-0000-0000C51B0000}"/>
    <cellStyle name="Normal 5 2 6 6 2" xfId="7707" xr:uid="{00000000-0005-0000-0000-0000C61B0000}"/>
    <cellStyle name="Normal 5 2 6 7" xfId="5642" xr:uid="{00000000-0005-0000-0000-0000C71B0000}"/>
    <cellStyle name="Normal 5 2 6 8" xfId="1338" xr:uid="{00000000-0005-0000-0000-0000C81B0000}"/>
    <cellStyle name="Normal 5 2 7" xfId="889" xr:uid="{00000000-0005-0000-0000-0000C91B0000}"/>
    <cellStyle name="Normal 5 2 7 2" xfId="3951" xr:uid="{00000000-0005-0000-0000-0000CA1B0000}"/>
    <cellStyle name="Normal 5 2 7 2 2" xfId="8169" xr:uid="{00000000-0005-0000-0000-0000CB1B0000}"/>
    <cellStyle name="Normal 5 2 7 3" xfId="6024" xr:uid="{00000000-0005-0000-0000-0000CC1B0000}"/>
    <cellStyle name="Normal 5 2 7 4" xfId="1722" xr:uid="{00000000-0005-0000-0000-0000CD1B0000}"/>
    <cellStyle name="Normal 5 2 8" xfId="2135" xr:uid="{00000000-0005-0000-0000-0000CE1B0000}"/>
    <cellStyle name="Normal 5 2 8 2" xfId="4364" xr:uid="{00000000-0005-0000-0000-0000CF1B0000}"/>
    <cellStyle name="Normal 5 2 8 2 2" xfId="8582" xr:uid="{00000000-0005-0000-0000-0000D01B0000}"/>
    <cellStyle name="Normal 5 2 8 3" xfId="6437" xr:uid="{00000000-0005-0000-0000-0000D11B0000}"/>
    <cellStyle name="Normal 5 2 9" xfId="2548" xr:uid="{00000000-0005-0000-0000-0000D21B0000}"/>
    <cellStyle name="Normal 5 2 9 2" xfId="4777" xr:uid="{00000000-0005-0000-0000-0000D31B0000}"/>
    <cellStyle name="Normal 5 2 9 2 2" xfId="8995" xr:uid="{00000000-0005-0000-0000-0000D41B0000}"/>
    <cellStyle name="Normal 5 2 9 3" xfId="6850" xr:uid="{00000000-0005-0000-0000-0000D51B0000}"/>
    <cellStyle name="Normal 5 3" xfId="442" xr:uid="{00000000-0005-0000-0000-0000D61B0000}"/>
    <cellStyle name="Normal 5 3 10" xfId="2993" xr:uid="{00000000-0005-0000-0000-0000D71B0000}"/>
    <cellStyle name="Normal 5 3 10 2" xfId="5222" xr:uid="{00000000-0005-0000-0000-0000D81B0000}"/>
    <cellStyle name="Normal 5 3 10 2 2" xfId="9440" xr:uid="{00000000-0005-0000-0000-0000D91B0000}"/>
    <cellStyle name="Normal 5 3 10 3" xfId="7295" xr:uid="{00000000-0005-0000-0000-0000DA1B0000}"/>
    <cellStyle name="Normal 5 3 11" xfId="3429" xr:uid="{00000000-0005-0000-0000-0000DB1B0000}"/>
    <cellStyle name="Normal 5 3 11 2" xfId="7708" xr:uid="{00000000-0005-0000-0000-0000DC1B0000}"/>
    <cellStyle name="Normal 5 3 12" xfId="5643" xr:uid="{00000000-0005-0000-0000-0000DD1B0000}"/>
    <cellStyle name="Normal 5 3 13" xfId="1339" xr:uid="{00000000-0005-0000-0000-0000DE1B0000}"/>
    <cellStyle name="Normal 5 3 2" xfId="443" xr:uid="{00000000-0005-0000-0000-0000DF1B0000}"/>
    <cellStyle name="Normal 5 3 2 2" xfId="922" xr:uid="{00000000-0005-0000-0000-0000E01B0000}"/>
    <cellStyle name="Normal 5 3 3" xfId="444" xr:uid="{00000000-0005-0000-0000-0000E11B0000}"/>
    <cellStyle name="Normal 5 3 3 10" xfId="5644" xr:uid="{00000000-0005-0000-0000-0000E21B0000}"/>
    <cellStyle name="Normal 5 3 3 11" xfId="1340" xr:uid="{00000000-0005-0000-0000-0000E31B0000}"/>
    <cellStyle name="Normal 5 3 3 2" xfId="445" xr:uid="{00000000-0005-0000-0000-0000E41B0000}"/>
    <cellStyle name="Normal 5 3 3 2 10" xfId="1341" xr:uid="{00000000-0005-0000-0000-0000E51B0000}"/>
    <cellStyle name="Normal 5 3 3 2 2" xfId="446" xr:uid="{00000000-0005-0000-0000-0000E61B0000}"/>
    <cellStyle name="Normal 5 3 3 2 2 2" xfId="447" xr:uid="{00000000-0005-0000-0000-0000E71B0000}"/>
    <cellStyle name="Normal 5 3 3 2 2 2 2" xfId="926" xr:uid="{00000000-0005-0000-0000-0000E81B0000}"/>
    <cellStyle name="Normal 5 3 3 2 2 2 2 2" xfId="3987" xr:uid="{00000000-0005-0000-0000-0000E91B0000}"/>
    <cellStyle name="Normal 5 3 3 2 2 2 2 2 2" xfId="8205" xr:uid="{00000000-0005-0000-0000-0000EA1B0000}"/>
    <cellStyle name="Normal 5 3 3 2 2 2 2 3" xfId="6060" xr:uid="{00000000-0005-0000-0000-0000EB1B0000}"/>
    <cellStyle name="Normal 5 3 3 2 2 2 2 4" xfId="1758" xr:uid="{00000000-0005-0000-0000-0000EC1B0000}"/>
    <cellStyle name="Normal 5 3 3 2 2 2 3" xfId="2171" xr:uid="{00000000-0005-0000-0000-0000ED1B0000}"/>
    <cellStyle name="Normal 5 3 3 2 2 2 3 2" xfId="4400" xr:uid="{00000000-0005-0000-0000-0000EE1B0000}"/>
    <cellStyle name="Normal 5 3 3 2 2 2 3 2 2" xfId="8618" xr:uid="{00000000-0005-0000-0000-0000EF1B0000}"/>
    <cellStyle name="Normal 5 3 3 2 2 2 3 3" xfId="6473" xr:uid="{00000000-0005-0000-0000-0000F01B0000}"/>
    <cellStyle name="Normal 5 3 3 2 2 2 4" xfId="2584" xr:uid="{00000000-0005-0000-0000-0000F11B0000}"/>
    <cellStyle name="Normal 5 3 3 2 2 2 4 2" xfId="4813" xr:uid="{00000000-0005-0000-0000-0000F21B0000}"/>
    <cellStyle name="Normal 5 3 3 2 2 2 4 2 2" xfId="9031" xr:uid="{00000000-0005-0000-0000-0000F31B0000}"/>
    <cellStyle name="Normal 5 3 3 2 2 2 4 3" xfId="6886" xr:uid="{00000000-0005-0000-0000-0000F41B0000}"/>
    <cellStyle name="Normal 5 3 3 2 2 2 5" xfId="2997" xr:uid="{00000000-0005-0000-0000-0000F51B0000}"/>
    <cellStyle name="Normal 5 3 3 2 2 2 5 2" xfId="5226" xr:uid="{00000000-0005-0000-0000-0000F61B0000}"/>
    <cellStyle name="Normal 5 3 3 2 2 2 5 2 2" xfId="9444" xr:uid="{00000000-0005-0000-0000-0000F71B0000}"/>
    <cellStyle name="Normal 5 3 3 2 2 2 5 3" xfId="7299" xr:uid="{00000000-0005-0000-0000-0000F81B0000}"/>
    <cellStyle name="Normal 5 3 3 2 2 2 6" xfId="3433" xr:uid="{00000000-0005-0000-0000-0000F91B0000}"/>
    <cellStyle name="Normal 5 3 3 2 2 2 6 2" xfId="7712" xr:uid="{00000000-0005-0000-0000-0000FA1B0000}"/>
    <cellStyle name="Normal 5 3 3 2 2 2 7" xfId="5647" xr:uid="{00000000-0005-0000-0000-0000FB1B0000}"/>
    <cellStyle name="Normal 5 3 3 2 2 2 8" xfId="1343" xr:uid="{00000000-0005-0000-0000-0000FC1B0000}"/>
    <cellStyle name="Normal 5 3 3 2 2 3" xfId="925" xr:uid="{00000000-0005-0000-0000-0000FD1B0000}"/>
    <cellStyle name="Normal 5 3 3 2 2 3 2" xfId="3986" xr:uid="{00000000-0005-0000-0000-0000FE1B0000}"/>
    <cellStyle name="Normal 5 3 3 2 2 3 2 2" xfId="8204" xr:uid="{00000000-0005-0000-0000-0000FF1B0000}"/>
    <cellStyle name="Normal 5 3 3 2 2 3 3" xfId="6059" xr:uid="{00000000-0005-0000-0000-0000001C0000}"/>
    <cellStyle name="Normal 5 3 3 2 2 3 4" xfId="1757" xr:uid="{00000000-0005-0000-0000-0000011C0000}"/>
    <cellStyle name="Normal 5 3 3 2 2 4" xfId="2170" xr:uid="{00000000-0005-0000-0000-0000021C0000}"/>
    <cellStyle name="Normal 5 3 3 2 2 4 2" xfId="4399" xr:uid="{00000000-0005-0000-0000-0000031C0000}"/>
    <cellStyle name="Normal 5 3 3 2 2 4 2 2" xfId="8617" xr:uid="{00000000-0005-0000-0000-0000041C0000}"/>
    <cellStyle name="Normal 5 3 3 2 2 4 3" xfId="6472" xr:uid="{00000000-0005-0000-0000-0000051C0000}"/>
    <cellStyle name="Normal 5 3 3 2 2 5" xfId="2583" xr:uid="{00000000-0005-0000-0000-0000061C0000}"/>
    <cellStyle name="Normal 5 3 3 2 2 5 2" xfId="4812" xr:uid="{00000000-0005-0000-0000-0000071C0000}"/>
    <cellStyle name="Normal 5 3 3 2 2 5 2 2" xfId="9030" xr:uid="{00000000-0005-0000-0000-0000081C0000}"/>
    <cellStyle name="Normal 5 3 3 2 2 5 3" xfId="6885" xr:uid="{00000000-0005-0000-0000-0000091C0000}"/>
    <cellStyle name="Normal 5 3 3 2 2 6" xfId="2996" xr:uid="{00000000-0005-0000-0000-00000A1C0000}"/>
    <cellStyle name="Normal 5 3 3 2 2 6 2" xfId="5225" xr:uid="{00000000-0005-0000-0000-00000B1C0000}"/>
    <cellStyle name="Normal 5 3 3 2 2 6 2 2" xfId="9443" xr:uid="{00000000-0005-0000-0000-00000C1C0000}"/>
    <cellStyle name="Normal 5 3 3 2 2 6 3" xfId="7298" xr:uid="{00000000-0005-0000-0000-00000D1C0000}"/>
    <cellStyle name="Normal 5 3 3 2 2 7" xfId="3432" xr:uid="{00000000-0005-0000-0000-00000E1C0000}"/>
    <cellStyle name="Normal 5 3 3 2 2 7 2" xfId="7711" xr:uid="{00000000-0005-0000-0000-00000F1C0000}"/>
    <cellStyle name="Normal 5 3 3 2 2 8" xfId="5646" xr:uid="{00000000-0005-0000-0000-0000101C0000}"/>
    <cellStyle name="Normal 5 3 3 2 2 9" xfId="1342" xr:uid="{00000000-0005-0000-0000-0000111C0000}"/>
    <cellStyle name="Normal 5 3 3 2 3" xfId="448" xr:uid="{00000000-0005-0000-0000-0000121C0000}"/>
    <cellStyle name="Normal 5 3 3 2 3 2" xfId="927" xr:uid="{00000000-0005-0000-0000-0000131C0000}"/>
    <cellStyle name="Normal 5 3 3 2 3 2 2" xfId="3988" xr:uid="{00000000-0005-0000-0000-0000141C0000}"/>
    <cellStyle name="Normal 5 3 3 2 3 2 2 2" xfId="8206" xr:uid="{00000000-0005-0000-0000-0000151C0000}"/>
    <cellStyle name="Normal 5 3 3 2 3 2 3" xfId="6061" xr:uid="{00000000-0005-0000-0000-0000161C0000}"/>
    <cellStyle name="Normal 5 3 3 2 3 2 4" xfId="1759" xr:uid="{00000000-0005-0000-0000-0000171C0000}"/>
    <cellStyle name="Normal 5 3 3 2 3 3" xfId="2172" xr:uid="{00000000-0005-0000-0000-0000181C0000}"/>
    <cellStyle name="Normal 5 3 3 2 3 3 2" xfId="4401" xr:uid="{00000000-0005-0000-0000-0000191C0000}"/>
    <cellStyle name="Normal 5 3 3 2 3 3 2 2" xfId="8619" xr:uid="{00000000-0005-0000-0000-00001A1C0000}"/>
    <cellStyle name="Normal 5 3 3 2 3 3 3" xfId="6474" xr:uid="{00000000-0005-0000-0000-00001B1C0000}"/>
    <cellStyle name="Normal 5 3 3 2 3 4" xfId="2585" xr:uid="{00000000-0005-0000-0000-00001C1C0000}"/>
    <cellStyle name="Normal 5 3 3 2 3 4 2" xfId="4814" xr:uid="{00000000-0005-0000-0000-00001D1C0000}"/>
    <cellStyle name="Normal 5 3 3 2 3 4 2 2" xfId="9032" xr:uid="{00000000-0005-0000-0000-00001E1C0000}"/>
    <cellStyle name="Normal 5 3 3 2 3 4 3" xfId="6887" xr:uid="{00000000-0005-0000-0000-00001F1C0000}"/>
    <cellStyle name="Normal 5 3 3 2 3 5" xfId="2998" xr:uid="{00000000-0005-0000-0000-0000201C0000}"/>
    <cellStyle name="Normal 5 3 3 2 3 5 2" xfId="5227" xr:uid="{00000000-0005-0000-0000-0000211C0000}"/>
    <cellStyle name="Normal 5 3 3 2 3 5 2 2" xfId="9445" xr:uid="{00000000-0005-0000-0000-0000221C0000}"/>
    <cellStyle name="Normal 5 3 3 2 3 5 3" xfId="7300" xr:uid="{00000000-0005-0000-0000-0000231C0000}"/>
    <cellStyle name="Normal 5 3 3 2 3 6" xfId="3434" xr:uid="{00000000-0005-0000-0000-0000241C0000}"/>
    <cellStyle name="Normal 5 3 3 2 3 6 2" xfId="7713" xr:uid="{00000000-0005-0000-0000-0000251C0000}"/>
    <cellStyle name="Normal 5 3 3 2 3 7" xfId="5648" xr:uid="{00000000-0005-0000-0000-0000261C0000}"/>
    <cellStyle name="Normal 5 3 3 2 3 8" xfId="1344" xr:uid="{00000000-0005-0000-0000-0000271C0000}"/>
    <cellStyle name="Normal 5 3 3 2 4" xfId="924" xr:uid="{00000000-0005-0000-0000-0000281C0000}"/>
    <cellStyle name="Normal 5 3 3 2 4 2" xfId="3985" xr:uid="{00000000-0005-0000-0000-0000291C0000}"/>
    <cellStyle name="Normal 5 3 3 2 4 2 2" xfId="8203" xr:uid="{00000000-0005-0000-0000-00002A1C0000}"/>
    <cellStyle name="Normal 5 3 3 2 4 3" xfId="6058" xr:uid="{00000000-0005-0000-0000-00002B1C0000}"/>
    <cellStyle name="Normal 5 3 3 2 4 4" xfId="1756" xr:uid="{00000000-0005-0000-0000-00002C1C0000}"/>
    <cellStyle name="Normal 5 3 3 2 5" xfId="2169" xr:uid="{00000000-0005-0000-0000-00002D1C0000}"/>
    <cellStyle name="Normal 5 3 3 2 5 2" xfId="4398" xr:uid="{00000000-0005-0000-0000-00002E1C0000}"/>
    <cellStyle name="Normal 5 3 3 2 5 2 2" xfId="8616" xr:uid="{00000000-0005-0000-0000-00002F1C0000}"/>
    <cellStyle name="Normal 5 3 3 2 5 3" xfId="6471" xr:uid="{00000000-0005-0000-0000-0000301C0000}"/>
    <cellStyle name="Normal 5 3 3 2 6" xfId="2582" xr:uid="{00000000-0005-0000-0000-0000311C0000}"/>
    <cellStyle name="Normal 5 3 3 2 6 2" xfId="4811" xr:uid="{00000000-0005-0000-0000-0000321C0000}"/>
    <cellStyle name="Normal 5 3 3 2 6 2 2" xfId="9029" xr:uid="{00000000-0005-0000-0000-0000331C0000}"/>
    <cellStyle name="Normal 5 3 3 2 6 3" xfId="6884" xr:uid="{00000000-0005-0000-0000-0000341C0000}"/>
    <cellStyle name="Normal 5 3 3 2 7" xfId="2995" xr:uid="{00000000-0005-0000-0000-0000351C0000}"/>
    <cellStyle name="Normal 5 3 3 2 7 2" xfId="5224" xr:uid="{00000000-0005-0000-0000-0000361C0000}"/>
    <cellStyle name="Normal 5 3 3 2 7 2 2" xfId="9442" xr:uid="{00000000-0005-0000-0000-0000371C0000}"/>
    <cellStyle name="Normal 5 3 3 2 7 3" xfId="7297" xr:uid="{00000000-0005-0000-0000-0000381C0000}"/>
    <cellStyle name="Normal 5 3 3 2 8" xfId="3431" xr:uid="{00000000-0005-0000-0000-0000391C0000}"/>
    <cellStyle name="Normal 5 3 3 2 8 2" xfId="7710" xr:uid="{00000000-0005-0000-0000-00003A1C0000}"/>
    <cellStyle name="Normal 5 3 3 2 9" xfId="5645" xr:uid="{00000000-0005-0000-0000-00003B1C0000}"/>
    <cellStyle name="Normal 5 3 3 3" xfId="449" xr:uid="{00000000-0005-0000-0000-00003C1C0000}"/>
    <cellStyle name="Normal 5 3 3 3 2" xfId="450" xr:uid="{00000000-0005-0000-0000-00003D1C0000}"/>
    <cellStyle name="Normal 5 3 3 3 2 2" xfId="929" xr:uid="{00000000-0005-0000-0000-00003E1C0000}"/>
    <cellStyle name="Normal 5 3 3 3 2 2 2" xfId="3990" xr:uid="{00000000-0005-0000-0000-00003F1C0000}"/>
    <cellStyle name="Normal 5 3 3 3 2 2 2 2" xfId="8208" xr:uid="{00000000-0005-0000-0000-0000401C0000}"/>
    <cellStyle name="Normal 5 3 3 3 2 2 3" xfId="6063" xr:uid="{00000000-0005-0000-0000-0000411C0000}"/>
    <cellStyle name="Normal 5 3 3 3 2 2 4" xfId="1761" xr:uid="{00000000-0005-0000-0000-0000421C0000}"/>
    <cellStyle name="Normal 5 3 3 3 2 3" xfId="2174" xr:uid="{00000000-0005-0000-0000-0000431C0000}"/>
    <cellStyle name="Normal 5 3 3 3 2 3 2" xfId="4403" xr:uid="{00000000-0005-0000-0000-0000441C0000}"/>
    <cellStyle name="Normal 5 3 3 3 2 3 2 2" xfId="8621" xr:uid="{00000000-0005-0000-0000-0000451C0000}"/>
    <cellStyle name="Normal 5 3 3 3 2 3 3" xfId="6476" xr:uid="{00000000-0005-0000-0000-0000461C0000}"/>
    <cellStyle name="Normal 5 3 3 3 2 4" xfId="2587" xr:uid="{00000000-0005-0000-0000-0000471C0000}"/>
    <cellStyle name="Normal 5 3 3 3 2 4 2" xfId="4816" xr:uid="{00000000-0005-0000-0000-0000481C0000}"/>
    <cellStyle name="Normal 5 3 3 3 2 4 2 2" xfId="9034" xr:uid="{00000000-0005-0000-0000-0000491C0000}"/>
    <cellStyle name="Normal 5 3 3 3 2 4 3" xfId="6889" xr:uid="{00000000-0005-0000-0000-00004A1C0000}"/>
    <cellStyle name="Normal 5 3 3 3 2 5" xfId="3000" xr:uid="{00000000-0005-0000-0000-00004B1C0000}"/>
    <cellStyle name="Normal 5 3 3 3 2 5 2" xfId="5229" xr:uid="{00000000-0005-0000-0000-00004C1C0000}"/>
    <cellStyle name="Normal 5 3 3 3 2 5 2 2" xfId="9447" xr:uid="{00000000-0005-0000-0000-00004D1C0000}"/>
    <cellStyle name="Normal 5 3 3 3 2 5 3" xfId="7302" xr:uid="{00000000-0005-0000-0000-00004E1C0000}"/>
    <cellStyle name="Normal 5 3 3 3 2 6" xfId="3436" xr:uid="{00000000-0005-0000-0000-00004F1C0000}"/>
    <cellStyle name="Normal 5 3 3 3 2 6 2" xfId="7715" xr:uid="{00000000-0005-0000-0000-0000501C0000}"/>
    <cellStyle name="Normal 5 3 3 3 2 7" xfId="5650" xr:uid="{00000000-0005-0000-0000-0000511C0000}"/>
    <cellStyle name="Normal 5 3 3 3 2 8" xfId="1346" xr:uid="{00000000-0005-0000-0000-0000521C0000}"/>
    <cellStyle name="Normal 5 3 3 3 3" xfId="928" xr:uid="{00000000-0005-0000-0000-0000531C0000}"/>
    <cellStyle name="Normal 5 3 3 3 3 2" xfId="3989" xr:uid="{00000000-0005-0000-0000-0000541C0000}"/>
    <cellStyle name="Normal 5 3 3 3 3 2 2" xfId="8207" xr:uid="{00000000-0005-0000-0000-0000551C0000}"/>
    <cellStyle name="Normal 5 3 3 3 3 3" xfId="6062" xr:uid="{00000000-0005-0000-0000-0000561C0000}"/>
    <cellStyle name="Normal 5 3 3 3 3 4" xfId="1760" xr:uid="{00000000-0005-0000-0000-0000571C0000}"/>
    <cellStyle name="Normal 5 3 3 3 4" xfId="2173" xr:uid="{00000000-0005-0000-0000-0000581C0000}"/>
    <cellStyle name="Normal 5 3 3 3 4 2" xfId="4402" xr:uid="{00000000-0005-0000-0000-0000591C0000}"/>
    <cellStyle name="Normal 5 3 3 3 4 2 2" xfId="8620" xr:uid="{00000000-0005-0000-0000-00005A1C0000}"/>
    <cellStyle name="Normal 5 3 3 3 4 3" xfId="6475" xr:uid="{00000000-0005-0000-0000-00005B1C0000}"/>
    <cellStyle name="Normal 5 3 3 3 5" xfId="2586" xr:uid="{00000000-0005-0000-0000-00005C1C0000}"/>
    <cellStyle name="Normal 5 3 3 3 5 2" xfId="4815" xr:uid="{00000000-0005-0000-0000-00005D1C0000}"/>
    <cellStyle name="Normal 5 3 3 3 5 2 2" xfId="9033" xr:uid="{00000000-0005-0000-0000-00005E1C0000}"/>
    <cellStyle name="Normal 5 3 3 3 5 3" xfId="6888" xr:uid="{00000000-0005-0000-0000-00005F1C0000}"/>
    <cellStyle name="Normal 5 3 3 3 6" xfId="2999" xr:uid="{00000000-0005-0000-0000-0000601C0000}"/>
    <cellStyle name="Normal 5 3 3 3 6 2" xfId="5228" xr:uid="{00000000-0005-0000-0000-0000611C0000}"/>
    <cellStyle name="Normal 5 3 3 3 6 2 2" xfId="9446" xr:uid="{00000000-0005-0000-0000-0000621C0000}"/>
    <cellStyle name="Normal 5 3 3 3 6 3" xfId="7301" xr:uid="{00000000-0005-0000-0000-0000631C0000}"/>
    <cellStyle name="Normal 5 3 3 3 7" xfId="3435" xr:uid="{00000000-0005-0000-0000-0000641C0000}"/>
    <cellStyle name="Normal 5 3 3 3 7 2" xfId="7714" xr:uid="{00000000-0005-0000-0000-0000651C0000}"/>
    <cellStyle name="Normal 5 3 3 3 8" xfId="5649" xr:uid="{00000000-0005-0000-0000-0000661C0000}"/>
    <cellStyle name="Normal 5 3 3 3 9" xfId="1345" xr:uid="{00000000-0005-0000-0000-0000671C0000}"/>
    <cellStyle name="Normal 5 3 3 4" xfId="451" xr:uid="{00000000-0005-0000-0000-0000681C0000}"/>
    <cellStyle name="Normal 5 3 3 4 2" xfId="930" xr:uid="{00000000-0005-0000-0000-0000691C0000}"/>
    <cellStyle name="Normal 5 3 3 4 2 2" xfId="3991" xr:uid="{00000000-0005-0000-0000-00006A1C0000}"/>
    <cellStyle name="Normal 5 3 3 4 2 2 2" xfId="8209" xr:uid="{00000000-0005-0000-0000-00006B1C0000}"/>
    <cellStyle name="Normal 5 3 3 4 2 3" xfId="6064" xr:uid="{00000000-0005-0000-0000-00006C1C0000}"/>
    <cellStyle name="Normal 5 3 3 4 2 4" xfId="1762" xr:uid="{00000000-0005-0000-0000-00006D1C0000}"/>
    <cellStyle name="Normal 5 3 3 4 3" xfId="2175" xr:uid="{00000000-0005-0000-0000-00006E1C0000}"/>
    <cellStyle name="Normal 5 3 3 4 3 2" xfId="4404" xr:uid="{00000000-0005-0000-0000-00006F1C0000}"/>
    <cellStyle name="Normal 5 3 3 4 3 2 2" xfId="8622" xr:uid="{00000000-0005-0000-0000-0000701C0000}"/>
    <cellStyle name="Normal 5 3 3 4 3 3" xfId="6477" xr:uid="{00000000-0005-0000-0000-0000711C0000}"/>
    <cellStyle name="Normal 5 3 3 4 4" xfId="2588" xr:uid="{00000000-0005-0000-0000-0000721C0000}"/>
    <cellStyle name="Normal 5 3 3 4 4 2" xfId="4817" xr:uid="{00000000-0005-0000-0000-0000731C0000}"/>
    <cellStyle name="Normal 5 3 3 4 4 2 2" xfId="9035" xr:uid="{00000000-0005-0000-0000-0000741C0000}"/>
    <cellStyle name="Normal 5 3 3 4 4 3" xfId="6890" xr:uid="{00000000-0005-0000-0000-0000751C0000}"/>
    <cellStyle name="Normal 5 3 3 4 5" xfId="3001" xr:uid="{00000000-0005-0000-0000-0000761C0000}"/>
    <cellStyle name="Normal 5 3 3 4 5 2" xfId="5230" xr:uid="{00000000-0005-0000-0000-0000771C0000}"/>
    <cellStyle name="Normal 5 3 3 4 5 2 2" xfId="9448" xr:uid="{00000000-0005-0000-0000-0000781C0000}"/>
    <cellStyle name="Normal 5 3 3 4 5 3" xfId="7303" xr:uid="{00000000-0005-0000-0000-0000791C0000}"/>
    <cellStyle name="Normal 5 3 3 4 6" xfId="3437" xr:uid="{00000000-0005-0000-0000-00007A1C0000}"/>
    <cellStyle name="Normal 5 3 3 4 6 2" xfId="7716" xr:uid="{00000000-0005-0000-0000-00007B1C0000}"/>
    <cellStyle name="Normal 5 3 3 4 7" xfId="5651" xr:uid="{00000000-0005-0000-0000-00007C1C0000}"/>
    <cellStyle name="Normal 5 3 3 4 8" xfId="1347" xr:uid="{00000000-0005-0000-0000-00007D1C0000}"/>
    <cellStyle name="Normal 5 3 3 5" xfId="923" xr:uid="{00000000-0005-0000-0000-00007E1C0000}"/>
    <cellStyle name="Normal 5 3 3 5 2" xfId="3984" xr:uid="{00000000-0005-0000-0000-00007F1C0000}"/>
    <cellStyle name="Normal 5 3 3 5 2 2" xfId="8202" xr:uid="{00000000-0005-0000-0000-0000801C0000}"/>
    <cellStyle name="Normal 5 3 3 5 3" xfId="6057" xr:uid="{00000000-0005-0000-0000-0000811C0000}"/>
    <cellStyle name="Normal 5 3 3 5 4" xfId="1755" xr:uid="{00000000-0005-0000-0000-0000821C0000}"/>
    <cellStyle name="Normal 5 3 3 6" xfId="2168" xr:uid="{00000000-0005-0000-0000-0000831C0000}"/>
    <cellStyle name="Normal 5 3 3 6 2" xfId="4397" xr:uid="{00000000-0005-0000-0000-0000841C0000}"/>
    <cellStyle name="Normal 5 3 3 6 2 2" xfId="8615" xr:uid="{00000000-0005-0000-0000-0000851C0000}"/>
    <cellStyle name="Normal 5 3 3 6 3" xfId="6470" xr:uid="{00000000-0005-0000-0000-0000861C0000}"/>
    <cellStyle name="Normal 5 3 3 7" xfId="2581" xr:uid="{00000000-0005-0000-0000-0000871C0000}"/>
    <cellStyle name="Normal 5 3 3 7 2" xfId="4810" xr:uid="{00000000-0005-0000-0000-0000881C0000}"/>
    <cellStyle name="Normal 5 3 3 7 2 2" xfId="9028" xr:uid="{00000000-0005-0000-0000-0000891C0000}"/>
    <cellStyle name="Normal 5 3 3 7 3" xfId="6883" xr:uid="{00000000-0005-0000-0000-00008A1C0000}"/>
    <cellStyle name="Normal 5 3 3 8" xfId="2994" xr:uid="{00000000-0005-0000-0000-00008B1C0000}"/>
    <cellStyle name="Normal 5 3 3 8 2" xfId="5223" xr:uid="{00000000-0005-0000-0000-00008C1C0000}"/>
    <cellStyle name="Normal 5 3 3 8 2 2" xfId="9441" xr:uid="{00000000-0005-0000-0000-00008D1C0000}"/>
    <cellStyle name="Normal 5 3 3 8 3" xfId="7296" xr:uid="{00000000-0005-0000-0000-00008E1C0000}"/>
    <cellStyle name="Normal 5 3 3 9" xfId="3430" xr:uid="{00000000-0005-0000-0000-00008F1C0000}"/>
    <cellStyle name="Normal 5 3 3 9 2" xfId="7709" xr:uid="{00000000-0005-0000-0000-0000901C0000}"/>
    <cellStyle name="Normal 5 3 4" xfId="452" xr:uid="{00000000-0005-0000-0000-0000911C0000}"/>
    <cellStyle name="Normal 5 3 4 10" xfId="1348" xr:uid="{00000000-0005-0000-0000-0000921C0000}"/>
    <cellStyle name="Normal 5 3 4 2" xfId="453" xr:uid="{00000000-0005-0000-0000-0000931C0000}"/>
    <cellStyle name="Normal 5 3 4 2 2" xfId="454" xr:uid="{00000000-0005-0000-0000-0000941C0000}"/>
    <cellStyle name="Normal 5 3 4 2 2 2" xfId="933" xr:uid="{00000000-0005-0000-0000-0000951C0000}"/>
    <cellStyle name="Normal 5 3 4 2 2 2 2" xfId="3994" xr:uid="{00000000-0005-0000-0000-0000961C0000}"/>
    <cellStyle name="Normal 5 3 4 2 2 2 2 2" xfId="8212" xr:uid="{00000000-0005-0000-0000-0000971C0000}"/>
    <cellStyle name="Normal 5 3 4 2 2 2 3" xfId="6067" xr:uid="{00000000-0005-0000-0000-0000981C0000}"/>
    <cellStyle name="Normal 5 3 4 2 2 2 4" xfId="1765" xr:uid="{00000000-0005-0000-0000-0000991C0000}"/>
    <cellStyle name="Normal 5 3 4 2 2 3" xfId="2178" xr:uid="{00000000-0005-0000-0000-00009A1C0000}"/>
    <cellStyle name="Normal 5 3 4 2 2 3 2" xfId="4407" xr:uid="{00000000-0005-0000-0000-00009B1C0000}"/>
    <cellStyle name="Normal 5 3 4 2 2 3 2 2" xfId="8625" xr:uid="{00000000-0005-0000-0000-00009C1C0000}"/>
    <cellStyle name="Normal 5 3 4 2 2 3 3" xfId="6480" xr:uid="{00000000-0005-0000-0000-00009D1C0000}"/>
    <cellStyle name="Normal 5 3 4 2 2 4" xfId="2591" xr:uid="{00000000-0005-0000-0000-00009E1C0000}"/>
    <cellStyle name="Normal 5 3 4 2 2 4 2" xfId="4820" xr:uid="{00000000-0005-0000-0000-00009F1C0000}"/>
    <cellStyle name="Normal 5 3 4 2 2 4 2 2" xfId="9038" xr:uid="{00000000-0005-0000-0000-0000A01C0000}"/>
    <cellStyle name="Normal 5 3 4 2 2 4 3" xfId="6893" xr:uid="{00000000-0005-0000-0000-0000A11C0000}"/>
    <cellStyle name="Normal 5 3 4 2 2 5" xfId="3004" xr:uid="{00000000-0005-0000-0000-0000A21C0000}"/>
    <cellStyle name="Normal 5 3 4 2 2 5 2" xfId="5233" xr:uid="{00000000-0005-0000-0000-0000A31C0000}"/>
    <cellStyle name="Normal 5 3 4 2 2 5 2 2" xfId="9451" xr:uid="{00000000-0005-0000-0000-0000A41C0000}"/>
    <cellStyle name="Normal 5 3 4 2 2 5 3" xfId="7306" xr:uid="{00000000-0005-0000-0000-0000A51C0000}"/>
    <cellStyle name="Normal 5 3 4 2 2 6" xfId="3440" xr:uid="{00000000-0005-0000-0000-0000A61C0000}"/>
    <cellStyle name="Normal 5 3 4 2 2 6 2" xfId="7719" xr:uid="{00000000-0005-0000-0000-0000A71C0000}"/>
    <cellStyle name="Normal 5 3 4 2 2 7" xfId="5654" xr:uid="{00000000-0005-0000-0000-0000A81C0000}"/>
    <cellStyle name="Normal 5 3 4 2 2 8" xfId="1350" xr:uid="{00000000-0005-0000-0000-0000A91C0000}"/>
    <cellStyle name="Normal 5 3 4 2 3" xfId="932" xr:uid="{00000000-0005-0000-0000-0000AA1C0000}"/>
    <cellStyle name="Normal 5 3 4 2 3 2" xfId="3993" xr:uid="{00000000-0005-0000-0000-0000AB1C0000}"/>
    <cellStyle name="Normal 5 3 4 2 3 2 2" xfId="8211" xr:uid="{00000000-0005-0000-0000-0000AC1C0000}"/>
    <cellStyle name="Normal 5 3 4 2 3 3" xfId="6066" xr:uid="{00000000-0005-0000-0000-0000AD1C0000}"/>
    <cellStyle name="Normal 5 3 4 2 3 4" xfId="1764" xr:uid="{00000000-0005-0000-0000-0000AE1C0000}"/>
    <cellStyle name="Normal 5 3 4 2 4" xfId="2177" xr:uid="{00000000-0005-0000-0000-0000AF1C0000}"/>
    <cellStyle name="Normal 5 3 4 2 4 2" xfId="4406" xr:uid="{00000000-0005-0000-0000-0000B01C0000}"/>
    <cellStyle name="Normal 5 3 4 2 4 2 2" xfId="8624" xr:uid="{00000000-0005-0000-0000-0000B11C0000}"/>
    <cellStyle name="Normal 5 3 4 2 4 3" xfId="6479" xr:uid="{00000000-0005-0000-0000-0000B21C0000}"/>
    <cellStyle name="Normal 5 3 4 2 5" xfId="2590" xr:uid="{00000000-0005-0000-0000-0000B31C0000}"/>
    <cellStyle name="Normal 5 3 4 2 5 2" xfId="4819" xr:uid="{00000000-0005-0000-0000-0000B41C0000}"/>
    <cellStyle name="Normal 5 3 4 2 5 2 2" xfId="9037" xr:uid="{00000000-0005-0000-0000-0000B51C0000}"/>
    <cellStyle name="Normal 5 3 4 2 5 3" xfId="6892" xr:uid="{00000000-0005-0000-0000-0000B61C0000}"/>
    <cellStyle name="Normal 5 3 4 2 6" xfId="3003" xr:uid="{00000000-0005-0000-0000-0000B71C0000}"/>
    <cellStyle name="Normal 5 3 4 2 6 2" xfId="5232" xr:uid="{00000000-0005-0000-0000-0000B81C0000}"/>
    <cellStyle name="Normal 5 3 4 2 6 2 2" xfId="9450" xr:uid="{00000000-0005-0000-0000-0000B91C0000}"/>
    <cellStyle name="Normal 5 3 4 2 6 3" xfId="7305" xr:uid="{00000000-0005-0000-0000-0000BA1C0000}"/>
    <cellStyle name="Normal 5 3 4 2 7" xfId="3439" xr:uid="{00000000-0005-0000-0000-0000BB1C0000}"/>
    <cellStyle name="Normal 5 3 4 2 7 2" xfId="7718" xr:uid="{00000000-0005-0000-0000-0000BC1C0000}"/>
    <cellStyle name="Normal 5 3 4 2 8" xfId="5653" xr:uid="{00000000-0005-0000-0000-0000BD1C0000}"/>
    <cellStyle name="Normal 5 3 4 2 9" xfId="1349" xr:uid="{00000000-0005-0000-0000-0000BE1C0000}"/>
    <cellStyle name="Normal 5 3 4 3" xfId="455" xr:uid="{00000000-0005-0000-0000-0000BF1C0000}"/>
    <cellStyle name="Normal 5 3 4 3 2" xfId="934" xr:uid="{00000000-0005-0000-0000-0000C01C0000}"/>
    <cellStyle name="Normal 5 3 4 3 2 2" xfId="3995" xr:uid="{00000000-0005-0000-0000-0000C11C0000}"/>
    <cellStyle name="Normal 5 3 4 3 2 2 2" xfId="8213" xr:uid="{00000000-0005-0000-0000-0000C21C0000}"/>
    <cellStyle name="Normal 5 3 4 3 2 3" xfId="6068" xr:uid="{00000000-0005-0000-0000-0000C31C0000}"/>
    <cellStyle name="Normal 5 3 4 3 2 4" xfId="1766" xr:uid="{00000000-0005-0000-0000-0000C41C0000}"/>
    <cellStyle name="Normal 5 3 4 3 3" xfId="2179" xr:uid="{00000000-0005-0000-0000-0000C51C0000}"/>
    <cellStyle name="Normal 5 3 4 3 3 2" xfId="4408" xr:uid="{00000000-0005-0000-0000-0000C61C0000}"/>
    <cellStyle name="Normal 5 3 4 3 3 2 2" xfId="8626" xr:uid="{00000000-0005-0000-0000-0000C71C0000}"/>
    <cellStyle name="Normal 5 3 4 3 3 3" xfId="6481" xr:uid="{00000000-0005-0000-0000-0000C81C0000}"/>
    <cellStyle name="Normal 5 3 4 3 4" xfId="2592" xr:uid="{00000000-0005-0000-0000-0000C91C0000}"/>
    <cellStyle name="Normal 5 3 4 3 4 2" xfId="4821" xr:uid="{00000000-0005-0000-0000-0000CA1C0000}"/>
    <cellStyle name="Normal 5 3 4 3 4 2 2" xfId="9039" xr:uid="{00000000-0005-0000-0000-0000CB1C0000}"/>
    <cellStyle name="Normal 5 3 4 3 4 3" xfId="6894" xr:uid="{00000000-0005-0000-0000-0000CC1C0000}"/>
    <cellStyle name="Normal 5 3 4 3 5" xfId="3005" xr:uid="{00000000-0005-0000-0000-0000CD1C0000}"/>
    <cellStyle name="Normal 5 3 4 3 5 2" xfId="5234" xr:uid="{00000000-0005-0000-0000-0000CE1C0000}"/>
    <cellStyle name="Normal 5 3 4 3 5 2 2" xfId="9452" xr:uid="{00000000-0005-0000-0000-0000CF1C0000}"/>
    <cellStyle name="Normal 5 3 4 3 5 3" xfId="7307" xr:uid="{00000000-0005-0000-0000-0000D01C0000}"/>
    <cellStyle name="Normal 5 3 4 3 6" xfId="3441" xr:uid="{00000000-0005-0000-0000-0000D11C0000}"/>
    <cellStyle name="Normal 5 3 4 3 6 2" xfId="7720" xr:uid="{00000000-0005-0000-0000-0000D21C0000}"/>
    <cellStyle name="Normal 5 3 4 3 7" xfId="5655" xr:uid="{00000000-0005-0000-0000-0000D31C0000}"/>
    <cellStyle name="Normal 5 3 4 3 8" xfId="1351" xr:uid="{00000000-0005-0000-0000-0000D41C0000}"/>
    <cellStyle name="Normal 5 3 4 4" xfId="931" xr:uid="{00000000-0005-0000-0000-0000D51C0000}"/>
    <cellStyle name="Normal 5 3 4 4 2" xfId="3992" xr:uid="{00000000-0005-0000-0000-0000D61C0000}"/>
    <cellStyle name="Normal 5 3 4 4 2 2" xfId="8210" xr:uid="{00000000-0005-0000-0000-0000D71C0000}"/>
    <cellStyle name="Normal 5 3 4 4 3" xfId="6065" xr:uid="{00000000-0005-0000-0000-0000D81C0000}"/>
    <cellStyle name="Normal 5 3 4 4 4" xfId="1763" xr:uid="{00000000-0005-0000-0000-0000D91C0000}"/>
    <cellStyle name="Normal 5 3 4 5" xfId="2176" xr:uid="{00000000-0005-0000-0000-0000DA1C0000}"/>
    <cellStyle name="Normal 5 3 4 5 2" xfId="4405" xr:uid="{00000000-0005-0000-0000-0000DB1C0000}"/>
    <cellStyle name="Normal 5 3 4 5 2 2" xfId="8623" xr:uid="{00000000-0005-0000-0000-0000DC1C0000}"/>
    <cellStyle name="Normal 5 3 4 5 3" xfId="6478" xr:uid="{00000000-0005-0000-0000-0000DD1C0000}"/>
    <cellStyle name="Normal 5 3 4 6" xfId="2589" xr:uid="{00000000-0005-0000-0000-0000DE1C0000}"/>
    <cellStyle name="Normal 5 3 4 6 2" xfId="4818" xr:uid="{00000000-0005-0000-0000-0000DF1C0000}"/>
    <cellStyle name="Normal 5 3 4 6 2 2" xfId="9036" xr:uid="{00000000-0005-0000-0000-0000E01C0000}"/>
    <cellStyle name="Normal 5 3 4 6 3" xfId="6891" xr:uid="{00000000-0005-0000-0000-0000E11C0000}"/>
    <cellStyle name="Normal 5 3 4 7" xfId="3002" xr:uid="{00000000-0005-0000-0000-0000E21C0000}"/>
    <cellStyle name="Normal 5 3 4 7 2" xfId="5231" xr:uid="{00000000-0005-0000-0000-0000E31C0000}"/>
    <cellStyle name="Normal 5 3 4 7 2 2" xfId="9449" xr:uid="{00000000-0005-0000-0000-0000E41C0000}"/>
    <cellStyle name="Normal 5 3 4 7 3" xfId="7304" xr:uid="{00000000-0005-0000-0000-0000E51C0000}"/>
    <cellStyle name="Normal 5 3 4 8" xfId="3438" xr:uid="{00000000-0005-0000-0000-0000E61C0000}"/>
    <cellStyle name="Normal 5 3 4 8 2" xfId="7717" xr:uid="{00000000-0005-0000-0000-0000E71C0000}"/>
    <cellStyle name="Normal 5 3 4 9" xfId="5652" xr:uid="{00000000-0005-0000-0000-0000E81C0000}"/>
    <cellStyle name="Normal 5 3 5" xfId="456" xr:uid="{00000000-0005-0000-0000-0000E91C0000}"/>
    <cellStyle name="Normal 5 3 5 2" xfId="457" xr:uid="{00000000-0005-0000-0000-0000EA1C0000}"/>
    <cellStyle name="Normal 5 3 5 2 2" xfId="936" xr:uid="{00000000-0005-0000-0000-0000EB1C0000}"/>
    <cellStyle name="Normal 5 3 5 2 2 2" xfId="3997" xr:uid="{00000000-0005-0000-0000-0000EC1C0000}"/>
    <cellStyle name="Normal 5 3 5 2 2 2 2" xfId="8215" xr:uid="{00000000-0005-0000-0000-0000ED1C0000}"/>
    <cellStyle name="Normal 5 3 5 2 2 3" xfId="6070" xr:uid="{00000000-0005-0000-0000-0000EE1C0000}"/>
    <cellStyle name="Normal 5 3 5 2 2 4" xfId="1768" xr:uid="{00000000-0005-0000-0000-0000EF1C0000}"/>
    <cellStyle name="Normal 5 3 5 2 3" xfId="2181" xr:uid="{00000000-0005-0000-0000-0000F01C0000}"/>
    <cellStyle name="Normal 5 3 5 2 3 2" xfId="4410" xr:uid="{00000000-0005-0000-0000-0000F11C0000}"/>
    <cellStyle name="Normal 5 3 5 2 3 2 2" xfId="8628" xr:uid="{00000000-0005-0000-0000-0000F21C0000}"/>
    <cellStyle name="Normal 5 3 5 2 3 3" xfId="6483" xr:uid="{00000000-0005-0000-0000-0000F31C0000}"/>
    <cellStyle name="Normal 5 3 5 2 4" xfId="2594" xr:uid="{00000000-0005-0000-0000-0000F41C0000}"/>
    <cellStyle name="Normal 5 3 5 2 4 2" xfId="4823" xr:uid="{00000000-0005-0000-0000-0000F51C0000}"/>
    <cellStyle name="Normal 5 3 5 2 4 2 2" xfId="9041" xr:uid="{00000000-0005-0000-0000-0000F61C0000}"/>
    <cellStyle name="Normal 5 3 5 2 4 3" xfId="6896" xr:uid="{00000000-0005-0000-0000-0000F71C0000}"/>
    <cellStyle name="Normal 5 3 5 2 5" xfId="3007" xr:uid="{00000000-0005-0000-0000-0000F81C0000}"/>
    <cellStyle name="Normal 5 3 5 2 5 2" xfId="5236" xr:uid="{00000000-0005-0000-0000-0000F91C0000}"/>
    <cellStyle name="Normal 5 3 5 2 5 2 2" xfId="9454" xr:uid="{00000000-0005-0000-0000-0000FA1C0000}"/>
    <cellStyle name="Normal 5 3 5 2 5 3" xfId="7309" xr:uid="{00000000-0005-0000-0000-0000FB1C0000}"/>
    <cellStyle name="Normal 5 3 5 2 6" xfId="3443" xr:uid="{00000000-0005-0000-0000-0000FC1C0000}"/>
    <cellStyle name="Normal 5 3 5 2 6 2" xfId="7722" xr:uid="{00000000-0005-0000-0000-0000FD1C0000}"/>
    <cellStyle name="Normal 5 3 5 2 7" xfId="5657" xr:uid="{00000000-0005-0000-0000-0000FE1C0000}"/>
    <cellStyle name="Normal 5 3 5 2 8" xfId="1353" xr:uid="{00000000-0005-0000-0000-0000FF1C0000}"/>
    <cellStyle name="Normal 5 3 5 3" xfId="935" xr:uid="{00000000-0005-0000-0000-0000001D0000}"/>
    <cellStyle name="Normal 5 3 5 3 2" xfId="3996" xr:uid="{00000000-0005-0000-0000-0000011D0000}"/>
    <cellStyle name="Normal 5 3 5 3 2 2" xfId="8214" xr:uid="{00000000-0005-0000-0000-0000021D0000}"/>
    <cellStyle name="Normal 5 3 5 3 3" xfId="6069" xr:uid="{00000000-0005-0000-0000-0000031D0000}"/>
    <cellStyle name="Normal 5 3 5 3 4" xfId="1767" xr:uid="{00000000-0005-0000-0000-0000041D0000}"/>
    <cellStyle name="Normal 5 3 5 4" xfId="2180" xr:uid="{00000000-0005-0000-0000-0000051D0000}"/>
    <cellStyle name="Normal 5 3 5 4 2" xfId="4409" xr:uid="{00000000-0005-0000-0000-0000061D0000}"/>
    <cellStyle name="Normal 5 3 5 4 2 2" xfId="8627" xr:uid="{00000000-0005-0000-0000-0000071D0000}"/>
    <cellStyle name="Normal 5 3 5 4 3" xfId="6482" xr:uid="{00000000-0005-0000-0000-0000081D0000}"/>
    <cellStyle name="Normal 5 3 5 5" xfId="2593" xr:uid="{00000000-0005-0000-0000-0000091D0000}"/>
    <cellStyle name="Normal 5 3 5 5 2" xfId="4822" xr:uid="{00000000-0005-0000-0000-00000A1D0000}"/>
    <cellStyle name="Normal 5 3 5 5 2 2" xfId="9040" xr:uid="{00000000-0005-0000-0000-00000B1D0000}"/>
    <cellStyle name="Normal 5 3 5 5 3" xfId="6895" xr:uid="{00000000-0005-0000-0000-00000C1D0000}"/>
    <cellStyle name="Normal 5 3 5 6" xfId="3006" xr:uid="{00000000-0005-0000-0000-00000D1D0000}"/>
    <cellStyle name="Normal 5 3 5 6 2" xfId="5235" xr:uid="{00000000-0005-0000-0000-00000E1D0000}"/>
    <cellStyle name="Normal 5 3 5 6 2 2" xfId="9453" xr:uid="{00000000-0005-0000-0000-00000F1D0000}"/>
    <cellStyle name="Normal 5 3 5 6 3" xfId="7308" xr:uid="{00000000-0005-0000-0000-0000101D0000}"/>
    <cellStyle name="Normal 5 3 5 7" xfId="3442" xr:uid="{00000000-0005-0000-0000-0000111D0000}"/>
    <cellStyle name="Normal 5 3 5 7 2" xfId="7721" xr:uid="{00000000-0005-0000-0000-0000121D0000}"/>
    <cellStyle name="Normal 5 3 5 8" xfId="5656" xr:uid="{00000000-0005-0000-0000-0000131D0000}"/>
    <cellStyle name="Normal 5 3 5 9" xfId="1352" xr:uid="{00000000-0005-0000-0000-0000141D0000}"/>
    <cellStyle name="Normal 5 3 6" xfId="458" xr:uid="{00000000-0005-0000-0000-0000151D0000}"/>
    <cellStyle name="Normal 5 3 6 2" xfId="937" xr:uid="{00000000-0005-0000-0000-0000161D0000}"/>
    <cellStyle name="Normal 5 3 6 2 2" xfId="3998" xr:uid="{00000000-0005-0000-0000-0000171D0000}"/>
    <cellStyle name="Normal 5 3 6 2 2 2" xfId="8216" xr:uid="{00000000-0005-0000-0000-0000181D0000}"/>
    <cellStyle name="Normal 5 3 6 2 3" xfId="6071" xr:uid="{00000000-0005-0000-0000-0000191D0000}"/>
    <cellStyle name="Normal 5 3 6 2 4" xfId="1769" xr:uid="{00000000-0005-0000-0000-00001A1D0000}"/>
    <cellStyle name="Normal 5 3 6 3" xfId="2182" xr:uid="{00000000-0005-0000-0000-00001B1D0000}"/>
    <cellStyle name="Normal 5 3 6 3 2" xfId="4411" xr:uid="{00000000-0005-0000-0000-00001C1D0000}"/>
    <cellStyle name="Normal 5 3 6 3 2 2" xfId="8629" xr:uid="{00000000-0005-0000-0000-00001D1D0000}"/>
    <cellStyle name="Normal 5 3 6 3 3" xfId="6484" xr:uid="{00000000-0005-0000-0000-00001E1D0000}"/>
    <cellStyle name="Normal 5 3 6 4" xfId="2595" xr:uid="{00000000-0005-0000-0000-00001F1D0000}"/>
    <cellStyle name="Normal 5 3 6 4 2" xfId="4824" xr:uid="{00000000-0005-0000-0000-0000201D0000}"/>
    <cellStyle name="Normal 5 3 6 4 2 2" xfId="9042" xr:uid="{00000000-0005-0000-0000-0000211D0000}"/>
    <cellStyle name="Normal 5 3 6 4 3" xfId="6897" xr:uid="{00000000-0005-0000-0000-0000221D0000}"/>
    <cellStyle name="Normal 5 3 6 5" xfId="3008" xr:uid="{00000000-0005-0000-0000-0000231D0000}"/>
    <cellStyle name="Normal 5 3 6 5 2" xfId="5237" xr:uid="{00000000-0005-0000-0000-0000241D0000}"/>
    <cellStyle name="Normal 5 3 6 5 2 2" xfId="9455" xr:uid="{00000000-0005-0000-0000-0000251D0000}"/>
    <cellStyle name="Normal 5 3 6 5 3" xfId="7310" xr:uid="{00000000-0005-0000-0000-0000261D0000}"/>
    <cellStyle name="Normal 5 3 6 6" xfId="3444" xr:uid="{00000000-0005-0000-0000-0000271D0000}"/>
    <cellStyle name="Normal 5 3 6 6 2" xfId="7723" xr:uid="{00000000-0005-0000-0000-0000281D0000}"/>
    <cellStyle name="Normal 5 3 6 7" xfId="5658" xr:uid="{00000000-0005-0000-0000-0000291D0000}"/>
    <cellStyle name="Normal 5 3 6 8" xfId="1354" xr:uid="{00000000-0005-0000-0000-00002A1D0000}"/>
    <cellStyle name="Normal 5 3 7" xfId="921" xr:uid="{00000000-0005-0000-0000-00002B1D0000}"/>
    <cellStyle name="Normal 5 3 7 2" xfId="3983" xr:uid="{00000000-0005-0000-0000-00002C1D0000}"/>
    <cellStyle name="Normal 5 3 7 2 2" xfId="8201" xr:uid="{00000000-0005-0000-0000-00002D1D0000}"/>
    <cellStyle name="Normal 5 3 7 3" xfId="6056" xr:uid="{00000000-0005-0000-0000-00002E1D0000}"/>
    <cellStyle name="Normal 5 3 7 4" xfId="1754" xr:uid="{00000000-0005-0000-0000-00002F1D0000}"/>
    <cellStyle name="Normal 5 3 8" xfId="2167" xr:uid="{00000000-0005-0000-0000-0000301D0000}"/>
    <cellStyle name="Normal 5 3 8 2" xfId="4396" xr:uid="{00000000-0005-0000-0000-0000311D0000}"/>
    <cellStyle name="Normal 5 3 8 2 2" xfId="8614" xr:uid="{00000000-0005-0000-0000-0000321D0000}"/>
    <cellStyle name="Normal 5 3 8 3" xfId="6469" xr:uid="{00000000-0005-0000-0000-0000331D0000}"/>
    <cellStyle name="Normal 5 3 9" xfId="2580" xr:uid="{00000000-0005-0000-0000-0000341D0000}"/>
    <cellStyle name="Normal 5 3 9 2" xfId="4809" xr:uid="{00000000-0005-0000-0000-0000351D0000}"/>
    <cellStyle name="Normal 5 3 9 2 2" xfId="9027" xr:uid="{00000000-0005-0000-0000-0000361D0000}"/>
    <cellStyle name="Normal 5 3 9 3" xfId="6882" xr:uid="{00000000-0005-0000-0000-0000371D0000}"/>
    <cellStyle name="Normal 5 4" xfId="459" xr:uid="{00000000-0005-0000-0000-0000381D0000}"/>
    <cellStyle name="Normal 5 4 10" xfId="5659" xr:uid="{00000000-0005-0000-0000-0000391D0000}"/>
    <cellStyle name="Normal 5 4 11" xfId="1355" xr:uid="{00000000-0005-0000-0000-00003A1D0000}"/>
    <cellStyle name="Normal 5 4 2" xfId="460" xr:uid="{00000000-0005-0000-0000-00003B1D0000}"/>
    <cellStyle name="Normal 5 4 2 10" xfId="1356" xr:uid="{00000000-0005-0000-0000-00003C1D0000}"/>
    <cellStyle name="Normal 5 4 2 2" xfId="461" xr:uid="{00000000-0005-0000-0000-00003D1D0000}"/>
    <cellStyle name="Normal 5 4 2 2 2" xfId="462" xr:uid="{00000000-0005-0000-0000-00003E1D0000}"/>
    <cellStyle name="Normal 5 4 2 2 2 2" xfId="941" xr:uid="{00000000-0005-0000-0000-00003F1D0000}"/>
    <cellStyle name="Normal 5 4 2 2 2 2 2" xfId="4002" xr:uid="{00000000-0005-0000-0000-0000401D0000}"/>
    <cellStyle name="Normal 5 4 2 2 2 2 2 2" xfId="8220" xr:uid="{00000000-0005-0000-0000-0000411D0000}"/>
    <cellStyle name="Normal 5 4 2 2 2 2 3" xfId="6075" xr:uid="{00000000-0005-0000-0000-0000421D0000}"/>
    <cellStyle name="Normal 5 4 2 2 2 2 4" xfId="1773" xr:uid="{00000000-0005-0000-0000-0000431D0000}"/>
    <cellStyle name="Normal 5 4 2 2 2 3" xfId="2186" xr:uid="{00000000-0005-0000-0000-0000441D0000}"/>
    <cellStyle name="Normal 5 4 2 2 2 3 2" xfId="4415" xr:uid="{00000000-0005-0000-0000-0000451D0000}"/>
    <cellStyle name="Normal 5 4 2 2 2 3 2 2" xfId="8633" xr:uid="{00000000-0005-0000-0000-0000461D0000}"/>
    <cellStyle name="Normal 5 4 2 2 2 3 3" xfId="6488" xr:uid="{00000000-0005-0000-0000-0000471D0000}"/>
    <cellStyle name="Normal 5 4 2 2 2 4" xfId="2599" xr:uid="{00000000-0005-0000-0000-0000481D0000}"/>
    <cellStyle name="Normal 5 4 2 2 2 4 2" xfId="4828" xr:uid="{00000000-0005-0000-0000-0000491D0000}"/>
    <cellStyle name="Normal 5 4 2 2 2 4 2 2" xfId="9046" xr:uid="{00000000-0005-0000-0000-00004A1D0000}"/>
    <cellStyle name="Normal 5 4 2 2 2 4 3" xfId="6901" xr:uid="{00000000-0005-0000-0000-00004B1D0000}"/>
    <cellStyle name="Normal 5 4 2 2 2 5" xfId="3012" xr:uid="{00000000-0005-0000-0000-00004C1D0000}"/>
    <cellStyle name="Normal 5 4 2 2 2 5 2" xfId="5241" xr:uid="{00000000-0005-0000-0000-00004D1D0000}"/>
    <cellStyle name="Normal 5 4 2 2 2 5 2 2" xfId="9459" xr:uid="{00000000-0005-0000-0000-00004E1D0000}"/>
    <cellStyle name="Normal 5 4 2 2 2 5 3" xfId="7314" xr:uid="{00000000-0005-0000-0000-00004F1D0000}"/>
    <cellStyle name="Normal 5 4 2 2 2 6" xfId="3448" xr:uid="{00000000-0005-0000-0000-0000501D0000}"/>
    <cellStyle name="Normal 5 4 2 2 2 6 2" xfId="7727" xr:uid="{00000000-0005-0000-0000-0000511D0000}"/>
    <cellStyle name="Normal 5 4 2 2 2 7" xfId="5662" xr:uid="{00000000-0005-0000-0000-0000521D0000}"/>
    <cellStyle name="Normal 5 4 2 2 2 8" xfId="1358" xr:uid="{00000000-0005-0000-0000-0000531D0000}"/>
    <cellStyle name="Normal 5 4 2 2 3" xfId="940" xr:uid="{00000000-0005-0000-0000-0000541D0000}"/>
    <cellStyle name="Normal 5 4 2 2 3 2" xfId="4001" xr:uid="{00000000-0005-0000-0000-0000551D0000}"/>
    <cellStyle name="Normal 5 4 2 2 3 2 2" xfId="8219" xr:uid="{00000000-0005-0000-0000-0000561D0000}"/>
    <cellStyle name="Normal 5 4 2 2 3 3" xfId="6074" xr:uid="{00000000-0005-0000-0000-0000571D0000}"/>
    <cellStyle name="Normal 5 4 2 2 3 4" xfId="1772" xr:uid="{00000000-0005-0000-0000-0000581D0000}"/>
    <cellStyle name="Normal 5 4 2 2 4" xfId="2185" xr:uid="{00000000-0005-0000-0000-0000591D0000}"/>
    <cellStyle name="Normal 5 4 2 2 4 2" xfId="4414" xr:uid="{00000000-0005-0000-0000-00005A1D0000}"/>
    <cellStyle name="Normal 5 4 2 2 4 2 2" xfId="8632" xr:uid="{00000000-0005-0000-0000-00005B1D0000}"/>
    <cellStyle name="Normal 5 4 2 2 4 3" xfId="6487" xr:uid="{00000000-0005-0000-0000-00005C1D0000}"/>
    <cellStyle name="Normal 5 4 2 2 5" xfId="2598" xr:uid="{00000000-0005-0000-0000-00005D1D0000}"/>
    <cellStyle name="Normal 5 4 2 2 5 2" xfId="4827" xr:uid="{00000000-0005-0000-0000-00005E1D0000}"/>
    <cellStyle name="Normal 5 4 2 2 5 2 2" xfId="9045" xr:uid="{00000000-0005-0000-0000-00005F1D0000}"/>
    <cellStyle name="Normal 5 4 2 2 5 3" xfId="6900" xr:uid="{00000000-0005-0000-0000-0000601D0000}"/>
    <cellStyle name="Normal 5 4 2 2 6" xfId="3011" xr:uid="{00000000-0005-0000-0000-0000611D0000}"/>
    <cellStyle name="Normal 5 4 2 2 6 2" xfId="5240" xr:uid="{00000000-0005-0000-0000-0000621D0000}"/>
    <cellStyle name="Normal 5 4 2 2 6 2 2" xfId="9458" xr:uid="{00000000-0005-0000-0000-0000631D0000}"/>
    <cellStyle name="Normal 5 4 2 2 6 3" xfId="7313" xr:uid="{00000000-0005-0000-0000-0000641D0000}"/>
    <cellStyle name="Normal 5 4 2 2 7" xfId="3447" xr:uid="{00000000-0005-0000-0000-0000651D0000}"/>
    <cellStyle name="Normal 5 4 2 2 7 2" xfId="7726" xr:uid="{00000000-0005-0000-0000-0000661D0000}"/>
    <cellStyle name="Normal 5 4 2 2 8" xfId="5661" xr:uid="{00000000-0005-0000-0000-0000671D0000}"/>
    <cellStyle name="Normal 5 4 2 2 9" xfId="1357" xr:uid="{00000000-0005-0000-0000-0000681D0000}"/>
    <cellStyle name="Normal 5 4 2 3" xfId="463" xr:uid="{00000000-0005-0000-0000-0000691D0000}"/>
    <cellStyle name="Normal 5 4 2 3 2" xfId="942" xr:uid="{00000000-0005-0000-0000-00006A1D0000}"/>
    <cellStyle name="Normal 5 4 2 3 2 2" xfId="4003" xr:uid="{00000000-0005-0000-0000-00006B1D0000}"/>
    <cellStyle name="Normal 5 4 2 3 2 2 2" xfId="8221" xr:uid="{00000000-0005-0000-0000-00006C1D0000}"/>
    <cellStyle name="Normal 5 4 2 3 2 3" xfId="6076" xr:uid="{00000000-0005-0000-0000-00006D1D0000}"/>
    <cellStyle name="Normal 5 4 2 3 2 4" xfId="1774" xr:uid="{00000000-0005-0000-0000-00006E1D0000}"/>
    <cellStyle name="Normal 5 4 2 3 3" xfId="2187" xr:uid="{00000000-0005-0000-0000-00006F1D0000}"/>
    <cellStyle name="Normal 5 4 2 3 3 2" xfId="4416" xr:uid="{00000000-0005-0000-0000-0000701D0000}"/>
    <cellStyle name="Normal 5 4 2 3 3 2 2" xfId="8634" xr:uid="{00000000-0005-0000-0000-0000711D0000}"/>
    <cellStyle name="Normal 5 4 2 3 3 3" xfId="6489" xr:uid="{00000000-0005-0000-0000-0000721D0000}"/>
    <cellStyle name="Normal 5 4 2 3 4" xfId="2600" xr:uid="{00000000-0005-0000-0000-0000731D0000}"/>
    <cellStyle name="Normal 5 4 2 3 4 2" xfId="4829" xr:uid="{00000000-0005-0000-0000-0000741D0000}"/>
    <cellStyle name="Normal 5 4 2 3 4 2 2" xfId="9047" xr:uid="{00000000-0005-0000-0000-0000751D0000}"/>
    <cellStyle name="Normal 5 4 2 3 4 3" xfId="6902" xr:uid="{00000000-0005-0000-0000-0000761D0000}"/>
    <cellStyle name="Normal 5 4 2 3 5" xfId="3013" xr:uid="{00000000-0005-0000-0000-0000771D0000}"/>
    <cellStyle name="Normal 5 4 2 3 5 2" xfId="5242" xr:uid="{00000000-0005-0000-0000-0000781D0000}"/>
    <cellStyle name="Normal 5 4 2 3 5 2 2" xfId="9460" xr:uid="{00000000-0005-0000-0000-0000791D0000}"/>
    <cellStyle name="Normal 5 4 2 3 5 3" xfId="7315" xr:uid="{00000000-0005-0000-0000-00007A1D0000}"/>
    <cellStyle name="Normal 5 4 2 3 6" xfId="3449" xr:uid="{00000000-0005-0000-0000-00007B1D0000}"/>
    <cellStyle name="Normal 5 4 2 3 6 2" xfId="7728" xr:uid="{00000000-0005-0000-0000-00007C1D0000}"/>
    <cellStyle name="Normal 5 4 2 3 7" xfId="5663" xr:uid="{00000000-0005-0000-0000-00007D1D0000}"/>
    <cellStyle name="Normal 5 4 2 3 8" xfId="1359" xr:uid="{00000000-0005-0000-0000-00007E1D0000}"/>
    <cellStyle name="Normal 5 4 2 4" xfId="939" xr:uid="{00000000-0005-0000-0000-00007F1D0000}"/>
    <cellStyle name="Normal 5 4 2 4 2" xfId="4000" xr:uid="{00000000-0005-0000-0000-0000801D0000}"/>
    <cellStyle name="Normal 5 4 2 4 2 2" xfId="8218" xr:uid="{00000000-0005-0000-0000-0000811D0000}"/>
    <cellStyle name="Normal 5 4 2 4 3" xfId="6073" xr:uid="{00000000-0005-0000-0000-0000821D0000}"/>
    <cellStyle name="Normal 5 4 2 4 4" xfId="1771" xr:uid="{00000000-0005-0000-0000-0000831D0000}"/>
    <cellStyle name="Normal 5 4 2 5" xfId="2184" xr:uid="{00000000-0005-0000-0000-0000841D0000}"/>
    <cellStyle name="Normal 5 4 2 5 2" xfId="4413" xr:uid="{00000000-0005-0000-0000-0000851D0000}"/>
    <cellStyle name="Normal 5 4 2 5 2 2" xfId="8631" xr:uid="{00000000-0005-0000-0000-0000861D0000}"/>
    <cellStyle name="Normal 5 4 2 5 3" xfId="6486" xr:uid="{00000000-0005-0000-0000-0000871D0000}"/>
    <cellStyle name="Normal 5 4 2 6" xfId="2597" xr:uid="{00000000-0005-0000-0000-0000881D0000}"/>
    <cellStyle name="Normal 5 4 2 6 2" xfId="4826" xr:uid="{00000000-0005-0000-0000-0000891D0000}"/>
    <cellStyle name="Normal 5 4 2 6 2 2" xfId="9044" xr:uid="{00000000-0005-0000-0000-00008A1D0000}"/>
    <cellStyle name="Normal 5 4 2 6 3" xfId="6899" xr:uid="{00000000-0005-0000-0000-00008B1D0000}"/>
    <cellStyle name="Normal 5 4 2 7" xfId="3010" xr:uid="{00000000-0005-0000-0000-00008C1D0000}"/>
    <cellStyle name="Normal 5 4 2 7 2" xfId="5239" xr:uid="{00000000-0005-0000-0000-00008D1D0000}"/>
    <cellStyle name="Normal 5 4 2 7 2 2" xfId="9457" xr:uid="{00000000-0005-0000-0000-00008E1D0000}"/>
    <cellStyle name="Normal 5 4 2 7 3" xfId="7312" xr:uid="{00000000-0005-0000-0000-00008F1D0000}"/>
    <cellStyle name="Normal 5 4 2 8" xfId="3446" xr:uid="{00000000-0005-0000-0000-0000901D0000}"/>
    <cellStyle name="Normal 5 4 2 8 2" xfId="7725" xr:uid="{00000000-0005-0000-0000-0000911D0000}"/>
    <cellStyle name="Normal 5 4 2 9" xfId="5660" xr:uid="{00000000-0005-0000-0000-0000921D0000}"/>
    <cellStyle name="Normal 5 4 3" xfId="464" xr:uid="{00000000-0005-0000-0000-0000931D0000}"/>
    <cellStyle name="Normal 5 4 3 2" xfId="465" xr:uid="{00000000-0005-0000-0000-0000941D0000}"/>
    <cellStyle name="Normal 5 4 3 2 2" xfId="944" xr:uid="{00000000-0005-0000-0000-0000951D0000}"/>
    <cellStyle name="Normal 5 4 3 2 2 2" xfId="4005" xr:uid="{00000000-0005-0000-0000-0000961D0000}"/>
    <cellStyle name="Normal 5 4 3 2 2 2 2" xfId="8223" xr:uid="{00000000-0005-0000-0000-0000971D0000}"/>
    <cellStyle name="Normal 5 4 3 2 2 3" xfId="6078" xr:uid="{00000000-0005-0000-0000-0000981D0000}"/>
    <cellStyle name="Normal 5 4 3 2 2 4" xfId="1776" xr:uid="{00000000-0005-0000-0000-0000991D0000}"/>
    <cellStyle name="Normal 5 4 3 2 3" xfId="2189" xr:uid="{00000000-0005-0000-0000-00009A1D0000}"/>
    <cellStyle name="Normal 5 4 3 2 3 2" xfId="4418" xr:uid="{00000000-0005-0000-0000-00009B1D0000}"/>
    <cellStyle name="Normal 5 4 3 2 3 2 2" xfId="8636" xr:uid="{00000000-0005-0000-0000-00009C1D0000}"/>
    <cellStyle name="Normal 5 4 3 2 3 3" xfId="6491" xr:uid="{00000000-0005-0000-0000-00009D1D0000}"/>
    <cellStyle name="Normal 5 4 3 2 4" xfId="2602" xr:uid="{00000000-0005-0000-0000-00009E1D0000}"/>
    <cellStyle name="Normal 5 4 3 2 4 2" xfId="4831" xr:uid="{00000000-0005-0000-0000-00009F1D0000}"/>
    <cellStyle name="Normal 5 4 3 2 4 2 2" xfId="9049" xr:uid="{00000000-0005-0000-0000-0000A01D0000}"/>
    <cellStyle name="Normal 5 4 3 2 4 3" xfId="6904" xr:uid="{00000000-0005-0000-0000-0000A11D0000}"/>
    <cellStyle name="Normal 5 4 3 2 5" xfId="3015" xr:uid="{00000000-0005-0000-0000-0000A21D0000}"/>
    <cellStyle name="Normal 5 4 3 2 5 2" xfId="5244" xr:uid="{00000000-0005-0000-0000-0000A31D0000}"/>
    <cellStyle name="Normal 5 4 3 2 5 2 2" xfId="9462" xr:uid="{00000000-0005-0000-0000-0000A41D0000}"/>
    <cellStyle name="Normal 5 4 3 2 5 3" xfId="7317" xr:uid="{00000000-0005-0000-0000-0000A51D0000}"/>
    <cellStyle name="Normal 5 4 3 2 6" xfId="3451" xr:uid="{00000000-0005-0000-0000-0000A61D0000}"/>
    <cellStyle name="Normal 5 4 3 2 6 2" xfId="7730" xr:uid="{00000000-0005-0000-0000-0000A71D0000}"/>
    <cellStyle name="Normal 5 4 3 2 7" xfId="5665" xr:uid="{00000000-0005-0000-0000-0000A81D0000}"/>
    <cellStyle name="Normal 5 4 3 2 8" xfId="1361" xr:uid="{00000000-0005-0000-0000-0000A91D0000}"/>
    <cellStyle name="Normal 5 4 3 3" xfId="943" xr:uid="{00000000-0005-0000-0000-0000AA1D0000}"/>
    <cellStyle name="Normal 5 4 3 3 2" xfId="4004" xr:uid="{00000000-0005-0000-0000-0000AB1D0000}"/>
    <cellStyle name="Normal 5 4 3 3 2 2" xfId="8222" xr:uid="{00000000-0005-0000-0000-0000AC1D0000}"/>
    <cellStyle name="Normal 5 4 3 3 3" xfId="6077" xr:uid="{00000000-0005-0000-0000-0000AD1D0000}"/>
    <cellStyle name="Normal 5 4 3 3 4" xfId="1775" xr:uid="{00000000-0005-0000-0000-0000AE1D0000}"/>
    <cellStyle name="Normal 5 4 3 4" xfId="2188" xr:uid="{00000000-0005-0000-0000-0000AF1D0000}"/>
    <cellStyle name="Normal 5 4 3 4 2" xfId="4417" xr:uid="{00000000-0005-0000-0000-0000B01D0000}"/>
    <cellStyle name="Normal 5 4 3 4 2 2" xfId="8635" xr:uid="{00000000-0005-0000-0000-0000B11D0000}"/>
    <cellStyle name="Normal 5 4 3 4 3" xfId="6490" xr:uid="{00000000-0005-0000-0000-0000B21D0000}"/>
    <cellStyle name="Normal 5 4 3 5" xfId="2601" xr:uid="{00000000-0005-0000-0000-0000B31D0000}"/>
    <cellStyle name="Normal 5 4 3 5 2" xfId="4830" xr:uid="{00000000-0005-0000-0000-0000B41D0000}"/>
    <cellStyle name="Normal 5 4 3 5 2 2" xfId="9048" xr:uid="{00000000-0005-0000-0000-0000B51D0000}"/>
    <cellStyle name="Normal 5 4 3 5 3" xfId="6903" xr:uid="{00000000-0005-0000-0000-0000B61D0000}"/>
    <cellStyle name="Normal 5 4 3 6" xfId="3014" xr:uid="{00000000-0005-0000-0000-0000B71D0000}"/>
    <cellStyle name="Normal 5 4 3 6 2" xfId="5243" xr:uid="{00000000-0005-0000-0000-0000B81D0000}"/>
    <cellStyle name="Normal 5 4 3 6 2 2" xfId="9461" xr:uid="{00000000-0005-0000-0000-0000B91D0000}"/>
    <cellStyle name="Normal 5 4 3 6 3" xfId="7316" xr:uid="{00000000-0005-0000-0000-0000BA1D0000}"/>
    <cellStyle name="Normal 5 4 3 7" xfId="3450" xr:uid="{00000000-0005-0000-0000-0000BB1D0000}"/>
    <cellStyle name="Normal 5 4 3 7 2" xfId="7729" xr:uid="{00000000-0005-0000-0000-0000BC1D0000}"/>
    <cellStyle name="Normal 5 4 3 8" xfId="5664" xr:uid="{00000000-0005-0000-0000-0000BD1D0000}"/>
    <cellStyle name="Normal 5 4 3 9" xfId="1360" xr:uid="{00000000-0005-0000-0000-0000BE1D0000}"/>
    <cellStyle name="Normal 5 4 4" xfId="466" xr:uid="{00000000-0005-0000-0000-0000BF1D0000}"/>
    <cellStyle name="Normal 5 4 4 2" xfId="945" xr:uid="{00000000-0005-0000-0000-0000C01D0000}"/>
    <cellStyle name="Normal 5 4 4 2 2" xfId="4006" xr:uid="{00000000-0005-0000-0000-0000C11D0000}"/>
    <cellStyle name="Normal 5 4 4 2 2 2" xfId="8224" xr:uid="{00000000-0005-0000-0000-0000C21D0000}"/>
    <cellStyle name="Normal 5 4 4 2 3" xfId="6079" xr:uid="{00000000-0005-0000-0000-0000C31D0000}"/>
    <cellStyle name="Normal 5 4 4 2 4" xfId="1777" xr:uid="{00000000-0005-0000-0000-0000C41D0000}"/>
    <cellStyle name="Normal 5 4 4 3" xfId="2190" xr:uid="{00000000-0005-0000-0000-0000C51D0000}"/>
    <cellStyle name="Normal 5 4 4 3 2" xfId="4419" xr:uid="{00000000-0005-0000-0000-0000C61D0000}"/>
    <cellStyle name="Normal 5 4 4 3 2 2" xfId="8637" xr:uid="{00000000-0005-0000-0000-0000C71D0000}"/>
    <cellStyle name="Normal 5 4 4 3 3" xfId="6492" xr:uid="{00000000-0005-0000-0000-0000C81D0000}"/>
    <cellStyle name="Normal 5 4 4 4" xfId="2603" xr:uid="{00000000-0005-0000-0000-0000C91D0000}"/>
    <cellStyle name="Normal 5 4 4 4 2" xfId="4832" xr:uid="{00000000-0005-0000-0000-0000CA1D0000}"/>
    <cellStyle name="Normal 5 4 4 4 2 2" xfId="9050" xr:uid="{00000000-0005-0000-0000-0000CB1D0000}"/>
    <cellStyle name="Normal 5 4 4 4 3" xfId="6905" xr:uid="{00000000-0005-0000-0000-0000CC1D0000}"/>
    <cellStyle name="Normal 5 4 4 5" xfId="3016" xr:uid="{00000000-0005-0000-0000-0000CD1D0000}"/>
    <cellStyle name="Normal 5 4 4 5 2" xfId="5245" xr:uid="{00000000-0005-0000-0000-0000CE1D0000}"/>
    <cellStyle name="Normal 5 4 4 5 2 2" xfId="9463" xr:uid="{00000000-0005-0000-0000-0000CF1D0000}"/>
    <cellStyle name="Normal 5 4 4 5 3" xfId="7318" xr:uid="{00000000-0005-0000-0000-0000D01D0000}"/>
    <cellStyle name="Normal 5 4 4 6" xfId="3452" xr:uid="{00000000-0005-0000-0000-0000D11D0000}"/>
    <cellStyle name="Normal 5 4 4 6 2" xfId="7731" xr:uid="{00000000-0005-0000-0000-0000D21D0000}"/>
    <cellStyle name="Normal 5 4 4 7" xfId="5666" xr:uid="{00000000-0005-0000-0000-0000D31D0000}"/>
    <cellStyle name="Normal 5 4 4 8" xfId="1362" xr:uid="{00000000-0005-0000-0000-0000D41D0000}"/>
    <cellStyle name="Normal 5 4 5" xfId="938" xr:uid="{00000000-0005-0000-0000-0000D51D0000}"/>
    <cellStyle name="Normal 5 4 5 2" xfId="3999" xr:uid="{00000000-0005-0000-0000-0000D61D0000}"/>
    <cellStyle name="Normal 5 4 5 2 2" xfId="8217" xr:uid="{00000000-0005-0000-0000-0000D71D0000}"/>
    <cellStyle name="Normal 5 4 5 3" xfId="6072" xr:uid="{00000000-0005-0000-0000-0000D81D0000}"/>
    <cellStyle name="Normal 5 4 5 4" xfId="1770" xr:uid="{00000000-0005-0000-0000-0000D91D0000}"/>
    <cellStyle name="Normal 5 4 6" xfId="2183" xr:uid="{00000000-0005-0000-0000-0000DA1D0000}"/>
    <cellStyle name="Normal 5 4 6 2" xfId="4412" xr:uid="{00000000-0005-0000-0000-0000DB1D0000}"/>
    <cellStyle name="Normal 5 4 6 2 2" xfId="8630" xr:uid="{00000000-0005-0000-0000-0000DC1D0000}"/>
    <cellStyle name="Normal 5 4 6 3" xfId="6485" xr:uid="{00000000-0005-0000-0000-0000DD1D0000}"/>
    <cellStyle name="Normal 5 4 7" xfId="2596" xr:uid="{00000000-0005-0000-0000-0000DE1D0000}"/>
    <cellStyle name="Normal 5 4 7 2" xfId="4825" xr:uid="{00000000-0005-0000-0000-0000DF1D0000}"/>
    <cellStyle name="Normal 5 4 7 2 2" xfId="9043" xr:uid="{00000000-0005-0000-0000-0000E01D0000}"/>
    <cellStyle name="Normal 5 4 7 3" xfId="6898" xr:uid="{00000000-0005-0000-0000-0000E11D0000}"/>
    <cellStyle name="Normal 5 4 8" xfId="3009" xr:uid="{00000000-0005-0000-0000-0000E21D0000}"/>
    <cellStyle name="Normal 5 4 8 2" xfId="5238" xr:uid="{00000000-0005-0000-0000-0000E31D0000}"/>
    <cellStyle name="Normal 5 4 8 2 2" xfId="9456" xr:uid="{00000000-0005-0000-0000-0000E41D0000}"/>
    <cellStyle name="Normal 5 4 8 3" xfId="7311" xr:uid="{00000000-0005-0000-0000-0000E51D0000}"/>
    <cellStyle name="Normal 5 4 9" xfId="3445" xr:uid="{00000000-0005-0000-0000-0000E61D0000}"/>
    <cellStyle name="Normal 5 4 9 2" xfId="7724" xr:uid="{00000000-0005-0000-0000-0000E71D0000}"/>
    <cellStyle name="Normal 5 5" xfId="467" xr:uid="{00000000-0005-0000-0000-0000E81D0000}"/>
    <cellStyle name="Normal 5 5 10" xfId="1363" xr:uid="{00000000-0005-0000-0000-0000E91D0000}"/>
    <cellStyle name="Normal 5 5 2" xfId="468" xr:uid="{00000000-0005-0000-0000-0000EA1D0000}"/>
    <cellStyle name="Normal 5 5 2 2" xfId="469" xr:uid="{00000000-0005-0000-0000-0000EB1D0000}"/>
    <cellStyle name="Normal 5 5 2 2 2" xfId="948" xr:uid="{00000000-0005-0000-0000-0000EC1D0000}"/>
    <cellStyle name="Normal 5 5 2 2 2 2" xfId="4009" xr:uid="{00000000-0005-0000-0000-0000ED1D0000}"/>
    <cellStyle name="Normal 5 5 2 2 2 2 2" xfId="8227" xr:uid="{00000000-0005-0000-0000-0000EE1D0000}"/>
    <cellStyle name="Normal 5 5 2 2 2 3" xfId="6082" xr:uid="{00000000-0005-0000-0000-0000EF1D0000}"/>
    <cellStyle name="Normal 5 5 2 2 2 4" xfId="1780" xr:uid="{00000000-0005-0000-0000-0000F01D0000}"/>
    <cellStyle name="Normal 5 5 2 2 3" xfId="2193" xr:uid="{00000000-0005-0000-0000-0000F11D0000}"/>
    <cellStyle name="Normal 5 5 2 2 3 2" xfId="4422" xr:uid="{00000000-0005-0000-0000-0000F21D0000}"/>
    <cellStyle name="Normal 5 5 2 2 3 2 2" xfId="8640" xr:uid="{00000000-0005-0000-0000-0000F31D0000}"/>
    <cellStyle name="Normal 5 5 2 2 3 3" xfId="6495" xr:uid="{00000000-0005-0000-0000-0000F41D0000}"/>
    <cellStyle name="Normal 5 5 2 2 4" xfId="2606" xr:uid="{00000000-0005-0000-0000-0000F51D0000}"/>
    <cellStyle name="Normal 5 5 2 2 4 2" xfId="4835" xr:uid="{00000000-0005-0000-0000-0000F61D0000}"/>
    <cellStyle name="Normal 5 5 2 2 4 2 2" xfId="9053" xr:uid="{00000000-0005-0000-0000-0000F71D0000}"/>
    <cellStyle name="Normal 5 5 2 2 4 3" xfId="6908" xr:uid="{00000000-0005-0000-0000-0000F81D0000}"/>
    <cellStyle name="Normal 5 5 2 2 5" xfId="3019" xr:uid="{00000000-0005-0000-0000-0000F91D0000}"/>
    <cellStyle name="Normal 5 5 2 2 5 2" xfId="5248" xr:uid="{00000000-0005-0000-0000-0000FA1D0000}"/>
    <cellStyle name="Normal 5 5 2 2 5 2 2" xfId="9466" xr:uid="{00000000-0005-0000-0000-0000FB1D0000}"/>
    <cellStyle name="Normal 5 5 2 2 5 3" xfId="7321" xr:uid="{00000000-0005-0000-0000-0000FC1D0000}"/>
    <cellStyle name="Normal 5 5 2 2 6" xfId="3455" xr:uid="{00000000-0005-0000-0000-0000FD1D0000}"/>
    <cellStyle name="Normal 5 5 2 2 6 2" xfId="7734" xr:uid="{00000000-0005-0000-0000-0000FE1D0000}"/>
    <cellStyle name="Normal 5 5 2 2 7" xfId="5669" xr:uid="{00000000-0005-0000-0000-0000FF1D0000}"/>
    <cellStyle name="Normal 5 5 2 2 8" xfId="1365" xr:uid="{00000000-0005-0000-0000-0000001E0000}"/>
    <cellStyle name="Normal 5 5 2 3" xfId="947" xr:uid="{00000000-0005-0000-0000-0000011E0000}"/>
    <cellStyle name="Normal 5 5 2 3 2" xfId="4008" xr:uid="{00000000-0005-0000-0000-0000021E0000}"/>
    <cellStyle name="Normal 5 5 2 3 2 2" xfId="8226" xr:uid="{00000000-0005-0000-0000-0000031E0000}"/>
    <cellStyle name="Normal 5 5 2 3 3" xfId="6081" xr:uid="{00000000-0005-0000-0000-0000041E0000}"/>
    <cellStyle name="Normal 5 5 2 3 4" xfId="1779" xr:uid="{00000000-0005-0000-0000-0000051E0000}"/>
    <cellStyle name="Normal 5 5 2 4" xfId="2192" xr:uid="{00000000-0005-0000-0000-0000061E0000}"/>
    <cellStyle name="Normal 5 5 2 4 2" xfId="4421" xr:uid="{00000000-0005-0000-0000-0000071E0000}"/>
    <cellStyle name="Normal 5 5 2 4 2 2" xfId="8639" xr:uid="{00000000-0005-0000-0000-0000081E0000}"/>
    <cellStyle name="Normal 5 5 2 4 3" xfId="6494" xr:uid="{00000000-0005-0000-0000-0000091E0000}"/>
    <cellStyle name="Normal 5 5 2 5" xfId="2605" xr:uid="{00000000-0005-0000-0000-00000A1E0000}"/>
    <cellStyle name="Normal 5 5 2 5 2" xfId="4834" xr:uid="{00000000-0005-0000-0000-00000B1E0000}"/>
    <cellStyle name="Normal 5 5 2 5 2 2" xfId="9052" xr:uid="{00000000-0005-0000-0000-00000C1E0000}"/>
    <cellStyle name="Normal 5 5 2 5 3" xfId="6907" xr:uid="{00000000-0005-0000-0000-00000D1E0000}"/>
    <cellStyle name="Normal 5 5 2 6" xfId="3018" xr:uid="{00000000-0005-0000-0000-00000E1E0000}"/>
    <cellStyle name="Normal 5 5 2 6 2" xfId="5247" xr:uid="{00000000-0005-0000-0000-00000F1E0000}"/>
    <cellStyle name="Normal 5 5 2 6 2 2" xfId="9465" xr:uid="{00000000-0005-0000-0000-0000101E0000}"/>
    <cellStyle name="Normal 5 5 2 6 3" xfId="7320" xr:uid="{00000000-0005-0000-0000-0000111E0000}"/>
    <cellStyle name="Normal 5 5 2 7" xfId="3454" xr:uid="{00000000-0005-0000-0000-0000121E0000}"/>
    <cellStyle name="Normal 5 5 2 7 2" xfId="7733" xr:uid="{00000000-0005-0000-0000-0000131E0000}"/>
    <cellStyle name="Normal 5 5 2 8" xfId="5668" xr:uid="{00000000-0005-0000-0000-0000141E0000}"/>
    <cellStyle name="Normal 5 5 2 9" xfId="1364" xr:uid="{00000000-0005-0000-0000-0000151E0000}"/>
    <cellStyle name="Normal 5 5 3" xfId="470" xr:uid="{00000000-0005-0000-0000-0000161E0000}"/>
    <cellStyle name="Normal 5 5 3 2" xfId="949" xr:uid="{00000000-0005-0000-0000-0000171E0000}"/>
    <cellStyle name="Normal 5 5 3 2 2" xfId="4010" xr:uid="{00000000-0005-0000-0000-0000181E0000}"/>
    <cellStyle name="Normal 5 5 3 2 2 2" xfId="8228" xr:uid="{00000000-0005-0000-0000-0000191E0000}"/>
    <cellStyle name="Normal 5 5 3 2 3" xfId="6083" xr:uid="{00000000-0005-0000-0000-00001A1E0000}"/>
    <cellStyle name="Normal 5 5 3 2 4" xfId="1781" xr:uid="{00000000-0005-0000-0000-00001B1E0000}"/>
    <cellStyle name="Normal 5 5 3 3" xfId="2194" xr:uid="{00000000-0005-0000-0000-00001C1E0000}"/>
    <cellStyle name="Normal 5 5 3 3 2" xfId="4423" xr:uid="{00000000-0005-0000-0000-00001D1E0000}"/>
    <cellStyle name="Normal 5 5 3 3 2 2" xfId="8641" xr:uid="{00000000-0005-0000-0000-00001E1E0000}"/>
    <cellStyle name="Normal 5 5 3 3 3" xfId="6496" xr:uid="{00000000-0005-0000-0000-00001F1E0000}"/>
    <cellStyle name="Normal 5 5 3 4" xfId="2607" xr:uid="{00000000-0005-0000-0000-0000201E0000}"/>
    <cellStyle name="Normal 5 5 3 4 2" xfId="4836" xr:uid="{00000000-0005-0000-0000-0000211E0000}"/>
    <cellStyle name="Normal 5 5 3 4 2 2" xfId="9054" xr:uid="{00000000-0005-0000-0000-0000221E0000}"/>
    <cellStyle name="Normal 5 5 3 4 3" xfId="6909" xr:uid="{00000000-0005-0000-0000-0000231E0000}"/>
    <cellStyle name="Normal 5 5 3 5" xfId="3020" xr:uid="{00000000-0005-0000-0000-0000241E0000}"/>
    <cellStyle name="Normal 5 5 3 5 2" xfId="5249" xr:uid="{00000000-0005-0000-0000-0000251E0000}"/>
    <cellStyle name="Normal 5 5 3 5 2 2" xfId="9467" xr:uid="{00000000-0005-0000-0000-0000261E0000}"/>
    <cellStyle name="Normal 5 5 3 5 3" xfId="7322" xr:uid="{00000000-0005-0000-0000-0000271E0000}"/>
    <cellStyle name="Normal 5 5 3 6" xfId="3456" xr:uid="{00000000-0005-0000-0000-0000281E0000}"/>
    <cellStyle name="Normal 5 5 3 6 2" xfId="7735" xr:uid="{00000000-0005-0000-0000-0000291E0000}"/>
    <cellStyle name="Normal 5 5 3 7" xfId="5670" xr:uid="{00000000-0005-0000-0000-00002A1E0000}"/>
    <cellStyle name="Normal 5 5 3 8" xfId="1366" xr:uid="{00000000-0005-0000-0000-00002B1E0000}"/>
    <cellStyle name="Normal 5 5 4" xfId="946" xr:uid="{00000000-0005-0000-0000-00002C1E0000}"/>
    <cellStyle name="Normal 5 5 4 2" xfId="4007" xr:uid="{00000000-0005-0000-0000-00002D1E0000}"/>
    <cellStyle name="Normal 5 5 4 2 2" xfId="8225" xr:uid="{00000000-0005-0000-0000-00002E1E0000}"/>
    <cellStyle name="Normal 5 5 4 3" xfId="6080" xr:uid="{00000000-0005-0000-0000-00002F1E0000}"/>
    <cellStyle name="Normal 5 5 4 4" xfId="1778" xr:uid="{00000000-0005-0000-0000-0000301E0000}"/>
    <cellStyle name="Normal 5 5 5" xfId="2191" xr:uid="{00000000-0005-0000-0000-0000311E0000}"/>
    <cellStyle name="Normal 5 5 5 2" xfId="4420" xr:uid="{00000000-0005-0000-0000-0000321E0000}"/>
    <cellStyle name="Normal 5 5 5 2 2" xfId="8638" xr:uid="{00000000-0005-0000-0000-0000331E0000}"/>
    <cellStyle name="Normal 5 5 5 3" xfId="6493" xr:uid="{00000000-0005-0000-0000-0000341E0000}"/>
    <cellStyle name="Normal 5 5 6" xfId="2604" xr:uid="{00000000-0005-0000-0000-0000351E0000}"/>
    <cellStyle name="Normal 5 5 6 2" xfId="4833" xr:uid="{00000000-0005-0000-0000-0000361E0000}"/>
    <cellStyle name="Normal 5 5 6 2 2" xfId="9051" xr:uid="{00000000-0005-0000-0000-0000371E0000}"/>
    <cellStyle name="Normal 5 5 6 3" xfId="6906" xr:uid="{00000000-0005-0000-0000-0000381E0000}"/>
    <cellStyle name="Normal 5 5 7" xfId="3017" xr:uid="{00000000-0005-0000-0000-0000391E0000}"/>
    <cellStyle name="Normal 5 5 7 2" xfId="5246" xr:uid="{00000000-0005-0000-0000-00003A1E0000}"/>
    <cellStyle name="Normal 5 5 7 2 2" xfId="9464" xr:uid="{00000000-0005-0000-0000-00003B1E0000}"/>
    <cellStyle name="Normal 5 5 7 3" xfId="7319" xr:uid="{00000000-0005-0000-0000-00003C1E0000}"/>
    <cellStyle name="Normal 5 5 8" xfId="3453" xr:uid="{00000000-0005-0000-0000-00003D1E0000}"/>
    <cellStyle name="Normal 5 5 8 2" xfId="7732" xr:uid="{00000000-0005-0000-0000-00003E1E0000}"/>
    <cellStyle name="Normal 5 5 9" xfId="5667" xr:uid="{00000000-0005-0000-0000-00003F1E0000}"/>
    <cellStyle name="Normal 5 6" xfId="471" xr:uid="{00000000-0005-0000-0000-0000401E0000}"/>
    <cellStyle name="Normal 5 6 2" xfId="472" xr:uid="{00000000-0005-0000-0000-0000411E0000}"/>
    <cellStyle name="Normal 5 6 2 2" xfId="951" xr:uid="{00000000-0005-0000-0000-0000421E0000}"/>
    <cellStyle name="Normal 5 6 2 2 2" xfId="4012" xr:uid="{00000000-0005-0000-0000-0000431E0000}"/>
    <cellStyle name="Normal 5 6 2 2 2 2" xfId="8230" xr:uid="{00000000-0005-0000-0000-0000441E0000}"/>
    <cellStyle name="Normal 5 6 2 2 3" xfId="6085" xr:uid="{00000000-0005-0000-0000-0000451E0000}"/>
    <cellStyle name="Normal 5 6 2 2 4" xfId="1783" xr:uid="{00000000-0005-0000-0000-0000461E0000}"/>
    <cellStyle name="Normal 5 6 2 3" xfId="2196" xr:uid="{00000000-0005-0000-0000-0000471E0000}"/>
    <cellStyle name="Normal 5 6 2 3 2" xfId="4425" xr:uid="{00000000-0005-0000-0000-0000481E0000}"/>
    <cellStyle name="Normal 5 6 2 3 2 2" xfId="8643" xr:uid="{00000000-0005-0000-0000-0000491E0000}"/>
    <cellStyle name="Normal 5 6 2 3 3" xfId="6498" xr:uid="{00000000-0005-0000-0000-00004A1E0000}"/>
    <cellStyle name="Normal 5 6 2 4" xfId="2609" xr:uid="{00000000-0005-0000-0000-00004B1E0000}"/>
    <cellStyle name="Normal 5 6 2 4 2" xfId="4838" xr:uid="{00000000-0005-0000-0000-00004C1E0000}"/>
    <cellStyle name="Normal 5 6 2 4 2 2" xfId="9056" xr:uid="{00000000-0005-0000-0000-00004D1E0000}"/>
    <cellStyle name="Normal 5 6 2 4 3" xfId="6911" xr:uid="{00000000-0005-0000-0000-00004E1E0000}"/>
    <cellStyle name="Normal 5 6 2 5" xfId="3022" xr:uid="{00000000-0005-0000-0000-00004F1E0000}"/>
    <cellStyle name="Normal 5 6 2 5 2" xfId="5251" xr:uid="{00000000-0005-0000-0000-0000501E0000}"/>
    <cellStyle name="Normal 5 6 2 5 2 2" xfId="9469" xr:uid="{00000000-0005-0000-0000-0000511E0000}"/>
    <cellStyle name="Normal 5 6 2 5 3" xfId="7324" xr:uid="{00000000-0005-0000-0000-0000521E0000}"/>
    <cellStyle name="Normal 5 6 2 6" xfId="3458" xr:uid="{00000000-0005-0000-0000-0000531E0000}"/>
    <cellStyle name="Normal 5 6 2 6 2" xfId="7737" xr:uid="{00000000-0005-0000-0000-0000541E0000}"/>
    <cellStyle name="Normal 5 6 2 7" xfId="5672" xr:uid="{00000000-0005-0000-0000-0000551E0000}"/>
    <cellStyle name="Normal 5 6 2 8" xfId="1368" xr:uid="{00000000-0005-0000-0000-0000561E0000}"/>
    <cellStyle name="Normal 5 6 3" xfId="950" xr:uid="{00000000-0005-0000-0000-0000571E0000}"/>
    <cellStyle name="Normal 5 6 3 2" xfId="4011" xr:uid="{00000000-0005-0000-0000-0000581E0000}"/>
    <cellStyle name="Normal 5 6 3 2 2" xfId="8229" xr:uid="{00000000-0005-0000-0000-0000591E0000}"/>
    <cellStyle name="Normal 5 6 3 3" xfId="6084" xr:uid="{00000000-0005-0000-0000-00005A1E0000}"/>
    <cellStyle name="Normal 5 6 3 4" xfId="1782" xr:uid="{00000000-0005-0000-0000-00005B1E0000}"/>
    <cellStyle name="Normal 5 6 4" xfId="2195" xr:uid="{00000000-0005-0000-0000-00005C1E0000}"/>
    <cellStyle name="Normal 5 6 4 2" xfId="4424" xr:uid="{00000000-0005-0000-0000-00005D1E0000}"/>
    <cellStyle name="Normal 5 6 4 2 2" xfId="8642" xr:uid="{00000000-0005-0000-0000-00005E1E0000}"/>
    <cellStyle name="Normal 5 6 4 3" xfId="6497" xr:uid="{00000000-0005-0000-0000-00005F1E0000}"/>
    <cellStyle name="Normal 5 6 5" xfId="2608" xr:uid="{00000000-0005-0000-0000-0000601E0000}"/>
    <cellStyle name="Normal 5 6 5 2" xfId="4837" xr:uid="{00000000-0005-0000-0000-0000611E0000}"/>
    <cellStyle name="Normal 5 6 5 2 2" xfId="9055" xr:uid="{00000000-0005-0000-0000-0000621E0000}"/>
    <cellStyle name="Normal 5 6 5 3" xfId="6910" xr:uid="{00000000-0005-0000-0000-0000631E0000}"/>
    <cellStyle name="Normal 5 6 6" xfId="3021" xr:uid="{00000000-0005-0000-0000-0000641E0000}"/>
    <cellStyle name="Normal 5 6 6 2" xfId="5250" xr:uid="{00000000-0005-0000-0000-0000651E0000}"/>
    <cellStyle name="Normal 5 6 6 2 2" xfId="9468" xr:uid="{00000000-0005-0000-0000-0000661E0000}"/>
    <cellStyle name="Normal 5 6 6 3" xfId="7323" xr:uid="{00000000-0005-0000-0000-0000671E0000}"/>
    <cellStyle name="Normal 5 6 7" xfId="3457" xr:uid="{00000000-0005-0000-0000-0000681E0000}"/>
    <cellStyle name="Normal 5 6 7 2" xfId="7736" xr:uid="{00000000-0005-0000-0000-0000691E0000}"/>
    <cellStyle name="Normal 5 6 8" xfId="5671" xr:uid="{00000000-0005-0000-0000-00006A1E0000}"/>
    <cellStyle name="Normal 5 6 9" xfId="1367" xr:uid="{00000000-0005-0000-0000-00006B1E0000}"/>
    <cellStyle name="Normal 5 7" xfId="473" xr:uid="{00000000-0005-0000-0000-00006C1E0000}"/>
    <cellStyle name="Normal 5 7 2" xfId="952" xr:uid="{00000000-0005-0000-0000-00006D1E0000}"/>
    <cellStyle name="Normal 5 7 2 2" xfId="4013" xr:uid="{00000000-0005-0000-0000-00006E1E0000}"/>
    <cellStyle name="Normal 5 7 2 2 2" xfId="8231" xr:uid="{00000000-0005-0000-0000-00006F1E0000}"/>
    <cellStyle name="Normal 5 7 2 3" xfId="6086" xr:uid="{00000000-0005-0000-0000-0000701E0000}"/>
    <cellStyle name="Normal 5 7 2 4" xfId="1784" xr:uid="{00000000-0005-0000-0000-0000711E0000}"/>
    <cellStyle name="Normal 5 7 3" xfId="2197" xr:uid="{00000000-0005-0000-0000-0000721E0000}"/>
    <cellStyle name="Normal 5 7 3 2" xfId="4426" xr:uid="{00000000-0005-0000-0000-0000731E0000}"/>
    <cellStyle name="Normal 5 7 3 2 2" xfId="8644" xr:uid="{00000000-0005-0000-0000-0000741E0000}"/>
    <cellStyle name="Normal 5 7 3 3" xfId="6499" xr:uid="{00000000-0005-0000-0000-0000751E0000}"/>
    <cellStyle name="Normal 5 7 4" xfId="2610" xr:uid="{00000000-0005-0000-0000-0000761E0000}"/>
    <cellStyle name="Normal 5 7 4 2" xfId="4839" xr:uid="{00000000-0005-0000-0000-0000771E0000}"/>
    <cellStyle name="Normal 5 7 4 2 2" xfId="9057" xr:uid="{00000000-0005-0000-0000-0000781E0000}"/>
    <cellStyle name="Normal 5 7 4 3" xfId="6912" xr:uid="{00000000-0005-0000-0000-0000791E0000}"/>
    <cellStyle name="Normal 5 7 5" xfId="3023" xr:uid="{00000000-0005-0000-0000-00007A1E0000}"/>
    <cellStyle name="Normal 5 7 5 2" xfId="5252" xr:uid="{00000000-0005-0000-0000-00007B1E0000}"/>
    <cellStyle name="Normal 5 7 5 2 2" xfId="9470" xr:uid="{00000000-0005-0000-0000-00007C1E0000}"/>
    <cellStyle name="Normal 5 7 5 3" xfId="7325" xr:uid="{00000000-0005-0000-0000-00007D1E0000}"/>
    <cellStyle name="Normal 5 7 6" xfId="3459" xr:uid="{00000000-0005-0000-0000-00007E1E0000}"/>
    <cellStyle name="Normal 5 7 6 2" xfId="7738" xr:uid="{00000000-0005-0000-0000-00007F1E0000}"/>
    <cellStyle name="Normal 5 7 7" xfId="5673" xr:uid="{00000000-0005-0000-0000-0000801E0000}"/>
    <cellStyle name="Normal 5 7 8" xfId="1369" xr:uid="{00000000-0005-0000-0000-0000811E0000}"/>
    <cellStyle name="Normal 5 8" xfId="888" xr:uid="{00000000-0005-0000-0000-0000821E0000}"/>
    <cellStyle name="Normal 5 8 2" xfId="3950" xr:uid="{00000000-0005-0000-0000-0000831E0000}"/>
    <cellStyle name="Normal 5 8 2 2" xfId="8168" xr:uid="{00000000-0005-0000-0000-0000841E0000}"/>
    <cellStyle name="Normal 5 8 3" xfId="6023" xr:uid="{00000000-0005-0000-0000-0000851E0000}"/>
    <cellStyle name="Normal 5 8 4" xfId="1721" xr:uid="{00000000-0005-0000-0000-0000861E0000}"/>
    <cellStyle name="Normal 5 9" xfId="2134" xr:uid="{00000000-0005-0000-0000-0000871E0000}"/>
    <cellStyle name="Normal 5 9 2" xfId="4363" xr:uid="{00000000-0005-0000-0000-0000881E0000}"/>
    <cellStyle name="Normal 5 9 2 2" xfId="8581" xr:uid="{00000000-0005-0000-0000-0000891E0000}"/>
    <cellStyle name="Normal 5 9 3" xfId="6436" xr:uid="{00000000-0005-0000-0000-00008A1E0000}"/>
    <cellStyle name="Normal 6" xfId="474" xr:uid="{00000000-0005-0000-0000-00008B1E0000}"/>
    <cellStyle name="Normal 6 2" xfId="475" xr:uid="{00000000-0005-0000-0000-00008C1E0000}"/>
    <cellStyle name="Normal 6 3" xfId="476" xr:uid="{00000000-0005-0000-0000-00008D1E0000}"/>
    <cellStyle name="Normal 6 3 2" xfId="477" xr:uid="{00000000-0005-0000-0000-00008E1E0000}"/>
    <cellStyle name="Normal 6 3 3" xfId="478" xr:uid="{00000000-0005-0000-0000-00008F1E0000}"/>
    <cellStyle name="Normal 7" xfId="479" xr:uid="{00000000-0005-0000-0000-0000901E0000}"/>
    <cellStyle name="Normal 7 2" xfId="480" xr:uid="{00000000-0005-0000-0000-0000911E0000}"/>
    <cellStyle name="Normal 8" xfId="481" xr:uid="{00000000-0005-0000-0000-0000921E0000}"/>
    <cellStyle name="Normal 8 10" xfId="3024" xr:uid="{00000000-0005-0000-0000-0000931E0000}"/>
    <cellStyle name="Normal 8 10 2" xfId="5253" xr:uid="{00000000-0005-0000-0000-0000941E0000}"/>
    <cellStyle name="Normal 8 10 2 2" xfId="9471" xr:uid="{00000000-0005-0000-0000-0000951E0000}"/>
    <cellStyle name="Normal 8 10 3" xfId="7326" xr:uid="{00000000-0005-0000-0000-0000961E0000}"/>
    <cellStyle name="Normal 8 11" xfId="3460" xr:uid="{00000000-0005-0000-0000-0000971E0000}"/>
    <cellStyle name="Normal 8 11 2" xfId="7739" xr:uid="{00000000-0005-0000-0000-0000981E0000}"/>
    <cellStyle name="Normal 8 12" xfId="5674" xr:uid="{00000000-0005-0000-0000-0000991E0000}"/>
    <cellStyle name="Normal 8 13" xfId="1370" xr:uid="{00000000-0005-0000-0000-00009A1E0000}"/>
    <cellStyle name="Normal 8 2" xfId="482" xr:uid="{00000000-0005-0000-0000-00009B1E0000}"/>
    <cellStyle name="Normal 8 2 10" xfId="3461" xr:uid="{00000000-0005-0000-0000-00009C1E0000}"/>
    <cellStyle name="Normal 8 2 10 2" xfId="7740" xr:uid="{00000000-0005-0000-0000-00009D1E0000}"/>
    <cellStyle name="Normal 8 2 11" xfId="5675" xr:uid="{00000000-0005-0000-0000-00009E1E0000}"/>
    <cellStyle name="Normal 8 2 12" xfId="1371" xr:uid="{00000000-0005-0000-0000-00009F1E0000}"/>
    <cellStyle name="Normal 8 2 2" xfId="483" xr:uid="{00000000-0005-0000-0000-0000A01E0000}"/>
    <cellStyle name="Normal 8 2 2 10" xfId="5676" xr:uid="{00000000-0005-0000-0000-0000A11E0000}"/>
    <cellStyle name="Normal 8 2 2 11" xfId="1372" xr:uid="{00000000-0005-0000-0000-0000A21E0000}"/>
    <cellStyle name="Normal 8 2 2 2" xfId="484" xr:uid="{00000000-0005-0000-0000-0000A31E0000}"/>
    <cellStyle name="Normal 8 2 2 2 10" xfId="1373" xr:uid="{00000000-0005-0000-0000-0000A41E0000}"/>
    <cellStyle name="Normal 8 2 2 2 2" xfId="485" xr:uid="{00000000-0005-0000-0000-0000A51E0000}"/>
    <cellStyle name="Normal 8 2 2 2 2 2" xfId="486" xr:uid="{00000000-0005-0000-0000-0000A61E0000}"/>
    <cellStyle name="Normal 8 2 2 2 2 2 2" xfId="958" xr:uid="{00000000-0005-0000-0000-0000A71E0000}"/>
    <cellStyle name="Normal 8 2 2 2 2 2 2 2" xfId="4019" xr:uid="{00000000-0005-0000-0000-0000A81E0000}"/>
    <cellStyle name="Normal 8 2 2 2 2 2 2 2 2" xfId="8237" xr:uid="{00000000-0005-0000-0000-0000A91E0000}"/>
    <cellStyle name="Normal 8 2 2 2 2 2 2 3" xfId="6092" xr:uid="{00000000-0005-0000-0000-0000AA1E0000}"/>
    <cellStyle name="Normal 8 2 2 2 2 2 2 4" xfId="1790" xr:uid="{00000000-0005-0000-0000-0000AB1E0000}"/>
    <cellStyle name="Normal 8 2 2 2 2 2 3" xfId="2203" xr:uid="{00000000-0005-0000-0000-0000AC1E0000}"/>
    <cellStyle name="Normal 8 2 2 2 2 2 3 2" xfId="4432" xr:uid="{00000000-0005-0000-0000-0000AD1E0000}"/>
    <cellStyle name="Normal 8 2 2 2 2 2 3 2 2" xfId="8650" xr:uid="{00000000-0005-0000-0000-0000AE1E0000}"/>
    <cellStyle name="Normal 8 2 2 2 2 2 3 3" xfId="6505" xr:uid="{00000000-0005-0000-0000-0000AF1E0000}"/>
    <cellStyle name="Normal 8 2 2 2 2 2 4" xfId="2616" xr:uid="{00000000-0005-0000-0000-0000B01E0000}"/>
    <cellStyle name="Normal 8 2 2 2 2 2 4 2" xfId="4845" xr:uid="{00000000-0005-0000-0000-0000B11E0000}"/>
    <cellStyle name="Normal 8 2 2 2 2 2 4 2 2" xfId="9063" xr:uid="{00000000-0005-0000-0000-0000B21E0000}"/>
    <cellStyle name="Normal 8 2 2 2 2 2 4 3" xfId="6918" xr:uid="{00000000-0005-0000-0000-0000B31E0000}"/>
    <cellStyle name="Normal 8 2 2 2 2 2 5" xfId="3029" xr:uid="{00000000-0005-0000-0000-0000B41E0000}"/>
    <cellStyle name="Normal 8 2 2 2 2 2 5 2" xfId="5258" xr:uid="{00000000-0005-0000-0000-0000B51E0000}"/>
    <cellStyle name="Normal 8 2 2 2 2 2 5 2 2" xfId="9476" xr:uid="{00000000-0005-0000-0000-0000B61E0000}"/>
    <cellStyle name="Normal 8 2 2 2 2 2 5 3" xfId="7331" xr:uid="{00000000-0005-0000-0000-0000B71E0000}"/>
    <cellStyle name="Normal 8 2 2 2 2 2 6" xfId="3465" xr:uid="{00000000-0005-0000-0000-0000B81E0000}"/>
    <cellStyle name="Normal 8 2 2 2 2 2 6 2" xfId="7744" xr:uid="{00000000-0005-0000-0000-0000B91E0000}"/>
    <cellStyle name="Normal 8 2 2 2 2 2 7" xfId="5679" xr:uid="{00000000-0005-0000-0000-0000BA1E0000}"/>
    <cellStyle name="Normal 8 2 2 2 2 2 8" xfId="1375" xr:uid="{00000000-0005-0000-0000-0000BB1E0000}"/>
    <cellStyle name="Normal 8 2 2 2 2 3" xfId="957" xr:uid="{00000000-0005-0000-0000-0000BC1E0000}"/>
    <cellStyle name="Normal 8 2 2 2 2 3 2" xfId="4018" xr:uid="{00000000-0005-0000-0000-0000BD1E0000}"/>
    <cellStyle name="Normal 8 2 2 2 2 3 2 2" xfId="8236" xr:uid="{00000000-0005-0000-0000-0000BE1E0000}"/>
    <cellStyle name="Normal 8 2 2 2 2 3 3" xfId="6091" xr:uid="{00000000-0005-0000-0000-0000BF1E0000}"/>
    <cellStyle name="Normal 8 2 2 2 2 3 4" xfId="1789" xr:uid="{00000000-0005-0000-0000-0000C01E0000}"/>
    <cellStyle name="Normal 8 2 2 2 2 4" xfId="2202" xr:uid="{00000000-0005-0000-0000-0000C11E0000}"/>
    <cellStyle name="Normal 8 2 2 2 2 4 2" xfId="4431" xr:uid="{00000000-0005-0000-0000-0000C21E0000}"/>
    <cellStyle name="Normal 8 2 2 2 2 4 2 2" xfId="8649" xr:uid="{00000000-0005-0000-0000-0000C31E0000}"/>
    <cellStyle name="Normal 8 2 2 2 2 4 3" xfId="6504" xr:uid="{00000000-0005-0000-0000-0000C41E0000}"/>
    <cellStyle name="Normal 8 2 2 2 2 5" xfId="2615" xr:uid="{00000000-0005-0000-0000-0000C51E0000}"/>
    <cellStyle name="Normal 8 2 2 2 2 5 2" xfId="4844" xr:uid="{00000000-0005-0000-0000-0000C61E0000}"/>
    <cellStyle name="Normal 8 2 2 2 2 5 2 2" xfId="9062" xr:uid="{00000000-0005-0000-0000-0000C71E0000}"/>
    <cellStyle name="Normal 8 2 2 2 2 5 3" xfId="6917" xr:uid="{00000000-0005-0000-0000-0000C81E0000}"/>
    <cellStyle name="Normal 8 2 2 2 2 6" xfId="3028" xr:uid="{00000000-0005-0000-0000-0000C91E0000}"/>
    <cellStyle name="Normal 8 2 2 2 2 6 2" xfId="5257" xr:uid="{00000000-0005-0000-0000-0000CA1E0000}"/>
    <cellStyle name="Normal 8 2 2 2 2 6 2 2" xfId="9475" xr:uid="{00000000-0005-0000-0000-0000CB1E0000}"/>
    <cellStyle name="Normal 8 2 2 2 2 6 3" xfId="7330" xr:uid="{00000000-0005-0000-0000-0000CC1E0000}"/>
    <cellStyle name="Normal 8 2 2 2 2 7" xfId="3464" xr:uid="{00000000-0005-0000-0000-0000CD1E0000}"/>
    <cellStyle name="Normal 8 2 2 2 2 7 2" xfId="7743" xr:uid="{00000000-0005-0000-0000-0000CE1E0000}"/>
    <cellStyle name="Normal 8 2 2 2 2 8" xfId="5678" xr:uid="{00000000-0005-0000-0000-0000CF1E0000}"/>
    <cellStyle name="Normal 8 2 2 2 2 9" xfId="1374" xr:uid="{00000000-0005-0000-0000-0000D01E0000}"/>
    <cellStyle name="Normal 8 2 2 2 3" xfId="487" xr:uid="{00000000-0005-0000-0000-0000D11E0000}"/>
    <cellStyle name="Normal 8 2 2 2 3 2" xfId="959" xr:uid="{00000000-0005-0000-0000-0000D21E0000}"/>
    <cellStyle name="Normal 8 2 2 2 3 2 2" xfId="4020" xr:uid="{00000000-0005-0000-0000-0000D31E0000}"/>
    <cellStyle name="Normal 8 2 2 2 3 2 2 2" xfId="8238" xr:uid="{00000000-0005-0000-0000-0000D41E0000}"/>
    <cellStyle name="Normal 8 2 2 2 3 2 3" xfId="6093" xr:uid="{00000000-0005-0000-0000-0000D51E0000}"/>
    <cellStyle name="Normal 8 2 2 2 3 2 4" xfId="1791" xr:uid="{00000000-0005-0000-0000-0000D61E0000}"/>
    <cellStyle name="Normal 8 2 2 2 3 3" xfId="2204" xr:uid="{00000000-0005-0000-0000-0000D71E0000}"/>
    <cellStyle name="Normal 8 2 2 2 3 3 2" xfId="4433" xr:uid="{00000000-0005-0000-0000-0000D81E0000}"/>
    <cellStyle name="Normal 8 2 2 2 3 3 2 2" xfId="8651" xr:uid="{00000000-0005-0000-0000-0000D91E0000}"/>
    <cellStyle name="Normal 8 2 2 2 3 3 3" xfId="6506" xr:uid="{00000000-0005-0000-0000-0000DA1E0000}"/>
    <cellStyle name="Normal 8 2 2 2 3 4" xfId="2617" xr:uid="{00000000-0005-0000-0000-0000DB1E0000}"/>
    <cellStyle name="Normal 8 2 2 2 3 4 2" xfId="4846" xr:uid="{00000000-0005-0000-0000-0000DC1E0000}"/>
    <cellStyle name="Normal 8 2 2 2 3 4 2 2" xfId="9064" xr:uid="{00000000-0005-0000-0000-0000DD1E0000}"/>
    <cellStyle name="Normal 8 2 2 2 3 4 3" xfId="6919" xr:uid="{00000000-0005-0000-0000-0000DE1E0000}"/>
    <cellStyle name="Normal 8 2 2 2 3 5" xfId="3030" xr:uid="{00000000-0005-0000-0000-0000DF1E0000}"/>
    <cellStyle name="Normal 8 2 2 2 3 5 2" xfId="5259" xr:uid="{00000000-0005-0000-0000-0000E01E0000}"/>
    <cellStyle name="Normal 8 2 2 2 3 5 2 2" xfId="9477" xr:uid="{00000000-0005-0000-0000-0000E11E0000}"/>
    <cellStyle name="Normal 8 2 2 2 3 5 3" xfId="7332" xr:uid="{00000000-0005-0000-0000-0000E21E0000}"/>
    <cellStyle name="Normal 8 2 2 2 3 6" xfId="3466" xr:uid="{00000000-0005-0000-0000-0000E31E0000}"/>
    <cellStyle name="Normal 8 2 2 2 3 6 2" xfId="7745" xr:uid="{00000000-0005-0000-0000-0000E41E0000}"/>
    <cellStyle name="Normal 8 2 2 2 3 7" xfId="5680" xr:uid="{00000000-0005-0000-0000-0000E51E0000}"/>
    <cellStyle name="Normal 8 2 2 2 3 8" xfId="1376" xr:uid="{00000000-0005-0000-0000-0000E61E0000}"/>
    <cellStyle name="Normal 8 2 2 2 4" xfId="956" xr:uid="{00000000-0005-0000-0000-0000E71E0000}"/>
    <cellStyle name="Normal 8 2 2 2 4 2" xfId="4017" xr:uid="{00000000-0005-0000-0000-0000E81E0000}"/>
    <cellStyle name="Normal 8 2 2 2 4 2 2" xfId="8235" xr:uid="{00000000-0005-0000-0000-0000E91E0000}"/>
    <cellStyle name="Normal 8 2 2 2 4 3" xfId="6090" xr:uid="{00000000-0005-0000-0000-0000EA1E0000}"/>
    <cellStyle name="Normal 8 2 2 2 4 4" xfId="1788" xr:uid="{00000000-0005-0000-0000-0000EB1E0000}"/>
    <cellStyle name="Normal 8 2 2 2 5" xfId="2201" xr:uid="{00000000-0005-0000-0000-0000EC1E0000}"/>
    <cellStyle name="Normal 8 2 2 2 5 2" xfId="4430" xr:uid="{00000000-0005-0000-0000-0000ED1E0000}"/>
    <cellStyle name="Normal 8 2 2 2 5 2 2" xfId="8648" xr:uid="{00000000-0005-0000-0000-0000EE1E0000}"/>
    <cellStyle name="Normal 8 2 2 2 5 3" xfId="6503" xr:uid="{00000000-0005-0000-0000-0000EF1E0000}"/>
    <cellStyle name="Normal 8 2 2 2 6" xfId="2614" xr:uid="{00000000-0005-0000-0000-0000F01E0000}"/>
    <cellStyle name="Normal 8 2 2 2 6 2" xfId="4843" xr:uid="{00000000-0005-0000-0000-0000F11E0000}"/>
    <cellStyle name="Normal 8 2 2 2 6 2 2" xfId="9061" xr:uid="{00000000-0005-0000-0000-0000F21E0000}"/>
    <cellStyle name="Normal 8 2 2 2 6 3" xfId="6916" xr:uid="{00000000-0005-0000-0000-0000F31E0000}"/>
    <cellStyle name="Normal 8 2 2 2 7" xfId="3027" xr:uid="{00000000-0005-0000-0000-0000F41E0000}"/>
    <cellStyle name="Normal 8 2 2 2 7 2" xfId="5256" xr:uid="{00000000-0005-0000-0000-0000F51E0000}"/>
    <cellStyle name="Normal 8 2 2 2 7 2 2" xfId="9474" xr:uid="{00000000-0005-0000-0000-0000F61E0000}"/>
    <cellStyle name="Normal 8 2 2 2 7 3" xfId="7329" xr:uid="{00000000-0005-0000-0000-0000F71E0000}"/>
    <cellStyle name="Normal 8 2 2 2 8" xfId="3463" xr:uid="{00000000-0005-0000-0000-0000F81E0000}"/>
    <cellStyle name="Normal 8 2 2 2 8 2" xfId="7742" xr:uid="{00000000-0005-0000-0000-0000F91E0000}"/>
    <cellStyle name="Normal 8 2 2 2 9" xfId="5677" xr:uid="{00000000-0005-0000-0000-0000FA1E0000}"/>
    <cellStyle name="Normal 8 2 2 3" xfId="488" xr:uid="{00000000-0005-0000-0000-0000FB1E0000}"/>
    <cellStyle name="Normal 8 2 2 3 2" xfId="489" xr:uid="{00000000-0005-0000-0000-0000FC1E0000}"/>
    <cellStyle name="Normal 8 2 2 3 2 2" xfId="961" xr:uid="{00000000-0005-0000-0000-0000FD1E0000}"/>
    <cellStyle name="Normal 8 2 2 3 2 2 2" xfId="4022" xr:uid="{00000000-0005-0000-0000-0000FE1E0000}"/>
    <cellStyle name="Normal 8 2 2 3 2 2 2 2" xfId="8240" xr:uid="{00000000-0005-0000-0000-0000FF1E0000}"/>
    <cellStyle name="Normal 8 2 2 3 2 2 3" xfId="6095" xr:uid="{00000000-0005-0000-0000-0000001F0000}"/>
    <cellStyle name="Normal 8 2 2 3 2 2 4" xfId="1793" xr:uid="{00000000-0005-0000-0000-0000011F0000}"/>
    <cellStyle name="Normal 8 2 2 3 2 3" xfId="2206" xr:uid="{00000000-0005-0000-0000-0000021F0000}"/>
    <cellStyle name="Normal 8 2 2 3 2 3 2" xfId="4435" xr:uid="{00000000-0005-0000-0000-0000031F0000}"/>
    <cellStyle name="Normal 8 2 2 3 2 3 2 2" xfId="8653" xr:uid="{00000000-0005-0000-0000-0000041F0000}"/>
    <cellStyle name="Normal 8 2 2 3 2 3 3" xfId="6508" xr:uid="{00000000-0005-0000-0000-0000051F0000}"/>
    <cellStyle name="Normal 8 2 2 3 2 4" xfId="2619" xr:uid="{00000000-0005-0000-0000-0000061F0000}"/>
    <cellStyle name="Normal 8 2 2 3 2 4 2" xfId="4848" xr:uid="{00000000-0005-0000-0000-0000071F0000}"/>
    <cellStyle name="Normal 8 2 2 3 2 4 2 2" xfId="9066" xr:uid="{00000000-0005-0000-0000-0000081F0000}"/>
    <cellStyle name="Normal 8 2 2 3 2 4 3" xfId="6921" xr:uid="{00000000-0005-0000-0000-0000091F0000}"/>
    <cellStyle name="Normal 8 2 2 3 2 5" xfId="3032" xr:uid="{00000000-0005-0000-0000-00000A1F0000}"/>
    <cellStyle name="Normal 8 2 2 3 2 5 2" xfId="5261" xr:uid="{00000000-0005-0000-0000-00000B1F0000}"/>
    <cellStyle name="Normal 8 2 2 3 2 5 2 2" xfId="9479" xr:uid="{00000000-0005-0000-0000-00000C1F0000}"/>
    <cellStyle name="Normal 8 2 2 3 2 5 3" xfId="7334" xr:uid="{00000000-0005-0000-0000-00000D1F0000}"/>
    <cellStyle name="Normal 8 2 2 3 2 6" xfId="3468" xr:uid="{00000000-0005-0000-0000-00000E1F0000}"/>
    <cellStyle name="Normal 8 2 2 3 2 6 2" xfId="7747" xr:uid="{00000000-0005-0000-0000-00000F1F0000}"/>
    <cellStyle name="Normal 8 2 2 3 2 7" xfId="5682" xr:uid="{00000000-0005-0000-0000-0000101F0000}"/>
    <cellStyle name="Normal 8 2 2 3 2 8" xfId="1378" xr:uid="{00000000-0005-0000-0000-0000111F0000}"/>
    <cellStyle name="Normal 8 2 2 3 3" xfId="960" xr:uid="{00000000-0005-0000-0000-0000121F0000}"/>
    <cellStyle name="Normal 8 2 2 3 3 2" xfId="4021" xr:uid="{00000000-0005-0000-0000-0000131F0000}"/>
    <cellStyle name="Normal 8 2 2 3 3 2 2" xfId="8239" xr:uid="{00000000-0005-0000-0000-0000141F0000}"/>
    <cellStyle name="Normal 8 2 2 3 3 3" xfId="6094" xr:uid="{00000000-0005-0000-0000-0000151F0000}"/>
    <cellStyle name="Normal 8 2 2 3 3 4" xfId="1792" xr:uid="{00000000-0005-0000-0000-0000161F0000}"/>
    <cellStyle name="Normal 8 2 2 3 4" xfId="2205" xr:uid="{00000000-0005-0000-0000-0000171F0000}"/>
    <cellStyle name="Normal 8 2 2 3 4 2" xfId="4434" xr:uid="{00000000-0005-0000-0000-0000181F0000}"/>
    <cellStyle name="Normal 8 2 2 3 4 2 2" xfId="8652" xr:uid="{00000000-0005-0000-0000-0000191F0000}"/>
    <cellStyle name="Normal 8 2 2 3 4 3" xfId="6507" xr:uid="{00000000-0005-0000-0000-00001A1F0000}"/>
    <cellStyle name="Normal 8 2 2 3 5" xfId="2618" xr:uid="{00000000-0005-0000-0000-00001B1F0000}"/>
    <cellStyle name="Normal 8 2 2 3 5 2" xfId="4847" xr:uid="{00000000-0005-0000-0000-00001C1F0000}"/>
    <cellStyle name="Normal 8 2 2 3 5 2 2" xfId="9065" xr:uid="{00000000-0005-0000-0000-00001D1F0000}"/>
    <cellStyle name="Normal 8 2 2 3 5 3" xfId="6920" xr:uid="{00000000-0005-0000-0000-00001E1F0000}"/>
    <cellStyle name="Normal 8 2 2 3 6" xfId="3031" xr:uid="{00000000-0005-0000-0000-00001F1F0000}"/>
    <cellStyle name="Normal 8 2 2 3 6 2" xfId="5260" xr:uid="{00000000-0005-0000-0000-0000201F0000}"/>
    <cellStyle name="Normal 8 2 2 3 6 2 2" xfId="9478" xr:uid="{00000000-0005-0000-0000-0000211F0000}"/>
    <cellStyle name="Normal 8 2 2 3 6 3" xfId="7333" xr:uid="{00000000-0005-0000-0000-0000221F0000}"/>
    <cellStyle name="Normal 8 2 2 3 7" xfId="3467" xr:uid="{00000000-0005-0000-0000-0000231F0000}"/>
    <cellStyle name="Normal 8 2 2 3 7 2" xfId="7746" xr:uid="{00000000-0005-0000-0000-0000241F0000}"/>
    <cellStyle name="Normal 8 2 2 3 8" xfId="5681" xr:uid="{00000000-0005-0000-0000-0000251F0000}"/>
    <cellStyle name="Normal 8 2 2 3 9" xfId="1377" xr:uid="{00000000-0005-0000-0000-0000261F0000}"/>
    <cellStyle name="Normal 8 2 2 4" xfId="490" xr:uid="{00000000-0005-0000-0000-0000271F0000}"/>
    <cellStyle name="Normal 8 2 2 4 2" xfId="962" xr:uid="{00000000-0005-0000-0000-0000281F0000}"/>
    <cellStyle name="Normal 8 2 2 4 2 2" xfId="4023" xr:uid="{00000000-0005-0000-0000-0000291F0000}"/>
    <cellStyle name="Normal 8 2 2 4 2 2 2" xfId="8241" xr:uid="{00000000-0005-0000-0000-00002A1F0000}"/>
    <cellStyle name="Normal 8 2 2 4 2 3" xfId="6096" xr:uid="{00000000-0005-0000-0000-00002B1F0000}"/>
    <cellStyle name="Normal 8 2 2 4 2 4" xfId="1794" xr:uid="{00000000-0005-0000-0000-00002C1F0000}"/>
    <cellStyle name="Normal 8 2 2 4 3" xfId="2207" xr:uid="{00000000-0005-0000-0000-00002D1F0000}"/>
    <cellStyle name="Normal 8 2 2 4 3 2" xfId="4436" xr:uid="{00000000-0005-0000-0000-00002E1F0000}"/>
    <cellStyle name="Normal 8 2 2 4 3 2 2" xfId="8654" xr:uid="{00000000-0005-0000-0000-00002F1F0000}"/>
    <cellStyle name="Normal 8 2 2 4 3 3" xfId="6509" xr:uid="{00000000-0005-0000-0000-0000301F0000}"/>
    <cellStyle name="Normal 8 2 2 4 4" xfId="2620" xr:uid="{00000000-0005-0000-0000-0000311F0000}"/>
    <cellStyle name="Normal 8 2 2 4 4 2" xfId="4849" xr:uid="{00000000-0005-0000-0000-0000321F0000}"/>
    <cellStyle name="Normal 8 2 2 4 4 2 2" xfId="9067" xr:uid="{00000000-0005-0000-0000-0000331F0000}"/>
    <cellStyle name="Normal 8 2 2 4 4 3" xfId="6922" xr:uid="{00000000-0005-0000-0000-0000341F0000}"/>
    <cellStyle name="Normal 8 2 2 4 5" xfId="3033" xr:uid="{00000000-0005-0000-0000-0000351F0000}"/>
    <cellStyle name="Normal 8 2 2 4 5 2" xfId="5262" xr:uid="{00000000-0005-0000-0000-0000361F0000}"/>
    <cellStyle name="Normal 8 2 2 4 5 2 2" xfId="9480" xr:uid="{00000000-0005-0000-0000-0000371F0000}"/>
    <cellStyle name="Normal 8 2 2 4 5 3" xfId="7335" xr:uid="{00000000-0005-0000-0000-0000381F0000}"/>
    <cellStyle name="Normal 8 2 2 4 6" xfId="3469" xr:uid="{00000000-0005-0000-0000-0000391F0000}"/>
    <cellStyle name="Normal 8 2 2 4 6 2" xfId="7748" xr:uid="{00000000-0005-0000-0000-00003A1F0000}"/>
    <cellStyle name="Normal 8 2 2 4 7" xfId="5683" xr:uid="{00000000-0005-0000-0000-00003B1F0000}"/>
    <cellStyle name="Normal 8 2 2 4 8" xfId="1379" xr:uid="{00000000-0005-0000-0000-00003C1F0000}"/>
    <cellStyle name="Normal 8 2 2 5" xfId="955" xr:uid="{00000000-0005-0000-0000-00003D1F0000}"/>
    <cellStyle name="Normal 8 2 2 5 2" xfId="4016" xr:uid="{00000000-0005-0000-0000-00003E1F0000}"/>
    <cellStyle name="Normal 8 2 2 5 2 2" xfId="8234" xr:uid="{00000000-0005-0000-0000-00003F1F0000}"/>
    <cellStyle name="Normal 8 2 2 5 3" xfId="6089" xr:uid="{00000000-0005-0000-0000-0000401F0000}"/>
    <cellStyle name="Normal 8 2 2 5 4" xfId="1787" xr:uid="{00000000-0005-0000-0000-0000411F0000}"/>
    <cellStyle name="Normal 8 2 2 6" xfId="2200" xr:uid="{00000000-0005-0000-0000-0000421F0000}"/>
    <cellStyle name="Normal 8 2 2 6 2" xfId="4429" xr:uid="{00000000-0005-0000-0000-0000431F0000}"/>
    <cellStyle name="Normal 8 2 2 6 2 2" xfId="8647" xr:uid="{00000000-0005-0000-0000-0000441F0000}"/>
    <cellStyle name="Normal 8 2 2 6 3" xfId="6502" xr:uid="{00000000-0005-0000-0000-0000451F0000}"/>
    <cellStyle name="Normal 8 2 2 7" xfId="2613" xr:uid="{00000000-0005-0000-0000-0000461F0000}"/>
    <cellStyle name="Normal 8 2 2 7 2" xfId="4842" xr:uid="{00000000-0005-0000-0000-0000471F0000}"/>
    <cellStyle name="Normal 8 2 2 7 2 2" xfId="9060" xr:uid="{00000000-0005-0000-0000-0000481F0000}"/>
    <cellStyle name="Normal 8 2 2 7 3" xfId="6915" xr:uid="{00000000-0005-0000-0000-0000491F0000}"/>
    <cellStyle name="Normal 8 2 2 8" xfId="3026" xr:uid="{00000000-0005-0000-0000-00004A1F0000}"/>
    <cellStyle name="Normal 8 2 2 8 2" xfId="5255" xr:uid="{00000000-0005-0000-0000-00004B1F0000}"/>
    <cellStyle name="Normal 8 2 2 8 2 2" xfId="9473" xr:uid="{00000000-0005-0000-0000-00004C1F0000}"/>
    <cellStyle name="Normal 8 2 2 8 3" xfId="7328" xr:uid="{00000000-0005-0000-0000-00004D1F0000}"/>
    <cellStyle name="Normal 8 2 2 9" xfId="3462" xr:uid="{00000000-0005-0000-0000-00004E1F0000}"/>
    <cellStyle name="Normal 8 2 2 9 2" xfId="7741" xr:uid="{00000000-0005-0000-0000-00004F1F0000}"/>
    <cellStyle name="Normal 8 2 3" xfId="491" xr:uid="{00000000-0005-0000-0000-0000501F0000}"/>
    <cellStyle name="Normal 8 2 3 10" xfId="1380" xr:uid="{00000000-0005-0000-0000-0000511F0000}"/>
    <cellStyle name="Normal 8 2 3 2" xfId="492" xr:uid="{00000000-0005-0000-0000-0000521F0000}"/>
    <cellStyle name="Normal 8 2 3 2 2" xfId="493" xr:uid="{00000000-0005-0000-0000-0000531F0000}"/>
    <cellStyle name="Normal 8 2 3 2 2 2" xfId="965" xr:uid="{00000000-0005-0000-0000-0000541F0000}"/>
    <cellStyle name="Normal 8 2 3 2 2 2 2" xfId="4026" xr:uid="{00000000-0005-0000-0000-0000551F0000}"/>
    <cellStyle name="Normal 8 2 3 2 2 2 2 2" xfId="8244" xr:uid="{00000000-0005-0000-0000-0000561F0000}"/>
    <cellStyle name="Normal 8 2 3 2 2 2 3" xfId="6099" xr:uid="{00000000-0005-0000-0000-0000571F0000}"/>
    <cellStyle name="Normal 8 2 3 2 2 2 4" xfId="1797" xr:uid="{00000000-0005-0000-0000-0000581F0000}"/>
    <cellStyle name="Normal 8 2 3 2 2 3" xfId="2210" xr:uid="{00000000-0005-0000-0000-0000591F0000}"/>
    <cellStyle name="Normal 8 2 3 2 2 3 2" xfId="4439" xr:uid="{00000000-0005-0000-0000-00005A1F0000}"/>
    <cellStyle name="Normal 8 2 3 2 2 3 2 2" xfId="8657" xr:uid="{00000000-0005-0000-0000-00005B1F0000}"/>
    <cellStyle name="Normal 8 2 3 2 2 3 3" xfId="6512" xr:uid="{00000000-0005-0000-0000-00005C1F0000}"/>
    <cellStyle name="Normal 8 2 3 2 2 4" xfId="2623" xr:uid="{00000000-0005-0000-0000-00005D1F0000}"/>
    <cellStyle name="Normal 8 2 3 2 2 4 2" xfId="4852" xr:uid="{00000000-0005-0000-0000-00005E1F0000}"/>
    <cellStyle name="Normal 8 2 3 2 2 4 2 2" xfId="9070" xr:uid="{00000000-0005-0000-0000-00005F1F0000}"/>
    <cellStyle name="Normal 8 2 3 2 2 4 3" xfId="6925" xr:uid="{00000000-0005-0000-0000-0000601F0000}"/>
    <cellStyle name="Normal 8 2 3 2 2 5" xfId="3036" xr:uid="{00000000-0005-0000-0000-0000611F0000}"/>
    <cellStyle name="Normal 8 2 3 2 2 5 2" xfId="5265" xr:uid="{00000000-0005-0000-0000-0000621F0000}"/>
    <cellStyle name="Normal 8 2 3 2 2 5 2 2" xfId="9483" xr:uid="{00000000-0005-0000-0000-0000631F0000}"/>
    <cellStyle name="Normal 8 2 3 2 2 5 3" xfId="7338" xr:uid="{00000000-0005-0000-0000-0000641F0000}"/>
    <cellStyle name="Normal 8 2 3 2 2 6" xfId="3472" xr:uid="{00000000-0005-0000-0000-0000651F0000}"/>
    <cellStyle name="Normal 8 2 3 2 2 6 2" xfId="7751" xr:uid="{00000000-0005-0000-0000-0000661F0000}"/>
    <cellStyle name="Normal 8 2 3 2 2 7" xfId="5686" xr:uid="{00000000-0005-0000-0000-0000671F0000}"/>
    <cellStyle name="Normal 8 2 3 2 2 8" xfId="1382" xr:uid="{00000000-0005-0000-0000-0000681F0000}"/>
    <cellStyle name="Normal 8 2 3 2 3" xfId="964" xr:uid="{00000000-0005-0000-0000-0000691F0000}"/>
    <cellStyle name="Normal 8 2 3 2 3 2" xfId="4025" xr:uid="{00000000-0005-0000-0000-00006A1F0000}"/>
    <cellStyle name="Normal 8 2 3 2 3 2 2" xfId="8243" xr:uid="{00000000-0005-0000-0000-00006B1F0000}"/>
    <cellStyle name="Normal 8 2 3 2 3 3" xfId="6098" xr:uid="{00000000-0005-0000-0000-00006C1F0000}"/>
    <cellStyle name="Normal 8 2 3 2 3 4" xfId="1796" xr:uid="{00000000-0005-0000-0000-00006D1F0000}"/>
    <cellStyle name="Normal 8 2 3 2 4" xfId="2209" xr:uid="{00000000-0005-0000-0000-00006E1F0000}"/>
    <cellStyle name="Normal 8 2 3 2 4 2" xfId="4438" xr:uid="{00000000-0005-0000-0000-00006F1F0000}"/>
    <cellStyle name="Normal 8 2 3 2 4 2 2" xfId="8656" xr:uid="{00000000-0005-0000-0000-0000701F0000}"/>
    <cellStyle name="Normal 8 2 3 2 4 3" xfId="6511" xr:uid="{00000000-0005-0000-0000-0000711F0000}"/>
    <cellStyle name="Normal 8 2 3 2 5" xfId="2622" xr:uid="{00000000-0005-0000-0000-0000721F0000}"/>
    <cellStyle name="Normal 8 2 3 2 5 2" xfId="4851" xr:uid="{00000000-0005-0000-0000-0000731F0000}"/>
    <cellStyle name="Normal 8 2 3 2 5 2 2" xfId="9069" xr:uid="{00000000-0005-0000-0000-0000741F0000}"/>
    <cellStyle name="Normal 8 2 3 2 5 3" xfId="6924" xr:uid="{00000000-0005-0000-0000-0000751F0000}"/>
    <cellStyle name="Normal 8 2 3 2 6" xfId="3035" xr:uid="{00000000-0005-0000-0000-0000761F0000}"/>
    <cellStyle name="Normal 8 2 3 2 6 2" xfId="5264" xr:uid="{00000000-0005-0000-0000-0000771F0000}"/>
    <cellStyle name="Normal 8 2 3 2 6 2 2" xfId="9482" xr:uid="{00000000-0005-0000-0000-0000781F0000}"/>
    <cellStyle name="Normal 8 2 3 2 6 3" xfId="7337" xr:uid="{00000000-0005-0000-0000-0000791F0000}"/>
    <cellStyle name="Normal 8 2 3 2 7" xfId="3471" xr:uid="{00000000-0005-0000-0000-00007A1F0000}"/>
    <cellStyle name="Normal 8 2 3 2 7 2" xfId="7750" xr:uid="{00000000-0005-0000-0000-00007B1F0000}"/>
    <cellStyle name="Normal 8 2 3 2 8" xfId="5685" xr:uid="{00000000-0005-0000-0000-00007C1F0000}"/>
    <cellStyle name="Normal 8 2 3 2 9" xfId="1381" xr:uid="{00000000-0005-0000-0000-00007D1F0000}"/>
    <cellStyle name="Normal 8 2 3 3" xfId="494" xr:uid="{00000000-0005-0000-0000-00007E1F0000}"/>
    <cellStyle name="Normal 8 2 3 3 2" xfId="966" xr:uid="{00000000-0005-0000-0000-00007F1F0000}"/>
    <cellStyle name="Normal 8 2 3 3 2 2" xfId="4027" xr:uid="{00000000-0005-0000-0000-0000801F0000}"/>
    <cellStyle name="Normal 8 2 3 3 2 2 2" xfId="8245" xr:uid="{00000000-0005-0000-0000-0000811F0000}"/>
    <cellStyle name="Normal 8 2 3 3 2 3" xfId="6100" xr:uid="{00000000-0005-0000-0000-0000821F0000}"/>
    <cellStyle name="Normal 8 2 3 3 2 4" xfId="1798" xr:uid="{00000000-0005-0000-0000-0000831F0000}"/>
    <cellStyle name="Normal 8 2 3 3 3" xfId="2211" xr:uid="{00000000-0005-0000-0000-0000841F0000}"/>
    <cellStyle name="Normal 8 2 3 3 3 2" xfId="4440" xr:uid="{00000000-0005-0000-0000-0000851F0000}"/>
    <cellStyle name="Normal 8 2 3 3 3 2 2" xfId="8658" xr:uid="{00000000-0005-0000-0000-0000861F0000}"/>
    <cellStyle name="Normal 8 2 3 3 3 3" xfId="6513" xr:uid="{00000000-0005-0000-0000-0000871F0000}"/>
    <cellStyle name="Normal 8 2 3 3 4" xfId="2624" xr:uid="{00000000-0005-0000-0000-0000881F0000}"/>
    <cellStyle name="Normal 8 2 3 3 4 2" xfId="4853" xr:uid="{00000000-0005-0000-0000-0000891F0000}"/>
    <cellStyle name="Normal 8 2 3 3 4 2 2" xfId="9071" xr:uid="{00000000-0005-0000-0000-00008A1F0000}"/>
    <cellStyle name="Normal 8 2 3 3 4 3" xfId="6926" xr:uid="{00000000-0005-0000-0000-00008B1F0000}"/>
    <cellStyle name="Normal 8 2 3 3 5" xfId="3037" xr:uid="{00000000-0005-0000-0000-00008C1F0000}"/>
    <cellStyle name="Normal 8 2 3 3 5 2" xfId="5266" xr:uid="{00000000-0005-0000-0000-00008D1F0000}"/>
    <cellStyle name="Normal 8 2 3 3 5 2 2" xfId="9484" xr:uid="{00000000-0005-0000-0000-00008E1F0000}"/>
    <cellStyle name="Normal 8 2 3 3 5 3" xfId="7339" xr:uid="{00000000-0005-0000-0000-00008F1F0000}"/>
    <cellStyle name="Normal 8 2 3 3 6" xfId="3473" xr:uid="{00000000-0005-0000-0000-0000901F0000}"/>
    <cellStyle name="Normal 8 2 3 3 6 2" xfId="7752" xr:uid="{00000000-0005-0000-0000-0000911F0000}"/>
    <cellStyle name="Normal 8 2 3 3 7" xfId="5687" xr:uid="{00000000-0005-0000-0000-0000921F0000}"/>
    <cellStyle name="Normal 8 2 3 3 8" xfId="1383" xr:uid="{00000000-0005-0000-0000-0000931F0000}"/>
    <cellStyle name="Normal 8 2 3 4" xfId="963" xr:uid="{00000000-0005-0000-0000-0000941F0000}"/>
    <cellStyle name="Normal 8 2 3 4 2" xfId="4024" xr:uid="{00000000-0005-0000-0000-0000951F0000}"/>
    <cellStyle name="Normal 8 2 3 4 2 2" xfId="8242" xr:uid="{00000000-0005-0000-0000-0000961F0000}"/>
    <cellStyle name="Normal 8 2 3 4 3" xfId="6097" xr:uid="{00000000-0005-0000-0000-0000971F0000}"/>
    <cellStyle name="Normal 8 2 3 4 4" xfId="1795" xr:uid="{00000000-0005-0000-0000-0000981F0000}"/>
    <cellStyle name="Normal 8 2 3 5" xfId="2208" xr:uid="{00000000-0005-0000-0000-0000991F0000}"/>
    <cellStyle name="Normal 8 2 3 5 2" xfId="4437" xr:uid="{00000000-0005-0000-0000-00009A1F0000}"/>
    <cellStyle name="Normal 8 2 3 5 2 2" xfId="8655" xr:uid="{00000000-0005-0000-0000-00009B1F0000}"/>
    <cellStyle name="Normal 8 2 3 5 3" xfId="6510" xr:uid="{00000000-0005-0000-0000-00009C1F0000}"/>
    <cellStyle name="Normal 8 2 3 6" xfId="2621" xr:uid="{00000000-0005-0000-0000-00009D1F0000}"/>
    <cellStyle name="Normal 8 2 3 6 2" xfId="4850" xr:uid="{00000000-0005-0000-0000-00009E1F0000}"/>
    <cellStyle name="Normal 8 2 3 6 2 2" xfId="9068" xr:uid="{00000000-0005-0000-0000-00009F1F0000}"/>
    <cellStyle name="Normal 8 2 3 6 3" xfId="6923" xr:uid="{00000000-0005-0000-0000-0000A01F0000}"/>
    <cellStyle name="Normal 8 2 3 7" xfId="3034" xr:uid="{00000000-0005-0000-0000-0000A11F0000}"/>
    <cellStyle name="Normal 8 2 3 7 2" xfId="5263" xr:uid="{00000000-0005-0000-0000-0000A21F0000}"/>
    <cellStyle name="Normal 8 2 3 7 2 2" xfId="9481" xr:uid="{00000000-0005-0000-0000-0000A31F0000}"/>
    <cellStyle name="Normal 8 2 3 7 3" xfId="7336" xr:uid="{00000000-0005-0000-0000-0000A41F0000}"/>
    <cellStyle name="Normal 8 2 3 8" xfId="3470" xr:uid="{00000000-0005-0000-0000-0000A51F0000}"/>
    <cellStyle name="Normal 8 2 3 8 2" xfId="7749" xr:uid="{00000000-0005-0000-0000-0000A61F0000}"/>
    <cellStyle name="Normal 8 2 3 9" xfId="5684" xr:uid="{00000000-0005-0000-0000-0000A71F0000}"/>
    <cellStyle name="Normal 8 2 4" xfId="495" xr:uid="{00000000-0005-0000-0000-0000A81F0000}"/>
    <cellStyle name="Normal 8 2 4 2" xfId="496" xr:uid="{00000000-0005-0000-0000-0000A91F0000}"/>
    <cellStyle name="Normal 8 2 4 2 2" xfId="968" xr:uid="{00000000-0005-0000-0000-0000AA1F0000}"/>
    <cellStyle name="Normal 8 2 4 2 2 2" xfId="4029" xr:uid="{00000000-0005-0000-0000-0000AB1F0000}"/>
    <cellStyle name="Normal 8 2 4 2 2 2 2" xfId="8247" xr:uid="{00000000-0005-0000-0000-0000AC1F0000}"/>
    <cellStyle name="Normal 8 2 4 2 2 3" xfId="6102" xr:uid="{00000000-0005-0000-0000-0000AD1F0000}"/>
    <cellStyle name="Normal 8 2 4 2 2 4" xfId="1800" xr:uid="{00000000-0005-0000-0000-0000AE1F0000}"/>
    <cellStyle name="Normal 8 2 4 2 3" xfId="2213" xr:uid="{00000000-0005-0000-0000-0000AF1F0000}"/>
    <cellStyle name="Normal 8 2 4 2 3 2" xfId="4442" xr:uid="{00000000-0005-0000-0000-0000B01F0000}"/>
    <cellStyle name="Normal 8 2 4 2 3 2 2" xfId="8660" xr:uid="{00000000-0005-0000-0000-0000B11F0000}"/>
    <cellStyle name="Normal 8 2 4 2 3 3" xfId="6515" xr:uid="{00000000-0005-0000-0000-0000B21F0000}"/>
    <cellStyle name="Normal 8 2 4 2 4" xfId="2626" xr:uid="{00000000-0005-0000-0000-0000B31F0000}"/>
    <cellStyle name="Normal 8 2 4 2 4 2" xfId="4855" xr:uid="{00000000-0005-0000-0000-0000B41F0000}"/>
    <cellStyle name="Normal 8 2 4 2 4 2 2" xfId="9073" xr:uid="{00000000-0005-0000-0000-0000B51F0000}"/>
    <cellStyle name="Normal 8 2 4 2 4 3" xfId="6928" xr:uid="{00000000-0005-0000-0000-0000B61F0000}"/>
    <cellStyle name="Normal 8 2 4 2 5" xfId="3039" xr:uid="{00000000-0005-0000-0000-0000B71F0000}"/>
    <cellStyle name="Normal 8 2 4 2 5 2" xfId="5268" xr:uid="{00000000-0005-0000-0000-0000B81F0000}"/>
    <cellStyle name="Normal 8 2 4 2 5 2 2" xfId="9486" xr:uid="{00000000-0005-0000-0000-0000B91F0000}"/>
    <cellStyle name="Normal 8 2 4 2 5 3" xfId="7341" xr:uid="{00000000-0005-0000-0000-0000BA1F0000}"/>
    <cellStyle name="Normal 8 2 4 2 6" xfId="3475" xr:uid="{00000000-0005-0000-0000-0000BB1F0000}"/>
    <cellStyle name="Normal 8 2 4 2 6 2" xfId="7754" xr:uid="{00000000-0005-0000-0000-0000BC1F0000}"/>
    <cellStyle name="Normal 8 2 4 2 7" xfId="5689" xr:uid="{00000000-0005-0000-0000-0000BD1F0000}"/>
    <cellStyle name="Normal 8 2 4 2 8" xfId="1385" xr:uid="{00000000-0005-0000-0000-0000BE1F0000}"/>
    <cellStyle name="Normal 8 2 4 3" xfId="967" xr:uid="{00000000-0005-0000-0000-0000BF1F0000}"/>
    <cellStyle name="Normal 8 2 4 3 2" xfId="4028" xr:uid="{00000000-0005-0000-0000-0000C01F0000}"/>
    <cellStyle name="Normal 8 2 4 3 2 2" xfId="8246" xr:uid="{00000000-0005-0000-0000-0000C11F0000}"/>
    <cellStyle name="Normal 8 2 4 3 3" xfId="6101" xr:uid="{00000000-0005-0000-0000-0000C21F0000}"/>
    <cellStyle name="Normal 8 2 4 3 4" xfId="1799" xr:uid="{00000000-0005-0000-0000-0000C31F0000}"/>
    <cellStyle name="Normal 8 2 4 4" xfId="2212" xr:uid="{00000000-0005-0000-0000-0000C41F0000}"/>
    <cellStyle name="Normal 8 2 4 4 2" xfId="4441" xr:uid="{00000000-0005-0000-0000-0000C51F0000}"/>
    <cellStyle name="Normal 8 2 4 4 2 2" xfId="8659" xr:uid="{00000000-0005-0000-0000-0000C61F0000}"/>
    <cellStyle name="Normal 8 2 4 4 3" xfId="6514" xr:uid="{00000000-0005-0000-0000-0000C71F0000}"/>
    <cellStyle name="Normal 8 2 4 5" xfId="2625" xr:uid="{00000000-0005-0000-0000-0000C81F0000}"/>
    <cellStyle name="Normal 8 2 4 5 2" xfId="4854" xr:uid="{00000000-0005-0000-0000-0000C91F0000}"/>
    <cellStyle name="Normal 8 2 4 5 2 2" xfId="9072" xr:uid="{00000000-0005-0000-0000-0000CA1F0000}"/>
    <cellStyle name="Normal 8 2 4 5 3" xfId="6927" xr:uid="{00000000-0005-0000-0000-0000CB1F0000}"/>
    <cellStyle name="Normal 8 2 4 6" xfId="3038" xr:uid="{00000000-0005-0000-0000-0000CC1F0000}"/>
    <cellStyle name="Normal 8 2 4 6 2" xfId="5267" xr:uid="{00000000-0005-0000-0000-0000CD1F0000}"/>
    <cellStyle name="Normal 8 2 4 6 2 2" xfId="9485" xr:uid="{00000000-0005-0000-0000-0000CE1F0000}"/>
    <cellStyle name="Normal 8 2 4 6 3" xfId="7340" xr:uid="{00000000-0005-0000-0000-0000CF1F0000}"/>
    <cellStyle name="Normal 8 2 4 7" xfId="3474" xr:uid="{00000000-0005-0000-0000-0000D01F0000}"/>
    <cellStyle name="Normal 8 2 4 7 2" xfId="7753" xr:uid="{00000000-0005-0000-0000-0000D11F0000}"/>
    <cellStyle name="Normal 8 2 4 8" xfId="5688" xr:uid="{00000000-0005-0000-0000-0000D21F0000}"/>
    <cellStyle name="Normal 8 2 4 9" xfId="1384" xr:uid="{00000000-0005-0000-0000-0000D31F0000}"/>
    <cellStyle name="Normal 8 2 5" xfId="497" xr:uid="{00000000-0005-0000-0000-0000D41F0000}"/>
    <cellStyle name="Normal 8 2 5 2" xfId="969" xr:uid="{00000000-0005-0000-0000-0000D51F0000}"/>
    <cellStyle name="Normal 8 2 5 2 2" xfId="4030" xr:uid="{00000000-0005-0000-0000-0000D61F0000}"/>
    <cellStyle name="Normal 8 2 5 2 2 2" xfId="8248" xr:uid="{00000000-0005-0000-0000-0000D71F0000}"/>
    <cellStyle name="Normal 8 2 5 2 3" xfId="6103" xr:uid="{00000000-0005-0000-0000-0000D81F0000}"/>
    <cellStyle name="Normal 8 2 5 2 4" xfId="1801" xr:uid="{00000000-0005-0000-0000-0000D91F0000}"/>
    <cellStyle name="Normal 8 2 5 3" xfId="2214" xr:uid="{00000000-0005-0000-0000-0000DA1F0000}"/>
    <cellStyle name="Normal 8 2 5 3 2" xfId="4443" xr:uid="{00000000-0005-0000-0000-0000DB1F0000}"/>
    <cellStyle name="Normal 8 2 5 3 2 2" xfId="8661" xr:uid="{00000000-0005-0000-0000-0000DC1F0000}"/>
    <cellStyle name="Normal 8 2 5 3 3" xfId="6516" xr:uid="{00000000-0005-0000-0000-0000DD1F0000}"/>
    <cellStyle name="Normal 8 2 5 4" xfId="2627" xr:uid="{00000000-0005-0000-0000-0000DE1F0000}"/>
    <cellStyle name="Normal 8 2 5 4 2" xfId="4856" xr:uid="{00000000-0005-0000-0000-0000DF1F0000}"/>
    <cellStyle name="Normal 8 2 5 4 2 2" xfId="9074" xr:uid="{00000000-0005-0000-0000-0000E01F0000}"/>
    <cellStyle name="Normal 8 2 5 4 3" xfId="6929" xr:uid="{00000000-0005-0000-0000-0000E11F0000}"/>
    <cellStyle name="Normal 8 2 5 5" xfId="3040" xr:uid="{00000000-0005-0000-0000-0000E21F0000}"/>
    <cellStyle name="Normal 8 2 5 5 2" xfId="5269" xr:uid="{00000000-0005-0000-0000-0000E31F0000}"/>
    <cellStyle name="Normal 8 2 5 5 2 2" xfId="9487" xr:uid="{00000000-0005-0000-0000-0000E41F0000}"/>
    <cellStyle name="Normal 8 2 5 5 3" xfId="7342" xr:uid="{00000000-0005-0000-0000-0000E51F0000}"/>
    <cellStyle name="Normal 8 2 5 6" xfId="3476" xr:uid="{00000000-0005-0000-0000-0000E61F0000}"/>
    <cellStyle name="Normal 8 2 5 6 2" xfId="7755" xr:uid="{00000000-0005-0000-0000-0000E71F0000}"/>
    <cellStyle name="Normal 8 2 5 7" xfId="5690" xr:uid="{00000000-0005-0000-0000-0000E81F0000}"/>
    <cellStyle name="Normal 8 2 5 8" xfId="1386" xr:uid="{00000000-0005-0000-0000-0000E91F0000}"/>
    <cellStyle name="Normal 8 2 6" xfId="954" xr:uid="{00000000-0005-0000-0000-0000EA1F0000}"/>
    <cellStyle name="Normal 8 2 6 2" xfId="4015" xr:uid="{00000000-0005-0000-0000-0000EB1F0000}"/>
    <cellStyle name="Normal 8 2 6 2 2" xfId="8233" xr:uid="{00000000-0005-0000-0000-0000EC1F0000}"/>
    <cellStyle name="Normal 8 2 6 3" xfId="6088" xr:uid="{00000000-0005-0000-0000-0000ED1F0000}"/>
    <cellStyle name="Normal 8 2 6 4" xfId="1786" xr:uid="{00000000-0005-0000-0000-0000EE1F0000}"/>
    <cellStyle name="Normal 8 2 7" xfId="2199" xr:uid="{00000000-0005-0000-0000-0000EF1F0000}"/>
    <cellStyle name="Normal 8 2 7 2" xfId="4428" xr:uid="{00000000-0005-0000-0000-0000F01F0000}"/>
    <cellStyle name="Normal 8 2 7 2 2" xfId="8646" xr:uid="{00000000-0005-0000-0000-0000F11F0000}"/>
    <cellStyle name="Normal 8 2 7 3" xfId="6501" xr:uid="{00000000-0005-0000-0000-0000F21F0000}"/>
    <cellStyle name="Normal 8 2 8" xfId="2612" xr:uid="{00000000-0005-0000-0000-0000F31F0000}"/>
    <cellStyle name="Normal 8 2 8 2" xfId="4841" xr:uid="{00000000-0005-0000-0000-0000F41F0000}"/>
    <cellStyle name="Normal 8 2 8 2 2" xfId="9059" xr:uid="{00000000-0005-0000-0000-0000F51F0000}"/>
    <cellStyle name="Normal 8 2 8 3" xfId="6914" xr:uid="{00000000-0005-0000-0000-0000F61F0000}"/>
    <cellStyle name="Normal 8 2 9" xfId="3025" xr:uid="{00000000-0005-0000-0000-0000F71F0000}"/>
    <cellStyle name="Normal 8 2 9 2" xfId="5254" xr:uid="{00000000-0005-0000-0000-0000F81F0000}"/>
    <cellStyle name="Normal 8 2 9 2 2" xfId="9472" xr:uid="{00000000-0005-0000-0000-0000F91F0000}"/>
    <cellStyle name="Normal 8 2 9 3" xfId="7327" xr:uid="{00000000-0005-0000-0000-0000FA1F0000}"/>
    <cellStyle name="Normal 8 3" xfId="498" xr:uid="{00000000-0005-0000-0000-0000FB1F0000}"/>
    <cellStyle name="Normal 8 3 10" xfId="5691" xr:uid="{00000000-0005-0000-0000-0000FC1F0000}"/>
    <cellStyle name="Normal 8 3 11" xfId="1387" xr:uid="{00000000-0005-0000-0000-0000FD1F0000}"/>
    <cellStyle name="Normal 8 3 2" xfId="499" xr:uid="{00000000-0005-0000-0000-0000FE1F0000}"/>
    <cellStyle name="Normal 8 3 2 10" xfId="1388" xr:uid="{00000000-0005-0000-0000-0000FF1F0000}"/>
    <cellStyle name="Normal 8 3 2 2" xfId="500" xr:uid="{00000000-0005-0000-0000-000000200000}"/>
    <cellStyle name="Normal 8 3 2 2 2" xfId="501" xr:uid="{00000000-0005-0000-0000-000001200000}"/>
    <cellStyle name="Normal 8 3 2 2 2 2" xfId="973" xr:uid="{00000000-0005-0000-0000-000002200000}"/>
    <cellStyle name="Normal 8 3 2 2 2 2 2" xfId="4034" xr:uid="{00000000-0005-0000-0000-000003200000}"/>
    <cellStyle name="Normal 8 3 2 2 2 2 2 2" xfId="8252" xr:uid="{00000000-0005-0000-0000-000004200000}"/>
    <cellStyle name="Normal 8 3 2 2 2 2 3" xfId="6107" xr:uid="{00000000-0005-0000-0000-000005200000}"/>
    <cellStyle name="Normal 8 3 2 2 2 2 4" xfId="1805" xr:uid="{00000000-0005-0000-0000-000006200000}"/>
    <cellStyle name="Normal 8 3 2 2 2 3" xfId="2218" xr:uid="{00000000-0005-0000-0000-000007200000}"/>
    <cellStyle name="Normal 8 3 2 2 2 3 2" xfId="4447" xr:uid="{00000000-0005-0000-0000-000008200000}"/>
    <cellStyle name="Normal 8 3 2 2 2 3 2 2" xfId="8665" xr:uid="{00000000-0005-0000-0000-000009200000}"/>
    <cellStyle name="Normal 8 3 2 2 2 3 3" xfId="6520" xr:uid="{00000000-0005-0000-0000-00000A200000}"/>
    <cellStyle name="Normal 8 3 2 2 2 4" xfId="2631" xr:uid="{00000000-0005-0000-0000-00000B200000}"/>
    <cellStyle name="Normal 8 3 2 2 2 4 2" xfId="4860" xr:uid="{00000000-0005-0000-0000-00000C200000}"/>
    <cellStyle name="Normal 8 3 2 2 2 4 2 2" xfId="9078" xr:uid="{00000000-0005-0000-0000-00000D200000}"/>
    <cellStyle name="Normal 8 3 2 2 2 4 3" xfId="6933" xr:uid="{00000000-0005-0000-0000-00000E200000}"/>
    <cellStyle name="Normal 8 3 2 2 2 5" xfId="3044" xr:uid="{00000000-0005-0000-0000-00000F200000}"/>
    <cellStyle name="Normal 8 3 2 2 2 5 2" xfId="5273" xr:uid="{00000000-0005-0000-0000-000010200000}"/>
    <cellStyle name="Normal 8 3 2 2 2 5 2 2" xfId="9491" xr:uid="{00000000-0005-0000-0000-000011200000}"/>
    <cellStyle name="Normal 8 3 2 2 2 5 3" xfId="7346" xr:uid="{00000000-0005-0000-0000-000012200000}"/>
    <cellStyle name="Normal 8 3 2 2 2 6" xfId="3480" xr:uid="{00000000-0005-0000-0000-000013200000}"/>
    <cellStyle name="Normal 8 3 2 2 2 6 2" xfId="7759" xr:uid="{00000000-0005-0000-0000-000014200000}"/>
    <cellStyle name="Normal 8 3 2 2 2 7" xfId="5694" xr:uid="{00000000-0005-0000-0000-000015200000}"/>
    <cellStyle name="Normal 8 3 2 2 2 8" xfId="1390" xr:uid="{00000000-0005-0000-0000-000016200000}"/>
    <cellStyle name="Normal 8 3 2 2 3" xfId="972" xr:uid="{00000000-0005-0000-0000-000017200000}"/>
    <cellStyle name="Normal 8 3 2 2 3 2" xfId="4033" xr:uid="{00000000-0005-0000-0000-000018200000}"/>
    <cellStyle name="Normal 8 3 2 2 3 2 2" xfId="8251" xr:uid="{00000000-0005-0000-0000-000019200000}"/>
    <cellStyle name="Normal 8 3 2 2 3 3" xfId="6106" xr:uid="{00000000-0005-0000-0000-00001A200000}"/>
    <cellStyle name="Normal 8 3 2 2 3 4" xfId="1804" xr:uid="{00000000-0005-0000-0000-00001B200000}"/>
    <cellStyle name="Normal 8 3 2 2 4" xfId="2217" xr:uid="{00000000-0005-0000-0000-00001C200000}"/>
    <cellStyle name="Normal 8 3 2 2 4 2" xfId="4446" xr:uid="{00000000-0005-0000-0000-00001D200000}"/>
    <cellStyle name="Normal 8 3 2 2 4 2 2" xfId="8664" xr:uid="{00000000-0005-0000-0000-00001E200000}"/>
    <cellStyle name="Normal 8 3 2 2 4 3" xfId="6519" xr:uid="{00000000-0005-0000-0000-00001F200000}"/>
    <cellStyle name="Normal 8 3 2 2 5" xfId="2630" xr:uid="{00000000-0005-0000-0000-000020200000}"/>
    <cellStyle name="Normal 8 3 2 2 5 2" xfId="4859" xr:uid="{00000000-0005-0000-0000-000021200000}"/>
    <cellStyle name="Normal 8 3 2 2 5 2 2" xfId="9077" xr:uid="{00000000-0005-0000-0000-000022200000}"/>
    <cellStyle name="Normal 8 3 2 2 5 3" xfId="6932" xr:uid="{00000000-0005-0000-0000-000023200000}"/>
    <cellStyle name="Normal 8 3 2 2 6" xfId="3043" xr:uid="{00000000-0005-0000-0000-000024200000}"/>
    <cellStyle name="Normal 8 3 2 2 6 2" xfId="5272" xr:uid="{00000000-0005-0000-0000-000025200000}"/>
    <cellStyle name="Normal 8 3 2 2 6 2 2" xfId="9490" xr:uid="{00000000-0005-0000-0000-000026200000}"/>
    <cellStyle name="Normal 8 3 2 2 6 3" xfId="7345" xr:uid="{00000000-0005-0000-0000-000027200000}"/>
    <cellStyle name="Normal 8 3 2 2 7" xfId="3479" xr:uid="{00000000-0005-0000-0000-000028200000}"/>
    <cellStyle name="Normal 8 3 2 2 7 2" xfId="7758" xr:uid="{00000000-0005-0000-0000-000029200000}"/>
    <cellStyle name="Normal 8 3 2 2 8" xfId="5693" xr:uid="{00000000-0005-0000-0000-00002A200000}"/>
    <cellStyle name="Normal 8 3 2 2 9" xfId="1389" xr:uid="{00000000-0005-0000-0000-00002B200000}"/>
    <cellStyle name="Normal 8 3 2 3" xfId="502" xr:uid="{00000000-0005-0000-0000-00002C200000}"/>
    <cellStyle name="Normal 8 3 2 3 2" xfId="974" xr:uid="{00000000-0005-0000-0000-00002D200000}"/>
    <cellStyle name="Normal 8 3 2 3 2 2" xfId="4035" xr:uid="{00000000-0005-0000-0000-00002E200000}"/>
    <cellStyle name="Normal 8 3 2 3 2 2 2" xfId="8253" xr:uid="{00000000-0005-0000-0000-00002F200000}"/>
    <cellStyle name="Normal 8 3 2 3 2 3" xfId="6108" xr:uid="{00000000-0005-0000-0000-000030200000}"/>
    <cellStyle name="Normal 8 3 2 3 2 4" xfId="1806" xr:uid="{00000000-0005-0000-0000-000031200000}"/>
    <cellStyle name="Normal 8 3 2 3 3" xfId="2219" xr:uid="{00000000-0005-0000-0000-000032200000}"/>
    <cellStyle name="Normal 8 3 2 3 3 2" xfId="4448" xr:uid="{00000000-0005-0000-0000-000033200000}"/>
    <cellStyle name="Normal 8 3 2 3 3 2 2" xfId="8666" xr:uid="{00000000-0005-0000-0000-000034200000}"/>
    <cellStyle name="Normal 8 3 2 3 3 3" xfId="6521" xr:uid="{00000000-0005-0000-0000-000035200000}"/>
    <cellStyle name="Normal 8 3 2 3 4" xfId="2632" xr:uid="{00000000-0005-0000-0000-000036200000}"/>
    <cellStyle name="Normal 8 3 2 3 4 2" xfId="4861" xr:uid="{00000000-0005-0000-0000-000037200000}"/>
    <cellStyle name="Normal 8 3 2 3 4 2 2" xfId="9079" xr:uid="{00000000-0005-0000-0000-000038200000}"/>
    <cellStyle name="Normal 8 3 2 3 4 3" xfId="6934" xr:uid="{00000000-0005-0000-0000-000039200000}"/>
    <cellStyle name="Normal 8 3 2 3 5" xfId="3045" xr:uid="{00000000-0005-0000-0000-00003A200000}"/>
    <cellStyle name="Normal 8 3 2 3 5 2" xfId="5274" xr:uid="{00000000-0005-0000-0000-00003B200000}"/>
    <cellStyle name="Normal 8 3 2 3 5 2 2" xfId="9492" xr:uid="{00000000-0005-0000-0000-00003C200000}"/>
    <cellStyle name="Normal 8 3 2 3 5 3" xfId="7347" xr:uid="{00000000-0005-0000-0000-00003D200000}"/>
    <cellStyle name="Normal 8 3 2 3 6" xfId="3481" xr:uid="{00000000-0005-0000-0000-00003E200000}"/>
    <cellStyle name="Normal 8 3 2 3 6 2" xfId="7760" xr:uid="{00000000-0005-0000-0000-00003F200000}"/>
    <cellStyle name="Normal 8 3 2 3 7" xfId="5695" xr:uid="{00000000-0005-0000-0000-000040200000}"/>
    <cellStyle name="Normal 8 3 2 3 8" xfId="1391" xr:uid="{00000000-0005-0000-0000-000041200000}"/>
    <cellStyle name="Normal 8 3 2 4" xfId="971" xr:uid="{00000000-0005-0000-0000-000042200000}"/>
    <cellStyle name="Normal 8 3 2 4 2" xfId="4032" xr:uid="{00000000-0005-0000-0000-000043200000}"/>
    <cellStyle name="Normal 8 3 2 4 2 2" xfId="8250" xr:uid="{00000000-0005-0000-0000-000044200000}"/>
    <cellStyle name="Normal 8 3 2 4 3" xfId="6105" xr:uid="{00000000-0005-0000-0000-000045200000}"/>
    <cellStyle name="Normal 8 3 2 4 4" xfId="1803" xr:uid="{00000000-0005-0000-0000-000046200000}"/>
    <cellStyle name="Normal 8 3 2 5" xfId="2216" xr:uid="{00000000-0005-0000-0000-000047200000}"/>
    <cellStyle name="Normal 8 3 2 5 2" xfId="4445" xr:uid="{00000000-0005-0000-0000-000048200000}"/>
    <cellStyle name="Normal 8 3 2 5 2 2" xfId="8663" xr:uid="{00000000-0005-0000-0000-000049200000}"/>
    <cellStyle name="Normal 8 3 2 5 3" xfId="6518" xr:uid="{00000000-0005-0000-0000-00004A200000}"/>
    <cellStyle name="Normal 8 3 2 6" xfId="2629" xr:uid="{00000000-0005-0000-0000-00004B200000}"/>
    <cellStyle name="Normal 8 3 2 6 2" xfId="4858" xr:uid="{00000000-0005-0000-0000-00004C200000}"/>
    <cellStyle name="Normal 8 3 2 6 2 2" xfId="9076" xr:uid="{00000000-0005-0000-0000-00004D200000}"/>
    <cellStyle name="Normal 8 3 2 6 3" xfId="6931" xr:uid="{00000000-0005-0000-0000-00004E200000}"/>
    <cellStyle name="Normal 8 3 2 7" xfId="3042" xr:uid="{00000000-0005-0000-0000-00004F200000}"/>
    <cellStyle name="Normal 8 3 2 7 2" xfId="5271" xr:uid="{00000000-0005-0000-0000-000050200000}"/>
    <cellStyle name="Normal 8 3 2 7 2 2" xfId="9489" xr:uid="{00000000-0005-0000-0000-000051200000}"/>
    <cellStyle name="Normal 8 3 2 7 3" xfId="7344" xr:uid="{00000000-0005-0000-0000-000052200000}"/>
    <cellStyle name="Normal 8 3 2 8" xfId="3478" xr:uid="{00000000-0005-0000-0000-000053200000}"/>
    <cellStyle name="Normal 8 3 2 8 2" xfId="7757" xr:uid="{00000000-0005-0000-0000-000054200000}"/>
    <cellStyle name="Normal 8 3 2 9" xfId="5692" xr:uid="{00000000-0005-0000-0000-000055200000}"/>
    <cellStyle name="Normal 8 3 3" xfId="503" xr:uid="{00000000-0005-0000-0000-000056200000}"/>
    <cellStyle name="Normal 8 3 3 2" xfId="504" xr:uid="{00000000-0005-0000-0000-000057200000}"/>
    <cellStyle name="Normal 8 3 3 2 2" xfId="976" xr:uid="{00000000-0005-0000-0000-000058200000}"/>
    <cellStyle name="Normal 8 3 3 2 2 2" xfId="4037" xr:uid="{00000000-0005-0000-0000-000059200000}"/>
    <cellStyle name="Normal 8 3 3 2 2 2 2" xfId="8255" xr:uid="{00000000-0005-0000-0000-00005A200000}"/>
    <cellStyle name="Normal 8 3 3 2 2 3" xfId="6110" xr:uid="{00000000-0005-0000-0000-00005B200000}"/>
    <cellStyle name="Normal 8 3 3 2 2 4" xfId="1808" xr:uid="{00000000-0005-0000-0000-00005C200000}"/>
    <cellStyle name="Normal 8 3 3 2 3" xfId="2221" xr:uid="{00000000-0005-0000-0000-00005D200000}"/>
    <cellStyle name="Normal 8 3 3 2 3 2" xfId="4450" xr:uid="{00000000-0005-0000-0000-00005E200000}"/>
    <cellStyle name="Normal 8 3 3 2 3 2 2" xfId="8668" xr:uid="{00000000-0005-0000-0000-00005F200000}"/>
    <cellStyle name="Normal 8 3 3 2 3 3" xfId="6523" xr:uid="{00000000-0005-0000-0000-000060200000}"/>
    <cellStyle name="Normal 8 3 3 2 4" xfId="2634" xr:uid="{00000000-0005-0000-0000-000061200000}"/>
    <cellStyle name="Normal 8 3 3 2 4 2" xfId="4863" xr:uid="{00000000-0005-0000-0000-000062200000}"/>
    <cellStyle name="Normal 8 3 3 2 4 2 2" xfId="9081" xr:uid="{00000000-0005-0000-0000-000063200000}"/>
    <cellStyle name="Normal 8 3 3 2 4 3" xfId="6936" xr:uid="{00000000-0005-0000-0000-000064200000}"/>
    <cellStyle name="Normal 8 3 3 2 5" xfId="3047" xr:uid="{00000000-0005-0000-0000-000065200000}"/>
    <cellStyle name="Normal 8 3 3 2 5 2" xfId="5276" xr:uid="{00000000-0005-0000-0000-000066200000}"/>
    <cellStyle name="Normal 8 3 3 2 5 2 2" xfId="9494" xr:uid="{00000000-0005-0000-0000-000067200000}"/>
    <cellStyle name="Normal 8 3 3 2 5 3" xfId="7349" xr:uid="{00000000-0005-0000-0000-000068200000}"/>
    <cellStyle name="Normal 8 3 3 2 6" xfId="3483" xr:uid="{00000000-0005-0000-0000-000069200000}"/>
    <cellStyle name="Normal 8 3 3 2 6 2" xfId="7762" xr:uid="{00000000-0005-0000-0000-00006A200000}"/>
    <cellStyle name="Normal 8 3 3 2 7" xfId="5697" xr:uid="{00000000-0005-0000-0000-00006B200000}"/>
    <cellStyle name="Normal 8 3 3 2 8" xfId="1393" xr:uid="{00000000-0005-0000-0000-00006C200000}"/>
    <cellStyle name="Normal 8 3 3 3" xfId="975" xr:uid="{00000000-0005-0000-0000-00006D200000}"/>
    <cellStyle name="Normal 8 3 3 3 2" xfId="4036" xr:uid="{00000000-0005-0000-0000-00006E200000}"/>
    <cellStyle name="Normal 8 3 3 3 2 2" xfId="8254" xr:uid="{00000000-0005-0000-0000-00006F200000}"/>
    <cellStyle name="Normal 8 3 3 3 3" xfId="6109" xr:uid="{00000000-0005-0000-0000-000070200000}"/>
    <cellStyle name="Normal 8 3 3 3 4" xfId="1807" xr:uid="{00000000-0005-0000-0000-000071200000}"/>
    <cellStyle name="Normal 8 3 3 4" xfId="2220" xr:uid="{00000000-0005-0000-0000-000072200000}"/>
    <cellStyle name="Normal 8 3 3 4 2" xfId="4449" xr:uid="{00000000-0005-0000-0000-000073200000}"/>
    <cellStyle name="Normal 8 3 3 4 2 2" xfId="8667" xr:uid="{00000000-0005-0000-0000-000074200000}"/>
    <cellStyle name="Normal 8 3 3 4 3" xfId="6522" xr:uid="{00000000-0005-0000-0000-000075200000}"/>
    <cellStyle name="Normal 8 3 3 5" xfId="2633" xr:uid="{00000000-0005-0000-0000-000076200000}"/>
    <cellStyle name="Normal 8 3 3 5 2" xfId="4862" xr:uid="{00000000-0005-0000-0000-000077200000}"/>
    <cellStyle name="Normal 8 3 3 5 2 2" xfId="9080" xr:uid="{00000000-0005-0000-0000-000078200000}"/>
    <cellStyle name="Normal 8 3 3 5 3" xfId="6935" xr:uid="{00000000-0005-0000-0000-000079200000}"/>
    <cellStyle name="Normal 8 3 3 6" xfId="3046" xr:uid="{00000000-0005-0000-0000-00007A200000}"/>
    <cellStyle name="Normal 8 3 3 6 2" xfId="5275" xr:uid="{00000000-0005-0000-0000-00007B200000}"/>
    <cellStyle name="Normal 8 3 3 6 2 2" xfId="9493" xr:uid="{00000000-0005-0000-0000-00007C200000}"/>
    <cellStyle name="Normal 8 3 3 6 3" xfId="7348" xr:uid="{00000000-0005-0000-0000-00007D200000}"/>
    <cellStyle name="Normal 8 3 3 7" xfId="3482" xr:uid="{00000000-0005-0000-0000-00007E200000}"/>
    <cellStyle name="Normal 8 3 3 7 2" xfId="7761" xr:uid="{00000000-0005-0000-0000-00007F200000}"/>
    <cellStyle name="Normal 8 3 3 8" xfId="5696" xr:uid="{00000000-0005-0000-0000-000080200000}"/>
    <cellStyle name="Normal 8 3 3 9" xfId="1392" xr:uid="{00000000-0005-0000-0000-000081200000}"/>
    <cellStyle name="Normal 8 3 4" xfId="505" xr:uid="{00000000-0005-0000-0000-000082200000}"/>
    <cellStyle name="Normal 8 3 4 2" xfId="977" xr:uid="{00000000-0005-0000-0000-000083200000}"/>
    <cellStyle name="Normal 8 3 4 2 2" xfId="4038" xr:uid="{00000000-0005-0000-0000-000084200000}"/>
    <cellStyle name="Normal 8 3 4 2 2 2" xfId="8256" xr:uid="{00000000-0005-0000-0000-000085200000}"/>
    <cellStyle name="Normal 8 3 4 2 3" xfId="6111" xr:uid="{00000000-0005-0000-0000-000086200000}"/>
    <cellStyle name="Normal 8 3 4 2 4" xfId="1809" xr:uid="{00000000-0005-0000-0000-000087200000}"/>
    <cellStyle name="Normal 8 3 4 3" xfId="2222" xr:uid="{00000000-0005-0000-0000-000088200000}"/>
    <cellStyle name="Normal 8 3 4 3 2" xfId="4451" xr:uid="{00000000-0005-0000-0000-000089200000}"/>
    <cellStyle name="Normal 8 3 4 3 2 2" xfId="8669" xr:uid="{00000000-0005-0000-0000-00008A200000}"/>
    <cellStyle name="Normal 8 3 4 3 3" xfId="6524" xr:uid="{00000000-0005-0000-0000-00008B200000}"/>
    <cellStyle name="Normal 8 3 4 4" xfId="2635" xr:uid="{00000000-0005-0000-0000-00008C200000}"/>
    <cellStyle name="Normal 8 3 4 4 2" xfId="4864" xr:uid="{00000000-0005-0000-0000-00008D200000}"/>
    <cellStyle name="Normal 8 3 4 4 2 2" xfId="9082" xr:uid="{00000000-0005-0000-0000-00008E200000}"/>
    <cellStyle name="Normal 8 3 4 4 3" xfId="6937" xr:uid="{00000000-0005-0000-0000-00008F200000}"/>
    <cellStyle name="Normal 8 3 4 5" xfId="3048" xr:uid="{00000000-0005-0000-0000-000090200000}"/>
    <cellStyle name="Normal 8 3 4 5 2" xfId="5277" xr:uid="{00000000-0005-0000-0000-000091200000}"/>
    <cellStyle name="Normal 8 3 4 5 2 2" xfId="9495" xr:uid="{00000000-0005-0000-0000-000092200000}"/>
    <cellStyle name="Normal 8 3 4 5 3" xfId="7350" xr:uid="{00000000-0005-0000-0000-000093200000}"/>
    <cellStyle name="Normal 8 3 4 6" xfId="3484" xr:uid="{00000000-0005-0000-0000-000094200000}"/>
    <cellStyle name="Normal 8 3 4 6 2" xfId="7763" xr:uid="{00000000-0005-0000-0000-000095200000}"/>
    <cellStyle name="Normal 8 3 4 7" xfId="5698" xr:uid="{00000000-0005-0000-0000-000096200000}"/>
    <cellStyle name="Normal 8 3 4 8" xfId="1394" xr:uid="{00000000-0005-0000-0000-000097200000}"/>
    <cellStyle name="Normal 8 3 5" xfId="970" xr:uid="{00000000-0005-0000-0000-000098200000}"/>
    <cellStyle name="Normal 8 3 5 2" xfId="4031" xr:uid="{00000000-0005-0000-0000-000099200000}"/>
    <cellStyle name="Normal 8 3 5 2 2" xfId="8249" xr:uid="{00000000-0005-0000-0000-00009A200000}"/>
    <cellStyle name="Normal 8 3 5 3" xfId="6104" xr:uid="{00000000-0005-0000-0000-00009B200000}"/>
    <cellStyle name="Normal 8 3 5 4" xfId="1802" xr:uid="{00000000-0005-0000-0000-00009C200000}"/>
    <cellStyle name="Normal 8 3 6" xfId="2215" xr:uid="{00000000-0005-0000-0000-00009D200000}"/>
    <cellStyle name="Normal 8 3 6 2" xfId="4444" xr:uid="{00000000-0005-0000-0000-00009E200000}"/>
    <cellStyle name="Normal 8 3 6 2 2" xfId="8662" xr:uid="{00000000-0005-0000-0000-00009F200000}"/>
    <cellStyle name="Normal 8 3 6 3" xfId="6517" xr:uid="{00000000-0005-0000-0000-0000A0200000}"/>
    <cellStyle name="Normal 8 3 7" xfId="2628" xr:uid="{00000000-0005-0000-0000-0000A1200000}"/>
    <cellStyle name="Normal 8 3 7 2" xfId="4857" xr:uid="{00000000-0005-0000-0000-0000A2200000}"/>
    <cellStyle name="Normal 8 3 7 2 2" xfId="9075" xr:uid="{00000000-0005-0000-0000-0000A3200000}"/>
    <cellStyle name="Normal 8 3 7 3" xfId="6930" xr:uid="{00000000-0005-0000-0000-0000A4200000}"/>
    <cellStyle name="Normal 8 3 8" xfId="3041" xr:uid="{00000000-0005-0000-0000-0000A5200000}"/>
    <cellStyle name="Normal 8 3 8 2" xfId="5270" xr:uid="{00000000-0005-0000-0000-0000A6200000}"/>
    <cellStyle name="Normal 8 3 8 2 2" xfId="9488" xr:uid="{00000000-0005-0000-0000-0000A7200000}"/>
    <cellStyle name="Normal 8 3 8 3" xfId="7343" xr:uid="{00000000-0005-0000-0000-0000A8200000}"/>
    <cellStyle name="Normal 8 3 9" xfId="3477" xr:uid="{00000000-0005-0000-0000-0000A9200000}"/>
    <cellStyle name="Normal 8 3 9 2" xfId="7756" xr:uid="{00000000-0005-0000-0000-0000AA200000}"/>
    <cellStyle name="Normal 8 4" xfId="506" xr:uid="{00000000-0005-0000-0000-0000AB200000}"/>
    <cellStyle name="Normal 8 4 10" xfId="1395" xr:uid="{00000000-0005-0000-0000-0000AC200000}"/>
    <cellStyle name="Normal 8 4 2" xfId="507" xr:uid="{00000000-0005-0000-0000-0000AD200000}"/>
    <cellStyle name="Normal 8 4 2 2" xfId="508" xr:uid="{00000000-0005-0000-0000-0000AE200000}"/>
    <cellStyle name="Normal 8 4 2 2 2" xfId="980" xr:uid="{00000000-0005-0000-0000-0000AF200000}"/>
    <cellStyle name="Normal 8 4 2 2 2 2" xfId="4041" xr:uid="{00000000-0005-0000-0000-0000B0200000}"/>
    <cellStyle name="Normal 8 4 2 2 2 2 2" xfId="8259" xr:uid="{00000000-0005-0000-0000-0000B1200000}"/>
    <cellStyle name="Normal 8 4 2 2 2 3" xfId="6114" xr:uid="{00000000-0005-0000-0000-0000B2200000}"/>
    <cellStyle name="Normal 8 4 2 2 2 4" xfId="1812" xr:uid="{00000000-0005-0000-0000-0000B3200000}"/>
    <cellStyle name="Normal 8 4 2 2 3" xfId="2225" xr:uid="{00000000-0005-0000-0000-0000B4200000}"/>
    <cellStyle name="Normal 8 4 2 2 3 2" xfId="4454" xr:uid="{00000000-0005-0000-0000-0000B5200000}"/>
    <cellStyle name="Normal 8 4 2 2 3 2 2" xfId="8672" xr:uid="{00000000-0005-0000-0000-0000B6200000}"/>
    <cellStyle name="Normal 8 4 2 2 3 3" xfId="6527" xr:uid="{00000000-0005-0000-0000-0000B7200000}"/>
    <cellStyle name="Normal 8 4 2 2 4" xfId="2638" xr:uid="{00000000-0005-0000-0000-0000B8200000}"/>
    <cellStyle name="Normal 8 4 2 2 4 2" xfId="4867" xr:uid="{00000000-0005-0000-0000-0000B9200000}"/>
    <cellStyle name="Normal 8 4 2 2 4 2 2" xfId="9085" xr:uid="{00000000-0005-0000-0000-0000BA200000}"/>
    <cellStyle name="Normal 8 4 2 2 4 3" xfId="6940" xr:uid="{00000000-0005-0000-0000-0000BB200000}"/>
    <cellStyle name="Normal 8 4 2 2 5" xfId="3051" xr:uid="{00000000-0005-0000-0000-0000BC200000}"/>
    <cellStyle name="Normal 8 4 2 2 5 2" xfId="5280" xr:uid="{00000000-0005-0000-0000-0000BD200000}"/>
    <cellStyle name="Normal 8 4 2 2 5 2 2" xfId="9498" xr:uid="{00000000-0005-0000-0000-0000BE200000}"/>
    <cellStyle name="Normal 8 4 2 2 5 3" xfId="7353" xr:uid="{00000000-0005-0000-0000-0000BF200000}"/>
    <cellStyle name="Normal 8 4 2 2 6" xfId="3487" xr:uid="{00000000-0005-0000-0000-0000C0200000}"/>
    <cellStyle name="Normal 8 4 2 2 6 2" xfId="7766" xr:uid="{00000000-0005-0000-0000-0000C1200000}"/>
    <cellStyle name="Normal 8 4 2 2 7" xfId="5701" xr:uid="{00000000-0005-0000-0000-0000C2200000}"/>
    <cellStyle name="Normal 8 4 2 2 8" xfId="1397" xr:uid="{00000000-0005-0000-0000-0000C3200000}"/>
    <cellStyle name="Normal 8 4 2 3" xfId="979" xr:uid="{00000000-0005-0000-0000-0000C4200000}"/>
    <cellStyle name="Normal 8 4 2 3 2" xfId="4040" xr:uid="{00000000-0005-0000-0000-0000C5200000}"/>
    <cellStyle name="Normal 8 4 2 3 2 2" xfId="8258" xr:uid="{00000000-0005-0000-0000-0000C6200000}"/>
    <cellStyle name="Normal 8 4 2 3 3" xfId="6113" xr:uid="{00000000-0005-0000-0000-0000C7200000}"/>
    <cellStyle name="Normal 8 4 2 3 4" xfId="1811" xr:uid="{00000000-0005-0000-0000-0000C8200000}"/>
    <cellStyle name="Normal 8 4 2 4" xfId="2224" xr:uid="{00000000-0005-0000-0000-0000C9200000}"/>
    <cellStyle name="Normal 8 4 2 4 2" xfId="4453" xr:uid="{00000000-0005-0000-0000-0000CA200000}"/>
    <cellStyle name="Normal 8 4 2 4 2 2" xfId="8671" xr:uid="{00000000-0005-0000-0000-0000CB200000}"/>
    <cellStyle name="Normal 8 4 2 4 3" xfId="6526" xr:uid="{00000000-0005-0000-0000-0000CC200000}"/>
    <cellStyle name="Normal 8 4 2 5" xfId="2637" xr:uid="{00000000-0005-0000-0000-0000CD200000}"/>
    <cellStyle name="Normal 8 4 2 5 2" xfId="4866" xr:uid="{00000000-0005-0000-0000-0000CE200000}"/>
    <cellStyle name="Normal 8 4 2 5 2 2" xfId="9084" xr:uid="{00000000-0005-0000-0000-0000CF200000}"/>
    <cellStyle name="Normal 8 4 2 5 3" xfId="6939" xr:uid="{00000000-0005-0000-0000-0000D0200000}"/>
    <cellStyle name="Normal 8 4 2 6" xfId="3050" xr:uid="{00000000-0005-0000-0000-0000D1200000}"/>
    <cellStyle name="Normal 8 4 2 6 2" xfId="5279" xr:uid="{00000000-0005-0000-0000-0000D2200000}"/>
    <cellStyle name="Normal 8 4 2 6 2 2" xfId="9497" xr:uid="{00000000-0005-0000-0000-0000D3200000}"/>
    <cellStyle name="Normal 8 4 2 6 3" xfId="7352" xr:uid="{00000000-0005-0000-0000-0000D4200000}"/>
    <cellStyle name="Normal 8 4 2 7" xfId="3486" xr:uid="{00000000-0005-0000-0000-0000D5200000}"/>
    <cellStyle name="Normal 8 4 2 7 2" xfId="7765" xr:uid="{00000000-0005-0000-0000-0000D6200000}"/>
    <cellStyle name="Normal 8 4 2 8" xfId="5700" xr:uid="{00000000-0005-0000-0000-0000D7200000}"/>
    <cellStyle name="Normal 8 4 2 9" xfId="1396" xr:uid="{00000000-0005-0000-0000-0000D8200000}"/>
    <cellStyle name="Normal 8 4 3" xfId="509" xr:uid="{00000000-0005-0000-0000-0000D9200000}"/>
    <cellStyle name="Normal 8 4 3 2" xfId="981" xr:uid="{00000000-0005-0000-0000-0000DA200000}"/>
    <cellStyle name="Normal 8 4 3 2 2" xfId="4042" xr:uid="{00000000-0005-0000-0000-0000DB200000}"/>
    <cellStyle name="Normal 8 4 3 2 2 2" xfId="8260" xr:uid="{00000000-0005-0000-0000-0000DC200000}"/>
    <cellStyle name="Normal 8 4 3 2 3" xfId="6115" xr:uid="{00000000-0005-0000-0000-0000DD200000}"/>
    <cellStyle name="Normal 8 4 3 2 4" xfId="1813" xr:uid="{00000000-0005-0000-0000-0000DE200000}"/>
    <cellStyle name="Normal 8 4 3 3" xfId="2226" xr:uid="{00000000-0005-0000-0000-0000DF200000}"/>
    <cellStyle name="Normal 8 4 3 3 2" xfId="4455" xr:uid="{00000000-0005-0000-0000-0000E0200000}"/>
    <cellStyle name="Normal 8 4 3 3 2 2" xfId="8673" xr:uid="{00000000-0005-0000-0000-0000E1200000}"/>
    <cellStyle name="Normal 8 4 3 3 3" xfId="6528" xr:uid="{00000000-0005-0000-0000-0000E2200000}"/>
    <cellStyle name="Normal 8 4 3 4" xfId="2639" xr:uid="{00000000-0005-0000-0000-0000E3200000}"/>
    <cellStyle name="Normal 8 4 3 4 2" xfId="4868" xr:uid="{00000000-0005-0000-0000-0000E4200000}"/>
    <cellStyle name="Normal 8 4 3 4 2 2" xfId="9086" xr:uid="{00000000-0005-0000-0000-0000E5200000}"/>
    <cellStyle name="Normal 8 4 3 4 3" xfId="6941" xr:uid="{00000000-0005-0000-0000-0000E6200000}"/>
    <cellStyle name="Normal 8 4 3 5" xfId="3052" xr:uid="{00000000-0005-0000-0000-0000E7200000}"/>
    <cellStyle name="Normal 8 4 3 5 2" xfId="5281" xr:uid="{00000000-0005-0000-0000-0000E8200000}"/>
    <cellStyle name="Normal 8 4 3 5 2 2" xfId="9499" xr:uid="{00000000-0005-0000-0000-0000E9200000}"/>
    <cellStyle name="Normal 8 4 3 5 3" xfId="7354" xr:uid="{00000000-0005-0000-0000-0000EA200000}"/>
    <cellStyle name="Normal 8 4 3 6" xfId="3488" xr:uid="{00000000-0005-0000-0000-0000EB200000}"/>
    <cellStyle name="Normal 8 4 3 6 2" xfId="7767" xr:uid="{00000000-0005-0000-0000-0000EC200000}"/>
    <cellStyle name="Normal 8 4 3 7" xfId="5702" xr:uid="{00000000-0005-0000-0000-0000ED200000}"/>
    <cellStyle name="Normal 8 4 3 8" xfId="1398" xr:uid="{00000000-0005-0000-0000-0000EE200000}"/>
    <cellStyle name="Normal 8 4 4" xfId="978" xr:uid="{00000000-0005-0000-0000-0000EF200000}"/>
    <cellStyle name="Normal 8 4 4 2" xfId="4039" xr:uid="{00000000-0005-0000-0000-0000F0200000}"/>
    <cellStyle name="Normal 8 4 4 2 2" xfId="8257" xr:uid="{00000000-0005-0000-0000-0000F1200000}"/>
    <cellStyle name="Normal 8 4 4 3" xfId="6112" xr:uid="{00000000-0005-0000-0000-0000F2200000}"/>
    <cellStyle name="Normal 8 4 4 4" xfId="1810" xr:uid="{00000000-0005-0000-0000-0000F3200000}"/>
    <cellStyle name="Normal 8 4 5" xfId="2223" xr:uid="{00000000-0005-0000-0000-0000F4200000}"/>
    <cellStyle name="Normal 8 4 5 2" xfId="4452" xr:uid="{00000000-0005-0000-0000-0000F5200000}"/>
    <cellStyle name="Normal 8 4 5 2 2" xfId="8670" xr:uid="{00000000-0005-0000-0000-0000F6200000}"/>
    <cellStyle name="Normal 8 4 5 3" xfId="6525" xr:uid="{00000000-0005-0000-0000-0000F7200000}"/>
    <cellStyle name="Normal 8 4 6" xfId="2636" xr:uid="{00000000-0005-0000-0000-0000F8200000}"/>
    <cellStyle name="Normal 8 4 6 2" xfId="4865" xr:uid="{00000000-0005-0000-0000-0000F9200000}"/>
    <cellStyle name="Normal 8 4 6 2 2" xfId="9083" xr:uid="{00000000-0005-0000-0000-0000FA200000}"/>
    <cellStyle name="Normal 8 4 6 3" xfId="6938" xr:uid="{00000000-0005-0000-0000-0000FB200000}"/>
    <cellStyle name="Normal 8 4 7" xfId="3049" xr:uid="{00000000-0005-0000-0000-0000FC200000}"/>
    <cellStyle name="Normal 8 4 7 2" xfId="5278" xr:uid="{00000000-0005-0000-0000-0000FD200000}"/>
    <cellStyle name="Normal 8 4 7 2 2" xfId="9496" xr:uid="{00000000-0005-0000-0000-0000FE200000}"/>
    <cellStyle name="Normal 8 4 7 3" xfId="7351" xr:uid="{00000000-0005-0000-0000-0000FF200000}"/>
    <cellStyle name="Normal 8 4 8" xfId="3485" xr:uid="{00000000-0005-0000-0000-000000210000}"/>
    <cellStyle name="Normal 8 4 8 2" xfId="7764" xr:uid="{00000000-0005-0000-0000-000001210000}"/>
    <cellStyle name="Normal 8 4 9" xfId="5699" xr:uid="{00000000-0005-0000-0000-000002210000}"/>
    <cellStyle name="Normal 8 5" xfId="510" xr:uid="{00000000-0005-0000-0000-000003210000}"/>
    <cellStyle name="Normal 8 5 2" xfId="511" xr:uid="{00000000-0005-0000-0000-000004210000}"/>
    <cellStyle name="Normal 8 5 2 2" xfId="983" xr:uid="{00000000-0005-0000-0000-000005210000}"/>
    <cellStyle name="Normal 8 5 2 2 2" xfId="4044" xr:uid="{00000000-0005-0000-0000-000006210000}"/>
    <cellStyle name="Normal 8 5 2 2 2 2" xfId="8262" xr:uid="{00000000-0005-0000-0000-000007210000}"/>
    <cellStyle name="Normal 8 5 2 2 3" xfId="6117" xr:uid="{00000000-0005-0000-0000-000008210000}"/>
    <cellStyle name="Normal 8 5 2 2 4" xfId="1815" xr:uid="{00000000-0005-0000-0000-000009210000}"/>
    <cellStyle name="Normal 8 5 2 3" xfId="2228" xr:uid="{00000000-0005-0000-0000-00000A210000}"/>
    <cellStyle name="Normal 8 5 2 3 2" xfId="4457" xr:uid="{00000000-0005-0000-0000-00000B210000}"/>
    <cellStyle name="Normal 8 5 2 3 2 2" xfId="8675" xr:uid="{00000000-0005-0000-0000-00000C210000}"/>
    <cellStyle name="Normal 8 5 2 3 3" xfId="6530" xr:uid="{00000000-0005-0000-0000-00000D210000}"/>
    <cellStyle name="Normal 8 5 2 4" xfId="2641" xr:uid="{00000000-0005-0000-0000-00000E210000}"/>
    <cellStyle name="Normal 8 5 2 4 2" xfId="4870" xr:uid="{00000000-0005-0000-0000-00000F210000}"/>
    <cellStyle name="Normal 8 5 2 4 2 2" xfId="9088" xr:uid="{00000000-0005-0000-0000-000010210000}"/>
    <cellStyle name="Normal 8 5 2 4 3" xfId="6943" xr:uid="{00000000-0005-0000-0000-000011210000}"/>
    <cellStyle name="Normal 8 5 2 5" xfId="3054" xr:uid="{00000000-0005-0000-0000-000012210000}"/>
    <cellStyle name="Normal 8 5 2 5 2" xfId="5283" xr:uid="{00000000-0005-0000-0000-000013210000}"/>
    <cellStyle name="Normal 8 5 2 5 2 2" xfId="9501" xr:uid="{00000000-0005-0000-0000-000014210000}"/>
    <cellStyle name="Normal 8 5 2 5 3" xfId="7356" xr:uid="{00000000-0005-0000-0000-000015210000}"/>
    <cellStyle name="Normal 8 5 2 6" xfId="3490" xr:uid="{00000000-0005-0000-0000-000016210000}"/>
    <cellStyle name="Normal 8 5 2 6 2" xfId="7769" xr:uid="{00000000-0005-0000-0000-000017210000}"/>
    <cellStyle name="Normal 8 5 2 7" xfId="5704" xr:uid="{00000000-0005-0000-0000-000018210000}"/>
    <cellStyle name="Normal 8 5 2 8" xfId="1400" xr:uid="{00000000-0005-0000-0000-000019210000}"/>
    <cellStyle name="Normal 8 5 3" xfId="982" xr:uid="{00000000-0005-0000-0000-00001A210000}"/>
    <cellStyle name="Normal 8 5 3 2" xfId="4043" xr:uid="{00000000-0005-0000-0000-00001B210000}"/>
    <cellStyle name="Normal 8 5 3 2 2" xfId="8261" xr:uid="{00000000-0005-0000-0000-00001C210000}"/>
    <cellStyle name="Normal 8 5 3 3" xfId="6116" xr:uid="{00000000-0005-0000-0000-00001D210000}"/>
    <cellStyle name="Normal 8 5 3 4" xfId="1814" xr:uid="{00000000-0005-0000-0000-00001E210000}"/>
    <cellStyle name="Normal 8 5 4" xfId="2227" xr:uid="{00000000-0005-0000-0000-00001F210000}"/>
    <cellStyle name="Normal 8 5 4 2" xfId="4456" xr:uid="{00000000-0005-0000-0000-000020210000}"/>
    <cellStyle name="Normal 8 5 4 2 2" xfId="8674" xr:uid="{00000000-0005-0000-0000-000021210000}"/>
    <cellStyle name="Normal 8 5 4 3" xfId="6529" xr:uid="{00000000-0005-0000-0000-000022210000}"/>
    <cellStyle name="Normal 8 5 5" xfId="2640" xr:uid="{00000000-0005-0000-0000-000023210000}"/>
    <cellStyle name="Normal 8 5 5 2" xfId="4869" xr:uid="{00000000-0005-0000-0000-000024210000}"/>
    <cellStyle name="Normal 8 5 5 2 2" xfId="9087" xr:uid="{00000000-0005-0000-0000-000025210000}"/>
    <cellStyle name="Normal 8 5 5 3" xfId="6942" xr:uid="{00000000-0005-0000-0000-000026210000}"/>
    <cellStyle name="Normal 8 5 6" xfId="3053" xr:uid="{00000000-0005-0000-0000-000027210000}"/>
    <cellStyle name="Normal 8 5 6 2" xfId="5282" xr:uid="{00000000-0005-0000-0000-000028210000}"/>
    <cellStyle name="Normal 8 5 6 2 2" xfId="9500" xr:uid="{00000000-0005-0000-0000-000029210000}"/>
    <cellStyle name="Normal 8 5 6 3" xfId="7355" xr:uid="{00000000-0005-0000-0000-00002A210000}"/>
    <cellStyle name="Normal 8 5 7" xfId="3489" xr:uid="{00000000-0005-0000-0000-00002B210000}"/>
    <cellStyle name="Normal 8 5 7 2" xfId="7768" xr:uid="{00000000-0005-0000-0000-00002C210000}"/>
    <cellStyle name="Normal 8 5 8" xfId="5703" xr:uid="{00000000-0005-0000-0000-00002D210000}"/>
    <cellStyle name="Normal 8 5 9" xfId="1399" xr:uid="{00000000-0005-0000-0000-00002E210000}"/>
    <cellStyle name="Normal 8 6" xfId="512" xr:uid="{00000000-0005-0000-0000-00002F210000}"/>
    <cellStyle name="Normal 8 6 2" xfId="984" xr:uid="{00000000-0005-0000-0000-000030210000}"/>
    <cellStyle name="Normal 8 6 2 2" xfId="4045" xr:uid="{00000000-0005-0000-0000-000031210000}"/>
    <cellStyle name="Normal 8 6 2 2 2" xfId="8263" xr:uid="{00000000-0005-0000-0000-000032210000}"/>
    <cellStyle name="Normal 8 6 2 3" xfId="6118" xr:uid="{00000000-0005-0000-0000-000033210000}"/>
    <cellStyle name="Normal 8 6 2 4" xfId="1816" xr:uid="{00000000-0005-0000-0000-000034210000}"/>
    <cellStyle name="Normal 8 6 3" xfId="2229" xr:uid="{00000000-0005-0000-0000-000035210000}"/>
    <cellStyle name="Normal 8 6 3 2" xfId="4458" xr:uid="{00000000-0005-0000-0000-000036210000}"/>
    <cellStyle name="Normal 8 6 3 2 2" xfId="8676" xr:uid="{00000000-0005-0000-0000-000037210000}"/>
    <cellStyle name="Normal 8 6 3 3" xfId="6531" xr:uid="{00000000-0005-0000-0000-000038210000}"/>
    <cellStyle name="Normal 8 6 4" xfId="2642" xr:uid="{00000000-0005-0000-0000-000039210000}"/>
    <cellStyle name="Normal 8 6 4 2" xfId="4871" xr:uid="{00000000-0005-0000-0000-00003A210000}"/>
    <cellStyle name="Normal 8 6 4 2 2" xfId="9089" xr:uid="{00000000-0005-0000-0000-00003B210000}"/>
    <cellStyle name="Normal 8 6 4 3" xfId="6944" xr:uid="{00000000-0005-0000-0000-00003C210000}"/>
    <cellStyle name="Normal 8 6 5" xfId="3055" xr:uid="{00000000-0005-0000-0000-00003D210000}"/>
    <cellStyle name="Normal 8 6 5 2" xfId="5284" xr:uid="{00000000-0005-0000-0000-00003E210000}"/>
    <cellStyle name="Normal 8 6 5 2 2" xfId="9502" xr:uid="{00000000-0005-0000-0000-00003F210000}"/>
    <cellStyle name="Normal 8 6 5 3" xfId="7357" xr:uid="{00000000-0005-0000-0000-000040210000}"/>
    <cellStyle name="Normal 8 6 6" xfId="3491" xr:uid="{00000000-0005-0000-0000-000041210000}"/>
    <cellStyle name="Normal 8 6 6 2" xfId="7770" xr:uid="{00000000-0005-0000-0000-000042210000}"/>
    <cellStyle name="Normal 8 6 7" xfId="5705" xr:uid="{00000000-0005-0000-0000-000043210000}"/>
    <cellStyle name="Normal 8 6 8" xfId="1401" xr:uid="{00000000-0005-0000-0000-000044210000}"/>
    <cellStyle name="Normal 8 7" xfId="953" xr:uid="{00000000-0005-0000-0000-000045210000}"/>
    <cellStyle name="Normal 8 7 2" xfId="4014" xr:uid="{00000000-0005-0000-0000-000046210000}"/>
    <cellStyle name="Normal 8 7 2 2" xfId="8232" xr:uid="{00000000-0005-0000-0000-000047210000}"/>
    <cellStyle name="Normal 8 7 3" xfId="6087" xr:uid="{00000000-0005-0000-0000-000048210000}"/>
    <cellStyle name="Normal 8 7 4" xfId="1785" xr:uid="{00000000-0005-0000-0000-000049210000}"/>
    <cellStyle name="Normal 8 8" xfId="2198" xr:uid="{00000000-0005-0000-0000-00004A210000}"/>
    <cellStyle name="Normal 8 8 2" xfId="4427" xr:uid="{00000000-0005-0000-0000-00004B210000}"/>
    <cellStyle name="Normal 8 8 2 2" xfId="8645" xr:uid="{00000000-0005-0000-0000-00004C210000}"/>
    <cellStyle name="Normal 8 8 3" xfId="6500" xr:uid="{00000000-0005-0000-0000-00004D210000}"/>
    <cellStyle name="Normal 8 9" xfId="2611" xr:uid="{00000000-0005-0000-0000-00004E210000}"/>
    <cellStyle name="Normal 8 9 2" xfId="4840" xr:uid="{00000000-0005-0000-0000-00004F210000}"/>
    <cellStyle name="Normal 8 9 2 2" xfId="9058" xr:uid="{00000000-0005-0000-0000-000050210000}"/>
    <cellStyle name="Normal 8 9 3" xfId="6913" xr:uid="{00000000-0005-0000-0000-000051210000}"/>
    <cellStyle name="Normal 9" xfId="513" xr:uid="{00000000-0005-0000-0000-000052210000}"/>
    <cellStyle name="Normal 9 2" xfId="514" xr:uid="{00000000-0005-0000-0000-000053210000}"/>
    <cellStyle name="Normal 9 2 10" xfId="3492" xr:uid="{00000000-0005-0000-0000-000054210000}"/>
    <cellStyle name="Normal 9 2 10 2" xfId="7771" xr:uid="{00000000-0005-0000-0000-000055210000}"/>
    <cellStyle name="Normal 9 2 11" xfId="5706" xr:uid="{00000000-0005-0000-0000-000056210000}"/>
    <cellStyle name="Normal 9 2 12" xfId="1402" xr:uid="{00000000-0005-0000-0000-000057210000}"/>
    <cellStyle name="Normal 9 2 2" xfId="515" xr:uid="{00000000-0005-0000-0000-000058210000}"/>
    <cellStyle name="Normal 9 2 2 10" xfId="5707" xr:uid="{00000000-0005-0000-0000-000059210000}"/>
    <cellStyle name="Normal 9 2 2 11" xfId="1403" xr:uid="{00000000-0005-0000-0000-00005A210000}"/>
    <cellStyle name="Normal 9 2 2 2" xfId="516" xr:uid="{00000000-0005-0000-0000-00005B210000}"/>
    <cellStyle name="Normal 9 2 2 2 10" xfId="1404" xr:uid="{00000000-0005-0000-0000-00005C210000}"/>
    <cellStyle name="Normal 9 2 2 2 2" xfId="517" xr:uid="{00000000-0005-0000-0000-00005D210000}"/>
    <cellStyle name="Normal 9 2 2 2 2 2" xfId="518" xr:uid="{00000000-0005-0000-0000-00005E210000}"/>
    <cellStyle name="Normal 9 2 2 2 2 2 2" xfId="990" xr:uid="{00000000-0005-0000-0000-00005F210000}"/>
    <cellStyle name="Normal 9 2 2 2 2 2 2 2" xfId="4050" xr:uid="{00000000-0005-0000-0000-000060210000}"/>
    <cellStyle name="Normal 9 2 2 2 2 2 2 2 2" xfId="8268" xr:uid="{00000000-0005-0000-0000-000061210000}"/>
    <cellStyle name="Normal 9 2 2 2 2 2 2 3" xfId="6123" xr:uid="{00000000-0005-0000-0000-000062210000}"/>
    <cellStyle name="Normal 9 2 2 2 2 2 2 4" xfId="1821" xr:uid="{00000000-0005-0000-0000-000063210000}"/>
    <cellStyle name="Normal 9 2 2 2 2 2 3" xfId="2234" xr:uid="{00000000-0005-0000-0000-000064210000}"/>
    <cellStyle name="Normal 9 2 2 2 2 2 3 2" xfId="4463" xr:uid="{00000000-0005-0000-0000-000065210000}"/>
    <cellStyle name="Normal 9 2 2 2 2 2 3 2 2" xfId="8681" xr:uid="{00000000-0005-0000-0000-000066210000}"/>
    <cellStyle name="Normal 9 2 2 2 2 2 3 3" xfId="6536" xr:uid="{00000000-0005-0000-0000-000067210000}"/>
    <cellStyle name="Normal 9 2 2 2 2 2 4" xfId="2647" xr:uid="{00000000-0005-0000-0000-000068210000}"/>
    <cellStyle name="Normal 9 2 2 2 2 2 4 2" xfId="4876" xr:uid="{00000000-0005-0000-0000-000069210000}"/>
    <cellStyle name="Normal 9 2 2 2 2 2 4 2 2" xfId="9094" xr:uid="{00000000-0005-0000-0000-00006A210000}"/>
    <cellStyle name="Normal 9 2 2 2 2 2 4 3" xfId="6949" xr:uid="{00000000-0005-0000-0000-00006B210000}"/>
    <cellStyle name="Normal 9 2 2 2 2 2 5" xfId="3060" xr:uid="{00000000-0005-0000-0000-00006C210000}"/>
    <cellStyle name="Normal 9 2 2 2 2 2 5 2" xfId="5289" xr:uid="{00000000-0005-0000-0000-00006D210000}"/>
    <cellStyle name="Normal 9 2 2 2 2 2 5 2 2" xfId="9507" xr:uid="{00000000-0005-0000-0000-00006E210000}"/>
    <cellStyle name="Normal 9 2 2 2 2 2 5 3" xfId="7362" xr:uid="{00000000-0005-0000-0000-00006F210000}"/>
    <cellStyle name="Normal 9 2 2 2 2 2 6" xfId="3496" xr:uid="{00000000-0005-0000-0000-000070210000}"/>
    <cellStyle name="Normal 9 2 2 2 2 2 6 2" xfId="7775" xr:uid="{00000000-0005-0000-0000-000071210000}"/>
    <cellStyle name="Normal 9 2 2 2 2 2 7" xfId="5710" xr:uid="{00000000-0005-0000-0000-000072210000}"/>
    <cellStyle name="Normal 9 2 2 2 2 2 8" xfId="1406" xr:uid="{00000000-0005-0000-0000-000073210000}"/>
    <cellStyle name="Normal 9 2 2 2 2 3" xfId="989" xr:uid="{00000000-0005-0000-0000-000074210000}"/>
    <cellStyle name="Normal 9 2 2 2 2 3 2" xfId="4049" xr:uid="{00000000-0005-0000-0000-000075210000}"/>
    <cellStyle name="Normal 9 2 2 2 2 3 2 2" xfId="8267" xr:uid="{00000000-0005-0000-0000-000076210000}"/>
    <cellStyle name="Normal 9 2 2 2 2 3 3" xfId="6122" xr:uid="{00000000-0005-0000-0000-000077210000}"/>
    <cellStyle name="Normal 9 2 2 2 2 3 4" xfId="1820" xr:uid="{00000000-0005-0000-0000-000078210000}"/>
    <cellStyle name="Normal 9 2 2 2 2 4" xfId="2233" xr:uid="{00000000-0005-0000-0000-000079210000}"/>
    <cellStyle name="Normal 9 2 2 2 2 4 2" xfId="4462" xr:uid="{00000000-0005-0000-0000-00007A210000}"/>
    <cellStyle name="Normal 9 2 2 2 2 4 2 2" xfId="8680" xr:uid="{00000000-0005-0000-0000-00007B210000}"/>
    <cellStyle name="Normal 9 2 2 2 2 4 3" xfId="6535" xr:uid="{00000000-0005-0000-0000-00007C210000}"/>
    <cellStyle name="Normal 9 2 2 2 2 5" xfId="2646" xr:uid="{00000000-0005-0000-0000-00007D210000}"/>
    <cellStyle name="Normal 9 2 2 2 2 5 2" xfId="4875" xr:uid="{00000000-0005-0000-0000-00007E210000}"/>
    <cellStyle name="Normal 9 2 2 2 2 5 2 2" xfId="9093" xr:uid="{00000000-0005-0000-0000-00007F210000}"/>
    <cellStyle name="Normal 9 2 2 2 2 5 3" xfId="6948" xr:uid="{00000000-0005-0000-0000-000080210000}"/>
    <cellStyle name="Normal 9 2 2 2 2 6" xfId="3059" xr:uid="{00000000-0005-0000-0000-000081210000}"/>
    <cellStyle name="Normal 9 2 2 2 2 6 2" xfId="5288" xr:uid="{00000000-0005-0000-0000-000082210000}"/>
    <cellStyle name="Normal 9 2 2 2 2 6 2 2" xfId="9506" xr:uid="{00000000-0005-0000-0000-000083210000}"/>
    <cellStyle name="Normal 9 2 2 2 2 6 3" xfId="7361" xr:uid="{00000000-0005-0000-0000-000084210000}"/>
    <cellStyle name="Normal 9 2 2 2 2 7" xfId="3495" xr:uid="{00000000-0005-0000-0000-000085210000}"/>
    <cellStyle name="Normal 9 2 2 2 2 7 2" xfId="7774" xr:uid="{00000000-0005-0000-0000-000086210000}"/>
    <cellStyle name="Normal 9 2 2 2 2 8" xfId="5709" xr:uid="{00000000-0005-0000-0000-000087210000}"/>
    <cellStyle name="Normal 9 2 2 2 2 9" xfId="1405" xr:uid="{00000000-0005-0000-0000-000088210000}"/>
    <cellStyle name="Normal 9 2 2 2 3" xfId="519" xr:uid="{00000000-0005-0000-0000-000089210000}"/>
    <cellStyle name="Normal 9 2 2 2 3 2" xfId="991" xr:uid="{00000000-0005-0000-0000-00008A210000}"/>
    <cellStyle name="Normal 9 2 2 2 3 2 2" xfId="4051" xr:uid="{00000000-0005-0000-0000-00008B210000}"/>
    <cellStyle name="Normal 9 2 2 2 3 2 2 2" xfId="8269" xr:uid="{00000000-0005-0000-0000-00008C210000}"/>
    <cellStyle name="Normal 9 2 2 2 3 2 3" xfId="6124" xr:uid="{00000000-0005-0000-0000-00008D210000}"/>
    <cellStyle name="Normal 9 2 2 2 3 2 4" xfId="1822" xr:uid="{00000000-0005-0000-0000-00008E210000}"/>
    <cellStyle name="Normal 9 2 2 2 3 3" xfId="2235" xr:uid="{00000000-0005-0000-0000-00008F210000}"/>
    <cellStyle name="Normal 9 2 2 2 3 3 2" xfId="4464" xr:uid="{00000000-0005-0000-0000-000090210000}"/>
    <cellStyle name="Normal 9 2 2 2 3 3 2 2" xfId="8682" xr:uid="{00000000-0005-0000-0000-000091210000}"/>
    <cellStyle name="Normal 9 2 2 2 3 3 3" xfId="6537" xr:uid="{00000000-0005-0000-0000-000092210000}"/>
    <cellStyle name="Normal 9 2 2 2 3 4" xfId="2648" xr:uid="{00000000-0005-0000-0000-000093210000}"/>
    <cellStyle name="Normal 9 2 2 2 3 4 2" xfId="4877" xr:uid="{00000000-0005-0000-0000-000094210000}"/>
    <cellStyle name="Normal 9 2 2 2 3 4 2 2" xfId="9095" xr:uid="{00000000-0005-0000-0000-000095210000}"/>
    <cellStyle name="Normal 9 2 2 2 3 4 3" xfId="6950" xr:uid="{00000000-0005-0000-0000-000096210000}"/>
    <cellStyle name="Normal 9 2 2 2 3 5" xfId="3061" xr:uid="{00000000-0005-0000-0000-000097210000}"/>
    <cellStyle name="Normal 9 2 2 2 3 5 2" xfId="5290" xr:uid="{00000000-0005-0000-0000-000098210000}"/>
    <cellStyle name="Normal 9 2 2 2 3 5 2 2" xfId="9508" xr:uid="{00000000-0005-0000-0000-000099210000}"/>
    <cellStyle name="Normal 9 2 2 2 3 5 3" xfId="7363" xr:uid="{00000000-0005-0000-0000-00009A210000}"/>
    <cellStyle name="Normal 9 2 2 2 3 6" xfId="3497" xr:uid="{00000000-0005-0000-0000-00009B210000}"/>
    <cellStyle name="Normal 9 2 2 2 3 6 2" xfId="7776" xr:uid="{00000000-0005-0000-0000-00009C210000}"/>
    <cellStyle name="Normal 9 2 2 2 3 7" xfId="5711" xr:uid="{00000000-0005-0000-0000-00009D210000}"/>
    <cellStyle name="Normal 9 2 2 2 3 8" xfId="1407" xr:uid="{00000000-0005-0000-0000-00009E210000}"/>
    <cellStyle name="Normal 9 2 2 2 4" xfId="988" xr:uid="{00000000-0005-0000-0000-00009F210000}"/>
    <cellStyle name="Normal 9 2 2 2 4 2" xfId="4048" xr:uid="{00000000-0005-0000-0000-0000A0210000}"/>
    <cellStyle name="Normal 9 2 2 2 4 2 2" xfId="8266" xr:uid="{00000000-0005-0000-0000-0000A1210000}"/>
    <cellStyle name="Normal 9 2 2 2 4 3" xfId="6121" xr:uid="{00000000-0005-0000-0000-0000A2210000}"/>
    <cellStyle name="Normal 9 2 2 2 4 4" xfId="1819" xr:uid="{00000000-0005-0000-0000-0000A3210000}"/>
    <cellStyle name="Normal 9 2 2 2 5" xfId="2232" xr:uid="{00000000-0005-0000-0000-0000A4210000}"/>
    <cellStyle name="Normal 9 2 2 2 5 2" xfId="4461" xr:uid="{00000000-0005-0000-0000-0000A5210000}"/>
    <cellStyle name="Normal 9 2 2 2 5 2 2" xfId="8679" xr:uid="{00000000-0005-0000-0000-0000A6210000}"/>
    <cellStyle name="Normal 9 2 2 2 5 3" xfId="6534" xr:uid="{00000000-0005-0000-0000-0000A7210000}"/>
    <cellStyle name="Normal 9 2 2 2 6" xfId="2645" xr:uid="{00000000-0005-0000-0000-0000A8210000}"/>
    <cellStyle name="Normal 9 2 2 2 6 2" xfId="4874" xr:uid="{00000000-0005-0000-0000-0000A9210000}"/>
    <cellStyle name="Normal 9 2 2 2 6 2 2" xfId="9092" xr:uid="{00000000-0005-0000-0000-0000AA210000}"/>
    <cellStyle name="Normal 9 2 2 2 6 3" xfId="6947" xr:uid="{00000000-0005-0000-0000-0000AB210000}"/>
    <cellStyle name="Normal 9 2 2 2 7" xfId="3058" xr:uid="{00000000-0005-0000-0000-0000AC210000}"/>
    <cellStyle name="Normal 9 2 2 2 7 2" xfId="5287" xr:uid="{00000000-0005-0000-0000-0000AD210000}"/>
    <cellStyle name="Normal 9 2 2 2 7 2 2" xfId="9505" xr:uid="{00000000-0005-0000-0000-0000AE210000}"/>
    <cellStyle name="Normal 9 2 2 2 7 3" xfId="7360" xr:uid="{00000000-0005-0000-0000-0000AF210000}"/>
    <cellStyle name="Normal 9 2 2 2 8" xfId="3494" xr:uid="{00000000-0005-0000-0000-0000B0210000}"/>
    <cellStyle name="Normal 9 2 2 2 8 2" xfId="7773" xr:uid="{00000000-0005-0000-0000-0000B1210000}"/>
    <cellStyle name="Normal 9 2 2 2 9" xfId="5708" xr:uid="{00000000-0005-0000-0000-0000B2210000}"/>
    <cellStyle name="Normal 9 2 2 3" xfId="520" xr:uid="{00000000-0005-0000-0000-0000B3210000}"/>
    <cellStyle name="Normal 9 2 2 3 2" xfId="521" xr:uid="{00000000-0005-0000-0000-0000B4210000}"/>
    <cellStyle name="Normal 9 2 2 3 2 2" xfId="993" xr:uid="{00000000-0005-0000-0000-0000B5210000}"/>
    <cellStyle name="Normal 9 2 2 3 2 2 2" xfId="4053" xr:uid="{00000000-0005-0000-0000-0000B6210000}"/>
    <cellStyle name="Normal 9 2 2 3 2 2 2 2" xfId="8271" xr:uid="{00000000-0005-0000-0000-0000B7210000}"/>
    <cellStyle name="Normal 9 2 2 3 2 2 3" xfId="6126" xr:uid="{00000000-0005-0000-0000-0000B8210000}"/>
    <cellStyle name="Normal 9 2 2 3 2 2 4" xfId="1824" xr:uid="{00000000-0005-0000-0000-0000B9210000}"/>
    <cellStyle name="Normal 9 2 2 3 2 3" xfId="2237" xr:uid="{00000000-0005-0000-0000-0000BA210000}"/>
    <cellStyle name="Normal 9 2 2 3 2 3 2" xfId="4466" xr:uid="{00000000-0005-0000-0000-0000BB210000}"/>
    <cellStyle name="Normal 9 2 2 3 2 3 2 2" xfId="8684" xr:uid="{00000000-0005-0000-0000-0000BC210000}"/>
    <cellStyle name="Normal 9 2 2 3 2 3 3" xfId="6539" xr:uid="{00000000-0005-0000-0000-0000BD210000}"/>
    <cellStyle name="Normal 9 2 2 3 2 4" xfId="2650" xr:uid="{00000000-0005-0000-0000-0000BE210000}"/>
    <cellStyle name="Normal 9 2 2 3 2 4 2" xfId="4879" xr:uid="{00000000-0005-0000-0000-0000BF210000}"/>
    <cellStyle name="Normal 9 2 2 3 2 4 2 2" xfId="9097" xr:uid="{00000000-0005-0000-0000-0000C0210000}"/>
    <cellStyle name="Normal 9 2 2 3 2 4 3" xfId="6952" xr:uid="{00000000-0005-0000-0000-0000C1210000}"/>
    <cellStyle name="Normal 9 2 2 3 2 5" xfId="3063" xr:uid="{00000000-0005-0000-0000-0000C2210000}"/>
    <cellStyle name="Normal 9 2 2 3 2 5 2" xfId="5292" xr:uid="{00000000-0005-0000-0000-0000C3210000}"/>
    <cellStyle name="Normal 9 2 2 3 2 5 2 2" xfId="9510" xr:uid="{00000000-0005-0000-0000-0000C4210000}"/>
    <cellStyle name="Normal 9 2 2 3 2 5 3" xfId="7365" xr:uid="{00000000-0005-0000-0000-0000C5210000}"/>
    <cellStyle name="Normal 9 2 2 3 2 6" xfId="3499" xr:uid="{00000000-0005-0000-0000-0000C6210000}"/>
    <cellStyle name="Normal 9 2 2 3 2 6 2" xfId="7778" xr:uid="{00000000-0005-0000-0000-0000C7210000}"/>
    <cellStyle name="Normal 9 2 2 3 2 7" xfId="5713" xr:uid="{00000000-0005-0000-0000-0000C8210000}"/>
    <cellStyle name="Normal 9 2 2 3 2 8" xfId="1409" xr:uid="{00000000-0005-0000-0000-0000C9210000}"/>
    <cellStyle name="Normal 9 2 2 3 3" xfId="992" xr:uid="{00000000-0005-0000-0000-0000CA210000}"/>
    <cellStyle name="Normal 9 2 2 3 3 2" xfId="4052" xr:uid="{00000000-0005-0000-0000-0000CB210000}"/>
    <cellStyle name="Normal 9 2 2 3 3 2 2" xfId="8270" xr:uid="{00000000-0005-0000-0000-0000CC210000}"/>
    <cellStyle name="Normal 9 2 2 3 3 3" xfId="6125" xr:uid="{00000000-0005-0000-0000-0000CD210000}"/>
    <cellStyle name="Normal 9 2 2 3 3 4" xfId="1823" xr:uid="{00000000-0005-0000-0000-0000CE210000}"/>
    <cellStyle name="Normal 9 2 2 3 4" xfId="2236" xr:uid="{00000000-0005-0000-0000-0000CF210000}"/>
    <cellStyle name="Normal 9 2 2 3 4 2" xfId="4465" xr:uid="{00000000-0005-0000-0000-0000D0210000}"/>
    <cellStyle name="Normal 9 2 2 3 4 2 2" xfId="8683" xr:uid="{00000000-0005-0000-0000-0000D1210000}"/>
    <cellStyle name="Normal 9 2 2 3 4 3" xfId="6538" xr:uid="{00000000-0005-0000-0000-0000D2210000}"/>
    <cellStyle name="Normal 9 2 2 3 5" xfId="2649" xr:uid="{00000000-0005-0000-0000-0000D3210000}"/>
    <cellStyle name="Normal 9 2 2 3 5 2" xfId="4878" xr:uid="{00000000-0005-0000-0000-0000D4210000}"/>
    <cellStyle name="Normal 9 2 2 3 5 2 2" xfId="9096" xr:uid="{00000000-0005-0000-0000-0000D5210000}"/>
    <cellStyle name="Normal 9 2 2 3 5 3" xfId="6951" xr:uid="{00000000-0005-0000-0000-0000D6210000}"/>
    <cellStyle name="Normal 9 2 2 3 6" xfId="3062" xr:uid="{00000000-0005-0000-0000-0000D7210000}"/>
    <cellStyle name="Normal 9 2 2 3 6 2" xfId="5291" xr:uid="{00000000-0005-0000-0000-0000D8210000}"/>
    <cellStyle name="Normal 9 2 2 3 6 2 2" xfId="9509" xr:uid="{00000000-0005-0000-0000-0000D9210000}"/>
    <cellStyle name="Normal 9 2 2 3 6 3" xfId="7364" xr:uid="{00000000-0005-0000-0000-0000DA210000}"/>
    <cellStyle name="Normal 9 2 2 3 7" xfId="3498" xr:uid="{00000000-0005-0000-0000-0000DB210000}"/>
    <cellStyle name="Normal 9 2 2 3 7 2" xfId="7777" xr:uid="{00000000-0005-0000-0000-0000DC210000}"/>
    <cellStyle name="Normal 9 2 2 3 8" xfId="5712" xr:uid="{00000000-0005-0000-0000-0000DD210000}"/>
    <cellStyle name="Normal 9 2 2 3 9" xfId="1408" xr:uid="{00000000-0005-0000-0000-0000DE210000}"/>
    <cellStyle name="Normal 9 2 2 4" xfId="522" xr:uid="{00000000-0005-0000-0000-0000DF210000}"/>
    <cellStyle name="Normal 9 2 2 4 2" xfId="994" xr:uid="{00000000-0005-0000-0000-0000E0210000}"/>
    <cellStyle name="Normal 9 2 2 4 2 2" xfId="4054" xr:uid="{00000000-0005-0000-0000-0000E1210000}"/>
    <cellStyle name="Normal 9 2 2 4 2 2 2" xfId="8272" xr:uid="{00000000-0005-0000-0000-0000E2210000}"/>
    <cellStyle name="Normal 9 2 2 4 2 3" xfId="6127" xr:uid="{00000000-0005-0000-0000-0000E3210000}"/>
    <cellStyle name="Normal 9 2 2 4 2 4" xfId="1825" xr:uid="{00000000-0005-0000-0000-0000E4210000}"/>
    <cellStyle name="Normal 9 2 2 4 3" xfId="2238" xr:uid="{00000000-0005-0000-0000-0000E5210000}"/>
    <cellStyle name="Normal 9 2 2 4 3 2" xfId="4467" xr:uid="{00000000-0005-0000-0000-0000E6210000}"/>
    <cellStyle name="Normal 9 2 2 4 3 2 2" xfId="8685" xr:uid="{00000000-0005-0000-0000-0000E7210000}"/>
    <cellStyle name="Normal 9 2 2 4 3 3" xfId="6540" xr:uid="{00000000-0005-0000-0000-0000E8210000}"/>
    <cellStyle name="Normal 9 2 2 4 4" xfId="2651" xr:uid="{00000000-0005-0000-0000-0000E9210000}"/>
    <cellStyle name="Normal 9 2 2 4 4 2" xfId="4880" xr:uid="{00000000-0005-0000-0000-0000EA210000}"/>
    <cellStyle name="Normal 9 2 2 4 4 2 2" xfId="9098" xr:uid="{00000000-0005-0000-0000-0000EB210000}"/>
    <cellStyle name="Normal 9 2 2 4 4 3" xfId="6953" xr:uid="{00000000-0005-0000-0000-0000EC210000}"/>
    <cellStyle name="Normal 9 2 2 4 5" xfId="3064" xr:uid="{00000000-0005-0000-0000-0000ED210000}"/>
    <cellStyle name="Normal 9 2 2 4 5 2" xfId="5293" xr:uid="{00000000-0005-0000-0000-0000EE210000}"/>
    <cellStyle name="Normal 9 2 2 4 5 2 2" xfId="9511" xr:uid="{00000000-0005-0000-0000-0000EF210000}"/>
    <cellStyle name="Normal 9 2 2 4 5 3" xfId="7366" xr:uid="{00000000-0005-0000-0000-0000F0210000}"/>
    <cellStyle name="Normal 9 2 2 4 6" xfId="3500" xr:uid="{00000000-0005-0000-0000-0000F1210000}"/>
    <cellStyle name="Normal 9 2 2 4 6 2" xfId="7779" xr:uid="{00000000-0005-0000-0000-0000F2210000}"/>
    <cellStyle name="Normal 9 2 2 4 7" xfId="5714" xr:uid="{00000000-0005-0000-0000-0000F3210000}"/>
    <cellStyle name="Normal 9 2 2 4 8" xfId="1410" xr:uid="{00000000-0005-0000-0000-0000F4210000}"/>
    <cellStyle name="Normal 9 2 2 5" xfId="987" xr:uid="{00000000-0005-0000-0000-0000F5210000}"/>
    <cellStyle name="Normal 9 2 2 5 2" xfId="4047" xr:uid="{00000000-0005-0000-0000-0000F6210000}"/>
    <cellStyle name="Normal 9 2 2 5 2 2" xfId="8265" xr:uid="{00000000-0005-0000-0000-0000F7210000}"/>
    <cellStyle name="Normal 9 2 2 5 3" xfId="6120" xr:uid="{00000000-0005-0000-0000-0000F8210000}"/>
    <cellStyle name="Normal 9 2 2 5 4" xfId="1818" xr:uid="{00000000-0005-0000-0000-0000F9210000}"/>
    <cellStyle name="Normal 9 2 2 6" xfId="2231" xr:uid="{00000000-0005-0000-0000-0000FA210000}"/>
    <cellStyle name="Normal 9 2 2 6 2" xfId="4460" xr:uid="{00000000-0005-0000-0000-0000FB210000}"/>
    <cellStyle name="Normal 9 2 2 6 2 2" xfId="8678" xr:uid="{00000000-0005-0000-0000-0000FC210000}"/>
    <cellStyle name="Normal 9 2 2 6 3" xfId="6533" xr:uid="{00000000-0005-0000-0000-0000FD210000}"/>
    <cellStyle name="Normal 9 2 2 7" xfId="2644" xr:uid="{00000000-0005-0000-0000-0000FE210000}"/>
    <cellStyle name="Normal 9 2 2 7 2" xfId="4873" xr:uid="{00000000-0005-0000-0000-0000FF210000}"/>
    <cellStyle name="Normal 9 2 2 7 2 2" xfId="9091" xr:uid="{00000000-0005-0000-0000-000000220000}"/>
    <cellStyle name="Normal 9 2 2 7 3" xfId="6946" xr:uid="{00000000-0005-0000-0000-000001220000}"/>
    <cellStyle name="Normal 9 2 2 8" xfId="3057" xr:uid="{00000000-0005-0000-0000-000002220000}"/>
    <cellStyle name="Normal 9 2 2 8 2" xfId="5286" xr:uid="{00000000-0005-0000-0000-000003220000}"/>
    <cellStyle name="Normal 9 2 2 8 2 2" xfId="9504" xr:uid="{00000000-0005-0000-0000-000004220000}"/>
    <cellStyle name="Normal 9 2 2 8 3" xfId="7359" xr:uid="{00000000-0005-0000-0000-000005220000}"/>
    <cellStyle name="Normal 9 2 2 9" xfId="3493" xr:uid="{00000000-0005-0000-0000-000006220000}"/>
    <cellStyle name="Normal 9 2 2 9 2" xfId="7772" xr:uid="{00000000-0005-0000-0000-000007220000}"/>
    <cellStyle name="Normal 9 2 3" xfId="523" xr:uid="{00000000-0005-0000-0000-000008220000}"/>
    <cellStyle name="Normal 9 2 3 10" xfId="1411" xr:uid="{00000000-0005-0000-0000-000009220000}"/>
    <cellStyle name="Normal 9 2 3 2" xfId="524" xr:uid="{00000000-0005-0000-0000-00000A220000}"/>
    <cellStyle name="Normal 9 2 3 2 2" xfId="525" xr:uid="{00000000-0005-0000-0000-00000B220000}"/>
    <cellStyle name="Normal 9 2 3 2 2 2" xfId="997" xr:uid="{00000000-0005-0000-0000-00000C220000}"/>
    <cellStyle name="Normal 9 2 3 2 2 2 2" xfId="4057" xr:uid="{00000000-0005-0000-0000-00000D220000}"/>
    <cellStyle name="Normal 9 2 3 2 2 2 2 2" xfId="8275" xr:uid="{00000000-0005-0000-0000-00000E220000}"/>
    <cellStyle name="Normal 9 2 3 2 2 2 3" xfId="6130" xr:uid="{00000000-0005-0000-0000-00000F220000}"/>
    <cellStyle name="Normal 9 2 3 2 2 2 4" xfId="1828" xr:uid="{00000000-0005-0000-0000-000010220000}"/>
    <cellStyle name="Normal 9 2 3 2 2 3" xfId="2241" xr:uid="{00000000-0005-0000-0000-000011220000}"/>
    <cellStyle name="Normal 9 2 3 2 2 3 2" xfId="4470" xr:uid="{00000000-0005-0000-0000-000012220000}"/>
    <cellStyle name="Normal 9 2 3 2 2 3 2 2" xfId="8688" xr:uid="{00000000-0005-0000-0000-000013220000}"/>
    <cellStyle name="Normal 9 2 3 2 2 3 3" xfId="6543" xr:uid="{00000000-0005-0000-0000-000014220000}"/>
    <cellStyle name="Normal 9 2 3 2 2 4" xfId="2654" xr:uid="{00000000-0005-0000-0000-000015220000}"/>
    <cellStyle name="Normal 9 2 3 2 2 4 2" xfId="4883" xr:uid="{00000000-0005-0000-0000-000016220000}"/>
    <cellStyle name="Normal 9 2 3 2 2 4 2 2" xfId="9101" xr:uid="{00000000-0005-0000-0000-000017220000}"/>
    <cellStyle name="Normal 9 2 3 2 2 4 3" xfId="6956" xr:uid="{00000000-0005-0000-0000-000018220000}"/>
    <cellStyle name="Normal 9 2 3 2 2 5" xfId="3067" xr:uid="{00000000-0005-0000-0000-000019220000}"/>
    <cellStyle name="Normal 9 2 3 2 2 5 2" xfId="5296" xr:uid="{00000000-0005-0000-0000-00001A220000}"/>
    <cellStyle name="Normal 9 2 3 2 2 5 2 2" xfId="9514" xr:uid="{00000000-0005-0000-0000-00001B220000}"/>
    <cellStyle name="Normal 9 2 3 2 2 5 3" xfId="7369" xr:uid="{00000000-0005-0000-0000-00001C220000}"/>
    <cellStyle name="Normal 9 2 3 2 2 6" xfId="3503" xr:uid="{00000000-0005-0000-0000-00001D220000}"/>
    <cellStyle name="Normal 9 2 3 2 2 6 2" xfId="7782" xr:uid="{00000000-0005-0000-0000-00001E220000}"/>
    <cellStyle name="Normal 9 2 3 2 2 7" xfId="5717" xr:uid="{00000000-0005-0000-0000-00001F220000}"/>
    <cellStyle name="Normal 9 2 3 2 2 8" xfId="1413" xr:uid="{00000000-0005-0000-0000-000020220000}"/>
    <cellStyle name="Normal 9 2 3 2 3" xfId="996" xr:uid="{00000000-0005-0000-0000-000021220000}"/>
    <cellStyle name="Normal 9 2 3 2 3 2" xfId="4056" xr:uid="{00000000-0005-0000-0000-000022220000}"/>
    <cellStyle name="Normal 9 2 3 2 3 2 2" xfId="8274" xr:uid="{00000000-0005-0000-0000-000023220000}"/>
    <cellStyle name="Normal 9 2 3 2 3 3" xfId="6129" xr:uid="{00000000-0005-0000-0000-000024220000}"/>
    <cellStyle name="Normal 9 2 3 2 3 4" xfId="1827" xr:uid="{00000000-0005-0000-0000-000025220000}"/>
    <cellStyle name="Normal 9 2 3 2 4" xfId="2240" xr:uid="{00000000-0005-0000-0000-000026220000}"/>
    <cellStyle name="Normal 9 2 3 2 4 2" xfId="4469" xr:uid="{00000000-0005-0000-0000-000027220000}"/>
    <cellStyle name="Normal 9 2 3 2 4 2 2" xfId="8687" xr:uid="{00000000-0005-0000-0000-000028220000}"/>
    <cellStyle name="Normal 9 2 3 2 4 3" xfId="6542" xr:uid="{00000000-0005-0000-0000-000029220000}"/>
    <cellStyle name="Normal 9 2 3 2 5" xfId="2653" xr:uid="{00000000-0005-0000-0000-00002A220000}"/>
    <cellStyle name="Normal 9 2 3 2 5 2" xfId="4882" xr:uid="{00000000-0005-0000-0000-00002B220000}"/>
    <cellStyle name="Normal 9 2 3 2 5 2 2" xfId="9100" xr:uid="{00000000-0005-0000-0000-00002C220000}"/>
    <cellStyle name="Normal 9 2 3 2 5 3" xfId="6955" xr:uid="{00000000-0005-0000-0000-00002D220000}"/>
    <cellStyle name="Normal 9 2 3 2 6" xfId="3066" xr:uid="{00000000-0005-0000-0000-00002E220000}"/>
    <cellStyle name="Normal 9 2 3 2 6 2" xfId="5295" xr:uid="{00000000-0005-0000-0000-00002F220000}"/>
    <cellStyle name="Normal 9 2 3 2 6 2 2" xfId="9513" xr:uid="{00000000-0005-0000-0000-000030220000}"/>
    <cellStyle name="Normal 9 2 3 2 6 3" xfId="7368" xr:uid="{00000000-0005-0000-0000-000031220000}"/>
    <cellStyle name="Normal 9 2 3 2 7" xfId="3502" xr:uid="{00000000-0005-0000-0000-000032220000}"/>
    <cellStyle name="Normal 9 2 3 2 7 2" xfId="7781" xr:uid="{00000000-0005-0000-0000-000033220000}"/>
    <cellStyle name="Normal 9 2 3 2 8" xfId="5716" xr:uid="{00000000-0005-0000-0000-000034220000}"/>
    <cellStyle name="Normal 9 2 3 2 9" xfId="1412" xr:uid="{00000000-0005-0000-0000-000035220000}"/>
    <cellStyle name="Normal 9 2 3 3" xfId="526" xr:uid="{00000000-0005-0000-0000-000036220000}"/>
    <cellStyle name="Normal 9 2 3 3 2" xfId="998" xr:uid="{00000000-0005-0000-0000-000037220000}"/>
    <cellStyle name="Normal 9 2 3 3 2 2" xfId="4058" xr:uid="{00000000-0005-0000-0000-000038220000}"/>
    <cellStyle name="Normal 9 2 3 3 2 2 2" xfId="8276" xr:uid="{00000000-0005-0000-0000-000039220000}"/>
    <cellStyle name="Normal 9 2 3 3 2 3" xfId="6131" xr:uid="{00000000-0005-0000-0000-00003A220000}"/>
    <cellStyle name="Normal 9 2 3 3 2 4" xfId="1829" xr:uid="{00000000-0005-0000-0000-00003B220000}"/>
    <cellStyle name="Normal 9 2 3 3 3" xfId="2242" xr:uid="{00000000-0005-0000-0000-00003C220000}"/>
    <cellStyle name="Normal 9 2 3 3 3 2" xfId="4471" xr:uid="{00000000-0005-0000-0000-00003D220000}"/>
    <cellStyle name="Normal 9 2 3 3 3 2 2" xfId="8689" xr:uid="{00000000-0005-0000-0000-00003E220000}"/>
    <cellStyle name="Normal 9 2 3 3 3 3" xfId="6544" xr:uid="{00000000-0005-0000-0000-00003F220000}"/>
    <cellStyle name="Normal 9 2 3 3 4" xfId="2655" xr:uid="{00000000-0005-0000-0000-000040220000}"/>
    <cellStyle name="Normal 9 2 3 3 4 2" xfId="4884" xr:uid="{00000000-0005-0000-0000-000041220000}"/>
    <cellStyle name="Normal 9 2 3 3 4 2 2" xfId="9102" xr:uid="{00000000-0005-0000-0000-000042220000}"/>
    <cellStyle name="Normal 9 2 3 3 4 3" xfId="6957" xr:uid="{00000000-0005-0000-0000-000043220000}"/>
    <cellStyle name="Normal 9 2 3 3 5" xfId="3068" xr:uid="{00000000-0005-0000-0000-000044220000}"/>
    <cellStyle name="Normal 9 2 3 3 5 2" xfId="5297" xr:uid="{00000000-0005-0000-0000-000045220000}"/>
    <cellStyle name="Normal 9 2 3 3 5 2 2" xfId="9515" xr:uid="{00000000-0005-0000-0000-000046220000}"/>
    <cellStyle name="Normal 9 2 3 3 5 3" xfId="7370" xr:uid="{00000000-0005-0000-0000-000047220000}"/>
    <cellStyle name="Normal 9 2 3 3 6" xfId="3504" xr:uid="{00000000-0005-0000-0000-000048220000}"/>
    <cellStyle name="Normal 9 2 3 3 6 2" xfId="7783" xr:uid="{00000000-0005-0000-0000-000049220000}"/>
    <cellStyle name="Normal 9 2 3 3 7" xfId="5718" xr:uid="{00000000-0005-0000-0000-00004A220000}"/>
    <cellStyle name="Normal 9 2 3 3 8" xfId="1414" xr:uid="{00000000-0005-0000-0000-00004B220000}"/>
    <cellStyle name="Normal 9 2 3 4" xfId="995" xr:uid="{00000000-0005-0000-0000-00004C220000}"/>
    <cellStyle name="Normal 9 2 3 4 2" xfId="4055" xr:uid="{00000000-0005-0000-0000-00004D220000}"/>
    <cellStyle name="Normal 9 2 3 4 2 2" xfId="8273" xr:uid="{00000000-0005-0000-0000-00004E220000}"/>
    <cellStyle name="Normal 9 2 3 4 3" xfId="6128" xr:uid="{00000000-0005-0000-0000-00004F220000}"/>
    <cellStyle name="Normal 9 2 3 4 4" xfId="1826" xr:uid="{00000000-0005-0000-0000-000050220000}"/>
    <cellStyle name="Normal 9 2 3 5" xfId="2239" xr:uid="{00000000-0005-0000-0000-000051220000}"/>
    <cellStyle name="Normal 9 2 3 5 2" xfId="4468" xr:uid="{00000000-0005-0000-0000-000052220000}"/>
    <cellStyle name="Normal 9 2 3 5 2 2" xfId="8686" xr:uid="{00000000-0005-0000-0000-000053220000}"/>
    <cellStyle name="Normal 9 2 3 5 3" xfId="6541" xr:uid="{00000000-0005-0000-0000-000054220000}"/>
    <cellStyle name="Normal 9 2 3 6" xfId="2652" xr:uid="{00000000-0005-0000-0000-000055220000}"/>
    <cellStyle name="Normal 9 2 3 6 2" xfId="4881" xr:uid="{00000000-0005-0000-0000-000056220000}"/>
    <cellStyle name="Normal 9 2 3 6 2 2" xfId="9099" xr:uid="{00000000-0005-0000-0000-000057220000}"/>
    <cellStyle name="Normal 9 2 3 6 3" xfId="6954" xr:uid="{00000000-0005-0000-0000-000058220000}"/>
    <cellStyle name="Normal 9 2 3 7" xfId="3065" xr:uid="{00000000-0005-0000-0000-000059220000}"/>
    <cellStyle name="Normal 9 2 3 7 2" xfId="5294" xr:uid="{00000000-0005-0000-0000-00005A220000}"/>
    <cellStyle name="Normal 9 2 3 7 2 2" xfId="9512" xr:uid="{00000000-0005-0000-0000-00005B220000}"/>
    <cellStyle name="Normal 9 2 3 7 3" xfId="7367" xr:uid="{00000000-0005-0000-0000-00005C220000}"/>
    <cellStyle name="Normal 9 2 3 8" xfId="3501" xr:uid="{00000000-0005-0000-0000-00005D220000}"/>
    <cellStyle name="Normal 9 2 3 8 2" xfId="7780" xr:uid="{00000000-0005-0000-0000-00005E220000}"/>
    <cellStyle name="Normal 9 2 3 9" xfId="5715" xr:uid="{00000000-0005-0000-0000-00005F220000}"/>
    <cellStyle name="Normal 9 2 4" xfId="527" xr:uid="{00000000-0005-0000-0000-000060220000}"/>
    <cellStyle name="Normal 9 2 4 2" xfId="528" xr:uid="{00000000-0005-0000-0000-000061220000}"/>
    <cellStyle name="Normal 9 2 4 2 2" xfId="1000" xr:uid="{00000000-0005-0000-0000-000062220000}"/>
    <cellStyle name="Normal 9 2 4 2 2 2" xfId="4060" xr:uid="{00000000-0005-0000-0000-000063220000}"/>
    <cellStyle name="Normal 9 2 4 2 2 2 2" xfId="8278" xr:uid="{00000000-0005-0000-0000-000064220000}"/>
    <cellStyle name="Normal 9 2 4 2 2 3" xfId="6133" xr:uid="{00000000-0005-0000-0000-000065220000}"/>
    <cellStyle name="Normal 9 2 4 2 2 4" xfId="1831" xr:uid="{00000000-0005-0000-0000-000066220000}"/>
    <cellStyle name="Normal 9 2 4 2 3" xfId="2244" xr:uid="{00000000-0005-0000-0000-000067220000}"/>
    <cellStyle name="Normal 9 2 4 2 3 2" xfId="4473" xr:uid="{00000000-0005-0000-0000-000068220000}"/>
    <cellStyle name="Normal 9 2 4 2 3 2 2" xfId="8691" xr:uid="{00000000-0005-0000-0000-000069220000}"/>
    <cellStyle name="Normal 9 2 4 2 3 3" xfId="6546" xr:uid="{00000000-0005-0000-0000-00006A220000}"/>
    <cellStyle name="Normal 9 2 4 2 4" xfId="2657" xr:uid="{00000000-0005-0000-0000-00006B220000}"/>
    <cellStyle name="Normal 9 2 4 2 4 2" xfId="4886" xr:uid="{00000000-0005-0000-0000-00006C220000}"/>
    <cellStyle name="Normal 9 2 4 2 4 2 2" xfId="9104" xr:uid="{00000000-0005-0000-0000-00006D220000}"/>
    <cellStyle name="Normal 9 2 4 2 4 3" xfId="6959" xr:uid="{00000000-0005-0000-0000-00006E220000}"/>
    <cellStyle name="Normal 9 2 4 2 5" xfId="3070" xr:uid="{00000000-0005-0000-0000-00006F220000}"/>
    <cellStyle name="Normal 9 2 4 2 5 2" xfId="5299" xr:uid="{00000000-0005-0000-0000-000070220000}"/>
    <cellStyle name="Normal 9 2 4 2 5 2 2" xfId="9517" xr:uid="{00000000-0005-0000-0000-000071220000}"/>
    <cellStyle name="Normal 9 2 4 2 5 3" xfId="7372" xr:uid="{00000000-0005-0000-0000-000072220000}"/>
    <cellStyle name="Normal 9 2 4 2 6" xfId="3506" xr:uid="{00000000-0005-0000-0000-000073220000}"/>
    <cellStyle name="Normal 9 2 4 2 6 2" xfId="7785" xr:uid="{00000000-0005-0000-0000-000074220000}"/>
    <cellStyle name="Normal 9 2 4 2 7" xfId="5720" xr:uid="{00000000-0005-0000-0000-000075220000}"/>
    <cellStyle name="Normal 9 2 4 2 8" xfId="1416" xr:uid="{00000000-0005-0000-0000-000076220000}"/>
    <cellStyle name="Normal 9 2 4 3" xfId="999" xr:uid="{00000000-0005-0000-0000-000077220000}"/>
    <cellStyle name="Normal 9 2 4 3 2" xfId="4059" xr:uid="{00000000-0005-0000-0000-000078220000}"/>
    <cellStyle name="Normal 9 2 4 3 2 2" xfId="8277" xr:uid="{00000000-0005-0000-0000-000079220000}"/>
    <cellStyle name="Normal 9 2 4 3 3" xfId="6132" xr:uid="{00000000-0005-0000-0000-00007A220000}"/>
    <cellStyle name="Normal 9 2 4 3 4" xfId="1830" xr:uid="{00000000-0005-0000-0000-00007B220000}"/>
    <cellStyle name="Normal 9 2 4 4" xfId="2243" xr:uid="{00000000-0005-0000-0000-00007C220000}"/>
    <cellStyle name="Normal 9 2 4 4 2" xfId="4472" xr:uid="{00000000-0005-0000-0000-00007D220000}"/>
    <cellStyle name="Normal 9 2 4 4 2 2" xfId="8690" xr:uid="{00000000-0005-0000-0000-00007E220000}"/>
    <cellStyle name="Normal 9 2 4 4 3" xfId="6545" xr:uid="{00000000-0005-0000-0000-00007F220000}"/>
    <cellStyle name="Normal 9 2 4 5" xfId="2656" xr:uid="{00000000-0005-0000-0000-000080220000}"/>
    <cellStyle name="Normal 9 2 4 5 2" xfId="4885" xr:uid="{00000000-0005-0000-0000-000081220000}"/>
    <cellStyle name="Normal 9 2 4 5 2 2" xfId="9103" xr:uid="{00000000-0005-0000-0000-000082220000}"/>
    <cellStyle name="Normal 9 2 4 5 3" xfId="6958" xr:uid="{00000000-0005-0000-0000-000083220000}"/>
    <cellStyle name="Normal 9 2 4 6" xfId="3069" xr:uid="{00000000-0005-0000-0000-000084220000}"/>
    <cellStyle name="Normal 9 2 4 6 2" xfId="5298" xr:uid="{00000000-0005-0000-0000-000085220000}"/>
    <cellStyle name="Normal 9 2 4 6 2 2" xfId="9516" xr:uid="{00000000-0005-0000-0000-000086220000}"/>
    <cellStyle name="Normal 9 2 4 6 3" xfId="7371" xr:uid="{00000000-0005-0000-0000-000087220000}"/>
    <cellStyle name="Normal 9 2 4 7" xfId="3505" xr:uid="{00000000-0005-0000-0000-000088220000}"/>
    <cellStyle name="Normal 9 2 4 7 2" xfId="7784" xr:uid="{00000000-0005-0000-0000-000089220000}"/>
    <cellStyle name="Normal 9 2 4 8" xfId="5719" xr:uid="{00000000-0005-0000-0000-00008A220000}"/>
    <cellStyle name="Normal 9 2 4 9" xfId="1415" xr:uid="{00000000-0005-0000-0000-00008B220000}"/>
    <cellStyle name="Normal 9 2 5" xfId="529" xr:uid="{00000000-0005-0000-0000-00008C220000}"/>
    <cellStyle name="Normal 9 2 5 2" xfId="1001" xr:uid="{00000000-0005-0000-0000-00008D220000}"/>
    <cellStyle name="Normal 9 2 5 2 2" xfId="4061" xr:uid="{00000000-0005-0000-0000-00008E220000}"/>
    <cellStyle name="Normal 9 2 5 2 2 2" xfId="8279" xr:uid="{00000000-0005-0000-0000-00008F220000}"/>
    <cellStyle name="Normal 9 2 5 2 3" xfId="6134" xr:uid="{00000000-0005-0000-0000-000090220000}"/>
    <cellStyle name="Normal 9 2 5 2 4" xfId="1832" xr:uid="{00000000-0005-0000-0000-000091220000}"/>
    <cellStyle name="Normal 9 2 5 3" xfId="2245" xr:uid="{00000000-0005-0000-0000-000092220000}"/>
    <cellStyle name="Normal 9 2 5 3 2" xfId="4474" xr:uid="{00000000-0005-0000-0000-000093220000}"/>
    <cellStyle name="Normal 9 2 5 3 2 2" xfId="8692" xr:uid="{00000000-0005-0000-0000-000094220000}"/>
    <cellStyle name="Normal 9 2 5 3 3" xfId="6547" xr:uid="{00000000-0005-0000-0000-000095220000}"/>
    <cellStyle name="Normal 9 2 5 4" xfId="2658" xr:uid="{00000000-0005-0000-0000-000096220000}"/>
    <cellStyle name="Normal 9 2 5 4 2" xfId="4887" xr:uid="{00000000-0005-0000-0000-000097220000}"/>
    <cellStyle name="Normal 9 2 5 4 2 2" xfId="9105" xr:uid="{00000000-0005-0000-0000-000098220000}"/>
    <cellStyle name="Normal 9 2 5 4 3" xfId="6960" xr:uid="{00000000-0005-0000-0000-000099220000}"/>
    <cellStyle name="Normal 9 2 5 5" xfId="3071" xr:uid="{00000000-0005-0000-0000-00009A220000}"/>
    <cellStyle name="Normal 9 2 5 5 2" xfId="5300" xr:uid="{00000000-0005-0000-0000-00009B220000}"/>
    <cellStyle name="Normal 9 2 5 5 2 2" xfId="9518" xr:uid="{00000000-0005-0000-0000-00009C220000}"/>
    <cellStyle name="Normal 9 2 5 5 3" xfId="7373" xr:uid="{00000000-0005-0000-0000-00009D220000}"/>
    <cellStyle name="Normal 9 2 5 6" xfId="3507" xr:uid="{00000000-0005-0000-0000-00009E220000}"/>
    <cellStyle name="Normal 9 2 5 6 2" xfId="7786" xr:uid="{00000000-0005-0000-0000-00009F220000}"/>
    <cellStyle name="Normal 9 2 5 7" xfId="5721" xr:uid="{00000000-0005-0000-0000-0000A0220000}"/>
    <cellStyle name="Normal 9 2 5 8" xfId="1417" xr:uid="{00000000-0005-0000-0000-0000A1220000}"/>
    <cellStyle name="Normal 9 2 6" xfId="986" xr:uid="{00000000-0005-0000-0000-0000A2220000}"/>
    <cellStyle name="Normal 9 2 6 2" xfId="4046" xr:uid="{00000000-0005-0000-0000-0000A3220000}"/>
    <cellStyle name="Normal 9 2 6 2 2" xfId="8264" xr:uid="{00000000-0005-0000-0000-0000A4220000}"/>
    <cellStyle name="Normal 9 2 6 3" xfId="6119" xr:uid="{00000000-0005-0000-0000-0000A5220000}"/>
    <cellStyle name="Normal 9 2 6 4" xfId="1817" xr:uid="{00000000-0005-0000-0000-0000A6220000}"/>
    <cellStyle name="Normal 9 2 7" xfId="2230" xr:uid="{00000000-0005-0000-0000-0000A7220000}"/>
    <cellStyle name="Normal 9 2 7 2" xfId="4459" xr:uid="{00000000-0005-0000-0000-0000A8220000}"/>
    <cellStyle name="Normal 9 2 7 2 2" xfId="8677" xr:uid="{00000000-0005-0000-0000-0000A9220000}"/>
    <cellStyle name="Normal 9 2 7 3" xfId="6532" xr:uid="{00000000-0005-0000-0000-0000AA220000}"/>
    <cellStyle name="Normal 9 2 8" xfId="2643" xr:uid="{00000000-0005-0000-0000-0000AB220000}"/>
    <cellStyle name="Normal 9 2 8 2" xfId="4872" xr:uid="{00000000-0005-0000-0000-0000AC220000}"/>
    <cellStyle name="Normal 9 2 8 2 2" xfId="9090" xr:uid="{00000000-0005-0000-0000-0000AD220000}"/>
    <cellStyle name="Normal 9 2 8 3" xfId="6945" xr:uid="{00000000-0005-0000-0000-0000AE220000}"/>
    <cellStyle name="Normal 9 2 9" xfId="3056" xr:uid="{00000000-0005-0000-0000-0000AF220000}"/>
    <cellStyle name="Normal 9 2 9 2" xfId="5285" xr:uid="{00000000-0005-0000-0000-0000B0220000}"/>
    <cellStyle name="Normal 9 2 9 2 2" xfId="9503" xr:uid="{00000000-0005-0000-0000-0000B1220000}"/>
    <cellStyle name="Normal 9 2 9 3" xfId="7358" xr:uid="{00000000-0005-0000-0000-0000B2220000}"/>
    <cellStyle name="Normal 9 3" xfId="530" xr:uid="{00000000-0005-0000-0000-0000B3220000}"/>
    <cellStyle name="Normal 9 3 10" xfId="5722" xr:uid="{00000000-0005-0000-0000-0000B4220000}"/>
    <cellStyle name="Normal 9 3 11" xfId="1418" xr:uid="{00000000-0005-0000-0000-0000B5220000}"/>
    <cellStyle name="Normal 9 3 2" xfId="531" xr:uid="{00000000-0005-0000-0000-0000B6220000}"/>
    <cellStyle name="Normal 9 3 2 10" xfId="1419" xr:uid="{00000000-0005-0000-0000-0000B7220000}"/>
    <cellStyle name="Normal 9 3 2 2" xfId="532" xr:uid="{00000000-0005-0000-0000-0000B8220000}"/>
    <cellStyle name="Normal 9 3 2 2 2" xfId="533" xr:uid="{00000000-0005-0000-0000-0000B9220000}"/>
    <cellStyle name="Normal 9 3 2 2 2 2" xfId="1005" xr:uid="{00000000-0005-0000-0000-0000BA220000}"/>
    <cellStyle name="Normal 9 3 2 2 2 2 2" xfId="4065" xr:uid="{00000000-0005-0000-0000-0000BB220000}"/>
    <cellStyle name="Normal 9 3 2 2 2 2 2 2" xfId="8283" xr:uid="{00000000-0005-0000-0000-0000BC220000}"/>
    <cellStyle name="Normal 9 3 2 2 2 2 3" xfId="6138" xr:uid="{00000000-0005-0000-0000-0000BD220000}"/>
    <cellStyle name="Normal 9 3 2 2 2 2 4" xfId="1836" xr:uid="{00000000-0005-0000-0000-0000BE220000}"/>
    <cellStyle name="Normal 9 3 2 2 2 3" xfId="2249" xr:uid="{00000000-0005-0000-0000-0000BF220000}"/>
    <cellStyle name="Normal 9 3 2 2 2 3 2" xfId="4478" xr:uid="{00000000-0005-0000-0000-0000C0220000}"/>
    <cellStyle name="Normal 9 3 2 2 2 3 2 2" xfId="8696" xr:uid="{00000000-0005-0000-0000-0000C1220000}"/>
    <cellStyle name="Normal 9 3 2 2 2 3 3" xfId="6551" xr:uid="{00000000-0005-0000-0000-0000C2220000}"/>
    <cellStyle name="Normal 9 3 2 2 2 4" xfId="2662" xr:uid="{00000000-0005-0000-0000-0000C3220000}"/>
    <cellStyle name="Normal 9 3 2 2 2 4 2" xfId="4891" xr:uid="{00000000-0005-0000-0000-0000C4220000}"/>
    <cellStyle name="Normal 9 3 2 2 2 4 2 2" xfId="9109" xr:uid="{00000000-0005-0000-0000-0000C5220000}"/>
    <cellStyle name="Normal 9 3 2 2 2 4 3" xfId="6964" xr:uid="{00000000-0005-0000-0000-0000C6220000}"/>
    <cellStyle name="Normal 9 3 2 2 2 5" xfId="3075" xr:uid="{00000000-0005-0000-0000-0000C7220000}"/>
    <cellStyle name="Normal 9 3 2 2 2 5 2" xfId="5304" xr:uid="{00000000-0005-0000-0000-0000C8220000}"/>
    <cellStyle name="Normal 9 3 2 2 2 5 2 2" xfId="9522" xr:uid="{00000000-0005-0000-0000-0000C9220000}"/>
    <cellStyle name="Normal 9 3 2 2 2 5 3" xfId="7377" xr:uid="{00000000-0005-0000-0000-0000CA220000}"/>
    <cellStyle name="Normal 9 3 2 2 2 6" xfId="3511" xr:uid="{00000000-0005-0000-0000-0000CB220000}"/>
    <cellStyle name="Normal 9 3 2 2 2 6 2" xfId="7790" xr:uid="{00000000-0005-0000-0000-0000CC220000}"/>
    <cellStyle name="Normal 9 3 2 2 2 7" xfId="5725" xr:uid="{00000000-0005-0000-0000-0000CD220000}"/>
    <cellStyle name="Normal 9 3 2 2 2 8" xfId="1421" xr:uid="{00000000-0005-0000-0000-0000CE220000}"/>
    <cellStyle name="Normal 9 3 2 2 3" xfId="1004" xr:uid="{00000000-0005-0000-0000-0000CF220000}"/>
    <cellStyle name="Normal 9 3 2 2 3 2" xfId="4064" xr:uid="{00000000-0005-0000-0000-0000D0220000}"/>
    <cellStyle name="Normal 9 3 2 2 3 2 2" xfId="8282" xr:uid="{00000000-0005-0000-0000-0000D1220000}"/>
    <cellStyle name="Normal 9 3 2 2 3 3" xfId="6137" xr:uid="{00000000-0005-0000-0000-0000D2220000}"/>
    <cellStyle name="Normal 9 3 2 2 3 4" xfId="1835" xr:uid="{00000000-0005-0000-0000-0000D3220000}"/>
    <cellStyle name="Normal 9 3 2 2 4" xfId="2248" xr:uid="{00000000-0005-0000-0000-0000D4220000}"/>
    <cellStyle name="Normal 9 3 2 2 4 2" xfId="4477" xr:uid="{00000000-0005-0000-0000-0000D5220000}"/>
    <cellStyle name="Normal 9 3 2 2 4 2 2" xfId="8695" xr:uid="{00000000-0005-0000-0000-0000D6220000}"/>
    <cellStyle name="Normal 9 3 2 2 4 3" xfId="6550" xr:uid="{00000000-0005-0000-0000-0000D7220000}"/>
    <cellStyle name="Normal 9 3 2 2 5" xfId="2661" xr:uid="{00000000-0005-0000-0000-0000D8220000}"/>
    <cellStyle name="Normal 9 3 2 2 5 2" xfId="4890" xr:uid="{00000000-0005-0000-0000-0000D9220000}"/>
    <cellStyle name="Normal 9 3 2 2 5 2 2" xfId="9108" xr:uid="{00000000-0005-0000-0000-0000DA220000}"/>
    <cellStyle name="Normal 9 3 2 2 5 3" xfId="6963" xr:uid="{00000000-0005-0000-0000-0000DB220000}"/>
    <cellStyle name="Normal 9 3 2 2 6" xfId="3074" xr:uid="{00000000-0005-0000-0000-0000DC220000}"/>
    <cellStyle name="Normal 9 3 2 2 6 2" xfId="5303" xr:uid="{00000000-0005-0000-0000-0000DD220000}"/>
    <cellStyle name="Normal 9 3 2 2 6 2 2" xfId="9521" xr:uid="{00000000-0005-0000-0000-0000DE220000}"/>
    <cellStyle name="Normal 9 3 2 2 6 3" xfId="7376" xr:uid="{00000000-0005-0000-0000-0000DF220000}"/>
    <cellStyle name="Normal 9 3 2 2 7" xfId="3510" xr:uid="{00000000-0005-0000-0000-0000E0220000}"/>
    <cellStyle name="Normal 9 3 2 2 7 2" xfId="7789" xr:uid="{00000000-0005-0000-0000-0000E1220000}"/>
    <cellStyle name="Normal 9 3 2 2 8" xfId="5724" xr:uid="{00000000-0005-0000-0000-0000E2220000}"/>
    <cellStyle name="Normal 9 3 2 2 9" xfId="1420" xr:uid="{00000000-0005-0000-0000-0000E3220000}"/>
    <cellStyle name="Normal 9 3 2 3" xfId="534" xr:uid="{00000000-0005-0000-0000-0000E4220000}"/>
    <cellStyle name="Normal 9 3 2 3 2" xfId="1006" xr:uid="{00000000-0005-0000-0000-0000E5220000}"/>
    <cellStyle name="Normal 9 3 2 3 2 2" xfId="4066" xr:uid="{00000000-0005-0000-0000-0000E6220000}"/>
    <cellStyle name="Normal 9 3 2 3 2 2 2" xfId="8284" xr:uid="{00000000-0005-0000-0000-0000E7220000}"/>
    <cellStyle name="Normal 9 3 2 3 2 3" xfId="6139" xr:uid="{00000000-0005-0000-0000-0000E8220000}"/>
    <cellStyle name="Normal 9 3 2 3 2 4" xfId="1837" xr:uid="{00000000-0005-0000-0000-0000E9220000}"/>
    <cellStyle name="Normal 9 3 2 3 3" xfId="2250" xr:uid="{00000000-0005-0000-0000-0000EA220000}"/>
    <cellStyle name="Normal 9 3 2 3 3 2" xfId="4479" xr:uid="{00000000-0005-0000-0000-0000EB220000}"/>
    <cellStyle name="Normal 9 3 2 3 3 2 2" xfId="8697" xr:uid="{00000000-0005-0000-0000-0000EC220000}"/>
    <cellStyle name="Normal 9 3 2 3 3 3" xfId="6552" xr:uid="{00000000-0005-0000-0000-0000ED220000}"/>
    <cellStyle name="Normal 9 3 2 3 4" xfId="2663" xr:uid="{00000000-0005-0000-0000-0000EE220000}"/>
    <cellStyle name="Normal 9 3 2 3 4 2" xfId="4892" xr:uid="{00000000-0005-0000-0000-0000EF220000}"/>
    <cellStyle name="Normal 9 3 2 3 4 2 2" xfId="9110" xr:uid="{00000000-0005-0000-0000-0000F0220000}"/>
    <cellStyle name="Normal 9 3 2 3 4 3" xfId="6965" xr:uid="{00000000-0005-0000-0000-0000F1220000}"/>
    <cellStyle name="Normal 9 3 2 3 5" xfId="3076" xr:uid="{00000000-0005-0000-0000-0000F2220000}"/>
    <cellStyle name="Normal 9 3 2 3 5 2" xfId="5305" xr:uid="{00000000-0005-0000-0000-0000F3220000}"/>
    <cellStyle name="Normal 9 3 2 3 5 2 2" xfId="9523" xr:uid="{00000000-0005-0000-0000-0000F4220000}"/>
    <cellStyle name="Normal 9 3 2 3 5 3" xfId="7378" xr:uid="{00000000-0005-0000-0000-0000F5220000}"/>
    <cellStyle name="Normal 9 3 2 3 6" xfId="3512" xr:uid="{00000000-0005-0000-0000-0000F6220000}"/>
    <cellStyle name="Normal 9 3 2 3 6 2" xfId="7791" xr:uid="{00000000-0005-0000-0000-0000F7220000}"/>
    <cellStyle name="Normal 9 3 2 3 7" xfId="5726" xr:uid="{00000000-0005-0000-0000-0000F8220000}"/>
    <cellStyle name="Normal 9 3 2 3 8" xfId="1422" xr:uid="{00000000-0005-0000-0000-0000F9220000}"/>
    <cellStyle name="Normal 9 3 2 4" xfId="1003" xr:uid="{00000000-0005-0000-0000-0000FA220000}"/>
    <cellStyle name="Normal 9 3 2 4 2" xfId="4063" xr:uid="{00000000-0005-0000-0000-0000FB220000}"/>
    <cellStyle name="Normal 9 3 2 4 2 2" xfId="8281" xr:uid="{00000000-0005-0000-0000-0000FC220000}"/>
    <cellStyle name="Normal 9 3 2 4 3" xfId="6136" xr:uid="{00000000-0005-0000-0000-0000FD220000}"/>
    <cellStyle name="Normal 9 3 2 4 4" xfId="1834" xr:uid="{00000000-0005-0000-0000-0000FE220000}"/>
    <cellStyle name="Normal 9 3 2 5" xfId="2247" xr:uid="{00000000-0005-0000-0000-0000FF220000}"/>
    <cellStyle name="Normal 9 3 2 5 2" xfId="4476" xr:uid="{00000000-0005-0000-0000-000000230000}"/>
    <cellStyle name="Normal 9 3 2 5 2 2" xfId="8694" xr:uid="{00000000-0005-0000-0000-000001230000}"/>
    <cellStyle name="Normal 9 3 2 5 3" xfId="6549" xr:uid="{00000000-0005-0000-0000-000002230000}"/>
    <cellStyle name="Normal 9 3 2 6" xfId="2660" xr:uid="{00000000-0005-0000-0000-000003230000}"/>
    <cellStyle name="Normal 9 3 2 6 2" xfId="4889" xr:uid="{00000000-0005-0000-0000-000004230000}"/>
    <cellStyle name="Normal 9 3 2 6 2 2" xfId="9107" xr:uid="{00000000-0005-0000-0000-000005230000}"/>
    <cellStyle name="Normal 9 3 2 6 3" xfId="6962" xr:uid="{00000000-0005-0000-0000-000006230000}"/>
    <cellStyle name="Normal 9 3 2 7" xfId="3073" xr:uid="{00000000-0005-0000-0000-000007230000}"/>
    <cellStyle name="Normal 9 3 2 7 2" xfId="5302" xr:uid="{00000000-0005-0000-0000-000008230000}"/>
    <cellStyle name="Normal 9 3 2 7 2 2" xfId="9520" xr:uid="{00000000-0005-0000-0000-000009230000}"/>
    <cellStyle name="Normal 9 3 2 7 3" xfId="7375" xr:uid="{00000000-0005-0000-0000-00000A230000}"/>
    <cellStyle name="Normal 9 3 2 8" xfId="3509" xr:uid="{00000000-0005-0000-0000-00000B230000}"/>
    <cellStyle name="Normal 9 3 2 8 2" xfId="7788" xr:uid="{00000000-0005-0000-0000-00000C230000}"/>
    <cellStyle name="Normal 9 3 2 9" xfId="5723" xr:uid="{00000000-0005-0000-0000-00000D230000}"/>
    <cellStyle name="Normal 9 3 3" xfId="535" xr:uid="{00000000-0005-0000-0000-00000E230000}"/>
    <cellStyle name="Normal 9 3 3 2" xfId="536" xr:uid="{00000000-0005-0000-0000-00000F230000}"/>
    <cellStyle name="Normal 9 3 3 2 2" xfId="1008" xr:uid="{00000000-0005-0000-0000-000010230000}"/>
    <cellStyle name="Normal 9 3 3 2 2 2" xfId="4068" xr:uid="{00000000-0005-0000-0000-000011230000}"/>
    <cellStyle name="Normal 9 3 3 2 2 2 2" xfId="8286" xr:uid="{00000000-0005-0000-0000-000012230000}"/>
    <cellStyle name="Normal 9 3 3 2 2 3" xfId="6141" xr:uid="{00000000-0005-0000-0000-000013230000}"/>
    <cellStyle name="Normal 9 3 3 2 2 4" xfId="1839" xr:uid="{00000000-0005-0000-0000-000014230000}"/>
    <cellStyle name="Normal 9 3 3 2 3" xfId="2252" xr:uid="{00000000-0005-0000-0000-000015230000}"/>
    <cellStyle name="Normal 9 3 3 2 3 2" xfId="4481" xr:uid="{00000000-0005-0000-0000-000016230000}"/>
    <cellStyle name="Normal 9 3 3 2 3 2 2" xfId="8699" xr:uid="{00000000-0005-0000-0000-000017230000}"/>
    <cellStyle name="Normal 9 3 3 2 3 3" xfId="6554" xr:uid="{00000000-0005-0000-0000-000018230000}"/>
    <cellStyle name="Normal 9 3 3 2 4" xfId="2665" xr:uid="{00000000-0005-0000-0000-000019230000}"/>
    <cellStyle name="Normal 9 3 3 2 4 2" xfId="4894" xr:uid="{00000000-0005-0000-0000-00001A230000}"/>
    <cellStyle name="Normal 9 3 3 2 4 2 2" xfId="9112" xr:uid="{00000000-0005-0000-0000-00001B230000}"/>
    <cellStyle name="Normal 9 3 3 2 4 3" xfId="6967" xr:uid="{00000000-0005-0000-0000-00001C230000}"/>
    <cellStyle name="Normal 9 3 3 2 5" xfId="3078" xr:uid="{00000000-0005-0000-0000-00001D230000}"/>
    <cellStyle name="Normal 9 3 3 2 5 2" xfId="5307" xr:uid="{00000000-0005-0000-0000-00001E230000}"/>
    <cellStyle name="Normal 9 3 3 2 5 2 2" xfId="9525" xr:uid="{00000000-0005-0000-0000-00001F230000}"/>
    <cellStyle name="Normal 9 3 3 2 5 3" xfId="7380" xr:uid="{00000000-0005-0000-0000-000020230000}"/>
    <cellStyle name="Normal 9 3 3 2 6" xfId="3514" xr:uid="{00000000-0005-0000-0000-000021230000}"/>
    <cellStyle name="Normal 9 3 3 2 6 2" xfId="7793" xr:uid="{00000000-0005-0000-0000-000022230000}"/>
    <cellStyle name="Normal 9 3 3 2 7" xfId="5728" xr:uid="{00000000-0005-0000-0000-000023230000}"/>
    <cellStyle name="Normal 9 3 3 2 8" xfId="1424" xr:uid="{00000000-0005-0000-0000-000024230000}"/>
    <cellStyle name="Normal 9 3 3 3" xfId="1007" xr:uid="{00000000-0005-0000-0000-000025230000}"/>
    <cellStyle name="Normal 9 3 3 3 2" xfId="4067" xr:uid="{00000000-0005-0000-0000-000026230000}"/>
    <cellStyle name="Normal 9 3 3 3 2 2" xfId="8285" xr:uid="{00000000-0005-0000-0000-000027230000}"/>
    <cellStyle name="Normal 9 3 3 3 3" xfId="6140" xr:uid="{00000000-0005-0000-0000-000028230000}"/>
    <cellStyle name="Normal 9 3 3 3 4" xfId="1838" xr:uid="{00000000-0005-0000-0000-000029230000}"/>
    <cellStyle name="Normal 9 3 3 4" xfId="2251" xr:uid="{00000000-0005-0000-0000-00002A230000}"/>
    <cellStyle name="Normal 9 3 3 4 2" xfId="4480" xr:uid="{00000000-0005-0000-0000-00002B230000}"/>
    <cellStyle name="Normal 9 3 3 4 2 2" xfId="8698" xr:uid="{00000000-0005-0000-0000-00002C230000}"/>
    <cellStyle name="Normal 9 3 3 4 3" xfId="6553" xr:uid="{00000000-0005-0000-0000-00002D230000}"/>
    <cellStyle name="Normal 9 3 3 5" xfId="2664" xr:uid="{00000000-0005-0000-0000-00002E230000}"/>
    <cellStyle name="Normal 9 3 3 5 2" xfId="4893" xr:uid="{00000000-0005-0000-0000-00002F230000}"/>
    <cellStyle name="Normal 9 3 3 5 2 2" xfId="9111" xr:uid="{00000000-0005-0000-0000-000030230000}"/>
    <cellStyle name="Normal 9 3 3 5 3" xfId="6966" xr:uid="{00000000-0005-0000-0000-000031230000}"/>
    <cellStyle name="Normal 9 3 3 6" xfId="3077" xr:uid="{00000000-0005-0000-0000-000032230000}"/>
    <cellStyle name="Normal 9 3 3 6 2" xfId="5306" xr:uid="{00000000-0005-0000-0000-000033230000}"/>
    <cellStyle name="Normal 9 3 3 6 2 2" xfId="9524" xr:uid="{00000000-0005-0000-0000-000034230000}"/>
    <cellStyle name="Normal 9 3 3 6 3" xfId="7379" xr:uid="{00000000-0005-0000-0000-000035230000}"/>
    <cellStyle name="Normal 9 3 3 7" xfId="3513" xr:uid="{00000000-0005-0000-0000-000036230000}"/>
    <cellStyle name="Normal 9 3 3 7 2" xfId="7792" xr:uid="{00000000-0005-0000-0000-000037230000}"/>
    <cellStyle name="Normal 9 3 3 8" xfId="5727" xr:uid="{00000000-0005-0000-0000-000038230000}"/>
    <cellStyle name="Normal 9 3 3 9" xfId="1423" xr:uid="{00000000-0005-0000-0000-000039230000}"/>
    <cellStyle name="Normal 9 3 4" xfId="537" xr:uid="{00000000-0005-0000-0000-00003A230000}"/>
    <cellStyle name="Normal 9 3 4 2" xfId="1009" xr:uid="{00000000-0005-0000-0000-00003B230000}"/>
    <cellStyle name="Normal 9 3 4 2 2" xfId="4069" xr:uid="{00000000-0005-0000-0000-00003C230000}"/>
    <cellStyle name="Normal 9 3 4 2 2 2" xfId="8287" xr:uid="{00000000-0005-0000-0000-00003D230000}"/>
    <cellStyle name="Normal 9 3 4 2 3" xfId="6142" xr:uid="{00000000-0005-0000-0000-00003E230000}"/>
    <cellStyle name="Normal 9 3 4 2 4" xfId="1840" xr:uid="{00000000-0005-0000-0000-00003F230000}"/>
    <cellStyle name="Normal 9 3 4 3" xfId="2253" xr:uid="{00000000-0005-0000-0000-000040230000}"/>
    <cellStyle name="Normal 9 3 4 3 2" xfId="4482" xr:uid="{00000000-0005-0000-0000-000041230000}"/>
    <cellStyle name="Normal 9 3 4 3 2 2" xfId="8700" xr:uid="{00000000-0005-0000-0000-000042230000}"/>
    <cellStyle name="Normal 9 3 4 3 3" xfId="6555" xr:uid="{00000000-0005-0000-0000-000043230000}"/>
    <cellStyle name="Normal 9 3 4 4" xfId="2666" xr:uid="{00000000-0005-0000-0000-000044230000}"/>
    <cellStyle name="Normal 9 3 4 4 2" xfId="4895" xr:uid="{00000000-0005-0000-0000-000045230000}"/>
    <cellStyle name="Normal 9 3 4 4 2 2" xfId="9113" xr:uid="{00000000-0005-0000-0000-000046230000}"/>
    <cellStyle name="Normal 9 3 4 4 3" xfId="6968" xr:uid="{00000000-0005-0000-0000-000047230000}"/>
    <cellStyle name="Normal 9 3 4 5" xfId="3079" xr:uid="{00000000-0005-0000-0000-000048230000}"/>
    <cellStyle name="Normal 9 3 4 5 2" xfId="5308" xr:uid="{00000000-0005-0000-0000-000049230000}"/>
    <cellStyle name="Normal 9 3 4 5 2 2" xfId="9526" xr:uid="{00000000-0005-0000-0000-00004A230000}"/>
    <cellStyle name="Normal 9 3 4 5 3" xfId="7381" xr:uid="{00000000-0005-0000-0000-00004B230000}"/>
    <cellStyle name="Normal 9 3 4 6" xfId="3515" xr:uid="{00000000-0005-0000-0000-00004C230000}"/>
    <cellStyle name="Normal 9 3 4 6 2" xfId="7794" xr:uid="{00000000-0005-0000-0000-00004D230000}"/>
    <cellStyle name="Normal 9 3 4 7" xfId="5729" xr:uid="{00000000-0005-0000-0000-00004E230000}"/>
    <cellStyle name="Normal 9 3 4 8" xfId="1425" xr:uid="{00000000-0005-0000-0000-00004F230000}"/>
    <cellStyle name="Normal 9 3 5" xfId="1002" xr:uid="{00000000-0005-0000-0000-000050230000}"/>
    <cellStyle name="Normal 9 3 5 2" xfId="4062" xr:uid="{00000000-0005-0000-0000-000051230000}"/>
    <cellStyle name="Normal 9 3 5 2 2" xfId="8280" xr:uid="{00000000-0005-0000-0000-000052230000}"/>
    <cellStyle name="Normal 9 3 5 3" xfId="6135" xr:uid="{00000000-0005-0000-0000-000053230000}"/>
    <cellStyle name="Normal 9 3 5 4" xfId="1833" xr:uid="{00000000-0005-0000-0000-000054230000}"/>
    <cellStyle name="Normal 9 3 6" xfId="2246" xr:uid="{00000000-0005-0000-0000-000055230000}"/>
    <cellStyle name="Normal 9 3 6 2" xfId="4475" xr:uid="{00000000-0005-0000-0000-000056230000}"/>
    <cellStyle name="Normal 9 3 6 2 2" xfId="8693" xr:uid="{00000000-0005-0000-0000-000057230000}"/>
    <cellStyle name="Normal 9 3 6 3" xfId="6548" xr:uid="{00000000-0005-0000-0000-000058230000}"/>
    <cellStyle name="Normal 9 3 7" xfId="2659" xr:uid="{00000000-0005-0000-0000-000059230000}"/>
    <cellStyle name="Normal 9 3 7 2" xfId="4888" xr:uid="{00000000-0005-0000-0000-00005A230000}"/>
    <cellStyle name="Normal 9 3 7 2 2" xfId="9106" xr:uid="{00000000-0005-0000-0000-00005B230000}"/>
    <cellStyle name="Normal 9 3 7 3" xfId="6961" xr:uid="{00000000-0005-0000-0000-00005C230000}"/>
    <cellStyle name="Normal 9 3 8" xfId="3072" xr:uid="{00000000-0005-0000-0000-00005D230000}"/>
    <cellStyle name="Normal 9 3 8 2" xfId="5301" xr:uid="{00000000-0005-0000-0000-00005E230000}"/>
    <cellStyle name="Normal 9 3 8 2 2" xfId="9519" xr:uid="{00000000-0005-0000-0000-00005F230000}"/>
    <cellStyle name="Normal 9 3 8 3" xfId="7374" xr:uid="{00000000-0005-0000-0000-000060230000}"/>
    <cellStyle name="Normal 9 3 9" xfId="3508" xr:uid="{00000000-0005-0000-0000-000061230000}"/>
    <cellStyle name="Normal 9 3 9 2" xfId="7787" xr:uid="{00000000-0005-0000-0000-000062230000}"/>
    <cellStyle name="Normal 9 4" xfId="538" xr:uid="{00000000-0005-0000-0000-000063230000}"/>
    <cellStyle name="Normal 9 4 2" xfId="1010" xr:uid="{00000000-0005-0000-0000-000064230000}"/>
    <cellStyle name="Normal 9 5" xfId="539" xr:uid="{00000000-0005-0000-0000-000065230000}"/>
    <cellStyle name="Normal 9 5 2" xfId="540" xr:uid="{00000000-0005-0000-0000-000066230000}"/>
    <cellStyle name="Normal 9 5 2 2" xfId="1012" xr:uid="{00000000-0005-0000-0000-000067230000}"/>
    <cellStyle name="Normal 9 5 2 2 2" xfId="4071" xr:uid="{00000000-0005-0000-0000-000068230000}"/>
    <cellStyle name="Normal 9 5 2 2 2 2" xfId="8289" xr:uid="{00000000-0005-0000-0000-000069230000}"/>
    <cellStyle name="Normal 9 5 2 2 3" xfId="6144" xr:uid="{00000000-0005-0000-0000-00006A230000}"/>
    <cellStyle name="Normal 9 5 2 2 4" xfId="1842" xr:uid="{00000000-0005-0000-0000-00006B230000}"/>
    <cellStyle name="Normal 9 5 2 3" xfId="2255" xr:uid="{00000000-0005-0000-0000-00006C230000}"/>
    <cellStyle name="Normal 9 5 2 3 2" xfId="4484" xr:uid="{00000000-0005-0000-0000-00006D230000}"/>
    <cellStyle name="Normal 9 5 2 3 2 2" xfId="8702" xr:uid="{00000000-0005-0000-0000-00006E230000}"/>
    <cellStyle name="Normal 9 5 2 3 3" xfId="6557" xr:uid="{00000000-0005-0000-0000-00006F230000}"/>
    <cellStyle name="Normal 9 5 2 4" xfId="2668" xr:uid="{00000000-0005-0000-0000-000070230000}"/>
    <cellStyle name="Normal 9 5 2 4 2" xfId="4897" xr:uid="{00000000-0005-0000-0000-000071230000}"/>
    <cellStyle name="Normal 9 5 2 4 2 2" xfId="9115" xr:uid="{00000000-0005-0000-0000-000072230000}"/>
    <cellStyle name="Normal 9 5 2 4 3" xfId="6970" xr:uid="{00000000-0005-0000-0000-000073230000}"/>
    <cellStyle name="Normal 9 5 2 5" xfId="3081" xr:uid="{00000000-0005-0000-0000-000074230000}"/>
    <cellStyle name="Normal 9 5 2 5 2" xfId="5310" xr:uid="{00000000-0005-0000-0000-000075230000}"/>
    <cellStyle name="Normal 9 5 2 5 2 2" xfId="9528" xr:uid="{00000000-0005-0000-0000-000076230000}"/>
    <cellStyle name="Normal 9 5 2 5 3" xfId="7383" xr:uid="{00000000-0005-0000-0000-000077230000}"/>
    <cellStyle name="Normal 9 5 2 6" xfId="3517" xr:uid="{00000000-0005-0000-0000-000078230000}"/>
    <cellStyle name="Normal 9 5 2 6 2" xfId="7796" xr:uid="{00000000-0005-0000-0000-000079230000}"/>
    <cellStyle name="Normal 9 5 2 7" xfId="5731" xr:uid="{00000000-0005-0000-0000-00007A230000}"/>
    <cellStyle name="Normal 9 5 2 8" xfId="1427" xr:uid="{00000000-0005-0000-0000-00007B230000}"/>
    <cellStyle name="Normal 9 5 3" xfId="1011" xr:uid="{00000000-0005-0000-0000-00007C230000}"/>
    <cellStyle name="Normal 9 5 3 2" xfId="4070" xr:uid="{00000000-0005-0000-0000-00007D230000}"/>
    <cellStyle name="Normal 9 5 3 2 2" xfId="8288" xr:uid="{00000000-0005-0000-0000-00007E230000}"/>
    <cellStyle name="Normal 9 5 3 3" xfId="6143" xr:uid="{00000000-0005-0000-0000-00007F230000}"/>
    <cellStyle name="Normal 9 5 3 4" xfId="1841" xr:uid="{00000000-0005-0000-0000-000080230000}"/>
    <cellStyle name="Normal 9 5 4" xfId="2254" xr:uid="{00000000-0005-0000-0000-000081230000}"/>
    <cellStyle name="Normal 9 5 4 2" xfId="4483" xr:uid="{00000000-0005-0000-0000-000082230000}"/>
    <cellStyle name="Normal 9 5 4 2 2" xfId="8701" xr:uid="{00000000-0005-0000-0000-000083230000}"/>
    <cellStyle name="Normal 9 5 4 3" xfId="6556" xr:uid="{00000000-0005-0000-0000-000084230000}"/>
    <cellStyle name="Normal 9 5 5" xfId="2667" xr:uid="{00000000-0005-0000-0000-000085230000}"/>
    <cellStyle name="Normal 9 5 5 2" xfId="4896" xr:uid="{00000000-0005-0000-0000-000086230000}"/>
    <cellStyle name="Normal 9 5 5 2 2" xfId="9114" xr:uid="{00000000-0005-0000-0000-000087230000}"/>
    <cellStyle name="Normal 9 5 5 3" xfId="6969" xr:uid="{00000000-0005-0000-0000-000088230000}"/>
    <cellStyle name="Normal 9 5 6" xfId="3080" xr:uid="{00000000-0005-0000-0000-000089230000}"/>
    <cellStyle name="Normal 9 5 6 2" xfId="5309" xr:uid="{00000000-0005-0000-0000-00008A230000}"/>
    <cellStyle name="Normal 9 5 6 2 2" xfId="9527" xr:uid="{00000000-0005-0000-0000-00008B230000}"/>
    <cellStyle name="Normal 9 5 6 3" xfId="7382" xr:uid="{00000000-0005-0000-0000-00008C230000}"/>
    <cellStyle name="Normal 9 5 7" xfId="3516" xr:uid="{00000000-0005-0000-0000-00008D230000}"/>
    <cellStyle name="Normal 9 5 7 2" xfId="7795" xr:uid="{00000000-0005-0000-0000-00008E230000}"/>
    <cellStyle name="Normal 9 5 8" xfId="5730" xr:uid="{00000000-0005-0000-0000-00008F230000}"/>
    <cellStyle name="Normal 9 5 9" xfId="1426" xr:uid="{00000000-0005-0000-0000-000090230000}"/>
    <cellStyle name="Normal 9 6" xfId="541" xr:uid="{00000000-0005-0000-0000-000091230000}"/>
    <cellStyle name="Normal 9 6 2" xfId="1013" xr:uid="{00000000-0005-0000-0000-000092230000}"/>
    <cellStyle name="Normal 9 6 2 2" xfId="4072" xr:uid="{00000000-0005-0000-0000-000093230000}"/>
    <cellStyle name="Normal 9 6 2 2 2" xfId="8290" xr:uid="{00000000-0005-0000-0000-000094230000}"/>
    <cellStyle name="Normal 9 6 2 3" xfId="6145" xr:uid="{00000000-0005-0000-0000-000095230000}"/>
    <cellStyle name="Normal 9 6 2 4" xfId="1843" xr:uid="{00000000-0005-0000-0000-000096230000}"/>
    <cellStyle name="Normal 9 6 3" xfId="2256" xr:uid="{00000000-0005-0000-0000-000097230000}"/>
    <cellStyle name="Normal 9 6 3 2" xfId="4485" xr:uid="{00000000-0005-0000-0000-000098230000}"/>
    <cellStyle name="Normal 9 6 3 2 2" xfId="8703" xr:uid="{00000000-0005-0000-0000-000099230000}"/>
    <cellStyle name="Normal 9 6 3 3" xfId="6558" xr:uid="{00000000-0005-0000-0000-00009A230000}"/>
    <cellStyle name="Normal 9 6 4" xfId="2669" xr:uid="{00000000-0005-0000-0000-00009B230000}"/>
    <cellStyle name="Normal 9 6 4 2" xfId="4898" xr:uid="{00000000-0005-0000-0000-00009C230000}"/>
    <cellStyle name="Normal 9 6 4 2 2" xfId="9116" xr:uid="{00000000-0005-0000-0000-00009D230000}"/>
    <cellStyle name="Normal 9 6 4 3" xfId="6971" xr:uid="{00000000-0005-0000-0000-00009E230000}"/>
    <cellStyle name="Normal 9 6 5" xfId="3082" xr:uid="{00000000-0005-0000-0000-00009F230000}"/>
    <cellStyle name="Normal 9 6 5 2" xfId="5311" xr:uid="{00000000-0005-0000-0000-0000A0230000}"/>
    <cellStyle name="Normal 9 6 5 2 2" xfId="9529" xr:uid="{00000000-0005-0000-0000-0000A1230000}"/>
    <cellStyle name="Normal 9 6 5 3" xfId="7384" xr:uid="{00000000-0005-0000-0000-0000A2230000}"/>
    <cellStyle name="Normal 9 6 6" xfId="3518" xr:uid="{00000000-0005-0000-0000-0000A3230000}"/>
    <cellStyle name="Normal 9 6 6 2" xfId="7797" xr:uid="{00000000-0005-0000-0000-0000A4230000}"/>
    <cellStyle name="Normal 9 6 7" xfId="5732" xr:uid="{00000000-0005-0000-0000-0000A5230000}"/>
    <cellStyle name="Normal 9 6 8" xfId="1428" xr:uid="{00000000-0005-0000-0000-0000A6230000}"/>
    <cellStyle name="Normal 9 7" xfId="985" xr:uid="{00000000-0005-0000-0000-0000A7230000}"/>
    <cellStyle name="Normal_07-190 basis matrix" xfId="542" xr:uid="{00000000-0005-0000-0000-0000A8230000}"/>
    <cellStyle name="Normal_07-190 basis matrix 2" xfId="543" xr:uid="{00000000-0005-0000-0000-0000A9230000}"/>
    <cellStyle name="Normal_1" xfId="544" xr:uid="{00000000-0005-0000-0000-0000AA230000}"/>
    <cellStyle name="Normal_100%RENTS" xfId="545" xr:uid="{00000000-0005-0000-0000-0000AB230000}"/>
    <cellStyle name="Normal_CTCAC 9% Application 7-18-07 practice run 3" xfId="546" xr:uid="{00000000-0005-0000-0000-0000AC230000}"/>
    <cellStyle name="Normal_CTCAC 9% Application 7-18-07 practice run 3 2" xfId="547" xr:uid="{00000000-0005-0000-0000-0000AD230000}"/>
    <cellStyle name="Note 2" xfId="548" xr:uid="{00000000-0005-0000-0000-0000AE230000}"/>
    <cellStyle name="Note 2 2" xfId="549" xr:uid="{00000000-0005-0000-0000-0000AF230000}"/>
    <cellStyle name="Note 2 2 10" xfId="3659" xr:uid="{00000000-0005-0000-0000-0000B0230000}"/>
    <cellStyle name="Note 2 2 10 2" xfId="7878" xr:uid="{00000000-0005-0000-0000-0000B1230000}"/>
    <cellStyle name="Note 2 2 11" xfId="5733" xr:uid="{00000000-0005-0000-0000-0000B2230000}"/>
    <cellStyle name="Note 2 2 12" xfId="1429" xr:uid="{00000000-0005-0000-0000-0000B3230000}"/>
    <cellStyle name="Note 2 2 2" xfId="550" xr:uid="{00000000-0005-0000-0000-0000B4230000}"/>
    <cellStyle name="Note 2 2 2 10" xfId="5734" xr:uid="{00000000-0005-0000-0000-0000B5230000}"/>
    <cellStyle name="Note 2 2 2 11" xfId="1430" xr:uid="{00000000-0005-0000-0000-0000B6230000}"/>
    <cellStyle name="Note 2 2 2 2" xfId="551" xr:uid="{00000000-0005-0000-0000-0000B7230000}"/>
    <cellStyle name="Note 2 2 2 2 10" xfId="1431" xr:uid="{00000000-0005-0000-0000-0000B8230000}"/>
    <cellStyle name="Note 2 2 2 2 2" xfId="1016" xr:uid="{00000000-0005-0000-0000-0000B9230000}"/>
    <cellStyle name="Note 2 2 2 2 2 2" xfId="4075" xr:uid="{00000000-0005-0000-0000-0000BA230000}"/>
    <cellStyle name="Note 2 2 2 2 2 2 2" xfId="8293" xr:uid="{00000000-0005-0000-0000-0000BB230000}"/>
    <cellStyle name="Note 2 2 2 2 2 3" xfId="6148" xr:uid="{00000000-0005-0000-0000-0000BC230000}"/>
    <cellStyle name="Note 2 2 2 2 2 4" xfId="1846" xr:uid="{00000000-0005-0000-0000-0000BD230000}"/>
    <cellStyle name="Note 2 2 2 2 3" xfId="2259" xr:uid="{00000000-0005-0000-0000-0000BE230000}"/>
    <cellStyle name="Note 2 2 2 2 3 2" xfId="4488" xr:uid="{00000000-0005-0000-0000-0000BF230000}"/>
    <cellStyle name="Note 2 2 2 2 3 2 2" xfId="8706" xr:uid="{00000000-0005-0000-0000-0000C0230000}"/>
    <cellStyle name="Note 2 2 2 2 3 3" xfId="6561" xr:uid="{00000000-0005-0000-0000-0000C1230000}"/>
    <cellStyle name="Note 2 2 2 2 4" xfId="2672" xr:uid="{00000000-0005-0000-0000-0000C2230000}"/>
    <cellStyle name="Note 2 2 2 2 4 2" xfId="4901" xr:uid="{00000000-0005-0000-0000-0000C3230000}"/>
    <cellStyle name="Note 2 2 2 2 4 2 2" xfId="9119" xr:uid="{00000000-0005-0000-0000-0000C4230000}"/>
    <cellStyle name="Note 2 2 2 2 4 3" xfId="6974" xr:uid="{00000000-0005-0000-0000-0000C5230000}"/>
    <cellStyle name="Note 2 2 2 2 5" xfId="3085" xr:uid="{00000000-0005-0000-0000-0000C6230000}"/>
    <cellStyle name="Note 2 2 2 2 5 2" xfId="5314" xr:uid="{00000000-0005-0000-0000-0000C7230000}"/>
    <cellStyle name="Note 2 2 2 2 5 2 2" xfId="9532" xr:uid="{00000000-0005-0000-0000-0000C8230000}"/>
    <cellStyle name="Note 2 2 2 2 5 3" xfId="7387" xr:uid="{00000000-0005-0000-0000-0000C9230000}"/>
    <cellStyle name="Note 2 2 2 2 6" xfId="3521" xr:uid="{00000000-0005-0000-0000-0000CA230000}"/>
    <cellStyle name="Note 2 2 2 2 6 2" xfId="7800" xr:uid="{00000000-0005-0000-0000-0000CB230000}"/>
    <cellStyle name="Note 2 2 2 2 7" xfId="3580" xr:uid="{00000000-0005-0000-0000-0000CC230000}"/>
    <cellStyle name="Note 2 2 2 2 8" xfId="3661" xr:uid="{00000000-0005-0000-0000-0000CD230000}"/>
    <cellStyle name="Note 2 2 2 2 8 2" xfId="7880" xr:uid="{00000000-0005-0000-0000-0000CE230000}"/>
    <cellStyle name="Note 2 2 2 2 9" xfId="5735" xr:uid="{00000000-0005-0000-0000-0000CF230000}"/>
    <cellStyle name="Note 2 2 2 3" xfId="1015" xr:uid="{00000000-0005-0000-0000-0000D0230000}"/>
    <cellStyle name="Note 2 2 2 3 2" xfId="4074" xr:uid="{00000000-0005-0000-0000-0000D1230000}"/>
    <cellStyle name="Note 2 2 2 3 2 2" xfId="8292" xr:uid="{00000000-0005-0000-0000-0000D2230000}"/>
    <cellStyle name="Note 2 2 2 3 3" xfId="6147" xr:uid="{00000000-0005-0000-0000-0000D3230000}"/>
    <cellStyle name="Note 2 2 2 3 4" xfId="1845" xr:uid="{00000000-0005-0000-0000-0000D4230000}"/>
    <cellStyle name="Note 2 2 2 4" xfId="2258" xr:uid="{00000000-0005-0000-0000-0000D5230000}"/>
    <cellStyle name="Note 2 2 2 4 2" xfId="4487" xr:uid="{00000000-0005-0000-0000-0000D6230000}"/>
    <cellStyle name="Note 2 2 2 4 2 2" xfId="8705" xr:uid="{00000000-0005-0000-0000-0000D7230000}"/>
    <cellStyle name="Note 2 2 2 4 3" xfId="6560" xr:uid="{00000000-0005-0000-0000-0000D8230000}"/>
    <cellStyle name="Note 2 2 2 5" xfId="2671" xr:uid="{00000000-0005-0000-0000-0000D9230000}"/>
    <cellStyle name="Note 2 2 2 5 2" xfId="4900" xr:uid="{00000000-0005-0000-0000-0000DA230000}"/>
    <cellStyle name="Note 2 2 2 5 2 2" xfId="9118" xr:uid="{00000000-0005-0000-0000-0000DB230000}"/>
    <cellStyle name="Note 2 2 2 5 3" xfId="6973" xr:uid="{00000000-0005-0000-0000-0000DC230000}"/>
    <cellStyle name="Note 2 2 2 6" xfId="3084" xr:uid="{00000000-0005-0000-0000-0000DD230000}"/>
    <cellStyle name="Note 2 2 2 6 2" xfId="5313" xr:uid="{00000000-0005-0000-0000-0000DE230000}"/>
    <cellStyle name="Note 2 2 2 6 2 2" xfId="9531" xr:uid="{00000000-0005-0000-0000-0000DF230000}"/>
    <cellStyle name="Note 2 2 2 6 3" xfId="7386" xr:uid="{00000000-0005-0000-0000-0000E0230000}"/>
    <cellStyle name="Note 2 2 2 7" xfId="3520" xr:uid="{00000000-0005-0000-0000-0000E1230000}"/>
    <cellStyle name="Note 2 2 2 7 2" xfId="7799" xr:uid="{00000000-0005-0000-0000-0000E2230000}"/>
    <cellStyle name="Note 2 2 2 8" xfId="3579" xr:uid="{00000000-0005-0000-0000-0000E3230000}"/>
    <cellStyle name="Note 2 2 2 9" xfId="3660" xr:uid="{00000000-0005-0000-0000-0000E4230000}"/>
    <cellStyle name="Note 2 2 2 9 2" xfId="7879" xr:uid="{00000000-0005-0000-0000-0000E5230000}"/>
    <cellStyle name="Note 2 2 3" xfId="552" xr:uid="{00000000-0005-0000-0000-0000E6230000}"/>
    <cellStyle name="Note 2 2 3 10" xfId="1432" xr:uid="{00000000-0005-0000-0000-0000E7230000}"/>
    <cellStyle name="Note 2 2 3 2" xfId="1017" xr:uid="{00000000-0005-0000-0000-0000E8230000}"/>
    <cellStyle name="Note 2 2 3 2 2" xfId="4076" xr:uid="{00000000-0005-0000-0000-0000E9230000}"/>
    <cellStyle name="Note 2 2 3 2 2 2" xfId="8294" xr:uid="{00000000-0005-0000-0000-0000EA230000}"/>
    <cellStyle name="Note 2 2 3 2 3" xfId="6149" xr:uid="{00000000-0005-0000-0000-0000EB230000}"/>
    <cellStyle name="Note 2 2 3 2 4" xfId="1847" xr:uid="{00000000-0005-0000-0000-0000EC230000}"/>
    <cellStyle name="Note 2 2 3 3" xfId="2260" xr:uid="{00000000-0005-0000-0000-0000ED230000}"/>
    <cellStyle name="Note 2 2 3 3 2" xfId="4489" xr:uid="{00000000-0005-0000-0000-0000EE230000}"/>
    <cellStyle name="Note 2 2 3 3 2 2" xfId="8707" xr:uid="{00000000-0005-0000-0000-0000EF230000}"/>
    <cellStyle name="Note 2 2 3 3 3" xfId="6562" xr:uid="{00000000-0005-0000-0000-0000F0230000}"/>
    <cellStyle name="Note 2 2 3 4" xfId="2673" xr:uid="{00000000-0005-0000-0000-0000F1230000}"/>
    <cellStyle name="Note 2 2 3 4 2" xfId="4902" xr:uid="{00000000-0005-0000-0000-0000F2230000}"/>
    <cellStyle name="Note 2 2 3 4 2 2" xfId="9120" xr:uid="{00000000-0005-0000-0000-0000F3230000}"/>
    <cellStyle name="Note 2 2 3 4 3" xfId="6975" xr:uid="{00000000-0005-0000-0000-0000F4230000}"/>
    <cellStyle name="Note 2 2 3 5" xfId="3086" xr:uid="{00000000-0005-0000-0000-0000F5230000}"/>
    <cellStyle name="Note 2 2 3 5 2" xfId="5315" xr:uid="{00000000-0005-0000-0000-0000F6230000}"/>
    <cellStyle name="Note 2 2 3 5 2 2" xfId="9533" xr:uid="{00000000-0005-0000-0000-0000F7230000}"/>
    <cellStyle name="Note 2 2 3 5 3" xfId="7388" xr:uid="{00000000-0005-0000-0000-0000F8230000}"/>
    <cellStyle name="Note 2 2 3 6" xfId="3522" xr:uid="{00000000-0005-0000-0000-0000F9230000}"/>
    <cellStyle name="Note 2 2 3 6 2" xfId="7801" xr:uid="{00000000-0005-0000-0000-0000FA230000}"/>
    <cellStyle name="Note 2 2 3 7" xfId="3581" xr:uid="{00000000-0005-0000-0000-0000FB230000}"/>
    <cellStyle name="Note 2 2 3 8" xfId="3662" xr:uid="{00000000-0005-0000-0000-0000FC230000}"/>
    <cellStyle name="Note 2 2 3 8 2" xfId="7881" xr:uid="{00000000-0005-0000-0000-0000FD230000}"/>
    <cellStyle name="Note 2 2 3 9" xfId="5736" xr:uid="{00000000-0005-0000-0000-0000FE230000}"/>
    <cellStyle name="Note 2 2 4" xfId="1014" xr:uid="{00000000-0005-0000-0000-0000FF230000}"/>
    <cellStyle name="Note 2 2 4 2" xfId="4073" xr:uid="{00000000-0005-0000-0000-000000240000}"/>
    <cellStyle name="Note 2 2 4 2 2" xfId="8291" xr:uid="{00000000-0005-0000-0000-000001240000}"/>
    <cellStyle name="Note 2 2 4 3" xfId="6146" xr:uid="{00000000-0005-0000-0000-000002240000}"/>
    <cellStyle name="Note 2 2 4 4" xfId="1844" xr:uid="{00000000-0005-0000-0000-000003240000}"/>
    <cellStyle name="Note 2 2 5" xfId="2257" xr:uid="{00000000-0005-0000-0000-000004240000}"/>
    <cellStyle name="Note 2 2 5 2" xfId="4486" xr:uid="{00000000-0005-0000-0000-000005240000}"/>
    <cellStyle name="Note 2 2 5 2 2" xfId="8704" xr:uid="{00000000-0005-0000-0000-000006240000}"/>
    <cellStyle name="Note 2 2 5 3" xfId="6559" xr:uid="{00000000-0005-0000-0000-000007240000}"/>
    <cellStyle name="Note 2 2 6" xfId="2670" xr:uid="{00000000-0005-0000-0000-000008240000}"/>
    <cellStyle name="Note 2 2 6 2" xfId="4899" xr:uid="{00000000-0005-0000-0000-000009240000}"/>
    <cellStyle name="Note 2 2 6 2 2" xfId="9117" xr:uid="{00000000-0005-0000-0000-00000A240000}"/>
    <cellStyle name="Note 2 2 6 3" xfId="6972" xr:uid="{00000000-0005-0000-0000-00000B240000}"/>
    <cellStyle name="Note 2 2 7" xfId="3083" xr:uid="{00000000-0005-0000-0000-00000C240000}"/>
    <cellStyle name="Note 2 2 7 2" xfId="5312" xr:uid="{00000000-0005-0000-0000-00000D240000}"/>
    <cellStyle name="Note 2 2 7 2 2" xfId="9530" xr:uid="{00000000-0005-0000-0000-00000E240000}"/>
    <cellStyle name="Note 2 2 7 3" xfId="7385" xr:uid="{00000000-0005-0000-0000-00000F240000}"/>
    <cellStyle name="Note 2 2 8" xfId="3519" xr:uid="{00000000-0005-0000-0000-000010240000}"/>
    <cellStyle name="Note 2 2 8 2" xfId="7798" xr:uid="{00000000-0005-0000-0000-000011240000}"/>
    <cellStyle name="Note 2 2 9" xfId="3578" xr:uid="{00000000-0005-0000-0000-000012240000}"/>
    <cellStyle name="Note 2 3" xfId="553" xr:uid="{00000000-0005-0000-0000-000013240000}"/>
    <cellStyle name="Note 2 3 10" xfId="5737" xr:uid="{00000000-0005-0000-0000-000014240000}"/>
    <cellStyle name="Note 2 3 11" xfId="1433" xr:uid="{00000000-0005-0000-0000-000015240000}"/>
    <cellStyle name="Note 2 3 2" xfId="554" xr:uid="{00000000-0005-0000-0000-000016240000}"/>
    <cellStyle name="Note 2 3 2 10" xfId="1434" xr:uid="{00000000-0005-0000-0000-000017240000}"/>
    <cellStyle name="Note 2 3 2 2" xfId="1019" xr:uid="{00000000-0005-0000-0000-000018240000}"/>
    <cellStyle name="Note 2 3 2 2 2" xfId="4078" xr:uid="{00000000-0005-0000-0000-000019240000}"/>
    <cellStyle name="Note 2 3 2 2 2 2" xfId="8296" xr:uid="{00000000-0005-0000-0000-00001A240000}"/>
    <cellStyle name="Note 2 3 2 2 3" xfId="6151" xr:uid="{00000000-0005-0000-0000-00001B240000}"/>
    <cellStyle name="Note 2 3 2 2 4" xfId="1849" xr:uid="{00000000-0005-0000-0000-00001C240000}"/>
    <cellStyle name="Note 2 3 2 3" xfId="2262" xr:uid="{00000000-0005-0000-0000-00001D240000}"/>
    <cellStyle name="Note 2 3 2 3 2" xfId="4491" xr:uid="{00000000-0005-0000-0000-00001E240000}"/>
    <cellStyle name="Note 2 3 2 3 2 2" xfId="8709" xr:uid="{00000000-0005-0000-0000-00001F240000}"/>
    <cellStyle name="Note 2 3 2 3 3" xfId="6564" xr:uid="{00000000-0005-0000-0000-000020240000}"/>
    <cellStyle name="Note 2 3 2 4" xfId="2675" xr:uid="{00000000-0005-0000-0000-000021240000}"/>
    <cellStyle name="Note 2 3 2 4 2" xfId="4904" xr:uid="{00000000-0005-0000-0000-000022240000}"/>
    <cellStyle name="Note 2 3 2 4 2 2" xfId="9122" xr:uid="{00000000-0005-0000-0000-000023240000}"/>
    <cellStyle name="Note 2 3 2 4 3" xfId="6977" xr:uid="{00000000-0005-0000-0000-000024240000}"/>
    <cellStyle name="Note 2 3 2 5" xfId="3088" xr:uid="{00000000-0005-0000-0000-000025240000}"/>
    <cellStyle name="Note 2 3 2 5 2" xfId="5317" xr:uid="{00000000-0005-0000-0000-000026240000}"/>
    <cellStyle name="Note 2 3 2 5 2 2" xfId="9535" xr:uid="{00000000-0005-0000-0000-000027240000}"/>
    <cellStyle name="Note 2 3 2 5 3" xfId="7390" xr:uid="{00000000-0005-0000-0000-000028240000}"/>
    <cellStyle name="Note 2 3 2 6" xfId="3524" xr:uid="{00000000-0005-0000-0000-000029240000}"/>
    <cellStyle name="Note 2 3 2 6 2" xfId="7803" xr:uid="{00000000-0005-0000-0000-00002A240000}"/>
    <cellStyle name="Note 2 3 2 7" xfId="3583" xr:uid="{00000000-0005-0000-0000-00002B240000}"/>
    <cellStyle name="Note 2 3 2 8" xfId="3664" xr:uid="{00000000-0005-0000-0000-00002C240000}"/>
    <cellStyle name="Note 2 3 2 8 2" xfId="7883" xr:uid="{00000000-0005-0000-0000-00002D240000}"/>
    <cellStyle name="Note 2 3 2 9" xfId="5738" xr:uid="{00000000-0005-0000-0000-00002E240000}"/>
    <cellStyle name="Note 2 3 3" xfId="1018" xr:uid="{00000000-0005-0000-0000-00002F240000}"/>
    <cellStyle name="Note 2 3 3 2" xfId="4077" xr:uid="{00000000-0005-0000-0000-000030240000}"/>
    <cellStyle name="Note 2 3 3 2 2" xfId="8295" xr:uid="{00000000-0005-0000-0000-000031240000}"/>
    <cellStyle name="Note 2 3 3 3" xfId="6150" xr:uid="{00000000-0005-0000-0000-000032240000}"/>
    <cellStyle name="Note 2 3 3 4" xfId="1848" xr:uid="{00000000-0005-0000-0000-000033240000}"/>
    <cellStyle name="Note 2 3 4" xfId="2261" xr:uid="{00000000-0005-0000-0000-000034240000}"/>
    <cellStyle name="Note 2 3 4 2" xfId="4490" xr:uid="{00000000-0005-0000-0000-000035240000}"/>
    <cellStyle name="Note 2 3 4 2 2" xfId="8708" xr:uid="{00000000-0005-0000-0000-000036240000}"/>
    <cellStyle name="Note 2 3 4 3" xfId="6563" xr:uid="{00000000-0005-0000-0000-000037240000}"/>
    <cellStyle name="Note 2 3 5" xfId="2674" xr:uid="{00000000-0005-0000-0000-000038240000}"/>
    <cellStyle name="Note 2 3 5 2" xfId="4903" xr:uid="{00000000-0005-0000-0000-000039240000}"/>
    <cellStyle name="Note 2 3 5 2 2" xfId="9121" xr:uid="{00000000-0005-0000-0000-00003A240000}"/>
    <cellStyle name="Note 2 3 5 3" xfId="6976" xr:uid="{00000000-0005-0000-0000-00003B240000}"/>
    <cellStyle name="Note 2 3 6" xfId="3087" xr:uid="{00000000-0005-0000-0000-00003C240000}"/>
    <cellStyle name="Note 2 3 6 2" xfId="5316" xr:uid="{00000000-0005-0000-0000-00003D240000}"/>
    <cellStyle name="Note 2 3 6 2 2" xfId="9534" xr:uid="{00000000-0005-0000-0000-00003E240000}"/>
    <cellStyle name="Note 2 3 6 3" xfId="7389" xr:uid="{00000000-0005-0000-0000-00003F240000}"/>
    <cellStyle name="Note 2 3 7" xfId="3523" xr:uid="{00000000-0005-0000-0000-000040240000}"/>
    <cellStyle name="Note 2 3 7 2" xfId="7802" xr:uid="{00000000-0005-0000-0000-000041240000}"/>
    <cellStyle name="Note 2 3 8" xfId="3582" xr:uid="{00000000-0005-0000-0000-000042240000}"/>
    <cellStyle name="Note 2 3 9" xfId="3663" xr:uid="{00000000-0005-0000-0000-000043240000}"/>
    <cellStyle name="Note 2 3 9 2" xfId="7882" xr:uid="{00000000-0005-0000-0000-000044240000}"/>
    <cellStyle name="Note 2 4" xfId="555" xr:uid="{00000000-0005-0000-0000-000045240000}"/>
    <cellStyle name="Note 2 4 10" xfId="1435" xr:uid="{00000000-0005-0000-0000-000046240000}"/>
    <cellStyle name="Note 2 4 2" xfId="1020" xr:uid="{00000000-0005-0000-0000-000047240000}"/>
    <cellStyle name="Note 2 4 2 2" xfId="4079" xr:uid="{00000000-0005-0000-0000-000048240000}"/>
    <cellStyle name="Note 2 4 2 2 2" xfId="8297" xr:uid="{00000000-0005-0000-0000-000049240000}"/>
    <cellStyle name="Note 2 4 2 3" xfId="6152" xr:uid="{00000000-0005-0000-0000-00004A240000}"/>
    <cellStyle name="Note 2 4 2 4" xfId="1850" xr:uid="{00000000-0005-0000-0000-00004B240000}"/>
    <cellStyle name="Note 2 4 3" xfId="2263" xr:uid="{00000000-0005-0000-0000-00004C240000}"/>
    <cellStyle name="Note 2 4 3 2" xfId="4492" xr:uid="{00000000-0005-0000-0000-00004D240000}"/>
    <cellStyle name="Note 2 4 3 2 2" xfId="8710" xr:uid="{00000000-0005-0000-0000-00004E240000}"/>
    <cellStyle name="Note 2 4 3 3" xfId="6565" xr:uid="{00000000-0005-0000-0000-00004F240000}"/>
    <cellStyle name="Note 2 4 4" xfId="2676" xr:uid="{00000000-0005-0000-0000-000050240000}"/>
    <cellStyle name="Note 2 4 4 2" xfId="4905" xr:uid="{00000000-0005-0000-0000-000051240000}"/>
    <cellStyle name="Note 2 4 4 2 2" xfId="9123" xr:uid="{00000000-0005-0000-0000-000052240000}"/>
    <cellStyle name="Note 2 4 4 3" xfId="6978" xr:uid="{00000000-0005-0000-0000-000053240000}"/>
    <cellStyle name="Note 2 4 5" xfId="3089" xr:uid="{00000000-0005-0000-0000-000054240000}"/>
    <cellStyle name="Note 2 4 5 2" xfId="5318" xr:uid="{00000000-0005-0000-0000-000055240000}"/>
    <cellStyle name="Note 2 4 5 2 2" xfId="9536" xr:uid="{00000000-0005-0000-0000-000056240000}"/>
    <cellStyle name="Note 2 4 5 3" xfId="7391" xr:uid="{00000000-0005-0000-0000-000057240000}"/>
    <cellStyle name="Note 2 4 6" xfId="3525" xr:uid="{00000000-0005-0000-0000-000058240000}"/>
    <cellStyle name="Note 2 4 6 2" xfId="7804" xr:uid="{00000000-0005-0000-0000-000059240000}"/>
    <cellStyle name="Note 2 4 7" xfId="3584" xr:uid="{00000000-0005-0000-0000-00005A240000}"/>
    <cellStyle name="Note 2 4 8" xfId="3665" xr:uid="{00000000-0005-0000-0000-00005B240000}"/>
    <cellStyle name="Note 2 4 8 2" xfId="7884" xr:uid="{00000000-0005-0000-0000-00005C240000}"/>
    <cellStyle name="Note 2 4 9" xfId="5739" xr:uid="{00000000-0005-0000-0000-00005D240000}"/>
    <cellStyle name="Note 2 5" xfId="556" xr:uid="{00000000-0005-0000-0000-00005E240000}"/>
    <cellStyle name="Note 2 5 10" xfId="1436" xr:uid="{00000000-0005-0000-0000-00005F240000}"/>
    <cellStyle name="Note 2 5 2" xfId="1021" xr:uid="{00000000-0005-0000-0000-000060240000}"/>
    <cellStyle name="Note 2 5 2 2" xfId="4080" xr:uid="{00000000-0005-0000-0000-000061240000}"/>
    <cellStyle name="Note 2 5 2 2 2" xfId="8298" xr:uid="{00000000-0005-0000-0000-000062240000}"/>
    <cellStyle name="Note 2 5 2 3" xfId="6153" xr:uid="{00000000-0005-0000-0000-000063240000}"/>
    <cellStyle name="Note 2 5 2 4" xfId="1851" xr:uid="{00000000-0005-0000-0000-000064240000}"/>
    <cellStyle name="Note 2 5 3" xfId="2264" xr:uid="{00000000-0005-0000-0000-000065240000}"/>
    <cellStyle name="Note 2 5 3 2" xfId="4493" xr:uid="{00000000-0005-0000-0000-000066240000}"/>
    <cellStyle name="Note 2 5 3 2 2" xfId="8711" xr:uid="{00000000-0005-0000-0000-000067240000}"/>
    <cellStyle name="Note 2 5 3 3" xfId="6566" xr:uid="{00000000-0005-0000-0000-000068240000}"/>
    <cellStyle name="Note 2 5 4" xfId="2677" xr:uid="{00000000-0005-0000-0000-000069240000}"/>
    <cellStyle name="Note 2 5 4 2" xfId="4906" xr:uid="{00000000-0005-0000-0000-00006A240000}"/>
    <cellStyle name="Note 2 5 4 2 2" xfId="9124" xr:uid="{00000000-0005-0000-0000-00006B240000}"/>
    <cellStyle name="Note 2 5 4 3" xfId="6979" xr:uid="{00000000-0005-0000-0000-00006C240000}"/>
    <cellStyle name="Note 2 5 5" xfId="3090" xr:uid="{00000000-0005-0000-0000-00006D240000}"/>
    <cellStyle name="Note 2 5 5 2" xfId="5319" xr:uid="{00000000-0005-0000-0000-00006E240000}"/>
    <cellStyle name="Note 2 5 5 2 2" xfId="9537" xr:uid="{00000000-0005-0000-0000-00006F240000}"/>
    <cellStyle name="Note 2 5 5 3" xfId="7392" xr:uid="{00000000-0005-0000-0000-000070240000}"/>
    <cellStyle name="Note 2 5 6" xfId="3526" xr:uid="{00000000-0005-0000-0000-000071240000}"/>
    <cellStyle name="Note 2 5 6 2" xfId="7805" xr:uid="{00000000-0005-0000-0000-000072240000}"/>
    <cellStyle name="Note 2 5 7" xfId="3585" xr:uid="{00000000-0005-0000-0000-000073240000}"/>
    <cellStyle name="Note 2 5 8" xfId="3666" xr:uid="{00000000-0005-0000-0000-000074240000}"/>
    <cellStyle name="Note 2 5 8 2" xfId="7885" xr:uid="{00000000-0005-0000-0000-000075240000}"/>
    <cellStyle name="Note 2 5 9" xfId="5740" xr:uid="{00000000-0005-0000-0000-000076240000}"/>
    <cellStyle name="Note 3" xfId="557" xr:uid="{00000000-0005-0000-0000-000077240000}"/>
    <cellStyle name="Note 3 2" xfId="558" xr:uid="{00000000-0005-0000-0000-000078240000}"/>
    <cellStyle name="Note 3 2 10" xfId="3667" xr:uid="{00000000-0005-0000-0000-000079240000}"/>
    <cellStyle name="Note 3 2 10 2" xfId="7886" xr:uid="{00000000-0005-0000-0000-00007A240000}"/>
    <cellStyle name="Note 3 2 11" xfId="5741" xr:uid="{00000000-0005-0000-0000-00007B240000}"/>
    <cellStyle name="Note 3 2 12" xfId="1437" xr:uid="{00000000-0005-0000-0000-00007C240000}"/>
    <cellStyle name="Note 3 2 2" xfId="559" xr:uid="{00000000-0005-0000-0000-00007D240000}"/>
    <cellStyle name="Note 3 2 2 10" xfId="5742" xr:uid="{00000000-0005-0000-0000-00007E240000}"/>
    <cellStyle name="Note 3 2 2 11" xfId="1438" xr:uid="{00000000-0005-0000-0000-00007F240000}"/>
    <cellStyle name="Note 3 2 2 2" xfId="560" xr:uid="{00000000-0005-0000-0000-000080240000}"/>
    <cellStyle name="Note 3 2 2 2 10" xfId="1439" xr:uid="{00000000-0005-0000-0000-000081240000}"/>
    <cellStyle name="Note 3 2 2 2 2" xfId="1024" xr:uid="{00000000-0005-0000-0000-000082240000}"/>
    <cellStyle name="Note 3 2 2 2 2 2" xfId="4083" xr:uid="{00000000-0005-0000-0000-000083240000}"/>
    <cellStyle name="Note 3 2 2 2 2 2 2" xfId="8301" xr:uid="{00000000-0005-0000-0000-000084240000}"/>
    <cellStyle name="Note 3 2 2 2 2 3" xfId="6156" xr:uid="{00000000-0005-0000-0000-000085240000}"/>
    <cellStyle name="Note 3 2 2 2 2 4" xfId="1854" xr:uid="{00000000-0005-0000-0000-000086240000}"/>
    <cellStyle name="Note 3 2 2 2 3" xfId="2267" xr:uid="{00000000-0005-0000-0000-000087240000}"/>
    <cellStyle name="Note 3 2 2 2 3 2" xfId="4496" xr:uid="{00000000-0005-0000-0000-000088240000}"/>
    <cellStyle name="Note 3 2 2 2 3 2 2" xfId="8714" xr:uid="{00000000-0005-0000-0000-000089240000}"/>
    <cellStyle name="Note 3 2 2 2 3 3" xfId="6569" xr:uid="{00000000-0005-0000-0000-00008A240000}"/>
    <cellStyle name="Note 3 2 2 2 4" xfId="2680" xr:uid="{00000000-0005-0000-0000-00008B240000}"/>
    <cellStyle name="Note 3 2 2 2 4 2" xfId="4909" xr:uid="{00000000-0005-0000-0000-00008C240000}"/>
    <cellStyle name="Note 3 2 2 2 4 2 2" xfId="9127" xr:uid="{00000000-0005-0000-0000-00008D240000}"/>
    <cellStyle name="Note 3 2 2 2 4 3" xfId="6982" xr:uid="{00000000-0005-0000-0000-00008E240000}"/>
    <cellStyle name="Note 3 2 2 2 5" xfId="3093" xr:uid="{00000000-0005-0000-0000-00008F240000}"/>
    <cellStyle name="Note 3 2 2 2 5 2" xfId="5322" xr:uid="{00000000-0005-0000-0000-000090240000}"/>
    <cellStyle name="Note 3 2 2 2 5 2 2" xfId="9540" xr:uid="{00000000-0005-0000-0000-000091240000}"/>
    <cellStyle name="Note 3 2 2 2 5 3" xfId="7395" xr:uid="{00000000-0005-0000-0000-000092240000}"/>
    <cellStyle name="Note 3 2 2 2 6" xfId="3529" xr:uid="{00000000-0005-0000-0000-000093240000}"/>
    <cellStyle name="Note 3 2 2 2 6 2" xfId="7808" xr:uid="{00000000-0005-0000-0000-000094240000}"/>
    <cellStyle name="Note 3 2 2 2 7" xfId="3588" xr:uid="{00000000-0005-0000-0000-000095240000}"/>
    <cellStyle name="Note 3 2 2 2 8" xfId="3669" xr:uid="{00000000-0005-0000-0000-000096240000}"/>
    <cellStyle name="Note 3 2 2 2 8 2" xfId="7888" xr:uid="{00000000-0005-0000-0000-000097240000}"/>
    <cellStyle name="Note 3 2 2 2 9" xfId="5743" xr:uid="{00000000-0005-0000-0000-000098240000}"/>
    <cellStyle name="Note 3 2 2 3" xfId="1023" xr:uid="{00000000-0005-0000-0000-000099240000}"/>
    <cellStyle name="Note 3 2 2 3 2" xfId="4082" xr:uid="{00000000-0005-0000-0000-00009A240000}"/>
    <cellStyle name="Note 3 2 2 3 2 2" xfId="8300" xr:uid="{00000000-0005-0000-0000-00009B240000}"/>
    <cellStyle name="Note 3 2 2 3 3" xfId="6155" xr:uid="{00000000-0005-0000-0000-00009C240000}"/>
    <cellStyle name="Note 3 2 2 3 4" xfId="1853" xr:uid="{00000000-0005-0000-0000-00009D240000}"/>
    <cellStyle name="Note 3 2 2 4" xfId="2266" xr:uid="{00000000-0005-0000-0000-00009E240000}"/>
    <cellStyle name="Note 3 2 2 4 2" xfId="4495" xr:uid="{00000000-0005-0000-0000-00009F240000}"/>
    <cellStyle name="Note 3 2 2 4 2 2" xfId="8713" xr:uid="{00000000-0005-0000-0000-0000A0240000}"/>
    <cellStyle name="Note 3 2 2 4 3" xfId="6568" xr:uid="{00000000-0005-0000-0000-0000A1240000}"/>
    <cellStyle name="Note 3 2 2 5" xfId="2679" xr:uid="{00000000-0005-0000-0000-0000A2240000}"/>
    <cellStyle name="Note 3 2 2 5 2" xfId="4908" xr:uid="{00000000-0005-0000-0000-0000A3240000}"/>
    <cellStyle name="Note 3 2 2 5 2 2" xfId="9126" xr:uid="{00000000-0005-0000-0000-0000A4240000}"/>
    <cellStyle name="Note 3 2 2 5 3" xfId="6981" xr:uid="{00000000-0005-0000-0000-0000A5240000}"/>
    <cellStyle name="Note 3 2 2 6" xfId="3092" xr:uid="{00000000-0005-0000-0000-0000A6240000}"/>
    <cellStyle name="Note 3 2 2 6 2" xfId="5321" xr:uid="{00000000-0005-0000-0000-0000A7240000}"/>
    <cellStyle name="Note 3 2 2 6 2 2" xfId="9539" xr:uid="{00000000-0005-0000-0000-0000A8240000}"/>
    <cellStyle name="Note 3 2 2 6 3" xfId="7394" xr:uid="{00000000-0005-0000-0000-0000A9240000}"/>
    <cellStyle name="Note 3 2 2 7" xfId="3528" xr:uid="{00000000-0005-0000-0000-0000AA240000}"/>
    <cellStyle name="Note 3 2 2 7 2" xfId="7807" xr:uid="{00000000-0005-0000-0000-0000AB240000}"/>
    <cellStyle name="Note 3 2 2 8" xfId="3587" xr:uid="{00000000-0005-0000-0000-0000AC240000}"/>
    <cellStyle name="Note 3 2 2 9" xfId="3668" xr:uid="{00000000-0005-0000-0000-0000AD240000}"/>
    <cellStyle name="Note 3 2 2 9 2" xfId="7887" xr:uid="{00000000-0005-0000-0000-0000AE240000}"/>
    <cellStyle name="Note 3 2 3" xfId="561" xr:uid="{00000000-0005-0000-0000-0000AF240000}"/>
    <cellStyle name="Note 3 2 3 10" xfId="1440" xr:uid="{00000000-0005-0000-0000-0000B0240000}"/>
    <cellStyle name="Note 3 2 3 2" xfId="1025" xr:uid="{00000000-0005-0000-0000-0000B1240000}"/>
    <cellStyle name="Note 3 2 3 2 2" xfId="4084" xr:uid="{00000000-0005-0000-0000-0000B2240000}"/>
    <cellStyle name="Note 3 2 3 2 2 2" xfId="8302" xr:uid="{00000000-0005-0000-0000-0000B3240000}"/>
    <cellStyle name="Note 3 2 3 2 3" xfId="6157" xr:uid="{00000000-0005-0000-0000-0000B4240000}"/>
    <cellStyle name="Note 3 2 3 2 4" xfId="1855" xr:uid="{00000000-0005-0000-0000-0000B5240000}"/>
    <cellStyle name="Note 3 2 3 3" xfId="2268" xr:uid="{00000000-0005-0000-0000-0000B6240000}"/>
    <cellStyle name="Note 3 2 3 3 2" xfId="4497" xr:uid="{00000000-0005-0000-0000-0000B7240000}"/>
    <cellStyle name="Note 3 2 3 3 2 2" xfId="8715" xr:uid="{00000000-0005-0000-0000-0000B8240000}"/>
    <cellStyle name="Note 3 2 3 3 3" xfId="6570" xr:uid="{00000000-0005-0000-0000-0000B9240000}"/>
    <cellStyle name="Note 3 2 3 4" xfId="2681" xr:uid="{00000000-0005-0000-0000-0000BA240000}"/>
    <cellStyle name="Note 3 2 3 4 2" xfId="4910" xr:uid="{00000000-0005-0000-0000-0000BB240000}"/>
    <cellStyle name="Note 3 2 3 4 2 2" xfId="9128" xr:uid="{00000000-0005-0000-0000-0000BC240000}"/>
    <cellStyle name="Note 3 2 3 4 3" xfId="6983" xr:uid="{00000000-0005-0000-0000-0000BD240000}"/>
    <cellStyle name="Note 3 2 3 5" xfId="3094" xr:uid="{00000000-0005-0000-0000-0000BE240000}"/>
    <cellStyle name="Note 3 2 3 5 2" xfId="5323" xr:uid="{00000000-0005-0000-0000-0000BF240000}"/>
    <cellStyle name="Note 3 2 3 5 2 2" xfId="9541" xr:uid="{00000000-0005-0000-0000-0000C0240000}"/>
    <cellStyle name="Note 3 2 3 5 3" xfId="7396" xr:uid="{00000000-0005-0000-0000-0000C1240000}"/>
    <cellStyle name="Note 3 2 3 6" xfId="3530" xr:uid="{00000000-0005-0000-0000-0000C2240000}"/>
    <cellStyle name="Note 3 2 3 6 2" xfId="7809" xr:uid="{00000000-0005-0000-0000-0000C3240000}"/>
    <cellStyle name="Note 3 2 3 7" xfId="3589" xr:uid="{00000000-0005-0000-0000-0000C4240000}"/>
    <cellStyle name="Note 3 2 3 8" xfId="3670" xr:uid="{00000000-0005-0000-0000-0000C5240000}"/>
    <cellStyle name="Note 3 2 3 8 2" xfId="7889" xr:uid="{00000000-0005-0000-0000-0000C6240000}"/>
    <cellStyle name="Note 3 2 3 9" xfId="5744" xr:uid="{00000000-0005-0000-0000-0000C7240000}"/>
    <cellStyle name="Note 3 2 4" xfId="1022" xr:uid="{00000000-0005-0000-0000-0000C8240000}"/>
    <cellStyle name="Note 3 2 4 2" xfId="4081" xr:uid="{00000000-0005-0000-0000-0000C9240000}"/>
    <cellStyle name="Note 3 2 4 2 2" xfId="8299" xr:uid="{00000000-0005-0000-0000-0000CA240000}"/>
    <cellStyle name="Note 3 2 4 3" xfId="6154" xr:uid="{00000000-0005-0000-0000-0000CB240000}"/>
    <cellStyle name="Note 3 2 4 4" xfId="1852" xr:uid="{00000000-0005-0000-0000-0000CC240000}"/>
    <cellStyle name="Note 3 2 5" xfId="2265" xr:uid="{00000000-0005-0000-0000-0000CD240000}"/>
    <cellStyle name="Note 3 2 5 2" xfId="4494" xr:uid="{00000000-0005-0000-0000-0000CE240000}"/>
    <cellStyle name="Note 3 2 5 2 2" xfId="8712" xr:uid="{00000000-0005-0000-0000-0000CF240000}"/>
    <cellStyle name="Note 3 2 5 3" xfId="6567" xr:uid="{00000000-0005-0000-0000-0000D0240000}"/>
    <cellStyle name="Note 3 2 6" xfId="2678" xr:uid="{00000000-0005-0000-0000-0000D1240000}"/>
    <cellStyle name="Note 3 2 6 2" xfId="4907" xr:uid="{00000000-0005-0000-0000-0000D2240000}"/>
    <cellStyle name="Note 3 2 6 2 2" xfId="9125" xr:uid="{00000000-0005-0000-0000-0000D3240000}"/>
    <cellStyle name="Note 3 2 6 3" xfId="6980" xr:uid="{00000000-0005-0000-0000-0000D4240000}"/>
    <cellStyle name="Note 3 2 7" xfId="3091" xr:uid="{00000000-0005-0000-0000-0000D5240000}"/>
    <cellStyle name="Note 3 2 7 2" xfId="5320" xr:uid="{00000000-0005-0000-0000-0000D6240000}"/>
    <cellStyle name="Note 3 2 7 2 2" xfId="9538" xr:uid="{00000000-0005-0000-0000-0000D7240000}"/>
    <cellStyle name="Note 3 2 7 3" xfId="7393" xr:uid="{00000000-0005-0000-0000-0000D8240000}"/>
    <cellStyle name="Note 3 2 8" xfId="3527" xr:uid="{00000000-0005-0000-0000-0000D9240000}"/>
    <cellStyle name="Note 3 2 8 2" xfId="7806" xr:uid="{00000000-0005-0000-0000-0000DA240000}"/>
    <cellStyle name="Note 3 2 9" xfId="3586" xr:uid="{00000000-0005-0000-0000-0000DB240000}"/>
    <cellStyle name="Note 3 3" xfId="562" xr:uid="{00000000-0005-0000-0000-0000DC240000}"/>
    <cellStyle name="Note 3 3 10" xfId="5745" xr:uid="{00000000-0005-0000-0000-0000DD240000}"/>
    <cellStyle name="Note 3 3 11" xfId="1441" xr:uid="{00000000-0005-0000-0000-0000DE240000}"/>
    <cellStyle name="Note 3 3 2" xfId="563" xr:uid="{00000000-0005-0000-0000-0000DF240000}"/>
    <cellStyle name="Note 3 3 2 10" xfId="1442" xr:uid="{00000000-0005-0000-0000-0000E0240000}"/>
    <cellStyle name="Note 3 3 2 2" xfId="1027" xr:uid="{00000000-0005-0000-0000-0000E1240000}"/>
    <cellStyle name="Note 3 3 2 2 2" xfId="4086" xr:uid="{00000000-0005-0000-0000-0000E2240000}"/>
    <cellStyle name="Note 3 3 2 2 2 2" xfId="8304" xr:uid="{00000000-0005-0000-0000-0000E3240000}"/>
    <cellStyle name="Note 3 3 2 2 3" xfId="6159" xr:uid="{00000000-0005-0000-0000-0000E4240000}"/>
    <cellStyle name="Note 3 3 2 2 4" xfId="1857" xr:uid="{00000000-0005-0000-0000-0000E5240000}"/>
    <cellStyle name="Note 3 3 2 3" xfId="2270" xr:uid="{00000000-0005-0000-0000-0000E6240000}"/>
    <cellStyle name="Note 3 3 2 3 2" xfId="4499" xr:uid="{00000000-0005-0000-0000-0000E7240000}"/>
    <cellStyle name="Note 3 3 2 3 2 2" xfId="8717" xr:uid="{00000000-0005-0000-0000-0000E8240000}"/>
    <cellStyle name="Note 3 3 2 3 3" xfId="6572" xr:uid="{00000000-0005-0000-0000-0000E9240000}"/>
    <cellStyle name="Note 3 3 2 4" xfId="2683" xr:uid="{00000000-0005-0000-0000-0000EA240000}"/>
    <cellStyle name="Note 3 3 2 4 2" xfId="4912" xr:uid="{00000000-0005-0000-0000-0000EB240000}"/>
    <cellStyle name="Note 3 3 2 4 2 2" xfId="9130" xr:uid="{00000000-0005-0000-0000-0000EC240000}"/>
    <cellStyle name="Note 3 3 2 4 3" xfId="6985" xr:uid="{00000000-0005-0000-0000-0000ED240000}"/>
    <cellStyle name="Note 3 3 2 5" xfId="3096" xr:uid="{00000000-0005-0000-0000-0000EE240000}"/>
    <cellStyle name="Note 3 3 2 5 2" xfId="5325" xr:uid="{00000000-0005-0000-0000-0000EF240000}"/>
    <cellStyle name="Note 3 3 2 5 2 2" xfId="9543" xr:uid="{00000000-0005-0000-0000-0000F0240000}"/>
    <cellStyle name="Note 3 3 2 5 3" xfId="7398" xr:uid="{00000000-0005-0000-0000-0000F1240000}"/>
    <cellStyle name="Note 3 3 2 6" xfId="3532" xr:uid="{00000000-0005-0000-0000-0000F2240000}"/>
    <cellStyle name="Note 3 3 2 6 2" xfId="7811" xr:uid="{00000000-0005-0000-0000-0000F3240000}"/>
    <cellStyle name="Note 3 3 2 7" xfId="3591" xr:uid="{00000000-0005-0000-0000-0000F4240000}"/>
    <cellStyle name="Note 3 3 2 8" xfId="3672" xr:uid="{00000000-0005-0000-0000-0000F5240000}"/>
    <cellStyle name="Note 3 3 2 8 2" xfId="7891" xr:uid="{00000000-0005-0000-0000-0000F6240000}"/>
    <cellStyle name="Note 3 3 2 9" xfId="5746" xr:uid="{00000000-0005-0000-0000-0000F7240000}"/>
    <cellStyle name="Note 3 3 3" xfId="1026" xr:uid="{00000000-0005-0000-0000-0000F8240000}"/>
    <cellStyle name="Note 3 3 3 2" xfId="4085" xr:uid="{00000000-0005-0000-0000-0000F9240000}"/>
    <cellStyle name="Note 3 3 3 2 2" xfId="8303" xr:uid="{00000000-0005-0000-0000-0000FA240000}"/>
    <cellStyle name="Note 3 3 3 3" xfId="6158" xr:uid="{00000000-0005-0000-0000-0000FB240000}"/>
    <cellStyle name="Note 3 3 3 4" xfId="1856" xr:uid="{00000000-0005-0000-0000-0000FC240000}"/>
    <cellStyle name="Note 3 3 4" xfId="2269" xr:uid="{00000000-0005-0000-0000-0000FD240000}"/>
    <cellStyle name="Note 3 3 4 2" xfId="4498" xr:uid="{00000000-0005-0000-0000-0000FE240000}"/>
    <cellStyle name="Note 3 3 4 2 2" xfId="8716" xr:uid="{00000000-0005-0000-0000-0000FF240000}"/>
    <cellStyle name="Note 3 3 4 3" xfId="6571" xr:uid="{00000000-0005-0000-0000-000000250000}"/>
    <cellStyle name="Note 3 3 5" xfId="2682" xr:uid="{00000000-0005-0000-0000-000001250000}"/>
    <cellStyle name="Note 3 3 5 2" xfId="4911" xr:uid="{00000000-0005-0000-0000-000002250000}"/>
    <cellStyle name="Note 3 3 5 2 2" xfId="9129" xr:uid="{00000000-0005-0000-0000-000003250000}"/>
    <cellStyle name="Note 3 3 5 3" xfId="6984" xr:uid="{00000000-0005-0000-0000-000004250000}"/>
    <cellStyle name="Note 3 3 6" xfId="3095" xr:uid="{00000000-0005-0000-0000-000005250000}"/>
    <cellStyle name="Note 3 3 6 2" xfId="5324" xr:uid="{00000000-0005-0000-0000-000006250000}"/>
    <cellStyle name="Note 3 3 6 2 2" xfId="9542" xr:uid="{00000000-0005-0000-0000-000007250000}"/>
    <cellStyle name="Note 3 3 6 3" xfId="7397" xr:uid="{00000000-0005-0000-0000-000008250000}"/>
    <cellStyle name="Note 3 3 7" xfId="3531" xr:uid="{00000000-0005-0000-0000-000009250000}"/>
    <cellStyle name="Note 3 3 7 2" xfId="7810" xr:uid="{00000000-0005-0000-0000-00000A250000}"/>
    <cellStyle name="Note 3 3 8" xfId="3590" xr:uid="{00000000-0005-0000-0000-00000B250000}"/>
    <cellStyle name="Note 3 3 9" xfId="3671" xr:uid="{00000000-0005-0000-0000-00000C250000}"/>
    <cellStyle name="Note 3 3 9 2" xfId="7890" xr:uid="{00000000-0005-0000-0000-00000D250000}"/>
    <cellStyle name="Note 3 4" xfId="564" xr:uid="{00000000-0005-0000-0000-00000E250000}"/>
    <cellStyle name="Note 3 4 10" xfId="1443" xr:uid="{00000000-0005-0000-0000-00000F250000}"/>
    <cellStyle name="Note 3 4 2" xfId="1028" xr:uid="{00000000-0005-0000-0000-000010250000}"/>
    <cellStyle name="Note 3 4 2 2" xfId="4087" xr:uid="{00000000-0005-0000-0000-000011250000}"/>
    <cellStyle name="Note 3 4 2 2 2" xfId="8305" xr:uid="{00000000-0005-0000-0000-000012250000}"/>
    <cellStyle name="Note 3 4 2 3" xfId="6160" xr:uid="{00000000-0005-0000-0000-000013250000}"/>
    <cellStyle name="Note 3 4 2 4" xfId="1858" xr:uid="{00000000-0005-0000-0000-000014250000}"/>
    <cellStyle name="Note 3 4 3" xfId="2271" xr:uid="{00000000-0005-0000-0000-000015250000}"/>
    <cellStyle name="Note 3 4 3 2" xfId="4500" xr:uid="{00000000-0005-0000-0000-000016250000}"/>
    <cellStyle name="Note 3 4 3 2 2" xfId="8718" xr:uid="{00000000-0005-0000-0000-000017250000}"/>
    <cellStyle name="Note 3 4 3 3" xfId="6573" xr:uid="{00000000-0005-0000-0000-000018250000}"/>
    <cellStyle name="Note 3 4 4" xfId="2684" xr:uid="{00000000-0005-0000-0000-000019250000}"/>
    <cellStyle name="Note 3 4 4 2" xfId="4913" xr:uid="{00000000-0005-0000-0000-00001A250000}"/>
    <cellStyle name="Note 3 4 4 2 2" xfId="9131" xr:uid="{00000000-0005-0000-0000-00001B250000}"/>
    <cellStyle name="Note 3 4 4 3" xfId="6986" xr:uid="{00000000-0005-0000-0000-00001C250000}"/>
    <cellStyle name="Note 3 4 5" xfId="3097" xr:uid="{00000000-0005-0000-0000-00001D250000}"/>
    <cellStyle name="Note 3 4 5 2" xfId="5326" xr:uid="{00000000-0005-0000-0000-00001E250000}"/>
    <cellStyle name="Note 3 4 5 2 2" xfId="9544" xr:uid="{00000000-0005-0000-0000-00001F250000}"/>
    <cellStyle name="Note 3 4 5 3" xfId="7399" xr:uid="{00000000-0005-0000-0000-000020250000}"/>
    <cellStyle name="Note 3 4 6" xfId="3533" xr:uid="{00000000-0005-0000-0000-000021250000}"/>
    <cellStyle name="Note 3 4 6 2" xfId="7812" xr:uid="{00000000-0005-0000-0000-000022250000}"/>
    <cellStyle name="Note 3 4 7" xfId="3592" xr:uid="{00000000-0005-0000-0000-000023250000}"/>
    <cellStyle name="Note 3 4 8" xfId="3673" xr:uid="{00000000-0005-0000-0000-000024250000}"/>
    <cellStyle name="Note 3 4 8 2" xfId="7892" xr:uid="{00000000-0005-0000-0000-000025250000}"/>
    <cellStyle name="Note 3 4 9" xfId="5747" xr:uid="{00000000-0005-0000-0000-000026250000}"/>
    <cellStyle name="Note 3 5" xfId="565" xr:uid="{00000000-0005-0000-0000-000027250000}"/>
    <cellStyle name="Note 3 5 10" xfId="1444" xr:uid="{00000000-0005-0000-0000-000028250000}"/>
    <cellStyle name="Note 3 5 2" xfId="1029" xr:uid="{00000000-0005-0000-0000-000029250000}"/>
    <cellStyle name="Note 3 5 2 2" xfId="4088" xr:uid="{00000000-0005-0000-0000-00002A250000}"/>
    <cellStyle name="Note 3 5 2 2 2" xfId="8306" xr:uid="{00000000-0005-0000-0000-00002B250000}"/>
    <cellStyle name="Note 3 5 2 3" xfId="6161" xr:uid="{00000000-0005-0000-0000-00002C250000}"/>
    <cellStyle name="Note 3 5 2 4" xfId="1859" xr:uid="{00000000-0005-0000-0000-00002D250000}"/>
    <cellStyle name="Note 3 5 3" xfId="2272" xr:uid="{00000000-0005-0000-0000-00002E250000}"/>
    <cellStyle name="Note 3 5 3 2" xfId="4501" xr:uid="{00000000-0005-0000-0000-00002F250000}"/>
    <cellStyle name="Note 3 5 3 2 2" xfId="8719" xr:uid="{00000000-0005-0000-0000-000030250000}"/>
    <cellStyle name="Note 3 5 3 3" xfId="6574" xr:uid="{00000000-0005-0000-0000-000031250000}"/>
    <cellStyle name="Note 3 5 4" xfId="2685" xr:uid="{00000000-0005-0000-0000-000032250000}"/>
    <cellStyle name="Note 3 5 4 2" xfId="4914" xr:uid="{00000000-0005-0000-0000-000033250000}"/>
    <cellStyle name="Note 3 5 4 2 2" xfId="9132" xr:uid="{00000000-0005-0000-0000-000034250000}"/>
    <cellStyle name="Note 3 5 4 3" xfId="6987" xr:uid="{00000000-0005-0000-0000-000035250000}"/>
    <cellStyle name="Note 3 5 5" xfId="3098" xr:uid="{00000000-0005-0000-0000-000036250000}"/>
    <cellStyle name="Note 3 5 5 2" xfId="5327" xr:uid="{00000000-0005-0000-0000-000037250000}"/>
    <cellStyle name="Note 3 5 5 2 2" xfId="9545" xr:uid="{00000000-0005-0000-0000-000038250000}"/>
    <cellStyle name="Note 3 5 5 3" xfId="7400" xr:uid="{00000000-0005-0000-0000-000039250000}"/>
    <cellStyle name="Note 3 5 6" xfId="3534" xr:uid="{00000000-0005-0000-0000-00003A250000}"/>
    <cellStyle name="Note 3 5 6 2" xfId="7813" xr:uid="{00000000-0005-0000-0000-00003B250000}"/>
    <cellStyle name="Note 3 5 7" xfId="3593" xr:uid="{00000000-0005-0000-0000-00003C250000}"/>
    <cellStyle name="Note 3 5 8" xfId="3674" xr:uid="{00000000-0005-0000-0000-00003D250000}"/>
    <cellStyle name="Note 3 5 8 2" xfId="7893" xr:uid="{00000000-0005-0000-0000-00003E250000}"/>
    <cellStyle name="Note 3 5 9" xfId="5748" xr:uid="{00000000-0005-0000-0000-00003F250000}"/>
    <cellStyle name="Output" xfId="566" builtinId="21" customBuiltin="1"/>
    <cellStyle name="Output 2" xfId="567" xr:uid="{00000000-0005-0000-0000-000041250000}"/>
    <cellStyle name="Percent" xfId="573" builtinId="5"/>
    <cellStyle name="Percent 2" xfId="1030" xr:uid="{00000000-0005-0000-0000-000043250000}"/>
    <cellStyle name="Percent 3" xfId="577" xr:uid="{00000000-0005-0000-0000-000044250000}"/>
    <cellStyle name="Percent 3 2" xfId="5331" xr:uid="{00000000-0005-0000-0000-000045250000}"/>
    <cellStyle name="Percent 4" xfId="5334" xr:uid="{00000000-0005-0000-0000-000046250000}"/>
    <cellStyle name="Percent 4 2" xfId="9548" xr:uid="{00000000-0005-0000-0000-000047250000}"/>
    <cellStyle name="Percent 4 3" xfId="9551" xr:uid="{00000000-0005-0000-0000-000048250000}"/>
    <cellStyle name="Text Entry" xfId="568" xr:uid="{00000000-0005-0000-0000-000049250000}"/>
    <cellStyle name="Title 2" xfId="569" xr:uid="{00000000-0005-0000-0000-00004A250000}"/>
    <cellStyle name="Title 2 2" xfId="3594" xr:uid="{00000000-0005-0000-0000-00004B250000}"/>
    <cellStyle name="Title 2 3" xfId="3675" xr:uid="{00000000-0005-0000-0000-00004C250000}"/>
    <cellStyle name="Total" xfId="570" builtinId="25" customBuiltin="1"/>
    <cellStyle name="Total 2" xfId="571" xr:uid="{00000000-0005-0000-0000-00004E250000}"/>
    <cellStyle name="Warning Text" xfId="572" builtinId="11" customBuiltin="1"/>
  </cellStyles>
  <dxfs count="92">
    <dxf>
      <font>
        <condense val="0"/>
        <extend val="0"/>
        <color indexed="10"/>
      </font>
    </dxf>
    <dxf>
      <font>
        <condense val="0"/>
        <extend val="0"/>
        <color indexed="10"/>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C00000"/>
      </font>
      <fill>
        <patternFill>
          <bgColor rgb="FFFFCCCC"/>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treasurer.ca.gov/ctcac/2020/applications/maps-and-perimeters.asp"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8" workbookViewId="0">
      <selection sqref="A1:AL2"/>
    </sheetView>
  </sheetViews>
  <sheetFormatPr defaultColWidth="0" defaultRowHeight="12.45" zeroHeight="1"/>
  <cols>
    <col min="1" max="38" width="2.375" customWidth="1"/>
    <col min="39" max="16384" width="8.875" hidden="1"/>
  </cols>
  <sheetData>
    <row r="1" spans="1:38">
      <c r="A1" s="983" t="s">
        <v>1962</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4"/>
    </row>
    <row r="2" spans="1:38" ht="13.1" thickBot="1">
      <c r="A2" s="985"/>
      <c r="B2" s="985"/>
      <c r="C2" s="985"/>
      <c r="D2" s="985"/>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5"/>
      <c r="AE2" s="985"/>
      <c r="AF2" s="985"/>
      <c r="AG2" s="985"/>
      <c r="AH2" s="985"/>
      <c r="AI2" s="985"/>
      <c r="AJ2" s="985"/>
      <c r="AK2" s="985"/>
      <c r="AL2" s="986"/>
    </row>
    <row r="3" spans="1:38" ht="13.1" thickTop="1"/>
    <row r="4" spans="1:38" ht="13.1">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
      <c r="B5" s="3"/>
      <c r="C5" s="3"/>
      <c r="D5" s="5"/>
      <c r="E5" s="5"/>
      <c r="F5" s="5"/>
      <c r="G5" s="5"/>
      <c r="H5" s="5"/>
      <c r="I5" s="5"/>
      <c r="J5" s="5"/>
      <c r="K5" s="5"/>
      <c r="L5" s="5"/>
      <c r="M5" s="5"/>
      <c r="N5" s="5"/>
      <c r="O5" s="5"/>
      <c r="P5" s="5"/>
      <c r="Q5" s="5"/>
      <c r="R5" s="5"/>
      <c r="S5" s="5"/>
      <c r="T5" s="5"/>
      <c r="U5" s="5"/>
      <c r="V5" s="5"/>
      <c r="W5" s="5"/>
      <c r="X5" s="5"/>
      <c r="Y5" s="5"/>
      <c r="Z5" s="5"/>
      <c r="AA5" s="5"/>
      <c r="AB5" s="5"/>
    </row>
    <row r="6" spans="1:38" ht="13.1">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3" t="s">
        <v>2285</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row>
    <row r="8" spans="1:38" ht="13.1">
      <c r="A8" s="5"/>
      <c r="C8" s="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row>
    <row r="9" spans="1:38" ht="13.1">
      <c r="A9" s="5"/>
      <c r="C9" s="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row>
    <row r="10" spans="1:38" ht="13.1">
      <c r="A10" s="5"/>
      <c r="C10" s="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3"/>
    </row>
    <row r="11" spans="1:38" ht="13.1">
      <c r="A11" s="5"/>
      <c r="C11" s="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row>
    <row r="12" spans="1:38" ht="13.1">
      <c r="A12" s="5"/>
      <c r="C12" s="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row>
    <row r="13" spans="1:38" ht="13.1">
      <c r="A13" s="5"/>
      <c r="C13" s="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row>
    <row r="14" spans="1:38" ht="13.1">
      <c r="A14" s="5"/>
      <c r="C14" s="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row>
    <row r="15" spans="1:38" ht="13.1">
      <c r="A15" s="5"/>
      <c r="C15" s="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8" ht="13.1">
      <c r="A16" s="5"/>
      <c r="C16" s="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row>
    <row r="17" spans="1:38" ht="13.1">
      <c r="A17" s="5"/>
      <c r="C17" s="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8" ht="11.15" customHeight="1">
      <c r="A18" s="5"/>
      <c r="C18" s="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8" ht="13.75" customHeight="1">
      <c r="A19" s="5"/>
      <c r="C19" s="3"/>
      <c r="D19" s="973" t="s">
        <v>2354</v>
      </c>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row>
    <row r="20" spans="1:38" ht="13.1">
      <c r="A20" s="5"/>
      <c r="C20" s="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8" ht="13.1">
      <c r="A21" s="5"/>
      <c r="C21" s="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8" ht="13.1">
      <c r="A22" s="5"/>
      <c r="C22" s="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8" ht="13.1">
      <c r="A23" s="5"/>
      <c r="C23" s="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8" ht="13.1">
      <c r="A24" s="5"/>
      <c r="C24" s="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8" ht="13.1">
      <c r="A25" s="5"/>
      <c r="C25" s="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8" ht="13.1">
      <c r="A26" s="5"/>
      <c r="C26" s="3"/>
      <c r="D26" s="5"/>
      <c r="E26" s="975" t="s">
        <v>2353</v>
      </c>
      <c r="F26" s="975"/>
      <c r="G26" s="975"/>
      <c r="H26" s="975"/>
      <c r="I26" s="975"/>
      <c r="J26" s="975"/>
      <c r="K26" s="975"/>
      <c r="L26" s="975"/>
      <c r="M26" s="975"/>
      <c r="N26" s="975"/>
      <c r="O26" s="975"/>
      <c r="P26" s="975"/>
      <c r="Q26" s="975"/>
      <c r="R26" s="975"/>
      <c r="S26" s="975"/>
      <c r="T26" s="975"/>
      <c r="U26" s="975"/>
      <c r="V26" s="975"/>
      <c r="W26" s="975"/>
      <c r="X26" s="975"/>
      <c r="Y26" s="975"/>
      <c r="Z26" s="975"/>
      <c r="AA26" s="975"/>
      <c r="AB26" s="975"/>
      <c r="AC26" s="975"/>
      <c r="AD26" s="975"/>
      <c r="AE26" s="975"/>
      <c r="AF26" s="975"/>
      <c r="AG26" s="975"/>
      <c r="AH26" s="975"/>
      <c r="AI26" s="975"/>
      <c r="AJ26" s="975"/>
      <c r="AK26" s="975"/>
    </row>
    <row r="27" spans="1:38" ht="13.1">
      <c r="A27" s="5"/>
      <c r="C27" s="3"/>
      <c r="E27" s="975" t="s">
        <v>2352</v>
      </c>
      <c r="F27" s="975"/>
      <c r="G27" s="975"/>
      <c r="H27" s="975"/>
      <c r="I27" s="975"/>
      <c r="J27" s="975"/>
      <c r="K27" s="975"/>
      <c r="L27" s="975"/>
      <c r="M27" s="975"/>
      <c r="N27" s="975"/>
      <c r="O27" s="975"/>
      <c r="P27" s="975"/>
      <c r="Q27" s="975"/>
      <c r="R27" s="975"/>
      <c r="S27" s="975"/>
      <c r="T27" s="975"/>
      <c r="U27" s="975"/>
      <c r="V27" s="975"/>
      <c r="W27" s="975"/>
      <c r="X27" s="975"/>
      <c r="Y27" s="975"/>
      <c r="Z27" s="975"/>
      <c r="AA27" s="975"/>
      <c r="AB27" s="975"/>
      <c r="AC27" s="975"/>
      <c r="AD27" s="975"/>
      <c r="AE27" s="975"/>
      <c r="AF27" s="975"/>
      <c r="AG27" s="975"/>
      <c r="AH27" s="975"/>
      <c r="AI27" s="975"/>
      <c r="AJ27" s="975"/>
      <c r="AK27" s="975"/>
    </row>
    <row r="28" spans="1:38" ht="13.1">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4" t="s">
        <v>2116</v>
      </c>
      <c r="E29" s="974"/>
      <c r="F29" s="974"/>
      <c r="G29" s="974"/>
      <c r="H29" s="974"/>
      <c r="I29" s="974"/>
      <c r="J29" s="974"/>
      <c r="K29" s="974"/>
      <c r="L29" s="974"/>
      <c r="M29" s="974"/>
      <c r="N29" s="974"/>
      <c r="O29" s="974"/>
      <c r="P29" s="974"/>
      <c r="Q29" s="974"/>
      <c r="R29" s="974"/>
      <c r="S29" s="974"/>
      <c r="T29" s="974"/>
      <c r="U29" s="974"/>
      <c r="V29" s="974"/>
      <c r="W29" s="974"/>
      <c r="X29" s="974"/>
      <c r="Y29" s="974"/>
      <c r="Z29" s="974"/>
      <c r="AA29" s="974"/>
      <c r="AB29" s="974"/>
      <c r="AC29" s="974"/>
      <c r="AD29" s="974"/>
      <c r="AE29" s="974"/>
      <c r="AF29" s="974"/>
      <c r="AG29" s="974"/>
      <c r="AH29" s="974"/>
      <c r="AI29" s="974"/>
      <c r="AJ29" s="974"/>
      <c r="AK29" s="974"/>
      <c r="AL29"/>
    </row>
    <row r="30" spans="1:38">
      <c r="A30" s="5"/>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row>
    <row r="31" spans="1:38" ht="13.1">
      <c r="A31" s="5"/>
      <c r="D31" s="158"/>
      <c r="E31" s="976" t="s">
        <v>1339</v>
      </c>
      <c r="F31" s="976"/>
      <c r="G31" s="976"/>
      <c r="H31" s="976"/>
      <c r="I31" s="976"/>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row>
    <row r="32" spans="1:38" ht="13.1">
      <c r="A32" s="5"/>
      <c r="D32" s="158"/>
      <c r="E32" s="976" t="s">
        <v>1191</v>
      </c>
      <c r="F32" s="976"/>
      <c r="G32" s="976"/>
      <c r="H32" s="976"/>
      <c r="I32" s="976"/>
      <c r="J32" s="976"/>
      <c r="K32" s="976"/>
      <c r="L32" s="976"/>
      <c r="M32" s="976"/>
      <c r="N32" s="976"/>
      <c r="O32" s="976"/>
      <c r="P32" s="976"/>
      <c r="Q32" s="976"/>
      <c r="R32" s="976"/>
      <c r="S32" s="976"/>
      <c r="T32" s="976"/>
      <c r="U32" s="976"/>
      <c r="V32" s="976"/>
      <c r="W32" s="976"/>
      <c r="X32" s="976"/>
      <c r="Y32" s="976"/>
      <c r="Z32" s="976"/>
      <c r="AA32" s="976"/>
      <c r="AB32" s="976"/>
      <c r="AC32" s="976"/>
      <c r="AD32" s="976"/>
      <c r="AE32" s="976"/>
      <c r="AF32" s="976"/>
      <c r="AG32" s="976"/>
      <c r="AH32" s="976"/>
      <c r="AI32" s="976"/>
      <c r="AJ32" s="976"/>
      <c r="AK32" s="976"/>
    </row>
    <row r="33" spans="1:38" ht="13.1">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
      <c r="A36" s="5"/>
      <c r="C36" s="3"/>
      <c r="D36" s="5"/>
      <c r="E36" s="41" t="s">
        <v>1761</v>
      </c>
      <c r="F36" s="973" t="s">
        <v>1762</v>
      </c>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ht="13.1">
      <c r="A37" s="5"/>
      <c r="C37" s="3"/>
      <c r="D37" s="5"/>
      <c r="E37" s="5"/>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row>
    <row r="38" spans="1:38" ht="13.1">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ht="13.1">
      <c r="A39" s="5"/>
      <c r="C39" s="3"/>
      <c r="D39" s="5"/>
      <c r="E39" s="5" t="s">
        <v>77</v>
      </c>
      <c r="F39" s="41" t="s">
        <v>1961</v>
      </c>
      <c r="G39" s="5"/>
      <c r="H39" s="5"/>
      <c r="I39" s="5"/>
      <c r="J39" s="5"/>
      <c r="K39" s="5"/>
      <c r="L39" s="5"/>
      <c r="O39" s="5"/>
      <c r="P39" s="5"/>
      <c r="Q39" s="5"/>
      <c r="R39" s="5"/>
      <c r="S39" s="5"/>
      <c r="T39" s="5"/>
      <c r="U39" s="5"/>
      <c r="V39" s="5"/>
      <c r="W39" s="5"/>
      <c r="X39" s="5"/>
      <c r="Y39" s="5"/>
      <c r="Z39" s="5"/>
      <c r="AA39" s="5"/>
      <c r="AB39" s="5"/>
    </row>
    <row r="40" spans="1:38" ht="13.1">
      <c r="A40" s="5"/>
      <c r="C40" s="3"/>
      <c r="D40" s="5"/>
      <c r="E40" s="5"/>
      <c r="F40" s="44" t="s">
        <v>612</v>
      </c>
      <c r="G40" s="3" t="s">
        <v>2286</v>
      </c>
      <c r="I40" s="5"/>
      <c r="J40" s="5"/>
      <c r="K40" s="5"/>
      <c r="L40" s="5"/>
      <c r="O40" s="5"/>
      <c r="P40" s="5"/>
      <c r="Q40" s="5"/>
      <c r="R40" s="5"/>
      <c r="S40" s="5"/>
      <c r="T40" s="5"/>
      <c r="U40" s="5"/>
      <c r="V40" s="5"/>
      <c r="W40" s="5"/>
      <c r="X40" s="5"/>
      <c r="Y40" s="5"/>
      <c r="Z40" s="5"/>
      <c r="AA40" s="5"/>
      <c r="AB40" s="5"/>
    </row>
    <row r="41" spans="1:38" ht="13.1">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3.75" customHeight="1">
      <c r="A42" s="5"/>
      <c r="C42" s="3"/>
      <c r="D42" s="5"/>
      <c r="E42" s="5" t="s">
        <v>566</v>
      </c>
      <c r="F42" s="973" t="s">
        <v>2287</v>
      </c>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row>
    <row r="43" spans="1:38" ht="13.1">
      <c r="A43" s="5"/>
      <c r="C43" s="3"/>
      <c r="D43" s="5"/>
      <c r="E43" s="5"/>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row>
    <row r="44" spans="1:38" ht="13.1">
      <c r="A44" s="5"/>
      <c r="C44" s="3"/>
      <c r="D44" s="5"/>
      <c r="E44" s="5"/>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row>
    <row r="45" spans="1:38" ht="13.1">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
      <c r="A46" s="5"/>
      <c r="C46" s="3"/>
      <c r="D46" s="5" t="s">
        <v>945</v>
      </c>
      <c r="E46" s="5" t="s">
        <v>760</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ht="13.1">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
      <c r="A48" s="5"/>
      <c r="C48" s="3"/>
      <c r="D48" s="3"/>
      <c r="E48" s="5"/>
      <c r="F48" s="12" t="s">
        <v>612</v>
      </c>
      <c r="G48" s="982" t="s">
        <v>2288</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ht="13.1">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ht="13.1">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ht="13.1">
      <c r="A51" s="5"/>
      <c r="B51" s="3"/>
      <c r="C51" s="3"/>
      <c r="D51" s="3"/>
      <c r="E51" s="5"/>
      <c r="F51" s="12" t="s">
        <v>208</v>
      </c>
      <c r="G51" s="982" t="s">
        <v>2289</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ht="13.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ht="13.1">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ht="13.1">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
      <c r="A56" s="5"/>
      <c r="C56" s="3"/>
      <c r="E56" s="41" t="s">
        <v>1763</v>
      </c>
      <c r="G56" s="5"/>
      <c r="H56" s="5"/>
      <c r="I56" s="5"/>
      <c r="J56" s="5"/>
      <c r="K56" s="5"/>
      <c r="L56" s="5"/>
      <c r="M56" s="5"/>
      <c r="N56" s="5"/>
      <c r="O56" s="5"/>
      <c r="P56" s="5"/>
      <c r="Q56" s="5"/>
      <c r="R56" s="5"/>
      <c r="S56" s="5"/>
      <c r="T56" s="5"/>
      <c r="U56" s="5"/>
      <c r="V56" s="5"/>
      <c r="W56" s="5"/>
      <c r="X56" s="5"/>
      <c r="Y56" s="5"/>
      <c r="Z56" s="5"/>
      <c r="AA56" s="5"/>
      <c r="AB56" s="5"/>
    </row>
    <row r="57" spans="1:38" ht="13.1">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ht="13.1">
      <c r="A58" s="5"/>
      <c r="C58" s="3"/>
      <c r="D58" s="5"/>
      <c r="E58" s="5"/>
      <c r="F58" t="s">
        <v>612</v>
      </c>
      <c r="G58" s="973" t="s">
        <v>1765</v>
      </c>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row>
    <row r="59" spans="1:38" ht="13.1">
      <c r="A59" s="5"/>
      <c r="C59" s="3"/>
      <c r="D59" s="5"/>
      <c r="E59" s="5"/>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row>
    <row r="60" spans="1:38" ht="13.1">
      <c r="A60" s="5"/>
      <c r="C60" s="3"/>
      <c r="D60" s="5"/>
      <c r="E60" s="5"/>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row>
    <row r="61" spans="1:38" ht="13.1">
      <c r="A61" s="5"/>
      <c r="C61" s="3"/>
      <c r="D61" s="5"/>
      <c r="E61" s="5"/>
      <c r="F61" t="s">
        <v>208</v>
      </c>
      <c r="G61" s="973" t="s">
        <v>1764</v>
      </c>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row>
    <row r="62" spans="1:38" ht="13.1">
      <c r="A62" s="5"/>
      <c r="C62" s="3"/>
      <c r="D62" s="5"/>
      <c r="E62" s="5"/>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row>
    <row r="63" spans="1:38" ht="13.1">
      <c r="A63" s="5"/>
      <c r="C63" s="3"/>
      <c r="D63" s="5"/>
      <c r="E63" s="5"/>
      <c r="F63" s="34"/>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row>
    <row r="64" spans="1:38" ht="13.1">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ht="13.1">
      <c r="A65" s="5"/>
      <c r="C65" s="3"/>
      <c r="D65" s="5"/>
      <c r="E65" s="5"/>
      <c r="F65" s="12" t="s">
        <v>612</v>
      </c>
      <c r="G65" s="973" t="s">
        <v>1766</v>
      </c>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row>
    <row r="66" spans="1:37" ht="13.1">
      <c r="A66" s="5"/>
      <c r="C66" s="3"/>
      <c r="D66" s="5"/>
      <c r="E66" s="5"/>
      <c r="F66" s="12"/>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row>
    <row r="67" spans="1:37" ht="13.1">
      <c r="A67" s="5"/>
      <c r="C67" s="3"/>
      <c r="D67" s="5"/>
      <c r="E67" s="5"/>
      <c r="F67" s="12" t="s">
        <v>208</v>
      </c>
      <c r="G67" s="973" t="s">
        <v>1767</v>
      </c>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row>
    <row r="68" spans="1:37" ht="13.1">
      <c r="A68" s="5"/>
      <c r="C68" s="3"/>
      <c r="D68" s="5"/>
      <c r="E68" s="5"/>
      <c r="F68" s="12"/>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row>
    <row r="69" spans="1:37" ht="13.1">
      <c r="A69" s="5"/>
      <c r="C69" s="3"/>
      <c r="D69" s="5"/>
      <c r="E69" s="5"/>
      <c r="F69" s="12"/>
      <c r="G69" s="158" t="s">
        <v>500</v>
      </c>
      <c r="H69" s="5"/>
      <c r="J69" s="158"/>
      <c r="K69" s="158"/>
      <c r="L69" s="158"/>
      <c r="P69" s="5"/>
      <c r="Q69" s="5"/>
      <c r="R69" s="5"/>
      <c r="S69" s="5"/>
      <c r="T69" s="5"/>
      <c r="U69" s="5"/>
      <c r="V69" s="5"/>
      <c r="W69" s="5"/>
      <c r="X69" s="5"/>
      <c r="Y69" s="5"/>
      <c r="Z69" s="5"/>
      <c r="AA69" s="5"/>
      <c r="AB69" s="5"/>
    </row>
    <row r="70" spans="1:37" ht="13.1">
      <c r="A70" s="5"/>
      <c r="C70" s="3"/>
      <c r="D70" s="5"/>
      <c r="E70" s="5"/>
      <c r="F70" s="12"/>
      <c r="G70" s="158" t="s">
        <v>1094</v>
      </c>
      <c r="J70" s="158"/>
      <c r="K70" s="158"/>
      <c r="L70" s="158"/>
      <c r="P70" s="5"/>
      <c r="Q70" s="5"/>
      <c r="R70" s="5"/>
      <c r="S70" s="5"/>
      <c r="T70" s="5"/>
      <c r="U70" s="5"/>
      <c r="V70" s="5"/>
      <c r="W70" s="5"/>
      <c r="X70" s="5"/>
      <c r="Y70" s="5"/>
      <c r="Z70" s="5"/>
      <c r="AA70" s="5"/>
      <c r="AB70" s="5"/>
    </row>
    <row r="71" spans="1:37" ht="13.1">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ht="13.1">
      <c r="A72" s="5"/>
      <c r="C72" s="3"/>
      <c r="D72" s="5"/>
      <c r="E72" s="5"/>
      <c r="F72" s="5"/>
      <c r="G72" s="5" t="s">
        <v>206</v>
      </c>
      <c r="H72" s="5" t="s">
        <v>1093</v>
      </c>
      <c r="K72" s="5"/>
      <c r="L72" s="5"/>
      <c r="M72" s="5"/>
      <c r="P72" s="5"/>
      <c r="Q72" s="5"/>
      <c r="R72" s="5"/>
      <c r="S72" s="5"/>
      <c r="T72" s="5"/>
      <c r="U72" s="5"/>
      <c r="V72" s="5"/>
      <c r="W72" s="5"/>
      <c r="X72" s="5"/>
      <c r="Y72" s="5"/>
      <c r="Z72" s="5"/>
      <c r="AA72" s="5"/>
      <c r="AB72" s="5"/>
    </row>
    <row r="73" spans="1:37" ht="13.1">
      <c r="A73" s="5"/>
      <c r="C73" s="3"/>
      <c r="D73" s="5"/>
      <c r="E73" s="5"/>
      <c r="F73" s="5"/>
      <c r="G73" s="5" t="s">
        <v>321</v>
      </c>
      <c r="H73" s="5" t="s">
        <v>479</v>
      </c>
      <c r="K73" s="5"/>
      <c r="L73" s="5"/>
      <c r="M73" s="5"/>
      <c r="P73" s="5"/>
      <c r="Q73" s="5"/>
      <c r="R73" s="5"/>
      <c r="S73" s="5"/>
      <c r="T73" s="5"/>
      <c r="U73" s="5"/>
      <c r="V73" s="5"/>
      <c r="W73" s="5"/>
      <c r="X73" s="5"/>
      <c r="Y73" s="5"/>
      <c r="Z73" s="5"/>
      <c r="AA73" s="5"/>
      <c r="AB73" s="5"/>
    </row>
    <row r="74" spans="1:37" ht="13.1">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ht="13.1">
      <c r="A75" s="5"/>
      <c r="C75" s="3"/>
      <c r="D75" s="5"/>
      <c r="E75" s="5"/>
      <c r="F75" s="12"/>
      <c r="G75" s="973" t="s">
        <v>1781</v>
      </c>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row>
    <row r="76" spans="1:37" ht="13.1">
      <c r="A76" s="5"/>
      <c r="C76" s="3"/>
      <c r="D76" s="5"/>
      <c r="E76" s="5"/>
      <c r="F76" s="5"/>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row>
    <row r="77" spans="1:37" ht="13.1">
      <c r="A77" s="5"/>
      <c r="C77" s="3"/>
      <c r="D77" s="5"/>
      <c r="E77" s="5"/>
      <c r="F77" s="5"/>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row>
    <row r="78" spans="1:37" ht="13.1">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ht="13.1">
      <c r="A79" s="5"/>
      <c r="C79" s="3"/>
      <c r="D79" s="5"/>
      <c r="E79" s="5"/>
      <c r="F79" s="12"/>
      <c r="G79" s="973" t="s">
        <v>1782</v>
      </c>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row>
    <row r="80" spans="1:37" ht="13.1">
      <c r="A80" s="5"/>
      <c r="C80" s="3"/>
      <c r="D80" s="5"/>
      <c r="E80" s="5"/>
      <c r="F80" s="5"/>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row>
    <row r="81" spans="1:38" ht="13.1">
      <c r="A81" s="5"/>
      <c r="C81" s="3"/>
      <c r="D81" s="5"/>
      <c r="E81" s="5"/>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row>
    <row r="82" spans="1:38" ht="13.1">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ht="13.1">
      <c r="A83" s="5"/>
      <c r="C83" s="3"/>
      <c r="D83" s="5"/>
      <c r="E83" s="5"/>
      <c r="G83" s="973" t="s">
        <v>1768</v>
      </c>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row>
    <row r="84" spans="1:38" ht="13.1">
      <c r="A84" s="5"/>
      <c r="C84" s="3"/>
      <c r="D84" s="5"/>
      <c r="E84" s="5"/>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row>
    <row r="85" spans="1:38" ht="13.1">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ht="13.1">
      <c r="A86" s="5"/>
      <c r="C86" s="3"/>
      <c r="D86" s="5"/>
      <c r="E86" s="5"/>
      <c r="F86" s="12"/>
      <c r="G86" s="973" t="s">
        <v>1769</v>
      </c>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row>
    <row r="87" spans="1:38" ht="13.1">
      <c r="A87" s="5"/>
      <c r="C87" s="3"/>
      <c r="D87" s="5"/>
      <c r="E87" s="5"/>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973"/>
      <c r="AH87" s="973"/>
      <c r="AI87" s="973"/>
      <c r="AJ87" s="973"/>
      <c r="AK87" s="973"/>
    </row>
    <row r="88" spans="1:38" ht="13.1">
      <c r="A88" s="5"/>
      <c r="C88" s="3"/>
      <c r="D88" s="5"/>
      <c r="E88" s="5" t="s">
        <v>267</v>
      </c>
      <c r="F88" s="5" t="s">
        <v>1039</v>
      </c>
      <c r="G88" s="5"/>
      <c r="L88" s="5"/>
      <c r="M88" s="5"/>
      <c r="P88" s="5"/>
      <c r="Q88" s="5"/>
      <c r="R88" s="5"/>
      <c r="S88" s="5"/>
      <c r="T88" s="5"/>
      <c r="U88" s="5"/>
      <c r="V88" s="5"/>
      <c r="W88" s="5"/>
      <c r="X88" s="5"/>
      <c r="Y88" s="5"/>
      <c r="Z88" s="5"/>
      <c r="AA88" s="5"/>
      <c r="AB88" s="5"/>
    </row>
    <row r="89" spans="1:38" ht="13.1">
      <c r="A89" s="5"/>
      <c r="C89" s="3"/>
      <c r="D89" s="5"/>
      <c r="E89" s="5"/>
      <c r="F89" s="12"/>
      <c r="G89" s="973" t="s">
        <v>1774</v>
      </c>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ht="13.1">
      <c r="A90" s="5"/>
      <c r="C90" s="3"/>
      <c r="D90" s="5"/>
      <c r="E90" s="5"/>
      <c r="F90" s="5"/>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ht="13.1">
      <c r="A91" s="5"/>
      <c r="C91" s="3"/>
      <c r="D91" s="5"/>
      <c r="E91" s="5"/>
      <c r="F91" s="5"/>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row>
    <row r="92" spans="1:38" ht="13.1">
      <c r="A92" s="5"/>
      <c r="C92" s="3"/>
      <c r="D92" s="5"/>
      <c r="E92" s="5"/>
      <c r="F92" s="5"/>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row>
    <row r="93" spans="1:38" ht="13.1">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1">
      <c r="A94" s="365"/>
      <c r="B94" s="365"/>
      <c r="C94" s="377"/>
      <c r="D94" s="365"/>
      <c r="E94" s="365"/>
      <c r="F94" s="365"/>
      <c r="G94" s="987" t="s">
        <v>1775</v>
      </c>
      <c r="H94" s="987"/>
      <c r="I94" s="987"/>
      <c r="J94" s="987"/>
      <c r="K94" s="987"/>
      <c r="L94" s="987"/>
      <c r="M94" s="987"/>
      <c r="N94" s="987"/>
      <c r="O94" s="987"/>
      <c r="P94" s="987"/>
      <c r="Q94" s="987"/>
      <c r="R94" s="987"/>
      <c r="S94" s="987"/>
      <c r="T94" s="987"/>
      <c r="U94" s="987"/>
      <c r="V94" s="987"/>
      <c r="W94" s="987"/>
      <c r="X94" s="987"/>
      <c r="Y94" s="987"/>
      <c r="Z94" s="987"/>
      <c r="AA94" s="987"/>
      <c r="AB94" s="987"/>
      <c r="AC94" s="987"/>
      <c r="AD94" s="987"/>
      <c r="AE94" s="987"/>
      <c r="AF94" s="987"/>
      <c r="AG94" s="987"/>
      <c r="AH94" s="987"/>
      <c r="AI94" s="987"/>
      <c r="AJ94" s="987"/>
      <c r="AK94" s="987"/>
      <c r="AL94" s="365"/>
    </row>
    <row r="95" spans="1:38" ht="13.1">
      <c r="A95" s="365"/>
      <c r="B95" s="365"/>
      <c r="C95" s="377"/>
      <c r="D95" s="365"/>
      <c r="E95" s="365"/>
      <c r="F95" s="365"/>
      <c r="G95" s="987"/>
      <c r="H95" s="987"/>
      <c r="I95" s="987"/>
      <c r="J95" s="987"/>
      <c r="K95" s="987"/>
      <c r="L95" s="987"/>
      <c r="M95" s="987"/>
      <c r="N95" s="987"/>
      <c r="O95" s="987"/>
      <c r="P95" s="987"/>
      <c r="Q95" s="987"/>
      <c r="R95" s="987"/>
      <c r="S95" s="987"/>
      <c r="T95" s="987"/>
      <c r="U95" s="987"/>
      <c r="V95" s="987"/>
      <c r="W95" s="987"/>
      <c r="X95" s="987"/>
      <c r="Y95" s="987"/>
      <c r="Z95" s="987"/>
      <c r="AA95" s="987"/>
      <c r="AB95" s="987"/>
      <c r="AC95" s="987"/>
      <c r="AD95" s="987"/>
      <c r="AE95" s="987"/>
      <c r="AF95" s="987"/>
      <c r="AG95" s="987"/>
      <c r="AH95" s="987"/>
      <c r="AI95" s="987"/>
      <c r="AJ95" s="987"/>
      <c r="AK95" s="987"/>
      <c r="AL95" s="365"/>
    </row>
    <row r="96" spans="1:38" ht="13.1">
      <c r="A96" s="365"/>
      <c r="B96" s="365"/>
      <c r="C96" s="377"/>
      <c r="D96" s="365"/>
      <c r="E96" s="365"/>
      <c r="F96" s="365"/>
      <c r="G96" s="987"/>
      <c r="H96" s="987"/>
      <c r="I96" s="987"/>
      <c r="J96" s="987"/>
      <c r="K96" s="987"/>
      <c r="L96" s="987"/>
      <c r="M96" s="987"/>
      <c r="N96" s="987"/>
      <c r="O96" s="987"/>
      <c r="P96" s="987"/>
      <c r="Q96" s="987"/>
      <c r="R96" s="987"/>
      <c r="S96" s="987"/>
      <c r="T96" s="987"/>
      <c r="U96" s="987"/>
      <c r="V96" s="987"/>
      <c r="W96" s="987"/>
      <c r="X96" s="987"/>
      <c r="Y96" s="987"/>
      <c r="Z96" s="987"/>
      <c r="AA96" s="987"/>
      <c r="AB96" s="987"/>
      <c r="AC96" s="987"/>
      <c r="AD96" s="987"/>
      <c r="AE96" s="987"/>
      <c r="AF96" s="987"/>
      <c r="AG96" s="987"/>
      <c r="AH96" s="987"/>
      <c r="AI96" s="987"/>
      <c r="AJ96" s="987"/>
      <c r="AK96" s="987"/>
      <c r="AL96" s="365"/>
    </row>
    <row r="97" spans="1:38" ht="13.1">
      <c r="A97" s="365"/>
      <c r="B97" s="365"/>
      <c r="C97" s="377"/>
      <c r="D97" s="365"/>
      <c r="E97" s="365"/>
      <c r="F97" s="365"/>
      <c r="G97" s="987"/>
      <c r="H97" s="987"/>
      <c r="I97" s="987"/>
      <c r="J97" s="987"/>
      <c r="K97" s="987"/>
      <c r="L97" s="987"/>
      <c r="M97" s="987"/>
      <c r="N97" s="987"/>
      <c r="O97" s="987"/>
      <c r="P97" s="987"/>
      <c r="Q97" s="987"/>
      <c r="R97" s="987"/>
      <c r="S97" s="987"/>
      <c r="T97" s="987"/>
      <c r="U97" s="987"/>
      <c r="V97" s="987"/>
      <c r="W97" s="987"/>
      <c r="X97" s="987"/>
      <c r="Y97" s="987"/>
      <c r="Z97" s="987"/>
      <c r="AA97" s="987"/>
      <c r="AB97" s="987"/>
      <c r="AC97" s="987"/>
      <c r="AD97" s="987"/>
      <c r="AE97" s="987"/>
      <c r="AF97" s="987"/>
      <c r="AG97" s="987"/>
      <c r="AH97" s="987"/>
      <c r="AI97" s="987"/>
      <c r="AJ97" s="987"/>
      <c r="AK97" s="987"/>
      <c r="AL97" s="365"/>
    </row>
    <row r="98" spans="1:38" ht="13.1">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ht="13.1">
      <c r="A99" s="5"/>
      <c r="C99" s="3"/>
      <c r="D99" s="5"/>
      <c r="E99" s="5"/>
      <c r="F99" s="5"/>
      <c r="G99" s="973" t="s">
        <v>1776</v>
      </c>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ht="13.1">
      <c r="A100" s="5"/>
      <c r="C100" s="3"/>
      <c r="D100" s="5"/>
      <c r="E100" s="5"/>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973"/>
      <c r="AH100" s="973"/>
      <c r="AI100" s="973"/>
      <c r="AJ100" s="973"/>
      <c r="AK100" s="973"/>
    </row>
    <row r="101" spans="1:38" ht="13.1">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ht="13.1">
      <c r="A102" s="5"/>
      <c r="C102" s="3"/>
      <c r="D102" s="5"/>
      <c r="E102" s="5"/>
      <c r="F102" s="5"/>
      <c r="G102" s="973" t="s">
        <v>1777</v>
      </c>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row>
    <row r="103" spans="1:38" ht="13.1">
      <c r="A103" s="5"/>
      <c r="C103" s="3"/>
      <c r="D103" s="5"/>
      <c r="E103" s="5"/>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row>
    <row r="104" spans="1:38" ht="13.1">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ht="13.1">
      <c r="A105" s="5"/>
      <c r="C105" s="3"/>
      <c r="D105" s="5"/>
      <c r="E105" s="5"/>
      <c r="F105" s="5"/>
      <c r="G105" s="973" t="s">
        <v>1778</v>
      </c>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row>
    <row r="106" spans="1:38" ht="13.1">
      <c r="A106" s="5"/>
      <c r="C106" s="3"/>
      <c r="D106" s="5"/>
      <c r="E106" s="5"/>
      <c r="F106" s="5"/>
      <c r="G106" s="973"/>
      <c r="H106" s="973"/>
      <c r="I106" s="973"/>
      <c r="J106" s="973"/>
      <c r="K106" s="973"/>
      <c r="L106" s="973"/>
      <c r="M106" s="973"/>
      <c r="N106" s="973"/>
      <c r="O106" s="973"/>
      <c r="P106" s="973"/>
      <c r="Q106" s="973"/>
      <c r="R106" s="973"/>
      <c r="S106" s="973"/>
      <c r="T106" s="973"/>
      <c r="U106" s="973"/>
      <c r="V106" s="973"/>
      <c r="W106" s="973"/>
      <c r="X106" s="973"/>
      <c r="Y106" s="973"/>
      <c r="Z106" s="973"/>
      <c r="AA106" s="973"/>
      <c r="AB106" s="973"/>
      <c r="AC106" s="973"/>
      <c r="AD106" s="973"/>
      <c r="AE106" s="973"/>
      <c r="AF106" s="973"/>
      <c r="AG106" s="973"/>
      <c r="AH106" s="973"/>
      <c r="AI106" s="973"/>
      <c r="AJ106" s="973"/>
      <c r="AK106" s="973"/>
    </row>
    <row r="107" spans="1:38" ht="13.1">
      <c r="A107" s="5"/>
      <c r="C107" s="3"/>
      <c r="D107" s="3"/>
      <c r="E107" s="5"/>
      <c r="F107" s="5"/>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row>
    <row r="108" spans="1:38" ht="13.1">
      <c r="A108" s="5"/>
      <c r="C108" s="3"/>
      <c r="D108" s="3"/>
      <c r="E108" s="5" t="s">
        <v>1068</v>
      </c>
      <c r="F108" s="5" t="s">
        <v>1069</v>
      </c>
      <c r="G108" s="5"/>
      <c r="P108" s="5"/>
      <c r="Q108" s="5"/>
      <c r="R108" s="5"/>
      <c r="S108" s="5"/>
      <c r="T108" s="5"/>
      <c r="U108" s="5"/>
      <c r="V108" s="5"/>
      <c r="W108" s="5"/>
      <c r="X108" s="5"/>
      <c r="Y108" s="5"/>
      <c r="Z108" s="5"/>
      <c r="AA108" s="5"/>
      <c r="AB108" s="5"/>
    </row>
    <row r="109" spans="1:38" ht="13.1">
      <c r="A109" s="5"/>
      <c r="C109" s="3"/>
      <c r="D109" s="3"/>
      <c r="E109" s="5"/>
      <c r="F109" s="5"/>
      <c r="G109" s="973" t="s">
        <v>1779</v>
      </c>
      <c r="H109" s="973"/>
      <c r="I109" s="973"/>
      <c r="J109" s="973"/>
      <c r="K109" s="973"/>
      <c r="L109" s="973"/>
      <c r="M109" s="973"/>
      <c r="N109" s="973"/>
      <c r="O109" s="973"/>
      <c r="P109" s="973"/>
      <c r="Q109" s="973"/>
      <c r="R109" s="973"/>
      <c r="S109" s="973"/>
      <c r="T109" s="973"/>
      <c r="U109" s="973"/>
      <c r="V109" s="973"/>
      <c r="W109" s="973"/>
      <c r="X109" s="973"/>
      <c r="Y109" s="973"/>
      <c r="Z109" s="973"/>
      <c r="AA109" s="973"/>
      <c r="AB109" s="973"/>
      <c r="AC109" s="973"/>
      <c r="AD109" s="973"/>
      <c r="AE109" s="973"/>
      <c r="AF109" s="973"/>
      <c r="AG109" s="973"/>
      <c r="AH109" s="973"/>
      <c r="AI109" s="973"/>
      <c r="AJ109" s="973"/>
      <c r="AK109" s="973"/>
    </row>
    <row r="110" spans="1:38" ht="13.1">
      <c r="A110" s="5"/>
      <c r="C110" s="3"/>
      <c r="D110" s="3"/>
      <c r="E110" s="5"/>
      <c r="F110" s="5"/>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row>
    <row r="111" spans="1:38" ht="13.1">
      <c r="A111" s="5"/>
      <c r="C111" s="3"/>
      <c r="D111" s="3"/>
      <c r="E111" s="5"/>
      <c r="F111" s="5"/>
      <c r="G111" s="5" t="s">
        <v>1070</v>
      </c>
      <c r="P111" s="5"/>
      <c r="Q111" s="5"/>
      <c r="R111" s="5"/>
      <c r="S111" s="5"/>
      <c r="T111" s="5"/>
      <c r="U111" s="5"/>
      <c r="V111" s="5"/>
      <c r="W111" s="5"/>
      <c r="X111" s="5"/>
      <c r="Y111" s="5"/>
      <c r="Z111" s="5"/>
      <c r="AA111" s="5"/>
      <c r="AB111" s="5"/>
    </row>
    <row r="112" spans="1:38">
      <c r="A112" s="5"/>
      <c r="D112" s="674"/>
      <c r="E112" s="981" t="s">
        <v>1780</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c r="A113" s="5"/>
      <c r="D113" s="674"/>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8"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ht="13.1">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
      <c r="B116" s="3"/>
      <c r="C116" s="3"/>
      <c r="D116" s="3"/>
      <c r="E116" s="3"/>
      <c r="F116" s="3"/>
      <c r="G116" s="3"/>
      <c r="H116" s="3"/>
      <c r="I116" s="3"/>
      <c r="J116" s="3"/>
      <c r="K116" s="3"/>
    </row>
    <row r="117" spans="1:38" ht="13.1">
      <c r="B117" s="3"/>
      <c r="C117" s="3" t="s">
        <v>292</v>
      </c>
      <c r="E117" s="3"/>
      <c r="F117" s="3"/>
      <c r="G117" s="3" t="s">
        <v>1963</v>
      </c>
      <c r="H117" s="3"/>
      <c r="I117" s="3"/>
      <c r="K117" s="3"/>
    </row>
    <row r="118" spans="1:38" ht="13.1">
      <c r="B118" s="3"/>
      <c r="C118" s="3"/>
      <c r="D118" s="3" t="s">
        <v>860</v>
      </c>
      <c r="E118" s="3" t="s">
        <v>1963</v>
      </c>
      <c r="F118" s="3"/>
      <c r="G118" s="3"/>
      <c r="H118" s="3"/>
      <c r="I118" s="3"/>
      <c r="J118" s="3"/>
      <c r="K118" s="3"/>
      <c r="L118" s="3"/>
      <c r="M118" s="3"/>
    </row>
    <row r="119" spans="1:38" ht="13.1">
      <c r="B119" s="3"/>
      <c r="C119" s="3"/>
      <c r="E119" s="5" t="s">
        <v>944</v>
      </c>
      <c r="F119" s="269" t="s">
        <v>861</v>
      </c>
      <c r="G119" s="3"/>
      <c r="H119" s="3"/>
      <c r="I119" s="3"/>
      <c r="J119" s="3"/>
      <c r="K119" s="3"/>
    </row>
    <row r="120" spans="1:38">
      <c r="E120" s="5"/>
      <c r="F120" t="s">
        <v>863</v>
      </c>
    </row>
    <row r="121" spans="1:38" s="158" customFormat="1" ht="13.1">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
      <c r="E123" s="5" t="s">
        <v>945</v>
      </c>
      <c r="F123" s="269" t="s">
        <v>865</v>
      </c>
      <c r="G123" s="3"/>
      <c r="H123" s="3"/>
      <c r="I123" s="3"/>
      <c r="J123" s="3"/>
    </row>
    <row r="124" spans="1:38">
      <c r="E124" s="5"/>
      <c r="F124" t="s">
        <v>866</v>
      </c>
    </row>
    <row r="125" spans="1:38">
      <c r="E125" s="5"/>
    </row>
    <row r="126" spans="1:38" ht="13.1">
      <c r="E126" s="5" t="s">
        <v>951</v>
      </c>
      <c r="F126" s="269" t="s">
        <v>481</v>
      </c>
      <c r="G126" s="3"/>
      <c r="H126" s="3"/>
      <c r="I126" s="3"/>
      <c r="J126" s="3"/>
      <c r="K126" s="3"/>
      <c r="L126" s="3"/>
      <c r="M126" s="3"/>
      <c r="N126" s="3"/>
      <c r="O126" s="3"/>
      <c r="P126" s="3"/>
    </row>
    <row r="127" spans="1:38">
      <c r="E127" s="5"/>
      <c r="F127" s="5" t="s">
        <v>1231</v>
      </c>
    </row>
    <row r="128" spans="1:38">
      <c r="E128" s="5"/>
      <c r="F128" s="5" t="s">
        <v>1257</v>
      </c>
    </row>
    <row r="129" spans="2:14"/>
    <row r="130" spans="2:14">
      <c r="E130" t="s">
        <v>460</v>
      </c>
      <c r="F130" s="269" t="s">
        <v>1232</v>
      </c>
    </row>
    <row r="131" spans="2:14" ht="13.1">
      <c r="F131" s="5" t="s">
        <v>1096</v>
      </c>
      <c r="G131" s="5"/>
    </row>
    <row r="132" spans="2:14">
      <c r="F132" s="674" t="s">
        <v>1964</v>
      </c>
      <c r="G132" s="674"/>
    </row>
    <row r="133" spans="2:14">
      <c r="G133" s="674"/>
    </row>
    <row r="134" spans="2:14">
      <c r="E134" s="5" t="s">
        <v>182</v>
      </c>
      <c r="F134" s="269" t="s">
        <v>541</v>
      </c>
    </row>
    <row r="135" spans="2:14">
      <c r="E135" s="5"/>
      <c r="F135" s="5" t="s">
        <v>1359</v>
      </c>
    </row>
    <row r="136" spans="2:14" ht="12.8" customHeight="1">
      <c r="B136" s="3"/>
      <c r="C136" s="3"/>
      <c r="F136" s="3"/>
    </row>
    <row r="137" spans="2:14" ht="13.1">
      <c r="B137" s="3"/>
      <c r="C137" s="3" t="s">
        <v>293</v>
      </c>
      <c r="G137" s="3" t="s">
        <v>542</v>
      </c>
    </row>
    <row r="138" spans="2:14" ht="13.1">
      <c r="B138" s="3"/>
      <c r="C138" s="3"/>
      <c r="D138" s="3" t="s">
        <v>860</v>
      </c>
      <c r="E138" s="3" t="s">
        <v>690</v>
      </c>
      <c r="F138" s="3"/>
      <c r="G138" s="3"/>
      <c r="H138" s="3"/>
      <c r="I138" s="3"/>
      <c r="J138" s="3"/>
    </row>
    <row r="139" spans="2:14" ht="13.1">
      <c r="B139" s="3"/>
      <c r="C139" s="3"/>
      <c r="E139" s="5" t="s">
        <v>1233</v>
      </c>
      <c r="F139" s="5"/>
    </row>
    <row r="140" spans="2:14"/>
    <row r="141" spans="2:14" ht="13.1">
      <c r="D141" s="3" t="s">
        <v>494</v>
      </c>
      <c r="E141" s="3" t="s">
        <v>9</v>
      </c>
    </row>
    <row r="142" spans="2:14">
      <c r="E142" s="41" t="s">
        <v>1233</v>
      </c>
      <c r="F142" s="5"/>
    </row>
    <row r="143" spans="2:14"/>
    <row r="144" spans="2:14" ht="13.1">
      <c r="D144" s="3" t="s">
        <v>891</v>
      </c>
      <c r="E144" s="3" t="s">
        <v>909</v>
      </c>
      <c r="G144" s="3"/>
      <c r="H144" s="3"/>
      <c r="I144" s="3"/>
      <c r="J144" s="3"/>
      <c r="K144" s="3"/>
      <c r="L144" s="3"/>
      <c r="M144" s="3"/>
      <c r="N144" s="3"/>
    </row>
    <row r="145" spans="4:37">
      <c r="E145" s="973" t="s">
        <v>1783</v>
      </c>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row>
    <row r="146" spans="4:37">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c r="AB146" s="973"/>
      <c r="AC146" s="973"/>
      <c r="AD146" s="973"/>
      <c r="AE146" s="973"/>
      <c r="AF146" s="973"/>
      <c r="AG146" s="973"/>
      <c r="AH146" s="973"/>
      <c r="AI146" s="973"/>
      <c r="AJ146" s="973"/>
      <c r="AK146" s="973"/>
    </row>
    <row r="147" spans="4:37"/>
    <row r="148" spans="4:37" ht="13.1">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1828</v>
      </c>
      <c r="F149" s="5"/>
    </row>
    <row r="150" spans="4:37"/>
    <row r="151" spans="4:37" ht="13.1">
      <c r="D151" s="3" t="s">
        <v>533</v>
      </c>
      <c r="E151" s="3" t="s">
        <v>2290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ht="13.1">
      <c r="D154" s="3" t="s">
        <v>291</v>
      </c>
      <c r="E154" s="3" t="s">
        <v>2291</v>
      </c>
    </row>
    <row r="155" spans="4:37">
      <c r="E155" t="s">
        <v>944</v>
      </c>
      <c r="F155" t="s">
        <v>535</v>
      </c>
    </row>
    <row r="156" spans="4:37">
      <c r="E156" t="s">
        <v>945</v>
      </c>
      <c r="F156" t="s">
        <v>391</v>
      </c>
    </row>
    <row r="157" spans="4:37">
      <c r="F157" t="s">
        <v>862</v>
      </c>
      <c r="G157" s="41" t="s">
        <v>2292</v>
      </c>
    </row>
    <row r="158" spans="4:37">
      <c r="F158" t="s">
        <v>77</v>
      </c>
      <c r="G158" s="973" t="s">
        <v>1784</v>
      </c>
      <c r="H158" s="973"/>
      <c r="I158" s="973"/>
      <c r="J158" s="973"/>
      <c r="K158" s="973"/>
      <c r="L158" s="973"/>
      <c r="M158" s="973"/>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3"/>
      <c r="AK158" s="973"/>
    </row>
    <row r="159" spans="4:37">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row>
    <row r="160" spans="4:37"/>
    <row r="161" spans="3:9" ht="13.1">
      <c r="D161" s="3" t="s">
        <v>766</v>
      </c>
      <c r="E161" s="3" t="s">
        <v>2293</v>
      </c>
    </row>
    <row r="162" spans="3:9">
      <c r="E162" s="770" t="s">
        <v>2294</v>
      </c>
      <c r="F162" s="365"/>
    </row>
    <row r="163" spans="3:9" ht="13.1">
      <c r="D163" s="3"/>
      <c r="E163" s="3"/>
    </row>
    <row r="164" spans="3:9" ht="13.1">
      <c r="C164" s="3" t="s">
        <v>351</v>
      </c>
      <c r="G164" s="3" t="s">
        <v>543</v>
      </c>
    </row>
    <row r="165" spans="3:9" ht="13.1">
      <c r="C165" s="3"/>
      <c r="D165" s="3" t="s">
        <v>860</v>
      </c>
      <c r="E165" s="3" t="s">
        <v>660</v>
      </c>
      <c r="F165" s="3"/>
      <c r="G165" s="3"/>
      <c r="H165" s="3"/>
    </row>
    <row r="166" spans="3:9">
      <c r="E166" t="s">
        <v>1045</v>
      </c>
    </row>
    <row r="167" spans="3:9"/>
    <row r="168" spans="3:9" ht="13.1">
      <c r="D168" s="3" t="s">
        <v>494</v>
      </c>
      <c r="E168" s="3" t="s">
        <v>879</v>
      </c>
      <c r="F168" s="3"/>
      <c r="G168" s="3"/>
      <c r="H168" s="3"/>
      <c r="I168" s="3"/>
    </row>
    <row r="169" spans="3:9">
      <c r="E169" s="5" t="s">
        <v>1235</v>
      </c>
    </row>
    <row r="170" spans="3:9">
      <c r="E170" s="5" t="s">
        <v>1234</v>
      </c>
      <c r="G170" s="5"/>
    </row>
    <row r="171" spans="3:9"/>
    <row r="172" spans="3:9" ht="13.1">
      <c r="D172" s="3" t="s">
        <v>891</v>
      </c>
      <c r="E172" s="3" t="s">
        <v>669</v>
      </c>
    </row>
    <row r="173" spans="3:9">
      <c r="E173" t="s">
        <v>944</v>
      </c>
      <c r="F173" s="5" t="s">
        <v>1236</v>
      </c>
    </row>
    <row r="174" spans="3:9">
      <c r="E174" s="5" t="s">
        <v>945</v>
      </c>
      <c r="F174" s="5" t="s">
        <v>1237</v>
      </c>
    </row>
    <row r="175" spans="3:9">
      <c r="E175" s="5" t="s">
        <v>951</v>
      </c>
      <c r="F175" t="s">
        <v>910</v>
      </c>
    </row>
    <row r="176" spans="3:9"/>
    <row r="177" spans="3:20" ht="13.1">
      <c r="D177" s="3" t="s">
        <v>786</v>
      </c>
      <c r="E177" s="3" t="s">
        <v>544</v>
      </c>
    </row>
    <row r="178" spans="3:20">
      <c r="E178" s="5" t="s">
        <v>1238</v>
      </c>
    </row>
    <row r="179" spans="3:20"/>
    <row r="180" spans="3:20" ht="13.1">
      <c r="D180" s="3" t="s">
        <v>533</v>
      </c>
      <c r="E180" s="3" t="s">
        <v>482</v>
      </c>
    </row>
    <row r="181" spans="3:20">
      <c r="E181" s="5" t="s">
        <v>1239</v>
      </c>
    </row>
    <row r="182" spans="3:20">
      <c r="E182" s="5" t="s">
        <v>1240</v>
      </c>
    </row>
    <row r="183" spans="3:20" ht="13.1">
      <c r="F183" s="158" t="s">
        <v>842</v>
      </c>
    </row>
    <row r="184" spans="3:20" ht="13.1">
      <c r="F184" s="158"/>
      <c r="I184" s="158"/>
    </row>
    <row r="185" spans="3:20" ht="13.1">
      <c r="D185" s="3" t="s">
        <v>291</v>
      </c>
      <c r="E185" s="3" t="s">
        <v>196</v>
      </c>
    </row>
    <row r="186" spans="3:20">
      <c r="E186" t="s">
        <v>944</v>
      </c>
      <c r="F186" t="s">
        <v>305</v>
      </c>
    </row>
    <row r="187" spans="3:20">
      <c r="E187" t="s">
        <v>945</v>
      </c>
      <c r="F187" t="s">
        <v>411</v>
      </c>
    </row>
    <row r="188" spans="3:20">
      <c r="F188" s="5"/>
    </row>
    <row r="189" spans="3:20" ht="13.1">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
      <c r="C192" s="3" t="s">
        <v>353</v>
      </c>
      <c r="D192" s="3"/>
      <c r="F192" s="5"/>
      <c r="G192" s="3" t="s">
        <v>9</v>
      </c>
    </row>
    <row r="193" spans="2:14" ht="13.1">
      <c r="D193" s="3" t="s">
        <v>860</v>
      </c>
      <c r="E193" s="3" t="s">
        <v>412</v>
      </c>
      <c r="G193" s="5"/>
      <c r="H193" s="5"/>
      <c r="I193" s="5"/>
      <c r="J193" s="5"/>
      <c r="K193" s="5"/>
      <c r="L193" s="5"/>
      <c r="M193" s="5"/>
      <c r="N193" s="5"/>
    </row>
    <row r="194" spans="2:14">
      <c r="E194" t="s">
        <v>944</v>
      </c>
      <c r="F194" s="365" t="s">
        <v>1241</v>
      </c>
    </row>
    <row r="195" spans="2:14" ht="13.1">
      <c r="F195" s="158" t="s">
        <v>1655</v>
      </c>
      <c r="I195" s="158"/>
    </row>
    <row r="196" spans="2:14" ht="13.1">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ht="13.1">
      <c r="D200" s="3" t="s">
        <v>494</v>
      </c>
      <c r="E200" s="3" t="s">
        <v>1892</v>
      </c>
    </row>
    <row r="201" spans="2:14">
      <c r="B201" s="5"/>
      <c r="C201" s="5"/>
      <c r="E201" s="5" t="s">
        <v>337</v>
      </c>
      <c r="F201" s="5"/>
      <c r="I201" s="5"/>
    </row>
    <row r="202" spans="2:14" ht="13.1">
      <c r="B202" s="5"/>
      <c r="C202" s="5"/>
      <c r="E202" s="5" t="s">
        <v>1360</v>
      </c>
      <c r="F202" s="158"/>
      <c r="G202" s="5"/>
      <c r="I202" s="158"/>
    </row>
    <row r="203" spans="2:14" ht="13.1">
      <c r="B203" s="5"/>
      <c r="C203" s="5"/>
      <c r="F203" s="158"/>
      <c r="G203" s="5"/>
      <c r="I203" s="158"/>
    </row>
    <row r="204" spans="2:14" ht="13.1">
      <c r="B204" s="5"/>
      <c r="C204" s="5"/>
      <c r="D204" s="3" t="s">
        <v>891</v>
      </c>
      <c r="E204" s="3" t="s">
        <v>70</v>
      </c>
      <c r="F204" s="158"/>
      <c r="G204" s="5"/>
      <c r="I204" s="158"/>
    </row>
    <row r="205" spans="2:14" ht="13.1">
      <c r="B205" s="5"/>
      <c r="C205" s="5"/>
      <c r="D205" s="3"/>
      <c r="E205" s="5" t="s">
        <v>408</v>
      </c>
      <c r="F205" s="5"/>
      <c r="G205" s="5"/>
      <c r="I205" s="158"/>
    </row>
    <row r="206" spans="2:14" ht="13.1">
      <c r="B206" s="5"/>
      <c r="C206" s="5"/>
      <c r="F206" s="158"/>
      <c r="G206" s="5"/>
      <c r="I206" s="158"/>
    </row>
    <row r="207" spans="2:14" ht="13.1">
      <c r="D207" s="3" t="s">
        <v>786</v>
      </c>
      <c r="E207" s="3" t="s">
        <v>943</v>
      </c>
    </row>
    <row r="208" spans="2:14" ht="13.1">
      <c r="B208" s="5"/>
      <c r="C208" s="3"/>
      <c r="E208" t="s">
        <v>944</v>
      </c>
      <c r="F208" s="5" t="s">
        <v>563</v>
      </c>
      <c r="G208" s="5"/>
      <c r="H208" s="5"/>
      <c r="I208" s="5"/>
    </row>
    <row r="209" spans="2:37" ht="13.1">
      <c r="B209" s="5"/>
      <c r="C209" s="3"/>
      <c r="F209" s="5" t="s">
        <v>862</v>
      </c>
      <c r="G209" s="41" t="s">
        <v>1815</v>
      </c>
    </row>
    <row r="210" spans="2:37">
      <c r="B210" s="5"/>
      <c r="C210" s="5"/>
      <c r="F210" s="5" t="s">
        <v>77</v>
      </c>
      <c r="G210" s="41" t="s">
        <v>1816</v>
      </c>
      <c r="I210" s="5"/>
      <c r="J210" s="5"/>
      <c r="M210" s="5"/>
      <c r="N210" s="5"/>
      <c r="O210" s="5"/>
      <c r="P210" s="5"/>
      <c r="Q210" s="5"/>
      <c r="R210" s="5"/>
      <c r="S210" s="5"/>
    </row>
    <row r="211" spans="2:37">
      <c r="B211" s="5"/>
      <c r="C211" s="5"/>
      <c r="F211" s="5" t="s">
        <v>566</v>
      </c>
      <c r="G211" s="5" t="s">
        <v>1242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
      <c r="B213" s="5"/>
      <c r="C213" s="5"/>
      <c r="D213" s="3" t="s">
        <v>533</v>
      </c>
      <c r="E213" s="3" t="s">
        <v>946</v>
      </c>
      <c r="G213" s="5"/>
      <c r="H213" s="5"/>
      <c r="I213" s="5"/>
      <c r="J213" s="5"/>
      <c r="M213" s="5"/>
      <c r="N213" s="5"/>
      <c r="O213" s="5"/>
      <c r="P213" s="5"/>
      <c r="Q213" s="5"/>
      <c r="R213" s="5"/>
      <c r="S213" s="5"/>
    </row>
    <row r="214" spans="2:37">
      <c r="B214" s="5"/>
      <c r="C214" s="5"/>
      <c r="D214" s="5"/>
      <c r="E214" s="5" t="s">
        <v>1243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
      <c r="B216" s="5"/>
      <c r="C216" s="5"/>
      <c r="D216" s="3" t="s">
        <v>291</v>
      </c>
      <c r="E216" s="3" t="s">
        <v>952</v>
      </c>
      <c r="G216" s="5"/>
      <c r="H216" s="5"/>
      <c r="I216" s="5"/>
      <c r="J216" s="5"/>
      <c r="M216" s="5"/>
      <c r="N216" s="5"/>
      <c r="O216" s="5"/>
      <c r="P216" s="5"/>
      <c r="Q216" s="5"/>
      <c r="R216" s="5"/>
      <c r="S216" s="5"/>
    </row>
    <row r="217" spans="2:37" ht="13.1">
      <c r="B217" s="5"/>
      <c r="C217" s="5"/>
      <c r="D217" s="3"/>
      <c r="E217" s="5" t="s">
        <v>944</v>
      </c>
      <c r="F217" s="5" t="s">
        <v>1244</v>
      </c>
      <c r="M217" s="5"/>
      <c r="N217" s="5"/>
      <c r="O217" s="5"/>
      <c r="P217" s="5"/>
      <c r="Q217" s="5"/>
      <c r="R217" s="5"/>
      <c r="S217" s="5"/>
    </row>
    <row r="218" spans="2:37" ht="13.1">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1246</v>
      </c>
      <c r="I220" s="5"/>
      <c r="J220" s="5"/>
      <c r="M220" s="5"/>
      <c r="N220" s="5"/>
      <c r="O220" s="5"/>
      <c r="P220" s="5"/>
      <c r="Q220" s="5"/>
      <c r="R220" s="5"/>
      <c r="S220" s="5"/>
      <c r="T220" s="5"/>
      <c r="U220" s="5"/>
      <c r="V220" s="5"/>
      <c r="W220" s="5"/>
      <c r="X220" s="5"/>
      <c r="Y220" s="5"/>
    </row>
    <row r="221" spans="2:37" ht="13.1">
      <c r="B221" s="5"/>
      <c r="C221" s="5"/>
      <c r="D221" s="3"/>
      <c r="E221" s="5" t="s">
        <v>460</v>
      </c>
      <c r="F221" s="5" t="s">
        <v>1245</v>
      </c>
      <c r="M221" s="5"/>
      <c r="N221" s="5"/>
      <c r="O221" s="5"/>
      <c r="P221" s="5"/>
      <c r="Q221" s="5"/>
      <c r="R221" s="5"/>
      <c r="S221" s="5"/>
    </row>
    <row r="222" spans="2:37" ht="13.1">
      <c r="B222" s="5"/>
      <c r="C222" s="5"/>
      <c r="D222" s="3"/>
      <c r="F222" t="s">
        <v>862</v>
      </c>
      <c r="G222" s="973" t="s">
        <v>1785</v>
      </c>
      <c r="H222" s="973"/>
      <c r="I222" s="973"/>
      <c r="J222" s="973"/>
      <c r="K222" s="973"/>
      <c r="L222" s="973"/>
      <c r="M222" s="973"/>
      <c r="N222" s="973"/>
      <c r="O222" s="973"/>
      <c r="P222" s="973"/>
      <c r="Q222" s="973"/>
      <c r="R222" s="973"/>
      <c r="S222" s="973"/>
      <c r="T222" s="973"/>
      <c r="U222" s="973"/>
      <c r="V222" s="973"/>
      <c r="W222" s="973"/>
      <c r="X222" s="973"/>
      <c r="Y222" s="973"/>
      <c r="Z222" s="973"/>
      <c r="AA222" s="973"/>
      <c r="AB222" s="973"/>
      <c r="AC222" s="973"/>
      <c r="AD222" s="973"/>
      <c r="AE222" s="973"/>
      <c r="AF222" s="973"/>
      <c r="AG222" s="973"/>
      <c r="AH222" s="973"/>
      <c r="AI222" s="973"/>
      <c r="AJ222" s="973"/>
      <c r="AK222" s="973"/>
    </row>
    <row r="223" spans="2:37" ht="13.1">
      <c r="B223" s="5"/>
      <c r="C223" s="5"/>
      <c r="D223" s="3"/>
      <c r="G223" s="973"/>
      <c r="H223" s="973"/>
      <c r="I223" s="973"/>
      <c r="J223" s="973"/>
      <c r="K223" s="973"/>
      <c r="L223" s="973"/>
      <c r="M223" s="973"/>
      <c r="N223" s="973"/>
      <c r="O223" s="973"/>
      <c r="P223" s="973"/>
      <c r="Q223" s="973"/>
      <c r="R223" s="973"/>
      <c r="S223" s="973"/>
      <c r="T223" s="973"/>
      <c r="U223" s="973"/>
      <c r="V223" s="973"/>
      <c r="W223" s="973"/>
      <c r="X223" s="973"/>
      <c r="Y223" s="973"/>
      <c r="Z223" s="973"/>
      <c r="AA223" s="973"/>
      <c r="AB223" s="973"/>
      <c r="AC223" s="973"/>
      <c r="AD223" s="973"/>
      <c r="AE223" s="973"/>
      <c r="AF223" s="973"/>
      <c r="AG223" s="973"/>
      <c r="AH223" s="973"/>
      <c r="AI223" s="973"/>
      <c r="AJ223" s="973"/>
      <c r="AK223" s="973"/>
    </row>
    <row r="224" spans="2:37" ht="13.1">
      <c r="B224" s="5"/>
      <c r="C224" s="5"/>
      <c r="D224" s="3"/>
      <c r="M224" s="5"/>
      <c r="N224" s="5"/>
      <c r="O224" s="5"/>
      <c r="P224" s="5"/>
      <c r="Q224" s="5"/>
      <c r="R224" s="5"/>
      <c r="S224" s="5"/>
    </row>
    <row r="225" spans="1:38" ht="13.1">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
      <c r="B228" s="5"/>
      <c r="C228" s="5"/>
      <c r="D228" s="3" t="s">
        <v>763</v>
      </c>
      <c r="E228" s="3" t="s">
        <v>226</v>
      </c>
      <c r="F228" s="5"/>
      <c r="G228" s="5"/>
      <c r="I228" s="5"/>
      <c r="J228" s="5"/>
      <c r="M228" s="5"/>
      <c r="N228" s="5"/>
      <c r="O228" s="5"/>
      <c r="P228" s="5"/>
      <c r="Q228" s="5"/>
      <c r="R228" s="5"/>
      <c r="S228" s="5"/>
      <c r="T228" s="5"/>
      <c r="U228" s="5"/>
      <c r="V228" s="5"/>
      <c r="W228" s="5"/>
    </row>
    <row r="229" spans="1:38" ht="13.1">
      <c r="B229" s="5"/>
      <c r="C229" s="5"/>
      <c r="D229" s="3"/>
      <c r="E229" s="5" t="s">
        <v>408</v>
      </c>
      <c r="F229" s="5"/>
      <c r="G229" s="5"/>
      <c r="I229" s="5"/>
      <c r="J229" s="5"/>
      <c r="M229" s="5"/>
      <c r="N229" s="5"/>
      <c r="O229" s="5"/>
      <c r="P229" s="5"/>
      <c r="Q229" s="5"/>
      <c r="R229" s="5"/>
      <c r="S229" s="5"/>
      <c r="T229" s="5"/>
      <c r="U229" s="5"/>
      <c r="V229" s="5"/>
      <c r="W229" s="5"/>
    </row>
    <row r="230" spans="1:38" ht="13.1">
      <c r="B230" s="5"/>
      <c r="C230" s="5"/>
      <c r="D230" s="3"/>
      <c r="M230" s="5"/>
      <c r="N230" s="5"/>
      <c r="O230" s="5"/>
      <c r="P230" s="5"/>
      <c r="Q230" s="5"/>
      <c r="R230" s="5"/>
      <c r="S230" s="5"/>
    </row>
    <row r="231" spans="1:38" ht="13.1">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73" t="s">
        <v>1786</v>
      </c>
      <c r="H233" s="973"/>
      <c r="I233" s="973"/>
      <c r="J233" s="973"/>
      <c r="K233" s="973"/>
      <c r="L233" s="973"/>
      <c r="M233" s="973"/>
      <c r="N233" s="973"/>
      <c r="O233" s="973"/>
      <c r="P233" s="973"/>
      <c r="Q233" s="973"/>
      <c r="R233" s="973"/>
      <c r="S233" s="973"/>
      <c r="T233" s="973"/>
      <c r="U233" s="973"/>
      <c r="V233" s="973"/>
      <c r="W233" s="973"/>
      <c r="X233" s="973"/>
      <c r="Y233" s="973"/>
      <c r="Z233" s="973"/>
      <c r="AA233" s="973"/>
      <c r="AB233" s="973"/>
      <c r="AC233" s="973"/>
      <c r="AD233" s="973"/>
      <c r="AE233" s="973"/>
      <c r="AF233" s="973"/>
      <c r="AG233" s="973"/>
      <c r="AH233" s="973"/>
      <c r="AI233" s="973"/>
      <c r="AJ233" s="973"/>
      <c r="AK233" s="973"/>
    </row>
    <row r="234" spans="1:38">
      <c r="B234" s="5"/>
      <c r="C234" s="5"/>
      <c r="F234" s="5"/>
      <c r="G234" s="973"/>
      <c r="H234" s="973"/>
      <c r="I234" s="973"/>
      <c r="J234" s="973"/>
      <c r="K234" s="973"/>
      <c r="L234" s="973"/>
      <c r="M234" s="973"/>
      <c r="N234" s="973"/>
      <c r="O234" s="973"/>
      <c r="P234" s="973"/>
      <c r="Q234" s="973"/>
      <c r="R234" s="973"/>
      <c r="S234" s="973"/>
      <c r="T234" s="973"/>
      <c r="U234" s="973"/>
      <c r="V234" s="973"/>
      <c r="W234" s="973"/>
      <c r="X234" s="973"/>
      <c r="Y234" s="973"/>
      <c r="Z234" s="973"/>
      <c r="AA234" s="973"/>
      <c r="AB234" s="973"/>
      <c r="AC234" s="973"/>
      <c r="AD234" s="973"/>
      <c r="AE234" s="973"/>
      <c r="AF234" s="973"/>
      <c r="AG234" s="973"/>
      <c r="AH234" s="973"/>
      <c r="AI234" s="973"/>
      <c r="AJ234" s="973"/>
      <c r="AK234" s="973"/>
    </row>
    <row r="235" spans="1:38">
      <c r="B235" s="5"/>
      <c r="C235" s="5"/>
      <c r="E235" t="s">
        <v>945</v>
      </c>
      <c r="F235" s="5" t="s">
        <v>260</v>
      </c>
      <c r="G235" s="5"/>
      <c r="H235" s="5"/>
      <c r="I235" s="5"/>
      <c r="M235" s="5"/>
      <c r="N235" s="5"/>
      <c r="O235" s="5"/>
      <c r="P235" s="5"/>
      <c r="Q235" s="5"/>
      <c r="R235" s="5"/>
      <c r="S235" s="5"/>
    </row>
    <row r="236" spans="1:38">
      <c r="B236" s="5"/>
      <c r="C236" s="5"/>
      <c r="F236" s="5" t="s">
        <v>862</v>
      </c>
      <c r="G236" s="973" t="s">
        <v>1787</v>
      </c>
      <c r="H236" s="973"/>
      <c r="I236" s="973"/>
      <c r="J236" s="973"/>
      <c r="K236" s="973"/>
      <c r="L236" s="973"/>
      <c r="M236" s="973"/>
      <c r="N236" s="973"/>
      <c r="O236" s="973"/>
      <c r="P236" s="973"/>
      <c r="Q236" s="973"/>
      <c r="R236" s="973"/>
      <c r="S236" s="973"/>
      <c r="T236" s="973"/>
      <c r="U236" s="973"/>
      <c r="V236" s="973"/>
      <c r="W236" s="973"/>
      <c r="X236" s="973"/>
      <c r="Y236" s="973"/>
      <c r="Z236" s="973"/>
      <c r="AA236" s="973"/>
      <c r="AB236" s="973"/>
      <c r="AC236" s="973"/>
      <c r="AD236" s="973"/>
      <c r="AE236" s="973"/>
      <c r="AF236" s="973"/>
      <c r="AG236" s="973"/>
      <c r="AH236" s="973"/>
      <c r="AI236" s="973"/>
      <c r="AJ236" s="973"/>
      <c r="AK236" s="973"/>
    </row>
    <row r="237" spans="1:38">
      <c r="B237" s="5"/>
      <c r="C237" s="5"/>
      <c r="F237" s="5"/>
      <c r="G237" s="973"/>
      <c r="H237" s="973"/>
      <c r="I237" s="973"/>
      <c r="J237" s="973"/>
      <c r="K237" s="973"/>
      <c r="L237" s="973"/>
      <c r="M237" s="973"/>
      <c r="N237" s="973"/>
      <c r="O237" s="973"/>
      <c r="P237" s="973"/>
      <c r="Q237" s="973"/>
      <c r="R237" s="973"/>
      <c r="S237" s="973"/>
      <c r="T237" s="973"/>
      <c r="U237" s="973"/>
      <c r="V237" s="973"/>
      <c r="W237" s="973"/>
      <c r="X237" s="973"/>
      <c r="Y237" s="973"/>
      <c r="Z237" s="973"/>
      <c r="AA237" s="973"/>
      <c r="AB237" s="973"/>
      <c r="AC237" s="973"/>
      <c r="AD237" s="973"/>
      <c r="AE237" s="973"/>
      <c r="AF237" s="973"/>
      <c r="AG237" s="973"/>
      <c r="AH237" s="973"/>
      <c r="AI237" s="973"/>
      <c r="AJ237" s="973"/>
      <c r="AK237" s="973"/>
    </row>
    <row r="238" spans="1:38" ht="13.1">
      <c r="B238" s="5"/>
      <c r="C238" s="5"/>
      <c r="D238" s="3"/>
      <c r="E238" s="3"/>
      <c r="F238" s="5"/>
      <c r="G238" s="5"/>
      <c r="H238" s="5"/>
      <c r="I238" s="5"/>
      <c r="J238" s="5"/>
      <c r="K238" s="5"/>
      <c r="M238" s="5"/>
      <c r="N238" s="5"/>
      <c r="O238" s="5"/>
      <c r="P238" s="5"/>
      <c r="Q238" s="5"/>
      <c r="R238" s="5"/>
      <c r="S238" s="5"/>
    </row>
    <row r="239" spans="1:38" ht="13.1">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
      <c r="B240" s="3"/>
      <c r="D240" s="3"/>
      <c r="E240" s="5"/>
      <c r="F240" s="5"/>
      <c r="G240" s="5"/>
      <c r="H240" s="5"/>
      <c r="I240" s="5"/>
      <c r="J240" s="5"/>
      <c r="L240" s="5"/>
      <c r="M240" s="5"/>
      <c r="N240" s="5"/>
      <c r="O240" s="5"/>
      <c r="P240" s="5"/>
      <c r="Q240" s="5"/>
      <c r="R240" s="5"/>
      <c r="S240" s="5"/>
    </row>
    <row r="241" spans="2:21" ht="13.1">
      <c r="B241" s="5"/>
      <c r="C241" s="3" t="s">
        <v>292</v>
      </c>
      <c r="D241" s="5"/>
      <c r="E241" s="5"/>
      <c r="F241" s="5"/>
      <c r="G241" s="3" t="s">
        <v>775</v>
      </c>
      <c r="I241" s="5"/>
      <c r="J241" s="5"/>
      <c r="K241" s="5"/>
      <c r="M241" s="5"/>
      <c r="N241" s="5"/>
      <c r="O241" s="5"/>
      <c r="P241" s="5"/>
      <c r="Q241" s="5"/>
      <c r="R241" s="5"/>
      <c r="S241" s="5"/>
    </row>
    <row r="242" spans="2:21" ht="13.1">
      <c r="B242" s="3"/>
      <c r="E242" s="5" t="s">
        <v>944</v>
      </c>
      <c r="F242" s="5" t="s">
        <v>927</v>
      </c>
      <c r="G242" s="5"/>
      <c r="I242" s="5"/>
      <c r="J242" s="5"/>
      <c r="K242" s="5"/>
      <c r="L242" s="5"/>
      <c r="M242" s="5"/>
      <c r="N242" s="5"/>
      <c r="O242" s="5"/>
      <c r="P242" s="5"/>
      <c r="Q242" s="5"/>
      <c r="R242" s="5"/>
      <c r="S242" s="5"/>
    </row>
    <row r="243" spans="2:21" ht="13.1">
      <c r="B243" s="3"/>
      <c r="E243" s="5" t="s">
        <v>945</v>
      </c>
      <c r="F243" s="5" t="s">
        <v>243</v>
      </c>
      <c r="G243" s="5"/>
      <c r="I243" s="5"/>
      <c r="J243" s="5"/>
      <c r="K243" s="5"/>
      <c r="L243" s="5"/>
      <c r="M243" s="5"/>
      <c r="N243" s="5"/>
      <c r="O243" s="5"/>
      <c r="P243" s="5"/>
      <c r="Q243" s="5"/>
      <c r="R243" s="5"/>
      <c r="S243" s="5"/>
    </row>
    <row r="244" spans="2:21" ht="13.1">
      <c r="B244" s="3"/>
      <c r="E244" s="5"/>
      <c r="F244" s="5"/>
      <c r="G244" s="5"/>
      <c r="H244" s="5"/>
      <c r="I244" s="5"/>
      <c r="J244" s="5"/>
      <c r="K244" s="5"/>
      <c r="L244" s="5"/>
      <c r="M244" s="5"/>
      <c r="N244" s="5"/>
      <c r="O244" s="5"/>
      <c r="P244" s="5"/>
      <c r="Q244" s="5"/>
      <c r="R244" s="5"/>
      <c r="S244" s="5"/>
    </row>
    <row r="245" spans="2:21" ht="13.1">
      <c r="B245" s="3"/>
      <c r="C245" s="3" t="s">
        <v>293</v>
      </c>
      <c r="D245" s="5"/>
      <c r="E245" s="5"/>
      <c r="F245" s="5"/>
      <c r="G245" s="3" t="s">
        <v>878</v>
      </c>
      <c r="I245" s="5"/>
      <c r="J245" s="5"/>
      <c r="K245" s="5"/>
      <c r="L245" s="5"/>
      <c r="M245" s="5"/>
      <c r="N245" s="5"/>
      <c r="O245" s="5"/>
      <c r="P245" s="5"/>
      <c r="Q245" s="5"/>
      <c r="R245" s="5"/>
      <c r="S245" s="5"/>
    </row>
    <row r="246" spans="2:21" ht="13.1">
      <c r="B246" s="3"/>
      <c r="E246" s="5" t="s">
        <v>944</v>
      </c>
      <c r="F246" s="5" t="s">
        <v>928</v>
      </c>
      <c r="G246" s="5"/>
      <c r="I246" s="5"/>
      <c r="J246" s="5"/>
      <c r="K246" s="5"/>
      <c r="L246" s="5"/>
      <c r="M246" s="5"/>
      <c r="N246" s="5"/>
      <c r="O246" s="5"/>
      <c r="P246" s="5"/>
      <c r="Q246" s="5"/>
      <c r="R246" s="5"/>
      <c r="S246" s="5"/>
    </row>
    <row r="247" spans="2:21" ht="13.1">
      <c r="B247" s="3"/>
      <c r="E247" s="5"/>
      <c r="F247" s="5" t="s">
        <v>350</v>
      </c>
      <c r="G247" s="5"/>
      <c r="H247" s="5"/>
      <c r="I247" s="5"/>
      <c r="J247" s="5"/>
      <c r="K247" s="5"/>
      <c r="L247" s="5"/>
      <c r="M247" s="5"/>
      <c r="N247" s="5"/>
      <c r="O247" s="5"/>
      <c r="P247" s="5"/>
      <c r="Q247" s="5"/>
      <c r="R247" s="5"/>
      <c r="S247" s="5"/>
    </row>
    <row r="248" spans="2:21" ht="13.1">
      <c r="B248" s="3"/>
      <c r="D248" s="5"/>
      <c r="E248" s="5" t="s">
        <v>945</v>
      </c>
      <c r="F248" s="5" t="s">
        <v>243</v>
      </c>
      <c r="G248" s="5"/>
      <c r="I248" s="5"/>
      <c r="J248" s="5"/>
      <c r="K248" s="5"/>
      <c r="L248" s="5"/>
      <c r="M248" s="5"/>
      <c r="N248" s="5"/>
      <c r="O248" s="5"/>
      <c r="P248" s="5"/>
      <c r="Q248" s="5"/>
      <c r="R248" s="5"/>
      <c r="S248" s="5"/>
    </row>
    <row r="249" spans="2:21" ht="13.1">
      <c r="B249" s="3"/>
      <c r="E249" s="5" t="s">
        <v>951</v>
      </c>
      <c r="F249" s="269" t="s">
        <v>1258</v>
      </c>
      <c r="G249" s="5"/>
      <c r="I249" s="5"/>
      <c r="J249" s="5"/>
      <c r="K249" s="5"/>
      <c r="L249" s="5"/>
      <c r="M249" s="5"/>
      <c r="N249" s="5"/>
      <c r="O249" s="5"/>
      <c r="P249" s="5"/>
      <c r="Q249" s="5"/>
      <c r="R249" s="5"/>
      <c r="S249" s="5"/>
    </row>
    <row r="250" spans="2:21" ht="13.1">
      <c r="B250" s="3"/>
      <c r="D250" s="5"/>
      <c r="E250" s="5"/>
      <c r="F250" s="5"/>
      <c r="G250" s="5"/>
      <c r="H250" s="5"/>
      <c r="I250" s="5"/>
      <c r="J250" s="5"/>
      <c r="K250" s="5"/>
      <c r="L250" s="5"/>
      <c r="M250" s="5"/>
      <c r="N250" s="5"/>
      <c r="O250" s="5"/>
      <c r="P250" s="5"/>
      <c r="Q250" s="5"/>
      <c r="R250" s="5"/>
      <c r="S250" s="5"/>
    </row>
    <row r="251" spans="2:21" ht="13.1">
      <c r="B251" s="3"/>
      <c r="C251" s="3" t="s">
        <v>351</v>
      </c>
      <c r="E251" s="5"/>
      <c r="F251" s="5"/>
      <c r="G251" s="3" t="s">
        <v>160</v>
      </c>
      <c r="I251" s="5"/>
      <c r="J251" s="5"/>
      <c r="K251" s="5"/>
      <c r="L251" s="5"/>
      <c r="M251" s="5"/>
      <c r="N251" s="5"/>
      <c r="O251" s="5"/>
      <c r="P251" s="5"/>
      <c r="Q251" s="5"/>
      <c r="R251" s="5"/>
      <c r="S251" s="5"/>
    </row>
    <row r="252" spans="2:21" ht="13.1">
      <c r="B252" s="3"/>
      <c r="C252" s="3"/>
      <c r="E252" s="5" t="s">
        <v>944</v>
      </c>
      <c r="F252" s="5" t="s">
        <v>822</v>
      </c>
      <c r="G252" s="5"/>
      <c r="I252" s="5"/>
      <c r="J252" s="5"/>
      <c r="K252" s="5"/>
      <c r="L252" s="5"/>
      <c r="M252" s="5"/>
      <c r="N252" s="5"/>
      <c r="O252" s="5"/>
      <c r="P252" s="5"/>
      <c r="Q252" s="5"/>
      <c r="R252" s="5"/>
      <c r="S252" s="5"/>
      <c r="T252" s="5"/>
      <c r="U252" s="5"/>
    </row>
    <row r="253" spans="2:21" ht="13.1">
      <c r="B253" s="3"/>
      <c r="C253" s="3"/>
      <c r="E253" s="5"/>
      <c r="F253" s="158" t="s">
        <v>1658</v>
      </c>
      <c r="G253" s="5"/>
      <c r="J253" s="5"/>
      <c r="K253" s="5"/>
      <c r="L253" s="5"/>
      <c r="M253" s="5"/>
      <c r="N253" s="5"/>
      <c r="O253" s="5"/>
      <c r="P253" s="5"/>
      <c r="Q253" s="5"/>
      <c r="R253" s="5"/>
      <c r="S253" s="5"/>
      <c r="T253" s="5"/>
      <c r="U253" s="5"/>
    </row>
    <row r="254" spans="2:21" ht="13.1">
      <c r="B254" s="3"/>
      <c r="C254" s="3"/>
      <c r="E254" s="5" t="s">
        <v>945</v>
      </c>
      <c r="F254" s="5" t="s">
        <v>1247</v>
      </c>
      <c r="I254" s="5"/>
      <c r="J254" s="5"/>
      <c r="K254" s="5"/>
      <c r="L254" s="5"/>
      <c r="M254" s="5"/>
      <c r="N254" s="5"/>
      <c r="O254" s="5"/>
      <c r="P254" s="5"/>
      <c r="Q254" s="5"/>
      <c r="R254" s="5"/>
      <c r="S254" s="5"/>
      <c r="T254" s="5"/>
      <c r="U254" s="5"/>
    </row>
    <row r="255" spans="2:21" ht="13.1">
      <c r="B255" s="3"/>
      <c r="C255" s="3"/>
      <c r="E255" s="5"/>
      <c r="F255" s="5" t="s">
        <v>862</v>
      </c>
      <c r="G255" s="5" t="s">
        <v>1074</v>
      </c>
      <c r="I255" s="41"/>
      <c r="K255" s="41"/>
      <c r="L255" s="41"/>
      <c r="M255" s="41"/>
      <c r="N255" s="41"/>
      <c r="O255" s="41"/>
      <c r="P255" s="41"/>
    </row>
    <row r="256" spans="2:21" ht="13.1">
      <c r="B256" s="3"/>
      <c r="C256" s="3"/>
      <c r="E256" s="5"/>
      <c r="G256" s="5" t="s">
        <v>1075</v>
      </c>
      <c r="I256" s="41"/>
      <c r="K256" s="41"/>
      <c r="L256" s="41"/>
      <c r="M256" s="41"/>
      <c r="N256" s="41"/>
      <c r="O256" s="41"/>
      <c r="P256" s="41"/>
    </row>
    <row r="257" spans="2:21" ht="13.1">
      <c r="B257" s="3"/>
      <c r="C257" s="3"/>
      <c r="E257" s="5"/>
      <c r="F257" t="s">
        <v>77</v>
      </c>
      <c r="G257" s="5" t="s">
        <v>1252</v>
      </c>
      <c r="I257" s="5"/>
      <c r="K257" s="5"/>
      <c r="L257" s="5"/>
      <c r="M257" s="5"/>
      <c r="N257" s="5"/>
      <c r="O257" s="5"/>
      <c r="P257" s="5"/>
      <c r="Q257" s="41"/>
      <c r="R257" s="41"/>
      <c r="S257" s="41"/>
      <c r="T257" s="41"/>
      <c r="U257" s="41"/>
    </row>
    <row r="258" spans="2:21" ht="13.1">
      <c r="B258" s="3"/>
      <c r="C258" s="3"/>
      <c r="E258" s="5"/>
      <c r="G258" s="5" t="s">
        <v>1100</v>
      </c>
      <c r="I258" s="5"/>
      <c r="K258" s="5"/>
      <c r="L258" s="5"/>
      <c r="M258" s="5"/>
      <c r="N258" s="5"/>
      <c r="O258" s="5"/>
      <c r="P258" s="5"/>
      <c r="Q258" s="5"/>
      <c r="R258" s="5"/>
      <c r="S258" s="5"/>
      <c r="T258" s="5"/>
      <c r="U258" s="5"/>
    </row>
    <row r="259" spans="2:21" ht="13.1">
      <c r="B259" s="3"/>
      <c r="C259" s="3"/>
      <c r="E259" s="5"/>
      <c r="G259" s="5"/>
      <c r="I259" s="5"/>
      <c r="K259" s="5"/>
      <c r="L259" s="5"/>
      <c r="M259" s="5"/>
      <c r="N259" s="5"/>
      <c r="O259" s="5"/>
      <c r="P259" s="5"/>
      <c r="Q259" s="5"/>
      <c r="R259" s="5"/>
      <c r="S259" s="5"/>
      <c r="T259" s="5"/>
      <c r="U259" s="5"/>
    </row>
    <row r="260" spans="2:21" ht="13.1">
      <c r="B260" s="3"/>
      <c r="C260" s="3"/>
      <c r="D260" s="3" t="s">
        <v>860</v>
      </c>
      <c r="E260" s="3" t="s">
        <v>161</v>
      </c>
      <c r="G260" s="5"/>
      <c r="H260" s="5"/>
      <c r="I260" s="5"/>
      <c r="J260" s="5"/>
      <c r="K260" s="5"/>
      <c r="L260" s="5"/>
      <c r="M260" s="5"/>
      <c r="N260" s="5"/>
      <c r="O260" s="5"/>
      <c r="P260" s="5"/>
      <c r="Q260" s="5"/>
      <c r="R260" s="5"/>
      <c r="S260" s="5"/>
    </row>
    <row r="261" spans="2:21" ht="13.1">
      <c r="B261" s="3"/>
      <c r="C261" s="3"/>
      <c r="E261" s="5" t="s">
        <v>944</v>
      </c>
      <c r="F261" s="5" t="s">
        <v>371</v>
      </c>
      <c r="G261" s="5"/>
      <c r="I261" s="5"/>
      <c r="J261" s="5"/>
      <c r="K261" s="5"/>
      <c r="L261" s="5"/>
      <c r="M261" s="5"/>
      <c r="N261" s="5"/>
      <c r="O261" s="5"/>
      <c r="P261" s="5"/>
      <c r="Q261" s="5"/>
      <c r="R261" s="5"/>
      <c r="S261" s="5"/>
    </row>
    <row r="262" spans="2:21" ht="13.1">
      <c r="B262" s="3"/>
      <c r="C262" s="3"/>
      <c r="E262" s="5" t="s">
        <v>945</v>
      </c>
      <c r="F262" s="5" t="s">
        <v>1055</v>
      </c>
      <c r="G262" s="5"/>
      <c r="I262" s="5"/>
      <c r="J262" s="5"/>
      <c r="K262" s="5"/>
      <c r="L262" s="5"/>
      <c r="M262" s="5"/>
      <c r="N262" s="5"/>
      <c r="O262" s="5"/>
      <c r="P262" s="5"/>
      <c r="Q262" s="5"/>
      <c r="R262" s="5"/>
      <c r="S262" s="5"/>
    </row>
    <row r="263" spans="2:21" ht="13.1">
      <c r="B263" s="3"/>
      <c r="C263" s="3"/>
      <c r="E263" s="5" t="s">
        <v>951</v>
      </c>
      <c r="F263" s="5" t="s">
        <v>372</v>
      </c>
      <c r="I263" s="5"/>
      <c r="J263" s="5"/>
      <c r="K263" s="5"/>
      <c r="L263" s="5"/>
      <c r="M263" s="5"/>
      <c r="N263" s="5"/>
      <c r="O263" s="5"/>
      <c r="P263" s="5"/>
      <c r="Q263" s="5"/>
      <c r="R263" s="5"/>
      <c r="S263" s="5"/>
    </row>
    <row r="264" spans="2:21" ht="13.1">
      <c r="B264" s="3"/>
      <c r="C264" s="3"/>
      <c r="E264" s="3"/>
      <c r="F264" s="5" t="s">
        <v>1056</v>
      </c>
      <c r="I264" s="5"/>
      <c r="J264" s="5"/>
      <c r="K264" s="5"/>
      <c r="L264" s="5"/>
      <c r="M264" s="5"/>
      <c r="N264" s="5"/>
      <c r="O264" s="5"/>
      <c r="P264" s="5"/>
      <c r="Q264" s="5"/>
      <c r="R264" s="5"/>
      <c r="S264" s="5"/>
    </row>
    <row r="265" spans="2:21" ht="13.1">
      <c r="B265" s="3"/>
      <c r="C265" s="3"/>
      <c r="E265" s="5" t="s">
        <v>460</v>
      </c>
      <c r="F265" s="5" t="s">
        <v>1076</v>
      </c>
      <c r="I265" s="5"/>
      <c r="J265" s="5"/>
      <c r="K265" s="5"/>
      <c r="L265" s="5"/>
      <c r="M265" s="5"/>
      <c r="N265" s="5"/>
      <c r="O265" s="5"/>
      <c r="P265" s="5"/>
      <c r="Q265" s="5"/>
      <c r="R265" s="5"/>
      <c r="S265" s="5"/>
    </row>
    <row r="266" spans="2:21" ht="13.1">
      <c r="B266" s="3"/>
      <c r="C266" s="3"/>
      <c r="E266" s="3"/>
      <c r="F266" s="5"/>
      <c r="H266" s="5"/>
      <c r="I266" s="5"/>
      <c r="J266" s="5"/>
      <c r="K266" s="5"/>
      <c r="L266" s="5"/>
      <c r="M266" s="5"/>
      <c r="N266" s="5"/>
      <c r="O266" s="5"/>
      <c r="P266" s="5"/>
      <c r="Q266" s="5"/>
      <c r="R266" s="5"/>
      <c r="S266" s="5"/>
    </row>
    <row r="267" spans="2:21" ht="13.1">
      <c r="B267" s="3"/>
      <c r="C267" s="3"/>
      <c r="D267" s="3" t="s">
        <v>494</v>
      </c>
      <c r="E267" s="3" t="s">
        <v>823</v>
      </c>
      <c r="G267" s="5"/>
      <c r="H267" s="5"/>
      <c r="I267" s="5"/>
      <c r="J267" s="5"/>
      <c r="K267" s="5"/>
      <c r="L267" s="5"/>
      <c r="M267" s="5"/>
      <c r="N267" s="5"/>
      <c r="O267" s="5"/>
      <c r="P267" s="5"/>
      <c r="Q267" s="5"/>
      <c r="R267" s="5"/>
      <c r="S267" s="5"/>
    </row>
    <row r="268" spans="2:21" ht="13.1">
      <c r="B268" s="3"/>
      <c r="C268" s="3"/>
      <c r="E268" s="5" t="s">
        <v>48</v>
      </c>
      <c r="F268" s="5"/>
      <c r="G268" s="5"/>
    </row>
    <row r="269" spans="2:21" ht="13.1">
      <c r="B269" s="3"/>
      <c r="C269" s="3"/>
      <c r="E269" s="3"/>
      <c r="G269" s="5"/>
      <c r="H269" s="5"/>
    </row>
    <row r="270" spans="2:21" ht="13.1">
      <c r="B270" s="3"/>
      <c r="C270" s="3"/>
      <c r="D270" s="3" t="s">
        <v>891</v>
      </c>
      <c r="E270" s="3" t="s">
        <v>275</v>
      </c>
      <c r="G270" s="5"/>
    </row>
    <row r="271" spans="2:21" ht="13.1">
      <c r="B271" s="3"/>
      <c r="C271" s="3"/>
      <c r="E271" s="5" t="s">
        <v>49</v>
      </c>
      <c r="F271" s="5"/>
      <c r="G271" s="5"/>
      <c r="J271" s="5"/>
      <c r="K271" s="5"/>
      <c r="L271" s="5"/>
      <c r="M271" s="5"/>
      <c r="N271" s="5"/>
      <c r="O271" s="5"/>
      <c r="P271" s="5"/>
      <c r="Q271" s="5"/>
      <c r="R271" s="5"/>
      <c r="S271" s="5"/>
      <c r="T271" s="5"/>
      <c r="U271" s="5"/>
    </row>
    <row r="272" spans="2:21" ht="13.1">
      <c r="B272" s="3"/>
      <c r="C272" s="3"/>
      <c r="E272" s="5" t="s">
        <v>50</v>
      </c>
      <c r="F272" s="5"/>
      <c r="G272" s="5"/>
      <c r="J272" s="5"/>
      <c r="K272" s="5"/>
      <c r="L272" s="5"/>
      <c r="M272" s="5"/>
      <c r="N272" s="5"/>
      <c r="O272" s="5"/>
      <c r="P272" s="5"/>
      <c r="Q272" s="5"/>
      <c r="R272" s="5"/>
      <c r="S272" s="5"/>
      <c r="T272" s="5"/>
      <c r="U272" s="5"/>
    </row>
    <row r="273" spans="2:21" ht="13.1">
      <c r="B273" s="3"/>
      <c r="C273" s="3"/>
      <c r="E273" s="3"/>
      <c r="G273" s="5"/>
      <c r="H273" s="5"/>
      <c r="J273" s="5"/>
      <c r="K273" s="5"/>
      <c r="L273" s="5"/>
      <c r="M273" s="5"/>
      <c r="N273" s="5"/>
      <c r="O273" s="5"/>
      <c r="P273" s="5"/>
      <c r="Q273" s="5"/>
      <c r="R273" s="5"/>
      <c r="S273" s="5"/>
      <c r="T273" s="5"/>
      <c r="U273" s="5"/>
    </row>
    <row r="274" spans="2:21" ht="13.1">
      <c r="B274" s="3"/>
      <c r="D274" s="3" t="s">
        <v>786</v>
      </c>
      <c r="E274" s="3" t="s">
        <v>162</v>
      </c>
      <c r="G274" s="5"/>
      <c r="H274" s="5"/>
      <c r="J274" s="5"/>
      <c r="K274" s="5"/>
      <c r="L274" s="5"/>
      <c r="M274" s="5"/>
      <c r="N274" s="5"/>
      <c r="O274" s="5"/>
      <c r="P274" s="5"/>
      <c r="Q274" s="5"/>
      <c r="R274" s="5"/>
      <c r="S274" s="5"/>
      <c r="T274" s="5"/>
      <c r="U274" s="5"/>
    </row>
    <row r="275" spans="2:21" ht="13.1">
      <c r="B275" s="3"/>
      <c r="D275" s="5"/>
      <c r="E275" s="41" t="s">
        <v>2014</v>
      </c>
      <c r="J275" s="5"/>
      <c r="K275" s="5"/>
      <c r="L275" s="5"/>
      <c r="M275" s="5"/>
      <c r="N275" s="5"/>
      <c r="O275" s="5"/>
      <c r="P275" s="5"/>
      <c r="Q275" s="5"/>
      <c r="R275" s="5"/>
      <c r="S275" s="5"/>
      <c r="T275" s="5"/>
      <c r="U275" s="5"/>
    </row>
    <row r="276" spans="2:21" ht="13.1">
      <c r="B276" s="3"/>
      <c r="D276" s="5"/>
      <c r="E276" s="41" t="s">
        <v>2015</v>
      </c>
      <c r="F276" s="5"/>
      <c r="J276" s="5"/>
      <c r="K276" s="5"/>
      <c r="L276" s="5"/>
      <c r="M276" s="5"/>
      <c r="N276" s="5"/>
      <c r="O276" s="5"/>
      <c r="P276" s="5"/>
      <c r="Q276" s="5"/>
      <c r="R276" s="5"/>
      <c r="S276" s="5"/>
      <c r="T276" s="5"/>
      <c r="U276" s="5"/>
    </row>
    <row r="277" spans="2:21" ht="13.1">
      <c r="B277" s="3"/>
      <c r="D277" s="5"/>
      <c r="E277" s="5"/>
      <c r="J277" s="5"/>
      <c r="K277" s="5"/>
      <c r="L277" s="5"/>
      <c r="M277" s="5"/>
      <c r="N277" s="5"/>
      <c r="O277" s="5"/>
      <c r="P277" s="5"/>
      <c r="Q277" s="5"/>
      <c r="R277" s="5"/>
      <c r="S277" s="5"/>
      <c r="T277" s="5"/>
      <c r="U277" s="5"/>
    </row>
    <row r="278" spans="2:21" ht="13.1">
      <c r="B278" s="3"/>
      <c r="D278" s="3" t="s">
        <v>533</v>
      </c>
      <c r="E278" s="3" t="s">
        <v>276</v>
      </c>
      <c r="K278" s="5"/>
      <c r="L278" s="5"/>
      <c r="M278" s="5"/>
      <c r="N278" s="5"/>
      <c r="O278" s="5"/>
      <c r="P278" s="5"/>
      <c r="Q278" s="5"/>
      <c r="R278" s="5"/>
      <c r="S278" s="5"/>
    </row>
    <row r="279" spans="2:21" ht="13.1">
      <c r="B279" s="3"/>
      <c r="D279" s="3"/>
      <c r="E279" t="s">
        <v>51</v>
      </c>
      <c r="K279" s="5"/>
      <c r="L279" s="5"/>
      <c r="M279" s="5"/>
      <c r="N279" s="5"/>
      <c r="O279" s="5"/>
      <c r="P279" s="5"/>
      <c r="Q279" s="5"/>
      <c r="R279" s="5"/>
      <c r="S279" s="5"/>
    </row>
    <row r="280" spans="2:21" ht="13.1">
      <c r="B280" s="3"/>
      <c r="D280" s="5"/>
      <c r="E280" s="5" t="s">
        <v>1248</v>
      </c>
      <c r="F280" s="5"/>
      <c r="I280" s="5"/>
      <c r="J280" s="5"/>
      <c r="K280" s="5"/>
      <c r="L280" s="5"/>
      <c r="M280" s="5"/>
      <c r="N280" s="5"/>
      <c r="O280" s="5"/>
      <c r="P280" s="5"/>
      <c r="Q280" s="5"/>
      <c r="R280" s="5"/>
      <c r="S280" s="5"/>
    </row>
    <row r="281" spans="2:21" ht="13.1">
      <c r="B281" s="3"/>
      <c r="D281" s="3"/>
      <c r="E281" s="5"/>
      <c r="I281" s="5"/>
      <c r="J281" s="5"/>
      <c r="K281" s="5"/>
      <c r="L281" s="5"/>
      <c r="M281" s="5"/>
      <c r="N281" s="5"/>
      <c r="O281" s="5"/>
      <c r="P281" s="5"/>
      <c r="Q281" s="5"/>
      <c r="R281" s="5"/>
      <c r="S281" s="5"/>
    </row>
    <row r="282" spans="2:21" ht="13.1">
      <c r="B282" s="3"/>
      <c r="D282" s="3" t="s">
        <v>291</v>
      </c>
      <c r="E282" s="3" t="s">
        <v>380</v>
      </c>
      <c r="G282" s="5"/>
      <c r="H282" s="5"/>
      <c r="I282" s="5"/>
      <c r="J282" s="5"/>
      <c r="K282" s="5"/>
      <c r="L282" s="5"/>
      <c r="M282" s="5"/>
      <c r="P282" s="5"/>
      <c r="Q282" s="5"/>
      <c r="R282" s="5"/>
      <c r="S282" s="5"/>
    </row>
    <row r="283" spans="2:21" ht="13.1">
      <c r="B283" s="3"/>
      <c r="D283" s="3"/>
      <c r="E283" t="s">
        <v>55</v>
      </c>
      <c r="G283" s="5"/>
      <c r="H283" s="5"/>
      <c r="I283" s="5"/>
      <c r="J283" s="5"/>
      <c r="K283" s="5"/>
      <c r="L283" s="5"/>
      <c r="M283" s="5"/>
      <c r="P283" s="5"/>
      <c r="Q283" s="5"/>
      <c r="R283" s="5"/>
      <c r="S283" s="5"/>
    </row>
    <row r="284" spans="2:21" ht="13.1">
      <c r="B284" s="3"/>
      <c r="D284" s="3"/>
      <c r="E284" t="s">
        <v>56</v>
      </c>
      <c r="G284" s="5"/>
      <c r="H284" s="5"/>
      <c r="I284" s="5"/>
      <c r="J284" s="5"/>
      <c r="K284" s="5"/>
      <c r="L284" s="5"/>
      <c r="M284" s="5"/>
      <c r="P284" s="5"/>
      <c r="Q284" s="5"/>
      <c r="R284" s="5"/>
      <c r="S284" s="5"/>
    </row>
    <row r="285" spans="2:21" ht="13.1">
      <c r="B285" s="3"/>
      <c r="D285" s="3"/>
      <c r="E285" s="158" t="s">
        <v>1656</v>
      </c>
      <c r="F285" s="158"/>
      <c r="G285" s="5"/>
      <c r="H285" s="158"/>
      <c r="I285" s="158"/>
      <c r="J285" s="5"/>
      <c r="K285" s="5"/>
      <c r="L285" s="5"/>
      <c r="M285" s="5"/>
      <c r="P285" s="5"/>
      <c r="Q285" s="5"/>
      <c r="R285" s="5"/>
      <c r="S285" s="5"/>
    </row>
    <row r="286" spans="2:21" ht="13.1">
      <c r="B286" s="3"/>
      <c r="D286" s="3"/>
      <c r="E286" s="676" t="s">
        <v>1099</v>
      </c>
      <c r="G286" s="5"/>
      <c r="H286" s="676"/>
      <c r="I286" s="676"/>
      <c r="J286" s="5"/>
      <c r="K286" s="5"/>
      <c r="L286" s="5"/>
      <c r="M286" s="5"/>
      <c r="P286" s="5"/>
      <c r="Q286" s="5"/>
      <c r="R286" s="5"/>
      <c r="S286" s="5"/>
    </row>
    <row r="287" spans="2:21" ht="13.1">
      <c r="B287" s="3"/>
      <c r="D287" s="3"/>
      <c r="E287" s="5"/>
      <c r="F287" s="5"/>
      <c r="G287" s="5"/>
      <c r="H287" s="5"/>
      <c r="I287" s="5"/>
      <c r="J287" s="5"/>
      <c r="K287" s="5"/>
      <c r="L287" s="5"/>
      <c r="M287" s="5"/>
      <c r="P287" s="5"/>
      <c r="Q287" s="5"/>
      <c r="R287" s="5"/>
      <c r="S287" s="5"/>
    </row>
    <row r="288" spans="2:21" ht="13.1">
      <c r="B288" s="3"/>
      <c r="D288" s="3" t="s">
        <v>766</v>
      </c>
      <c r="E288" s="3" t="s">
        <v>142</v>
      </c>
      <c r="K288" s="5"/>
      <c r="L288" s="5"/>
      <c r="M288" s="5"/>
      <c r="N288" s="5"/>
      <c r="O288" s="5"/>
      <c r="P288" s="5"/>
      <c r="Q288" s="5"/>
      <c r="R288" s="5"/>
      <c r="S288" s="5"/>
    </row>
    <row r="289" spans="2:24" ht="13.1">
      <c r="B289" s="3"/>
      <c r="D289" s="5"/>
      <c r="E289" s="5" t="s">
        <v>944</v>
      </c>
      <c r="F289" s="5" t="s">
        <v>143</v>
      </c>
      <c r="G289" s="5"/>
    </row>
    <row r="290" spans="2:24" ht="13.1">
      <c r="B290" s="3"/>
      <c r="D290" s="5"/>
      <c r="E290" s="5"/>
      <c r="F290" s="158" t="s">
        <v>1657</v>
      </c>
      <c r="G290" s="158"/>
      <c r="H290" s="158"/>
      <c r="I290" s="158"/>
      <c r="J290" s="158"/>
      <c r="K290" s="158"/>
      <c r="L290" s="158"/>
      <c r="M290" s="158"/>
      <c r="N290" s="158"/>
      <c r="O290" s="158"/>
      <c r="P290" s="158"/>
      <c r="Q290" s="158"/>
      <c r="R290" s="158"/>
      <c r="S290" s="158"/>
      <c r="T290" s="158"/>
      <c r="U290" s="158"/>
      <c r="V290" s="158"/>
      <c r="W290" s="158"/>
      <c r="X290" s="158"/>
    </row>
    <row r="291" spans="2:24" ht="13.1">
      <c r="B291" s="3"/>
      <c r="D291" s="5"/>
      <c r="E291" s="5" t="s">
        <v>945</v>
      </c>
      <c r="F291" s="5" t="s">
        <v>1046</v>
      </c>
      <c r="G291" s="5"/>
      <c r="L291" s="5"/>
      <c r="M291" s="5"/>
      <c r="N291" s="5"/>
      <c r="O291" s="5"/>
      <c r="P291" s="5"/>
      <c r="Q291" s="5"/>
      <c r="R291" s="5"/>
      <c r="S291" s="5"/>
      <c r="T291" s="5"/>
      <c r="U291" s="5"/>
      <c r="V291" s="5"/>
      <c r="W291" s="5"/>
    </row>
    <row r="292" spans="2:24" ht="13.1">
      <c r="B292" s="3"/>
      <c r="D292" s="5"/>
      <c r="E292" s="5" t="s">
        <v>951</v>
      </c>
      <c r="F292" s="5" t="s">
        <v>54</v>
      </c>
      <c r="G292" s="5"/>
      <c r="H292" s="5"/>
      <c r="K292" s="5"/>
      <c r="L292" s="5"/>
      <c r="M292" s="5"/>
      <c r="N292" s="5"/>
      <c r="O292" s="5"/>
      <c r="P292" s="5"/>
      <c r="Q292" s="5"/>
      <c r="R292" s="5"/>
      <c r="S292" s="5"/>
      <c r="T292" s="5"/>
      <c r="U292" s="5"/>
      <c r="V292" s="5"/>
      <c r="W292" s="5"/>
    </row>
    <row r="293" spans="2:24" ht="13.1">
      <c r="B293" s="3"/>
      <c r="D293" s="5"/>
      <c r="E293" s="5"/>
      <c r="F293" s="5" t="s">
        <v>862</v>
      </c>
      <c r="G293" s="5" t="s">
        <v>578</v>
      </c>
      <c r="K293" s="5"/>
      <c r="L293" s="5"/>
      <c r="M293" s="5"/>
      <c r="N293" s="5"/>
      <c r="O293" s="5"/>
      <c r="P293" s="5"/>
      <c r="Q293" s="5"/>
      <c r="R293" s="5"/>
      <c r="S293" s="5"/>
      <c r="T293" s="5"/>
      <c r="U293" s="5"/>
      <c r="V293" s="5"/>
      <c r="W293" s="5"/>
    </row>
    <row r="294" spans="2:24" ht="13.1">
      <c r="B294" s="3"/>
      <c r="D294" s="5"/>
      <c r="E294" s="5"/>
      <c r="F294" s="5" t="s">
        <v>77</v>
      </c>
      <c r="G294" s="5" t="s">
        <v>1249</v>
      </c>
      <c r="H294" s="5"/>
      <c r="K294" s="5"/>
      <c r="L294" s="5"/>
      <c r="M294" s="5"/>
      <c r="N294" s="5"/>
      <c r="O294" s="5"/>
      <c r="P294" s="5"/>
      <c r="Q294" s="5"/>
      <c r="R294" s="5"/>
      <c r="S294" s="5"/>
      <c r="T294" s="5"/>
      <c r="U294" s="5"/>
      <c r="V294" s="5"/>
      <c r="W294" s="5"/>
    </row>
    <row r="295" spans="2:24" ht="13.1">
      <c r="B295" s="3"/>
      <c r="D295" s="5"/>
      <c r="E295" s="5"/>
      <c r="F295" s="5" t="s">
        <v>566</v>
      </c>
      <c r="G295" s="5" t="s">
        <v>770</v>
      </c>
      <c r="K295" s="5"/>
      <c r="L295" s="5"/>
      <c r="M295" s="5"/>
      <c r="N295" s="5"/>
      <c r="O295" s="5"/>
      <c r="P295" s="5"/>
      <c r="Q295" s="5"/>
      <c r="R295" s="5"/>
      <c r="S295" s="5"/>
      <c r="T295" s="5"/>
      <c r="U295" s="5"/>
      <c r="V295" s="5"/>
      <c r="W295" s="5"/>
    </row>
    <row r="296" spans="2:24" ht="13.1">
      <c r="B296" s="3"/>
      <c r="D296" s="5"/>
      <c r="E296" s="5"/>
      <c r="F296" s="5" t="s">
        <v>488</v>
      </c>
      <c r="G296" s="5" t="s">
        <v>579</v>
      </c>
      <c r="H296" s="5"/>
      <c r="K296" s="5"/>
      <c r="L296" s="5"/>
      <c r="M296" s="5"/>
      <c r="N296" s="5"/>
      <c r="O296" s="5"/>
      <c r="P296" s="5"/>
      <c r="Q296" s="5"/>
      <c r="R296" s="5"/>
      <c r="S296" s="5"/>
      <c r="T296" s="5"/>
      <c r="U296" s="5"/>
      <c r="V296" s="5"/>
      <c r="W296" s="5"/>
    </row>
    <row r="297" spans="2:24" ht="13.1">
      <c r="B297" s="3"/>
      <c r="D297" s="5"/>
      <c r="E297" s="5"/>
      <c r="F297" s="5" t="s">
        <v>52</v>
      </c>
      <c r="G297" s="5" t="s">
        <v>59</v>
      </c>
      <c r="K297" s="5"/>
      <c r="L297" s="5"/>
      <c r="M297" s="5"/>
      <c r="N297" s="5"/>
      <c r="O297" s="5"/>
      <c r="P297" s="5"/>
      <c r="Q297" s="5"/>
      <c r="R297" s="5"/>
      <c r="S297" s="5"/>
      <c r="T297" s="5"/>
      <c r="U297" s="5"/>
      <c r="V297" s="5"/>
      <c r="W297" s="5"/>
    </row>
    <row r="298" spans="2:24" ht="13.1">
      <c r="B298" s="3"/>
      <c r="D298" s="5"/>
      <c r="E298" s="5"/>
      <c r="F298" s="5" t="s">
        <v>53</v>
      </c>
      <c r="G298" s="5" t="s">
        <v>528</v>
      </c>
      <c r="H298" s="5"/>
      <c r="K298" s="5"/>
      <c r="L298" s="5"/>
      <c r="M298" s="5"/>
      <c r="N298" s="5"/>
      <c r="O298" s="5"/>
      <c r="P298" s="5"/>
      <c r="Q298" s="5"/>
      <c r="R298" s="5"/>
      <c r="S298" s="5"/>
      <c r="T298" s="5"/>
      <c r="U298" s="5"/>
      <c r="V298" s="5"/>
      <c r="W298" s="5"/>
    </row>
    <row r="299" spans="2:24" ht="13.1">
      <c r="B299" s="3"/>
      <c r="D299" s="5"/>
      <c r="E299" s="5" t="s">
        <v>460</v>
      </c>
      <c r="F299" s="5" t="s">
        <v>504</v>
      </c>
      <c r="G299" s="5"/>
      <c r="K299" s="5"/>
      <c r="L299" s="5"/>
      <c r="M299" s="5"/>
      <c r="N299" s="5"/>
      <c r="O299" s="5"/>
      <c r="P299" s="5"/>
      <c r="Q299" s="5"/>
      <c r="R299" s="5"/>
      <c r="S299" s="5"/>
      <c r="T299" s="5"/>
      <c r="U299" s="5"/>
      <c r="V299" s="5"/>
      <c r="W299" s="5"/>
    </row>
    <row r="300" spans="2:24" ht="13.1">
      <c r="B300" s="3"/>
      <c r="D300" s="5"/>
      <c r="E300" s="5" t="s">
        <v>182</v>
      </c>
      <c r="F300" s="5" t="s">
        <v>1250</v>
      </c>
      <c r="G300" s="5"/>
      <c r="K300" s="5"/>
      <c r="L300" s="5"/>
      <c r="M300" s="5"/>
      <c r="N300" s="5"/>
      <c r="O300" s="5"/>
      <c r="P300" s="5"/>
      <c r="Q300" s="5"/>
      <c r="R300" s="5"/>
      <c r="S300" s="5"/>
      <c r="T300" s="5"/>
      <c r="U300" s="5"/>
      <c r="V300" s="5"/>
      <c r="W300" s="5"/>
    </row>
    <row r="301" spans="2:24" ht="13.1">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ht="13.1">
      <c r="B302" s="3"/>
      <c r="D302" s="5"/>
      <c r="E302" s="5"/>
      <c r="F302" s="158" t="s">
        <v>1275</v>
      </c>
      <c r="G302" s="158"/>
      <c r="H302" s="158"/>
      <c r="I302" s="158"/>
      <c r="J302" s="158"/>
      <c r="K302" s="158"/>
      <c r="L302" s="158"/>
      <c r="M302" s="5"/>
      <c r="N302" s="5"/>
      <c r="O302" s="5"/>
      <c r="P302" s="5"/>
      <c r="Q302" s="5"/>
      <c r="R302" s="5"/>
      <c r="S302" s="5"/>
      <c r="T302" s="5"/>
      <c r="U302" s="5"/>
      <c r="V302" s="5"/>
      <c r="W302" s="5"/>
    </row>
    <row r="303" spans="2:24" ht="13.1">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ht="13.1">
      <c r="B304" s="3"/>
      <c r="D304" s="5"/>
      <c r="E304" s="5"/>
      <c r="F304" s="158"/>
      <c r="G304" s="158"/>
      <c r="H304" s="158"/>
      <c r="I304" s="158"/>
      <c r="J304" s="158"/>
      <c r="K304" s="158"/>
      <c r="L304" s="158"/>
      <c r="M304" s="5"/>
      <c r="N304" s="5"/>
      <c r="O304" s="5"/>
      <c r="P304" s="5"/>
      <c r="Q304" s="5"/>
      <c r="R304" s="5"/>
      <c r="S304" s="5"/>
      <c r="T304" s="5"/>
      <c r="U304" s="5"/>
      <c r="V304" s="5"/>
      <c r="W304" s="5"/>
    </row>
    <row r="305" spans="1:38" ht="13.1">
      <c r="B305" s="3"/>
      <c r="D305" s="3" t="s">
        <v>763</v>
      </c>
      <c r="E305" s="3" t="s">
        <v>277</v>
      </c>
      <c r="G305" s="5"/>
      <c r="H305" s="5"/>
      <c r="I305" s="158"/>
      <c r="J305" s="158"/>
      <c r="K305" s="158"/>
      <c r="L305" s="158"/>
      <c r="M305" s="5"/>
      <c r="N305" s="5"/>
      <c r="O305" s="5"/>
      <c r="P305" s="5"/>
      <c r="Q305" s="5"/>
      <c r="R305" s="5"/>
      <c r="S305" s="5"/>
      <c r="T305" s="5"/>
      <c r="U305" s="5"/>
      <c r="V305" s="5"/>
      <c r="W305" s="5"/>
    </row>
    <row r="306" spans="1:38" ht="13.1">
      <c r="B306" s="3"/>
      <c r="D306" s="3"/>
      <c r="E306" s="5" t="s">
        <v>1251</v>
      </c>
      <c r="I306" s="158"/>
      <c r="J306" s="158"/>
      <c r="K306" s="158"/>
      <c r="L306" s="158"/>
      <c r="M306" s="5"/>
      <c r="N306" s="5"/>
      <c r="O306" s="5"/>
      <c r="P306" s="5"/>
      <c r="Q306" s="5"/>
      <c r="R306" s="5"/>
      <c r="S306" s="5"/>
      <c r="T306" s="5"/>
      <c r="U306" s="5"/>
      <c r="V306" s="5"/>
      <c r="W306" s="5"/>
    </row>
    <row r="307" spans="1:38" ht="13.1">
      <c r="B307" s="3"/>
      <c r="D307" s="3"/>
      <c r="E307" s="5" t="s">
        <v>1248</v>
      </c>
      <c r="F307" s="5"/>
      <c r="I307" s="158"/>
      <c r="J307" s="158"/>
      <c r="K307" s="158"/>
      <c r="L307" s="158"/>
      <c r="M307" s="5"/>
      <c r="N307" s="5"/>
      <c r="O307" s="5"/>
      <c r="P307" s="5"/>
      <c r="Q307" s="5"/>
      <c r="R307" s="5"/>
      <c r="S307" s="5"/>
      <c r="T307" s="5"/>
      <c r="U307" s="5"/>
      <c r="V307" s="5"/>
      <c r="W307" s="5"/>
    </row>
    <row r="308" spans="1:38" ht="13.1">
      <c r="B308" s="3"/>
      <c r="F308" s="3"/>
      <c r="G308" s="5"/>
      <c r="H308" s="5"/>
      <c r="I308" s="5"/>
      <c r="J308" s="5"/>
      <c r="K308" s="5"/>
      <c r="L308" s="5"/>
      <c r="M308" s="5"/>
      <c r="N308" s="5"/>
      <c r="O308" s="5"/>
      <c r="Q308" s="5"/>
      <c r="R308" s="5"/>
      <c r="S308" s="5"/>
      <c r="T308" s="5"/>
      <c r="U308" s="5"/>
      <c r="V308" s="5"/>
      <c r="W308" s="5"/>
    </row>
    <row r="309" spans="1:38" ht="13.1">
      <c r="B309" s="3"/>
      <c r="C309" s="3" t="s">
        <v>352</v>
      </c>
      <c r="D309" s="3"/>
      <c r="F309" s="3"/>
      <c r="G309" s="3" t="s">
        <v>164</v>
      </c>
      <c r="I309" s="5"/>
      <c r="J309" s="5"/>
      <c r="K309" s="5"/>
      <c r="L309" s="5"/>
      <c r="M309" s="5"/>
      <c r="N309" s="5"/>
      <c r="O309" s="5"/>
      <c r="P309" s="5"/>
    </row>
    <row r="310" spans="1:38" ht="13.1">
      <c r="B310" s="3"/>
      <c r="D310" s="3" t="s">
        <v>860</v>
      </c>
      <c r="E310" s="3" t="s">
        <v>580</v>
      </c>
      <c r="G310" s="3"/>
      <c r="H310" s="3"/>
      <c r="I310" s="3"/>
      <c r="J310" s="3"/>
      <c r="K310" s="3"/>
      <c r="L310" s="3"/>
      <c r="M310" s="3"/>
      <c r="N310" s="3"/>
      <c r="O310" s="3"/>
      <c r="P310" s="3"/>
      <c r="Q310" s="3"/>
      <c r="R310" s="3"/>
    </row>
    <row r="311" spans="1:38" ht="13.1">
      <c r="B311" s="3"/>
      <c r="D311" s="3"/>
      <c r="E311" t="s">
        <v>944</v>
      </c>
      <c r="F311" t="s">
        <v>581</v>
      </c>
      <c r="G311" s="5"/>
      <c r="I311" s="5"/>
      <c r="K311" s="5"/>
    </row>
    <row r="312" spans="1:38" ht="13.1">
      <c r="B312" s="3"/>
      <c r="D312" s="3"/>
      <c r="F312" s="5" t="s">
        <v>1048</v>
      </c>
      <c r="G312" s="5"/>
      <c r="I312" s="5"/>
      <c r="K312" s="5"/>
    </row>
    <row r="313" spans="1:38" ht="13.1">
      <c r="B313" s="3"/>
      <c r="D313" s="3"/>
      <c r="F313" s="5" t="s">
        <v>1253</v>
      </c>
      <c r="G313" s="5"/>
      <c r="I313" s="5"/>
      <c r="K313" s="5"/>
    </row>
    <row r="314" spans="1:38" ht="13.1">
      <c r="B314" s="3"/>
      <c r="D314" s="3"/>
      <c r="F314" s="5" t="s">
        <v>1051</v>
      </c>
      <c r="G314" s="5"/>
      <c r="I314" s="5"/>
      <c r="K314" s="5"/>
    </row>
    <row r="315" spans="1:38" ht="13.1">
      <c r="B315" s="3"/>
      <c r="D315" s="3"/>
      <c r="G315" s="5"/>
      <c r="I315" s="5"/>
      <c r="K315" s="5"/>
    </row>
    <row r="316" spans="1:38" ht="13.1">
      <c r="B316" s="3"/>
      <c r="D316" s="3" t="s">
        <v>494</v>
      </c>
      <c r="E316" s="3" t="s">
        <v>492</v>
      </c>
      <c r="G316" s="5"/>
      <c r="H316" s="5"/>
      <c r="I316" s="5"/>
      <c r="J316" s="5"/>
      <c r="K316" s="5"/>
    </row>
    <row r="317" spans="1:38" ht="13.1">
      <c r="B317" s="3"/>
      <c r="D317" s="3"/>
      <c r="E317" t="s">
        <v>329</v>
      </c>
      <c r="G317" s="5"/>
      <c r="I317" s="5"/>
      <c r="J317" s="5"/>
      <c r="K317" s="5"/>
      <c r="L317" s="5"/>
      <c r="M317" s="5"/>
      <c r="N317" s="5"/>
      <c r="O317" s="5"/>
      <c r="P317" s="5"/>
      <c r="Q317" s="5"/>
      <c r="R317" s="5"/>
      <c r="S317" s="5"/>
    </row>
    <row r="318" spans="1:38" ht="13.1">
      <c r="B318" s="3"/>
      <c r="D318" s="3"/>
      <c r="G318" s="5"/>
      <c r="I318" s="5"/>
      <c r="J318" s="5"/>
      <c r="K318" s="5"/>
      <c r="L318" s="5"/>
      <c r="M318" s="5"/>
      <c r="N318" s="5"/>
      <c r="O318" s="5"/>
      <c r="P318" s="5"/>
      <c r="Q318" s="5"/>
      <c r="R318" s="5"/>
      <c r="S318" s="5"/>
    </row>
    <row r="319" spans="1:38" ht="13.1">
      <c r="A319" s="41"/>
      <c r="B319" s="677"/>
      <c r="C319" s="43"/>
      <c r="D319" s="677" t="s">
        <v>891</v>
      </c>
      <c r="E319" s="677"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
      <c r="B320" s="3"/>
      <c r="E320" t="s">
        <v>330</v>
      </c>
      <c r="I320" s="5"/>
      <c r="J320" s="5"/>
      <c r="K320" s="5"/>
      <c r="L320" s="5"/>
      <c r="M320" s="5"/>
      <c r="N320" s="5"/>
      <c r="O320" s="5"/>
      <c r="P320" s="5"/>
      <c r="Q320" s="5"/>
      <c r="R320" s="5"/>
      <c r="S320" s="5"/>
    </row>
    <row r="321" spans="1:38" ht="13.1">
      <c r="B321" s="3"/>
      <c r="E321" t="s">
        <v>331</v>
      </c>
      <c r="I321" s="5"/>
      <c r="J321" s="5"/>
      <c r="K321" s="5"/>
      <c r="L321" s="5"/>
      <c r="M321" s="5"/>
      <c r="N321" s="5"/>
      <c r="O321" s="5"/>
      <c r="P321" s="5"/>
      <c r="Q321" s="5"/>
      <c r="R321" s="5"/>
      <c r="S321" s="5"/>
    </row>
    <row r="322" spans="1:38" ht="13.1">
      <c r="B322" s="3"/>
      <c r="E322" t="s">
        <v>332</v>
      </c>
      <c r="I322" s="5"/>
      <c r="J322" s="5"/>
      <c r="K322" s="5"/>
      <c r="L322" s="5"/>
      <c r="M322" s="5"/>
      <c r="N322" s="5"/>
      <c r="O322" s="5"/>
      <c r="P322" s="5"/>
      <c r="Q322" s="5"/>
      <c r="R322" s="5"/>
      <c r="S322" s="5"/>
    </row>
    <row r="323" spans="1:38" ht="13.1">
      <c r="B323" s="3"/>
      <c r="I323" s="5"/>
      <c r="J323" s="5"/>
      <c r="K323" s="5"/>
      <c r="L323" s="5"/>
      <c r="M323" s="5"/>
      <c r="N323" s="5"/>
      <c r="O323" s="5"/>
      <c r="P323" s="5"/>
      <c r="Q323" s="5"/>
      <c r="R323" s="5"/>
      <c r="S323" s="5"/>
    </row>
    <row r="324" spans="1:38" ht="13.1">
      <c r="B324" s="3"/>
      <c r="C324" s="3" t="s">
        <v>353</v>
      </c>
      <c r="G324" s="3" t="s">
        <v>165</v>
      </c>
      <c r="I324" s="5"/>
      <c r="J324" s="5"/>
      <c r="K324" s="5"/>
      <c r="L324" s="5"/>
      <c r="M324" s="5"/>
      <c r="N324" s="5"/>
      <c r="O324" s="5"/>
      <c r="P324" s="5"/>
      <c r="Q324" s="5"/>
      <c r="R324" s="5"/>
      <c r="S324" s="5"/>
    </row>
    <row r="325" spans="1:38" ht="13.1">
      <c r="A325" t="s">
        <v>244</v>
      </c>
      <c r="D325" s="3" t="s">
        <v>860</v>
      </c>
      <c r="E325" s="3" t="s">
        <v>165</v>
      </c>
      <c r="J325" s="3"/>
      <c r="K325" s="3"/>
      <c r="L325" s="3"/>
      <c r="M325" s="5"/>
      <c r="N325" s="5"/>
      <c r="O325" s="5"/>
      <c r="P325" s="5"/>
      <c r="Q325" s="5"/>
      <c r="R325" s="5"/>
      <c r="S325" s="5"/>
    </row>
    <row r="326" spans="1:38">
      <c r="E326" t="s">
        <v>944</v>
      </c>
      <c r="F326" s="5" t="s">
        <v>1254</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ht="13.1">
      <c r="F328" s="158" t="s">
        <v>1659</v>
      </c>
      <c r="I328" s="158"/>
      <c r="J328" s="5"/>
      <c r="K328" s="5"/>
      <c r="L328" s="5"/>
      <c r="M328" s="5"/>
      <c r="N328" s="5"/>
      <c r="O328" s="5"/>
      <c r="P328" s="5"/>
      <c r="Q328" s="5"/>
      <c r="R328" s="5"/>
      <c r="S328" s="5"/>
    </row>
    <row r="329" spans="1:38" ht="13.1">
      <c r="F329" s="158" t="s">
        <v>1660</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
      <c r="B332" s="3"/>
      <c r="D332" s="3"/>
      <c r="E332" s="3"/>
      <c r="F332" s="3"/>
      <c r="G332" s="3"/>
      <c r="H332" s="3"/>
      <c r="I332" s="3"/>
      <c r="J332" s="5"/>
      <c r="K332" s="5"/>
      <c r="L332" s="5"/>
      <c r="M332" s="5"/>
      <c r="N332" s="5"/>
      <c r="O332" s="5"/>
      <c r="P332" s="5"/>
      <c r="Q332" s="5"/>
      <c r="R332" s="5"/>
      <c r="S332" s="5"/>
    </row>
    <row r="333" spans="1:38" ht="13.1">
      <c r="B333" s="3"/>
      <c r="C333" s="3" t="s">
        <v>292</v>
      </c>
      <c r="G333" s="3" t="s">
        <v>835</v>
      </c>
      <c r="I333" s="3"/>
      <c r="J333" s="5"/>
      <c r="K333" s="5"/>
      <c r="L333" s="5"/>
      <c r="M333" s="5"/>
      <c r="N333" s="5"/>
      <c r="O333" s="5"/>
      <c r="P333" s="5"/>
      <c r="Q333" s="5"/>
      <c r="R333" s="5"/>
      <c r="S333" s="5"/>
    </row>
    <row r="334" spans="1:38" ht="13.1">
      <c r="B334" s="3"/>
      <c r="C334" s="3"/>
      <c r="D334" s="3" t="s">
        <v>860</v>
      </c>
      <c r="E334" s="3" t="s">
        <v>835</v>
      </c>
      <c r="G334" s="3"/>
      <c r="I334" s="3"/>
      <c r="J334" s="5"/>
      <c r="K334" s="5"/>
      <c r="L334" s="5"/>
      <c r="M334" s="5"/>
      <c r="N334" s="5"/>
      <c r="O334" s="5"/>
      <c r="P334" s="5"/>
      <c r="Q334" s="5"/>
      <c r="R334" s="5"/>
      <c r="S334" s="5"/>
    </row>
    <row r="335" spans="1:38" ht="13.1">
      <c r="B335" s="3"/>
      <c r="E335" t="s">
        <v>944</v>
      </c>
      <c r="F335" t="s">
        <v>501</v>
      </c>
      <c r="J335" s="5"/>
      <c r="K335" s="5"/>
      <c r="L335" s="5"/>
      <c r="M335" s="5"/>
      <c r="N335" s="5"/>
      <c r="O335" s="5"/>
      <c r="P335" s="5"/>
      <c r="Q335" s="5"/>
      <c r="R335" s="5"/>
      <c r="S335" s="5"/>
    </row>
    <row r="336" spans="1:38" ht="13.1">
      <c r="B336" s="3"/>
      <c r="E336" s="5"/>
      <c r="F336" s="5" t="s">
        <v>502</v>
      </c>
      <c r="J336" s="5"/>
      <c r="K336" s="5"/>
      <c r="L336" s="5"/>
      <c r="M336" s="5"/>
      <c r="N336" s="5"/>
      <c r="O336" s="5"/>
      <c r="P336" s="5"/>
      <c r="Q336" s="5"/>
      <c r="R336" s="5"/>
      <c r="S336" s="5"/>
    </row>
    <row r="337" spans="2:37" ht="13.1">
      <c r="B337" s="3"/>
      <c r="E337" s="5"/>
      <c r="F337" s="5" t="s">
        <v>503</v>
      </c>
      <c r="I337" s="5"/>
      <c r="J337" s="5"/>
      <c r="K337" s="5"/>
      <c r="L337" s="5"/>
      <c r="M337" s="5"/>
      <c r="N337" s="5"/>
      <c r="O337" s="5"/>
      <c r="P337" s="5"/>
      <c r="Q337" s="5"/>
      <c r="R337" s="5"/>
      <c r="S337" s="5"/>
    </row>
    <row r="338" spans="2:37" ht="13.1">
      <c r="B338" s="3"/>
      <c r="E338" s="5" t="s">
        <v>945</v>
      </c>
      <c r="F338" s="5" t="s">
        <v>1661</v>
      </c>
      <c r="I338" s="5"/>
      <c r="J338" s="5"/>
      <c r="K338" s="5"/>
      <c r="L338" s="5"/>
      <c r="M338" s="5"/>
      <c r="N338" s="5"/>
      <c r="O338" s="5"/>
      <c r="P338" s="5"/>
      <c r="Q338" s="5"/>
      <c r="R338" s="5"/>
      <c r="S338" s="5"/>
    </row>
    <row r="339" spans="2:37" ht="13.1">
      <c r="B339" s="3"/>
      <c r="E339" s="5"/>
      <c r="F339" s="5" t="s">
        <v>1662</v>
      </c>
      <c r="I339" s="5"/>
      <c r="J339" s="5"/>
      <c r="K339" s="5"/>
      <c r="L339" s="5"/>
      <c r="M339" s="5"/>
      <c r="N339" s="5"/>
      <c r="O339" s="5"/>
      <c r="P339" s="5"/>
      <c r="Q339" s="5"/>
      <c r="R339" s="5"/>
      <c r="S339" s="5"/>
    </row>
    <row r="340" spans="2:37" ht="13.1">
      <c r="B340" s="3"/>
      <c r="E340" s="5"/>
      <c r="F340" s="5" t="s">
        <v>1260</v>
      </c>
      <c r="I340" s="5"/>
      <c r="J340" s="5"/>
      <c r="K340" s="5"/>
      <c r="L340" s="5"/>
      <c r="M340" s="5"/>
      <c r="N340" s="5"/>
      <c r="O340" s="5"/>
      <c r="P340" s="5"/>
      <c r="Q340" s="5"/>
      <c r="R340" s="5"/>
      <c r="S340" s="5"/>
    </row>
    <row r="341" spans="2:37" ht="13.1">
      <c r="B341" s="3"/>
      <c r="F341" s="5"/>
      <c r="H341" s="5"/>
      <c r="I341" s="5"/>
      <c r="J341" s="5"/>
      <c r="K341" s="5"/>
      <c r="L341" s="5"/>
      <c r="M341" s="5"/>
      <c r="N341" s="5"/>
      <c r="O341" s="5"/>
      <c r="P341" s="5"/>
      <c r="Q341" s="5"/>
      <c r="R341" s="5"/>
      <c r="S341" s="5"/>
    </row>
    <row r="342" spans="2:37" ht="13.1">
      <c r="B342" s="3"/>
      <c r="C342" s="3" t="s">
        <v>293</v>
      </c>
      <c r="G342" s="3" t="s">
        <v>1899</v>
      </c>
      <c r="I342" s="3"/>
      <c r="J342" s="5"/>
      <c r="K342" s="5"/>
      <c r="L342" s="5"/>
      <c r="M342" s="5"/>
      <c r="N342" s="5"/>
      <c r="O342" s="5"/>
      <c r="P342" s="5"/>
      <c r="Q342" s="5"/>
      <c r="R342" s="5"/>
      <c r="S342" s="5"/>
    </row>
    <row r="343" spans="2:37" ht="13.75" customHeight="1">
      <c r="B343" s="3"/>
      <c r="E343" s="982" t="s">
        <v>1900</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ht="13.1">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ht="13.1">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ht="13.1">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ht="13.1">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ht="13.1">
      <c r="B348" s="3"/>
      <c r="E348" s="5" t="s">
        <v>944</v>
      </c>
      <c r="F348" s="973" t="s">
        <v>1901</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ht="13.1">
      <c r="B349" s="3"/>
      <c r="E349" s="5"/>
      <c r="F349" s="973"/>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ht="13.1">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ht="13.1">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ht="13.1">
      <c r="B352" s="3"/>
      <c r="E352" s="5" t="s">
        <v>945</v>
      </c>
      <c r="F352" s="973" t="s">
        <v>1902</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ht="13.1">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ht="13.1">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ht="13.1">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ht="13.1">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
      <c r="B357" s="3"/>
      <c r="D357" s="3"/>
      <c r="E357" s="3"/>
      <c r="M357" s="5"/>
      <c r="N357" s="5"/>
      <c r="O357" s="5"/>
      <c r="P357" s="5"/>
      <c r="Q357" s="5"/>
      <c r="R357" s="5"/>
      <c r="S357" s="5"/>
      <c r="T357" s="5"/>
    </row>
    <row r="358" spans="1:38" ht="13.1">
      <c r="B358" s="3"/>
      <c r="D358" s="3" t="s">
        <v>860</v>
      </c>
      <c r="E358" s="3" t="s">
        <v>220</v>
      </c>
      <c r="I358" s="5"/>
      <c r="J358" s="5"/>
      <c r="K358" s="5"/>
      <c r="L358" s="5"/>
      <c r="M358" s="5"/>
      <c r="N358" s="5"/>
      <c r="O358" s="5"/>
      <c r="P358" s="5"/>
      <c r="Q358" s="5"/>
      <c r="R358" s="5"/>
      <c r="S358" s="5"/>
    </row>
    <row r="359" spans="1:38" ht="13.1">
      <c r="B359" s="3"/>
      <c r="E359" t="s">
        <v>944</v>
      </c>
      <c r="F359" s="5" t="s">
        <v>599</v>
      </c>
      <c r="I359" s="5"/>
      <c r="J359" s="5"/>
      <c r="K359" s="5"/>
      <c r="L359" s="5"/>
      <c r="M359" s="5"/>
      <c r="N359" s="5"/>
      <c r="O359" s="5"/>
      <c r="P359" s="5"/>
      <c r="Q359" s="5"/>
      <c r="R359" s="5"/>
      <c r="S359" s="5"/>
    </row>
    <row r="360" spans="1:38" ht="13.1">
      <c r="B360" s="3"/>
      <c r="F360" s="5" t="s">
        <v>600</v>
      </c>
      <c r="I360" s="5"/>
      <c r="J360" s="5"/>
      <c r="K360" s="5"/>
      <c r="L360" s="5"/>
      <c r="M360" s="5"/>
      <c r="N360" s="5"/>
      <c r="O360" s="5"/>
      <c r="P360" s="5"/>
      <c r="Q360" s="5"/>
      <c r="R360" s="5"/>
      <c r="S360" s="5"/>
    </row>
    <row r="361" spans="1:38" ht="13.1">
      <c r="B361" s="3"/>
      <c r="F361" s="5" t="s">
        <v>1101</v>
      </c>
      <c r="G361" s="5"/>
      <c r="K361" s="5"/>
      <c r="L361" s="5"/>
      <c r="M361" s="5"/>
      <c r="N361" s="5"/>
      <c r="O361" s="5"/>
      <c r="P361" s="5"/>
      <c r="Q361" s="5"/>
      <c r="R361" s="5"/>
      <c r="S361" s="5"/>
    </row>
    <row r="362" spans="1:38" ht="13.1">
      <c r="B362" s="3"/>
      <c r="E362" t="s">
        <v>945</v>
      </c>
      <c r="F362" s="5" t="s">
        <v>1102</v>
      </c>
      <c r="I362" s="5"/>
      <c r="J362" s="5"/>
      <c r="K362" s="5"/>
      <c r="L362" s="5"/>
      <c r="M362" s="5"/>
      <c r="N362" s="5"/>
      <c r="O362" s="5"/>
      <c r="P362" s="5"/>
      <c r="Q362" s="5"/>
      <c r="R362" s="5"/>
      <c r="S362" s="5"/>
    </row>
    <row r="363" spans="1:38" ht="13.1">
      <c r="B363" s="3"/>
      <c r="E363" t="s">
        <v>951</v>
      </c>
      <c r="F363" s="5" t="s">
        <v>601</v>
      </c>
      <c r="I363" s="5"/>
      <c r="J363" s="5"/>
      <c r="K363" s="5"/>
      <c r="L363" s="5"/>
      <c r="M363" s="5"/>
      <c r="N363" s="5"/>
      <c r="O363" s="5"/>
      <c r="P363" s="5"/>
      <c r="Q363" s="5"/>
      <c r="R363" s="5"/>
      <c r="S363" s="5"/>
    </row>
    <row r="364" spans="1:38" ht="13.1">
      <c r="B364" s="3"/>
      <c r="F364" s="5" t="s">
        <v>602</v>
      </c>
      <c r="J364" s="5"/>
      <c r="K364" s="5"/>
      <c r="L364" s="5"/>
      <c r="M364" s="5"/>
      <c r="N364" s="5"/>
      <c r="O364" s="5"/>
      <c r="P364" s="5"/>
      <c r="Q364" s="5"/>
      <c r="R364" s="5"/>
      <c r="S364" s="5"/>
    </row>
    <row r="365" spans="1:38" s="979" customFormat="1" ht="13.1">
      <c r="A365"/>
      <c r="B365" s="3"/>
      <c r="C365"/>
      <c r="D365"/>
      <c r="E365" s="979" t="s">
        <v>1897</v>
      </c>
    </row>
    <row r="366" spans="1:38" s="979" customFormat="1" ht="13.1">
      <c r="A366"/>
      <c r="B366" s="3"/>
      <c r="C366"/>
      <c r="D366"/>
    </row>
    <row r="367" spans="1:38" ht="13.1">
      <c r="B367" s="3"/>
      <c r="F367" s="977" t="s">
        <v>1898</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ht="13.1">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ht="13.1">
      <c r="B369" s="3"/>
      <c r="E369" s="5"/>
      <c r="F369" s="5"/>
      <c r="G369" s="5"/>
      <c r="H369" s="5"/>
      <c r="I369" s="5"/>
      <c r="J369" s="5"/>
      <c r="K369" s="5"/>
      <c r="L369" s="5"/>
      <c r="M369" s="5"/>
      <c r="N369" s="5"/>
      <c r="O369" s="5"/>
      <c r="P369" s="5"/>
      <c r="Q369" s="5"/>
      <c r="R369" s="5"/>
      <c r="S369" s="5"/>
    </row>
    <row r="370" spans="2:19" ht="13.1">
      <c r="B370" s="3"/>
      <c r="D370" s="3" t="s">
        <v>494</v>
      </c>
      <c r="E370" s="3" t="s">
        <v>221</v>
      </c>
      <c r="J370" s="5"/>
      <c r="K370" s="5"/>
      <c r="L370" s="5"/>
      <c r="M370" s="5"/>
      <c r="N370" s="5"/>
      <c r="O370" s="5"/>
      <c r="P370" s="5"/>
      <c r="Q370" s="5"/>
      <c r="R370" s="5"/>
      <c r="S370" s="5"/>
    </row>
    <row r="371" spans="2:19" ht="13.1">
      <c r="B371" s="3"/>
      <c r="E371" s="5" t="s">
        <v>582</v>
      </c>
      <c r="F371" s="5"/>
      <c r="G371" s="5"/>
      <c r="H371" s="5"/>
      <c r="I371" s="5"/>
      <c r="J371" s="5"/>
      <c r="K371" s="5"/>
      <c r="L371" s="5"/>
      <c r="M371" s="5"/>
      <c r="N371" s="5"/>
      <c r="O371" s="5"/>
      <c r="P371" s="5"/>
      <c r="Q371" s="5"/>
      <c r="R371" s="5"/>
      <c r="S371" s="5"/>
    </row>
    <row r="372" spans="2:19" ht="13.1">
      <c r="B372" s="3"/>
      <c r="E372" s="5" t="s">
        <v>583</v>
      </c>
      <c r="F372" s="5"/>
      <c r="G372" s="5"/>
      <c r="H372" s="5"/>
      <c r="I372" s="5"/>
      <c r="J372" s="5"/>
      <c r="K372" s="5"/>
      <c r="L372" s="5"/>
      <c r="M372" s="5"/>
      <c r="N372" s="5"/>
      <c r="O372" s="5"/>
      <c r="P372" s="5"/>
      <c r="Q372" s="5"/>
      <c r="R372" s="5"/>
      <c r="S372" s="5"/>
    </row>
    <row r="373" spans="2:19" ht="13.1">
      <c r="B373" s="3"/>
      <c r="E373" s="5"/>
      <c r="F373" s="5"/>
      <c r="G373" s="5"/>
      <c r="H373" s="5"/>
      <c r="I373" s="5"/>
      <c r="J373" s="5"/>
      <c r="K373" s="5"/>
      <c r="L373" s="5"/>
      <c r="M373" s="5"/>
      <c r="N373" s="5"/>
      <c r="O373" s="5"/>
      <c r="P373" s="5"/>
      <c r="Q373" s="5"/>
      <c r="R373" s="5"/>
      <c r="S373" s="5"/>
    </row>
    <row r="374" spans="2:19" ht="13.1">
      <c r="B374" s="3"/>
      <c r="D374" s="3" t="s">
        <v>891</v>
      </c>
      <c r="E374" s="3" t="s">
        <v>268</v>
      </c>
      <c r="J374" s="5"/>
      <c r="K374" s="5"/>
      <c r="L374" s="5"/>
      <c r="M374" s="5"/>
      <c r="N374" s="5"/>
      <c r="O374" s="5"/>
      <c r="P374" s="5"/>
      <c r="Q374" s="5"/>
      <c r="R374" s="5"/>
      <c r="S374" s="5"/>
    </row>
    <row r="375" spans="2:19" ht="13.1">
      <c r="B375" s="3"/>
      <c r="E375" s="5" t="s">
        <v>944</v>
      </c>
      <c r="F375" s="5" t="s">
        <v>796</v>
      </c>
      <c r="G375" s="5"/>
      <c r="I375" s="5"/>
      <c r="J375" s="5"/>
      <c r="K375" s="5"/>
      <c r="L375" s="5"/>
      <c r="M375" s="5"/>
      <c r="N375" s="5"/>
      <c r="O375" s="5"/>
      <c r="P375" s="5"/>
      <c r="Q375" s="5"/>
      <c r="R375" s="5"/>
      <c r="S375" s="5"/>
    </row>
    <row r="376" spans="2:19" ht="13.1">
      <c r="B376" s="3"/>
      <c r="E376" s="5"/>
      <c r="F376" s="158" t="s">
        <v>1663</v>
      </c>
      <c r="G376" s="5"/>
      <c r="I376" s="158"/>
      <c r="J376" s="5"/>
      <c r="K376" s="5"/>
      <c r="L376" s="5"/>
      <c r="M376" s="5"/>
      <c r="N376" s="5"/>
      <c r="O376" s="5"/>
      <c r="P376" s="5"/>
      <c r="Q376" s="5"/>
      <c r="R376" s="5"/>
      <c r="S376" s="5"/>
    </row>
    <row r="377" spans="2:19" ht="13.1">
      <c r="B377" s="3"/>
      <c r="E377" s="5" t="s">
        <v>945</v>
      </c>
      <c r="F377" s="5" t="s">
        <v>797</v>
      </c>
      <c r="G377" s="5"/>
      <c r="I377" s="158"/>
      <c r="J377" s="5"/>
      <c r="K377" s="5"/>
      <c r="L377" s="5"/>
      <c r="M377" s="5"/>
      <c r="N377" s="5"/>
      <c r="O377" s="5"/>
      <c r="P377" s="5"/>
      <c r="Q377" s="5"/>
      <c r="R377" s="5"/>
      <c r="S377" s="5"/>
    </row>
    <row r="378" spans="2:19" ht="13.1">
      <c r="B378" s="3"/>
      <c r="E378" s="5"/>
      <c r="F378" s="5" t="s">
        <v>798</v>
      </c>
      <c r="G378" s="5"/>
      <c r="I378" s="678"/>
      <c r="J378" s="5"/>
      <c r="K378" s="5"/>
      <c r="L378" s="5"/>
      <c r="M378" s="5"/>
      <c r="N378" s="5"/>
      <c r="O378" s="5"/>
      <c r="P378" s="5"/>
      <c r="Q378" s="5"/>
      <c r="R378" s="5"/>
      <c r="S378" s="5"/>
    </row>
    <row r="379" spans="2:19" ht="13.1">
      <c r="B379" s="3"/>
      <c r="E379" s="5"/>
      <c r="F379" s="5" t="s">
        <v>1077</v>
      </c>
      <c r="G379" s="5"/>
      <c r="I379" s="678"/>
      <c r="J379" s="5"/>
      <c r="K379" s="5"/>
      <c r="L379" s="5"/>
      <c r="M379" s="5"/>
      <c r="N379" s="5"/>
      <c r="O379" s="5"/>
      <c r="P379" s="5"/>
      <c r="Q379" s="5"/>
      <c r="R379" s="5"/>
      <c r="S379" s="5"/>
    </row>
    <row r="380" spans="2:19" ht="13.1">
      <c r="B380" s="3"/>
      <c r="E380" s="5"/>
      <c r="F380" s="5"/>
      <c r="G380" s="5"/>
      <c r="I380" s="158"/>
      <c r="J380" s="5"/>
      <c r="K380" s="5"/>
      <c r="L380" s="5"/>
      <c r="M380" s="5"/>
      <c r="N380" s="5"/>
      <c r="O380" s="5"/>
      <c r="P380" s="5"/>
      <c r="Q380" s="5"/>
      <c r="R380" s="5"/>
      <c r="S380" s="5"/>
    </row>
    <row r="381" spans="2:19" ht="13.1">
      <c r="B381" s="3"/>
      <c r="D381" s="3" t="s">
        <v>786</v>
      </c>
      <c r="E381" s="3" t="s">
        <v>540</v>
      </c>
      <c r="J381" s="5"/>
      <c r="K381" s="5"/>
      <c r="L381" s="5"/>
      <c r="M381" s="5"/>
      <c r="N381" s="5"/>
      <c r="O381" s="5"/>
      <c r="P381" s="5"/>
      <c r="Q381" s="5"/>
      <c r="R381" s="5"/>
      <c r="S381" s="5"/>
    </row>
    <row r="382" spans="2:19" ht="13.1">
      <c r="B382" s="3"/>
      <c r="D382" s="3"/>
      <c r="E382" s="5" t="s">
        <v>1049</v>
      </c>
      <c r="F382" s="5"/>
      <c r="G382" s="5"/>
      <c r="J382" s="5"/>
      <c r="K382" s="5"/>
      <c r="L382" s="5"/>
      <c r="M382" s="5"/>
      <c r="N382" s="5"/>
      <c r="O382" s="5"/>
      <c r="P382" s="5"/>
      <c r="Q382" s="5"/>
      <c r="R382" s="5"/>
      <c r="S382" s="5"/>
    </row>
    <row r="383" spans="2:19" ht="13.1">
      <c r="B383" s="3"/>
      <c r="D383" s="3"/>
      <c r="E383" s="5" t="s">
        <v>584</v>
      </c>
      <c r="F383" s="5"/>
      <c r="G383" s="5"/>
      <c r="J383" s="5"/>
      <c r="K383" s="5"/>
      <c r="L383" s="5"/>
      <c r="M383" s="5"/>
      <c r="N383" s="5"/>
      <c r="O383" s="5"/>
      <c r="P383" s="5"/>
      <c r="Q383" s="5"/>
      <c r="R383" s="5"/>
      <c r="S383" s="5"/>
    </row>
    <row r="384" spans="2:19" ht="13.1">
      <c r="B384" s="3"/>
      <c r="D384" s="3"/>
      <c r="E384" s="5"/>
      <c r="F384" s="5"/>
      <c r="G384" s="5"/>
      <c r="J384" s="5"/>
      <c r="K384" s="5"/>
      <c r="L384" s="5"/>
      <c r="M384" s="5"/>
      <c r="N384" s="5"/>
      <c r="O384" s="5"/>
      <c r="P384" s="5"/>
      <c r="Q384" s="5"/>
      <c r="R384" s="5"/>
      <c r="S384" s="5"/>
    </row>
    <row r="385" spans="1:38" ht="13.1">
      <c r="B385" s="3"/>
      <c r="D385" s="3" t="s">
        <v>533</v>
      </c>
      <c r="E385" s="3" t="s">
        <v>270</v>
      </c>
      <c r="J385" s="5"/>
      <c r="K385" s="5"/>
      <c r="L385" s="5"/>
      <c r="M385" s="5"/>
      <c r="N385" s="5"/>
      <c r="O385" s="5"/>
      <c r="P385" s="5"/>
      <c r="Q385" s="5"/>
      <c r="R385" s="5"/>
      <c r="S385" s="5"/>
    </row>
    <row r="386" spans="1:38" ht="13.1">
      <c r="B386" s="3"/>
      <c r="E386" s="5" t="s">
        <v>944</v>
      </c>
      <c r="F386" s="5" t="s">
        <v>799</v>
      </c>
      <c r="G386" s="5"/>
      <c r="I386" s="5"/>
      <c r="J386" s="5"/>
      <c r="K386" s="5"/>
      <c r="L386" s="5"/>
      <c r="M386" s="5"/>
      <c r="N386" s="5"/>
      <c r="O386" s="5"/>
      <c r="P386" s="5"/>
      <c r="Q386" s="5"/>
      <c r="R386" s="5"/>
      <c r="S386" s="5"/>
    </row>
    <row r="387" spans="1:38" ht="13.1">
      <c r="B387" s="3"/>
      <c r="E387" s="5"/>
      <c r="F387" s="158" t="s">
        <v>1663</v>
      </c>
      <c r="G387" s="5"/>
      <c r="I387" s="158"/>
      <c r="J387" s="5"/>
      <c r="K387" s="5"/>
      <c r="L387" s="5"/>
      <c r="M387" s="5"/>
      <c r="N387" s="5"/>
      <c r="O387" s="5"/>
      <c r="P387" s="5"/>
      <c r="Q387" s="5"/>
      <c r="R387" s="5"/>
      <c r="S387" s="5"/>
    </row>
    <row r="388" spans="1:38" ht="13.1">
      <c r="B388" s="3"/>
      <c r="E388" s="5" t="s">
        <v>945</v>
      </c>
      <c r="F388" s="5" t="s">
        <v>800</v>
      </c>
      <c r="G388" s="5"/>
      <c r="I388" s="158"/>
      <c r="J388" s="5"/>
      <c r="K388" s="5"/>
      <c r="L388" s="5"/>
      <c r="M388" s="5"/>
      <c r="N388" s="5"/>
      <c r="O388" s="5"/>
      <c r="P388" s="5"/>
      <c r="Q388" s="5"/>
      <c r="R388" s="5"/>
      <c r="S388" s="5"/>
    </row>
    <row r="389" spans="1:38" ht="13.1">
      <c r="B389" s="3"/>
      <c r="E389" s="5"/>
      <c r="F389" s="5" t="s">
        <v>801</v>
      </c>
      <c r="G389" s="5"/>
      <c r="I389" s="678"/>
      <c r="J389" s="5"/>
      <c r="K389" s="5"/>
      <c r="L389" s="5"/>
      <c r="M389" s="5"/>
      <c r="N389" s="5"/>
      <c r="O389" s="5"/>
      <c r="P389" s="5"/>
      <c r="Q389" s="5"/>
      <c r="R389" s="5"/>
      <c r="S389" s="5"/>
    </row>
    <row r="390" spans="1:38" ht="13.1">
      <c r="B390" s="3"/>
      <c r="E390" s="5"/>
      <c r="F390" s="5" t="s">
        <v>1078</v>
      </c>
      <c r="G390" s="5"/>
      <c r="I390" s="678"/>
      <c r="J390" s="5"/>
      <c r="K390" s="5"/>
      <c r="L390" s="5"/>
      <c r="M390" s="5"/>
      <c r="N390" s="5"/>
      <c r="O390" s="5"/>
      <c r="P390" s="5"/>
      <c r="Q390" s="5"/>
      <c r="R390" s="5"/>
      <c r="S390" s="5"/>
    </row>
    <row r="391" spans="1:38" ht="13.1">
      <c r="B391" s="3"/>
      <c r="E391" s="5"/>
      <c r="F391" s="5"/>
      <c r="G391" s="5"/>
      <c r="H391" s="5"/>
      <c r="I391" s="5"/>
      <c r="J391" s="5"/>
      <c r="K391" s="5"/>
      <c r="L391" s="5"/>
      <c r="M391" s="5"/>
      <c r="N391" s="5"/>
      <c r="O391" s="5"/>
      <c r="P391" s="5"/>
      <c r="Q391" s="5"/>
      <c r="R391" s="5"/>
      <c r="S391" s="5"/>
    </row>
    <row r="392" spans="1:38" ht="13.1">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
      <c r="B394" s="3"/>
      <c r="D394" s="3"/>
      <c r="F394" s="5"/>
      <c r="G394" s="5"/>
      <c r="H394" s="5"/>
      <c r="I394" s="5"/>
      <c r="J394" s="5"/>
      <c r="K394" s="5"/>
      <c r="L394" s="5"/>
      <c r="M394" s="5"/>
      <c r="N394" s="5"/>
      <c r="O394" s="5"/>
      <c r="P394" s="5"/>
      <c r="Q394" s="5"/>
      <c r="R394" s="5"/>
      <c r="S394" s="5"/>
    </row>
    <row r="395" spans="1:38" ht="13.1">
      <c r="B395" s="3"/>
      <c r="C395" s="3" t="s">
        <v>292</v>
      </c>
      <c r="G395" s="3" t="s">
        <v>894</v>
      </c>
      <c r="I395" s="5"/>
      <c r="J395" s="5"/>
      <c r="K395" s="5"/>
      <c r="L395" s="5"/>
      <c r="M395" s="5"/>
      <c r="N395" s="5"/>
      <c r="O395" s="5"/>
      <c r="P395" s="5"/>
      <c r="Q395" s="5"/>
      <c r="R395" s="5"/>
      <c r="S395" s="5"/>
    </row>
    <row r="396" spans="1:38" ht="13.1">
      <c r="B396" s="3"/>
      <c r="D396" s="5"/>
      <c r="E396" s="5" t="s">
        <v>944</v>
      </c>
      <c r="F396" s="5" t="s">
        <v>266</v>
      </c>
      <c r="G396" s="5"/>
      <c r="I396" s="5"/>
      <c r="J396" s="5"/>
      <c r="K396" s="5"/>
      <c r="L396" s="5"/>
      <c r="M396" s="5"/>
      <c r="N396" s="5"/>
      <c r="O396" s="5"/>
      <c r="P396" s="5"/>
      <c r="Q396" s="5"/>
      <c r="R396" s="5"/>
      <c r="S396" s="5"/>
    </row>
    <row r="397" spans="1:38" ht="13.1">
      <c r="B397" s="3"/>
      <c r="E397" s="5" t="s">
        <v>945</v>
      </c>
      <c r="F397" s="5" t="s">
        <v>931</v>
      </c>
      <c r="G397" s="5"/>
      <c r="I397" s="5"/>
      <c r="J397" s="5"/>
      <c r="K397" s="5"/>
      <c r="L397" s="5"/>
      <c r="M397" s="5"/>
      <c r="N397" s="5"/>
      <c r="O397" s="5"/>
      <c r="P397" s="5"/>
      <c r="Q397" s="5"/>
      <c r="R397" s="5"/>
      <c r="S397" s="5"/>
    </row>
    <row r="398" spans="1:38" ht="13.1">
      <c r="B398" s="3"/>
      <c r="E398" s="5" t="s">
        <v>951</v>
      </c>
      <c r="F398" s="5" t="s">
        <v>2295</v>
      </c>
      <c r="I398" s="5"/>
      <c r="J398" s="5"/>
      <c r="K398" s="5"/>
      <c r="L398" s="5"/>
      <c r="M398" s="5"/>
      <c r="N398" s="5"/>
      <c r="O398" s="5"/>
      <c r="P398" s="5"/>
      <c r="Q398" s="5"/>
      <c r="R398" s="5"/>
      <c r="S398" s="5"/>
    </row>
    <row r="399" spans="1:38"/>
    <row r="400" spans="1:38" ht="13.1">
      <c r="B400" s="3"/>
      <c r="C400" s="3" t="s">
        <v>293</v>
      </c>
      <c r="G400" s="3" t="s">
        <v>926</v>
      </c>
      <c r="I400" s="5"/>
      <c r="S400" s="5"/>
    </row>
    <row r="401" spans="1:38" ht="13.1">
      <c r="B401" s="3"/>
      <c r="F401" s="5" t="s">
        <v>1256</v>
      </c>
      <c r="S401" s="5"/>
    </row>
    <row r="402" spans="1:38" ht="13.1">
      <c r="B402" s="3"/>
      <c r="S402" s="5"/>
    </row>
    <row r="403" spans="1:38" ht="13.1">
      <c r="B403" s="3"/>
      <c r="C403" s="3" t="s">
        <v>351</v>
      </c>
      <c r="G403" s="3" t="s">
        <v>151</v>
      </c>
      <c r="S403" s="5"/>
    </row>
    <row r="404" spans="1:38" ht="13.1">
      <c r="B404" s="3"/>
      <c r="E404" t="s">
        <v>944</v>
      </c>
      <c r="F404" t="s">
        <v>152</v>
      </c>
      <c r="S404" s="5"/>
    </row>
    <row r="405" spans="1:38" ht="13.1">
      <c r="B405" s="3"/>
      <c r="E405" t="s">
        <v>945</v>
      </c>
      <c r="F405" s="5" t="s">
        <v>1255</v>
      </c>
      <c r="S405" s="5"/>
    </row>
    <row r="406" spans="1:38" ht="13.1">
      <c r="B406" s="3"/>
      <c r="F406" t="s">
        <v>153</v>
      </c>
      <c r="S406" s="5"/>
    </row>
    <row r="407" spans="1:38" ht="13.1">
      <c r="B407" s="3"/>
      <c r="S407" s="5"/>
    </row>
    <row r="408" spans="1:38" ht="13.1">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
      <c r="B409" s="3"/>
      <c r="C409" s="41" t="s">
        <v>2296</v>
      </c>
      <c r="G409" s="3"/>
      <c r="I409" s="5"/>
      <c r="S409" s="5"/>
    </row>
    <row r="410" spans="1:38" ht="13.1">
      <c r="B410" s="3"/>
      <c r="C410" s="41" t="s">
        <v>2016</v>
      </c>
      <c r="S410" s="5"/>
    </row>
    <row r="411" spans="1:38" ht="13.1">
      <c r="B411" s="3"/>
      <c r="C411" s="5" t="s">
        <v>2297</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34" workbookViewId="0">
      <selection activeCell="Q40" sqref="Q40:R40"/>
    </sheetView>
  </sheetViews>
  <sheetFormatPr defaultColWidth="0" defaultRowHeight="15.05" customHeight="1"/>
  <cols>
    <col min="1" max="1" width="3.625" style="365" customWidth="1"/>
    <col min="2" max="4" width="17.625" style="365" customWidth="1"/>
    <col min="5" max="5" width="15.625" style="365" customWidth="1"/>
    <col min="6" max="6" width="2.375" style="365" customWidth="1"/>
    <col min="7" max="7" width="14.625" style="365" customWidth="1"/>
    <col min="8" max="9" width="2.625" style="365" customWidth="1"/>
    <col min="10" max="10" width="3.625" style="365" customWidth="1"/>
    <col min="11" max="11" width="2.625" style="365" customWidth="1"/>
    <col min="12" max="14" width="2.375" style="365" customWidth="1"/>
    <col min="15" max="15" width="43.75" style="365" customWidth="1"/>
    <col min="16" max="16" width="7.625" style="365" customWidth="1"/>
    <col min="17" max="17" width="3.625" style="365" customWidth="1"/>
    <col min="18" max="19" width="10.625" style="365" customWidth="1"/>
    <col min="20" max="29" width="0" style="365" hidden="1" customWidth="1"/>
    <col min="30" max="16384" width="8.875" style="365" hidden="1"/>
  </cols>
  <sheetData>
    <row r="1" spans="1:19" ht="15.05" customHeight="1">
      <c r="A1" s="1930" t="s">
        <v>1954</v>
      </c>
      <c r="B1" s="1930"/>
      <c r="C1" s="1930"/>
      <c r="D1" s="1930"/>
      <c r="E1" s="1930"/>
      <c r="F1" s="1930"/>
      <c r="G1" s="1930"/>
      <c r="H1" s="1930"/>
      <c r="I1" s="1930"/>
      <c r="J1" s="1930"/>
      <c r="K1" s="1930"/>
      <c r="L1" s="1930"/>
      <c r="M1" s="1930"/>
      <c r="N1" s="1930"/>
      <c r="O1" s="1930"/>
      <c r="P1" s="1930"/>
      <c r="Q1" s="1930"/>
      <c r="R1" s="1930"/>
      <c r="S1" s="1930"/>
    </row>
    <row r="2" spans="1:19" ht="15.05" customHeight="1">
      <c r="A2" s="1930"/>
      <c r="B2" s="1930"/>
      <c r="C2" s="1930"/>
      <c r="D2" s="1930"/>
      <c r="E2" s="1930"/>
      <c r="F2" s="1930"/>
      <c r="G2" s="1930"/>
      <c r="H2" s="1930"/>
      <c r="I2" s="1930"/>
      <c r="J2" s="1930"/>
      <c r="K2" s="1930"/>
      <c r="L2" s="1930"/>
      <c r="M2" s="1930"/>
      <c r="N2" s="1930"/>
      <c r="O2" s="1930"/>
      <c r="P2" s="1930"/>
      <c r="Q2" s="1930"/>
      <c r="R2" s="1930"/>
      <c r="S2" s="1930"/>
    </row>
    <row r="3" spans="1:19" ht="15.05" customHeight="1">
      <c r="A3" s="522"/>
      <c r="B3" s="522"/>
      <c r="C3" s="522"/>
      <c r="D3" s="522"/>
      <c r="E3" s="522"/>
      <c r="F3" s="522"/>
      <c r="G3" s="522"/>
      <c r="H3" s="522"/>
      <c r="I3" s="522"/>
      <c r="J3" s="522"/>
      <c r="K3" s="522"/>
      <c r="L3" s="522"/>
      <c r="M3" s="522"/>
      <c r="N3" s="522"/>
      <c r="O3" s="522"/>
      <c r="P3" s="522"/>
      <c r="Q3" s="522"/>
      <c r="R3" s="522"/>
    </row>
    <row r="4" spans="1:19" ht="15.05" customHeight="1">
      <c r="A4" s="522"/>
      <c r="B4" s="1916" t="s">
        <v>2248</v>
      </c>
      <c r="C4" s="1916"/>
      <c r="D4" s="1916"/>
      <c r="E4" s="1916"/>
      <c r="F4" s="1916"/>
      <c r="G4" s="1916"/>
      <c r="H4" s="1916"/>
      <c r="I4" s="1916"/>
      <c r="J4" s="1916"/>
      <c r="K4" s="1916"/>
      <c r="L4" s="1916"/>
      <c r="M4" s="1916"/>
      <c r="N4" s="1916"/>
      <c r="O4" s="1916"/>
      <c r="P4" s="1916"/>
      <c r="Q4" s="1916"/>
      <c r="R4" s="1916"/>
    </row>
    <row r="5" spans="1:19" ht="15.05" customHeight="1">
      <c r="A5" s="522"/>
      <c r="B5" s="1916"/>
      <c r="C5" s="1916"/>
      <c r="D5" s="1916"/>
      <c r="E5" s="1916"/>
      <c r="F5" s="1916"/>
      <c r="G5" s="1916"/>
      <c r="H5" s="1916"/>
      <c r="I5" s="1916"/>
      <c r="J5" s="1916"/>
      <c r="K5" s="1916"/>
      <c r="L5" s="1916"/>
      <c r="M5" s="1916"/>
      <c r="N5" s="1916"/>
      <c r="O5" s="1916"/>
      <c r="P5" s="1916"/>
      <c r="Q5" s="1916"/>
      <c r="R5" s="1916"/>
    </row>
    <row r="6" spans="1:19" ht="15.05" customHeight="1">
      <c r="A6" s="522"/>
      <c r="B6" s="1916"/>
      <c r="C6" s="1916"/>
      <c r="D6" s="1916"/>
      <c r="E6" s="1916"/>
      <c r="F6" s="1916"/>
      <c r="G6" s="1916"/>
      <c r="H6" s="1916"/>
      <c r="I6" s="1916"/>
      <c r="J6" s="1916"/>
      <c r="K6" s="1916"/>
      <c r="L6" s="1916"/>
      <c r="M6" s="1916"/>
      <c r="N6" s="1916"/>
      <c r="O6" s="1916"/>
      <c r="P6" s="1916"/>
      <c r="Q6" s="1916"/>
      <c r="R6" s="1916"/>
    </row>
    <row r="7" spans="1:19" ht="15.05" customHeight="1">
      <c r="A7" s="522"/>
      <c r="B7" s="664"/>
      <c r="C7" s="664"/>
      <c r="D7" s="664"/>
      <c r="E7" s="664"/>
      <c r="F7" s="664"/>
      <c r="G7" s="664"/>
      <c r="H7" s="664"/>
      <c r="I7" s="664"/>
      <c r="J7" s="664"/>
      <c r="K7" s="664"/>
      <c r="L7" s="664"/>
      <c r="M7" s="664"/>
      <c r="N7" s="664"/>
      <c r="O7" s="664"/>
      <c r="P7" s="664"/>
      <c r="Q7" s="664"/>
      <c r="R7" s="664"/>
    </row>
    <row r="8" spans="1:19" ht="15.05" customHeight="1">
      <c r="A8" s="522"/>
      <c r="B8" s="1916" t="s">
        <v>1771</v>
      </c>
      <c r="C8" s="1916"/>
      <c r="D8" s="1916"/>
      <c r="E8" s="1916"/>
      <c r="F8" s="1916"/>
      <c r="G8" s="1916"/>
      <c r="H8" s="1916"/>
      <c r="I8" s="1916"/>
      <c r="J8" s="1916"/>
      <c r="K8" s="1916"/>
      <c r="L8" s="1916"/>
      <c r="M8" s="1916"/>
      <c r="N8" s="1916"/>
      <c r="O8" s="1916"/>
      <c r="P8" s="1916"/>
      <c r="Q8" s="1916"/>
      <c r="R8" s="1916"/>
    </row>
    <row r="9" spans="1:19" ht="15.05" customHeight="1">
      <c r="A9" s="522"/>
      <c r="B9" s="387"/>
      <c r="C9" s="522"/>
      <c r="D9" s="522"/>
      <c r="E9" s="522"/>
      <c r="F9" s="522"/>
      <c r="G9" s="522"/>
      <c r="H9" s="522"/>
      <c r="I9" s="522"/>
      <c r="J9" s="522"/>
      <c r="K9" s="522"/>
      <c r="L9" s="522"/>
      <c r="M9" s="522"/>
      <c r="N9" s="522"/>
      <c r="O9" s="522"/>
      <c r="P9" s="522"/>
      <c r="Q9" s="522"/>
      <c r="R9" s="522"/>
    </row>
    <row r="10" spans="1:19" ht="15.05" customHeight="1">
      <c r="A10" s="522"/>
      <c r="B10" s="1916" t="s">
        <v>2338</v>
      </c>
      <c r="C10" s="1916"/>
      <c r="D10" s="1916"/>
      <c r="E10" s="1916"/>
      <c r="F10" s="1916"/>
      <c r="G10" s="1916"/>
      <c r="H10" s="1916"/>
      <c r="I10" s="1916"/>
      <c r="J10" s="1916"/>
      <c r="K10" s="1916"/>
      <c r="L10" s="1916"/>
      <c r="M10" s="1916"/>
      <c r="N10" s="1916"/>
      <c r="O10" s="1916"/>
      <c r="P10" s="1916"/>
      <c r="Q10" s="1916"/>
      <c r="R10" s="1916"/>
    </row>
    <row r="11" spans="1:19" ht="29.3" customHeight="1">
      <c r="A11" s="522"/>
      <c r="B11" s="1916"/>
      <c r="C11" s="1916"/>
      <c r="D11" s="1916"/>
      <c r="E11" s="1916"/>
      <c r="F11" s="1916"/>
      <c r="G11" s="1916"/>
      <c r="H11" s="1916"/>
      <c r="I11" s="1916"/>
      <c r="J11" s="1916"/>
      <c r="K11" s="1916"/>
      <c r="L11" s="1916"/>
      <c r="M11" s="1916"/>
      <c r="N11" s="1916"/>
      <c r="O11" s="1916"/>
      <c r="P11" s="1916"/>
      <c r="Q11" s="1916"/>
      <c r="R11" s="1916"/>
    </row>
    <row r="12" spans="1:19" ht="15.05" customHeight="1">
      <c r="A12" s="522"/>
      <c r="B12" s="664"/>
      <c r="C12" s="664"/>
      <c r="D12" s="664"/>
      <c r="E12" s="664"/>
      <c r="F12" s="664"/>
      <c r="G12" s="664"/>
      <c r="H12" s="664"/>
      <c r="I12" s="664"/>
      <c r="J12" s="664"/>
      <c r="K12" s="664"/>
      <c r="L12" s="664"/>
      <c r="M12" s="664"/>
      <c r="N12" s="664"/>
      <c r="O12" s="664"/>
      <c r="P12" s="664"/>
      <c r="Q12" s="664"/>
      <c r="R12" s="664"/>
    </row>
    <row r="13" spans="1:19" ht="15.05" customHeight="1">
      <c r="A13" s="522"/>
      <c r="B13" s="1916" t="s">
        <v>2249</v>
      </c>
      <c r="C13" s="1916"/>
      <c r="D13" s="1916"/>
      <c r="E13" s="1916"/>
      <c r="F13" s="1916"/>
      <c r="G13" s="1916"/>
      <c r="H13" s="1916"/>
      <c r="I13" s="1916"/>
      <c r="J13" s="1916"/>
      <c r="K13" s="1916"/>
      <c r="L13" s="1916"/>
      <c r="M13" s="1916"/>
      <c r="N13" s="1916"/>
      <c r="O13" s="1916"/>
      <c r="P13" s="1916"/>
      <c r="Q13" s="1916"/>
      <c r="R13" s="1916"/>
    </row>
    <row r="14" spans="1:19" ht="15.05" customHeight="1">
      <c r="A14" s="522"/>
      <c r="B14" s="1916"/>
      <c r="C14" s="1916"/>
      <c r="D14" s="1916"/>
      <c r="E14" s="1916"/>
      <c r="F14" s="1916"/>
      <c r="G14" s="1916"/>
      <c r="H14" s="1916"/>
      <c r="I14" s="1916"/>
      <c r="J14" s="1916"/>
      <c r="K14" s="1916"/>
      <c r="L14" s="1916"/>
      <c r="M14" s="1916"/>
      <c r="N14" s="1916"/>
      <c r="O14" s="1916"/>
      <c r="P14" s="1916"/>
      <c r="Q14" s="1916"/>
      <c r="R14" s="1916"/>
    </row>
    <row r="15" spans="1:19" ht="15.05" customHeight="1">
      <c r="A15" s="522"/>
      <c r="B15" s="1916"/>
      <c r="C15" s="1916"/>
      <c r="D15" s="1916"/>
      <c r="E15" s="1916"/>
      <c r="F15" s="1916"/>
      <c r="G15" s="1916"/>
      <c r="H15" s="1916"/>
      <c r="I15" s="1916"/>
      <c r="J15" s="1916"/>
      <c r="K15" s="1916"/>
      <c r="L15" s="1916"/>
      <c r="M15" s="1916"/>
      <c r="N15" s="1916"/>
      <c r="O15" s="1916"/>
      <c r="P15" s="1916"/>
      <c r="Q15" s="1916"/>
      <c r="R15" s="1916"/>
    </row>
    <row r="16" spans="1:19" ht="15.05" customHeight="1">
      <c r="A16" s="522"/>
      <c r="B16" s="1916"/>
      <c r="C16" s="1916"/>
      <c r="D16" s="1916"/>
      <c r="E16" s="1916"/>
      <c r="F16" s="1916"/>
      <c r="G16" s="1916"/>
      <c r="H16" s="1916"/>
      <c r="I16" s="1916"/>
      <c r="J16" s="1916"/>
      <c r="K16" s="1916"/>
      <c r="L16" s="1916"/>
      <c r="M16" s="1916"/>
      <c r="N16" s="1916"/>
      <c r="O16" s="1916"/>
      <c r="P16" s="1916"/>
      <c r="Q16" s="1916"/>
      <c r="R16" s="1916"/>
    </row>
    <row r="17" spans="1:18" ht="15.05" customHeight="1">
      <c r="A17" s="522"/>
      <c r="B17" s="1916"/>
      <c r="C17" s="1916"/>
      <c r="D17" s="1916"/>
      <c r="E17" s="1916"/>
      <c r="F17" s="1916"/>
      <c r="G17" s="1916"/>
      <c r="H17" s="1916"/>
      <c r="I17" s="1916"/>
      <c r="J17" s="1916"/>
      <c r="K17" s="1916"/>
      <c r="L17" s="1916"/>
      <c r="M17" s="1916"/>
      <c r="N17" s="1916"/>
      <c r="O17" s="1916"/>
      <c r="P17" s="1916"/>
      <c r="Q17" s="1916"/>
      <c r="R17" s="1916"/>
    </row>
    <row r="18" spans="1:18" ht="15.05" customHeight="1">
      <c r="A18" s="522"/>
      <c r="B18" s="387"/>
      <c r="C18" s="522"/>
      <c r="D18" s="522"/>
      <c r="E18" s="522"/>
      <c r="F18" s="522"/>
      <c r="G18" s="522"/>
      <c r="H18" s="522"/>
      <c r="I18" s="522"/>
      <c r="J18" s="522"/>
      <c r="K18" s="522"/>
      <c r="L18" s="522"/>
      <c r="M18" s="522"/>
      <c r="N18" s="522"/>
      <c r="O18" s="522"/>
      <c r="P18" s="522"/>
      <c r="Q18" s="522"/>
      <c r="R18" s="522"/>
    </row>
    <row r="19" spans="1:18" ht="15.05" customHeight="1">
      <c r="A19" s="522"/>
      <c r="B19" s="1916" t="s">
        <v>1881</v>
      </c>
      <c r="C19" s="1916"/>
      <c r="D19" s="1916"/>
      <c r="E19" s="1916"/>
      <c r="F19" s="1916"/>
      <c r="G19" s="1916"/>
      <c r="H19" s="1916"/>
      <c r="I19" s="1916"/>
      <c r="J19" s="1916"/>
      <c r="K19" s="1916"/>
      <c r="L19" s="1916"/>
      <c r="M19" s="1916"/>
      <c r="N19" s="1916"/>
      <c r="O19" s="1916"/>
      <c r="P19" s="1916"/>
      <c r="Q19" s="1916"/>
      <c r="R19" s="1916"/>
    </row>
    <row r="20" spans="1:18" ht="15.05" customHeight="1">
      <c r="A20" s="522"/>
      <c r="B20" s="1916"/>
      <c r="C20" s="1916"/>
      <c r="D20" s="1916"/>
      <c r="E20" s="1916"/>
      <c r="F20" s="1916"/>
      <c r="G20" s="1916"/>
      <c r="H20" s="1916"/>
      <c r="I20" s="1916"/>
      <c r="J20" s="1916"/>
      <c r="K20" s="1916"/>
      <c r="L20" s="1916"/>
      <c r="M20" s="1916"/>
      <c r="N20" s="1916"/>
      <c r="O20" s="1916"/>
      <c r="P20" s="1916"/>
      <c r="Q20" s="1916"/>
      <c r="R20" s="1916"/>
    </row>
    <row r="21" spans="1:18" ht="15.05" customHeight="1">
      <c r="A21" s="522"/>
      <c r="B21" s="1916"/>
      <c r="C21" s="1916"/>
      <c r="D21" s="1916"/>
      <c r="E21" s="1916"/>
      <c r="F21" s="1916"/>
      <c r="G21" s="1916"/>
      <c r="H21" s="1916"/>
      <c r="I21" s="1916"/>
      <c r="J21" s="1916"/>
      <c r="K21" s="1916"/>
      <c r="L21" s="1916"/>
      <c r="M21" s="1916"/>
      <c r="N21" s="1916"/>
      <c r="O21" s="1916"/>
      <c r="P21" s="1916"/>
      <c r="Q21" s="1916"/>
      <c r="R21" s="1916"/>
    </row>
    <row r="22" spans="1:18" ht="15.05" customHeight="1">
      <c r="A22" s="522"/>
      <c r="B22" s="664"/>
      <c r="C22" s="664"/>
      <c r="D22" s="664"/>
      <c r="E22" s="664"/>
      <c r="F22" s="664"/>
      <c r="G22" s="664"/>
      <c r="H22" s="664"/>
      <c r="I22" s="664"/>
      <c r="J22" s="664"/>
      <c r="K22" s="664"/>
      <c r="L22" s="664"/>
      <c r="M22" s="664"/>
      <c r="N22" s="664"/>
      <c r="O22" s="664"/>
      <c r="P22" s="664"/>
      <c r="Q22" s="664"/>
      <c r="R22" s="664"/>
    </row>
    <row r="23" spans="1:18" ht="15.05" customHeight="1">
      <c r="A23" s="522"/>
      <c r="B23" s="1916" t="s">
        <v>1882</v>
      </c>
      <c r="C23" s="1916"/>
      <c r="D23" s="1916"/>
      <c r="E23" s="1916"/>
      <c r="F23" s="1916"/>
      <c r="G23" s="1916"/>
      <c r="H23" s="1916"/>
      <c r="I23" s="1916"/>
      <c r="J23" s="1916"/>
      <c r="K23" s="1916"/>
      <c r="L23" s="1916"/>
      <c r="M23" s="1916"/>
      <c r="N23" s="1916"/>
      <c r="O23" s="1916"/>
      <c r="P23" s="1916"/>
      <c r="Q23" s="1916"/>
      <c r="R23" s="1916"/>
    </row>
    <row r="24" spans="1:18" ht="15.05" customHeight="1">
      <c r="B24" s="1916"/>
      <c r="C24" s="1916"/>
      <c r="D24" s="1916"/>
      <c r="E24" s="1916"/>
      <c r="F24" s="1916"/>
      <c r="G24" s="1916"/>
      <c r="H24" s="1916"/>
      <c r="I24" s="1916"/>
      <c r="J24" s="1916"/>
      <c r="K24" s="1916"/>
      <c r="L24" s="1916"/>
      <c r="M24" s="1916"/>
      <c r="N24" s="1916"/>
      <c r="O24" s="1916"/>
      <c r="P24" s="1916"/>
      <c r="Q24" s="1916"/>
      <c r="R24" s="1916"/>
    </row>
    <row r="25" spans="1:18" ht="15.05" customHeight="1">
      <c r="B25" s="664"/>
      <c r="C25" s="664"/>
      <c r="D25" s="664"/>
      <c r="E25" s="664"/>
      <c r="F25" s="664"/>
      <c r="G25" s="664"/>
      <c r="H25" s="664"/>
      <c r="I25" s="664"/>
      <c r="J25" s="664"/>
      <c r="K25" s="664"/>
      <c r="L25" s="664"/>
      <c r="M25" s="664"/>
      <c r="N25" s="664"/>
      <c r="O25" s="664"/>
      <c r="P25" s="664"/>
      <c r="Q25" s="664"/>
      <c r="R25" s="664"/>
    </row>
    <row r="26" spans="1:18" ht="15.05" customHeight="1">
      <c r="B26" s="1916" t="s">
        <v>1770</v>
      </c>
      <c r="C26" s="1916"/>
      <c r="D26" s="1916"/>
      <c r="E26" s="1916"/>
      <c r="F26" s="1916"/>
      <c r="G26" s="1916"/>
      <c r="H26" s="1916"/>
      <c r="I26" s="1916"/>
      <c r="J26" s="1916"/>
      <c r="K26" s="1916"/>
      <c r="L26" s="1916"/>
      <c r="M26" s="1916"/>
      <c r="N26" s="1916"/>
      <c r="O26" s="1916"/>
      <c r="P26" s="1916"/>
      <c r="Q26" s="1916"/>
      <c r="R26" s="1916"/>
    </row>
    <row r="27" spans="1:18" ht="15.05" customHeight="1">
      <c r="B27" s="664"/>
      <c r="C27" s="664"/>
      <c r="D27" s="664"/>
      <c r="E27" s="664"/>
      <c r="F27" s="664"/>
      <c r="G27" s="664"/>
      <c r="H27" s="664"/>
      <c r="I27" s="664"/>
      <c r="J27" s="664"/>
      <c r="K27" s="664"/>
      <c r="L27" s="664"/>
      <c r="M27" s="664"/>
      <c r="N27" s="664"/>
      <c r="O27" s="664"/>
      <c r="P27" s="664"/>
      <c r="Q27" s="664"/>
      <c r="R27" s="664"/>
    </row>
    <row r="28" spans="1:18" ht="15.05" customHeight="1">
      <c r="B28" s="523" t="s">
        <v>150</v>
      </c>
    </row>
    <row r="29" spans="1:18" ht="15.05" customHeight="1">
      <c r="B29" s="1925" t="s">
        <v>1682</v>
      </c>
      <c r="C29" s="1925"/>
      <c r="D29" s="1925"/>
      <c r="E29" s="1925"/>
      <c r="F29" s="1925"/>
      <c r="G29" s="1925"/>
      <c r="H29" s="380"/>
      <c r="I29" s="380"/>
      <c r="J29" s="380"/>
      <c r="K29" s="380"/>
      <c r="L29" s="380"/>
      <c r="M29" s="380"/>
      <c r="N29" s="380"/>
      <c r="O29" s="1923" t="s">
        <v>1691</v>
      </c>
    </row>
    <row r="30" spans="1:18" ht="15.05" customHeight="1">
      <c r="B30" s="1925"/>
      <c r="C30" s="1925"/>
      <c r="D30" s="1925"/>
      <c r="E30" s="1925"/>
      <c r="F30" s="1925"/>
      <c r="G30" s="1925"/>
      <c r="H30" s="380"/>
      <c r="I30" s="380"/>
      <c r="J30" s="380"/>
      <c r="K30" s="380"/>
      <c r="L30" s="380"/>
      <c r="M30" s="380"/>
      <c r="N30" s="380"/>
      <c r="O30" s="1923"/>
    </row>
    <row r="31" spans="1:18" ht="15.05" customHeight="1">
      <c r="B31" s="1925"/>
      <c r="C31" s="1925"/>
      <c r="D31" s="1925"/>
      <c r="E31" s="1925"/>
      <c r="F31" s="1925"/>
      <c r="G31" s="1925"/>
      <c r="H31" s="380"/>
      <c r="I31" s="380"/>
      <c r="J31" s="380"/>
      <c r="K31" s="380"/>
      <c r="L31" s="380"/>
      <c r="M31" s="380"/>
      <c r="N31" s="380"/>
      <c r="O31" s="1923"/>
    </row>
    <row r="32" spans="1:18" ht="15.05" customHeight="1">
      <c r="B32" s="1926"/>
      <c r="C32" s="1926"/>
      <c r="D32" s="1926"/>
      <c r="E32" s="1926"/>
      <c r="F32" s="1926"/>
      <c r="G32" s="1926"/>
      <c r="I32" s="1927" t="s">
        <v>149</v>
      </c>
      <c r="J32" s="1928" t="s">
        <v>1036</v>
      </c>
      <c r="K32" s="1929">
        <v>1</v>
      </c>
      <c r="M32" s="524"/>
      <c r="O32" s="1924"/>
      <c r="P32" s="1928" t="s">
        <v>2039</v>
      </c>
    </row>
    <row r="33" spans="1:18" ht="15.05" customHeight="1">
      <c r="B33" s="1953" t="s">
        <v>1686</v>
      </c>
      <c r="C33" s="1953"/>
      <c r="D33" s="1953"/>
      <c r="E33" s="1953"/>
      <c r="F33" s="1953"/>
      <c r="G33" s="1953"/>
      <c r="I33" s="1927"/>
      <c r="J33" s="1928"/>
      <c r="K33" s="1929"/>
      <c r="M33" s="525"/>
      <c r="O33" s="1953" t="s">
        <v>1686</v>
      </c>
      <c r="P33" s="1928"/>
    </row>
    <row r="34" spans="1:18" ht="15.05" customHeight="1">
      <c r="B34" s="1927"/>
      <c r="C34" s="1927"/>
      <c r="D34" s="1927"/>
      <c r="E34" s="1927"/>
      <c r="F34" s="1927"/>
      <c r="G34" s="1927"/>
      <c r="I34" s="663"/>
      <c r="J34" s="662"/>
      <c r="K34" s="542"/>
      <c r="M34" s="525"/>
      <c r="O34" s="1927"/>
      <c r="P34" s="662"/>
    </row>
    <row r="35" spans="1:18" ht="15.05" customHeight="1">
      <c r="B35" s="526"/>
      <c r="C35" s="526"/>
      <c r="D35" s="526"/>
      <c r="E35" s="526"/>
      <c r="F35" s="526"/>
      <c r="G35" s="526"/>
      <c r="H35" s="399"/>
      <c r="I35" s="527"/>
      <c r="J35" s="528"/>
      <c r="K35" s="529"/>
      <c r="L35" s="399"/>
      <c r="M35" s="524"/>
      <c r="N35" s="399"/>
      <c r="O35" s="526"/>
      <c r="P35" s="528"/>
      <c r="Q35" s="399"/>
      <c r="R35" s="399"/>
    </row>
    <row r="36" spans="1:18" ht="15.05" customHeight="1">
      <c r="B36" s="554"/>
      <c r="C36" s="554"/>
      <c r="D36" s="554"/>
      <c r="E36" s="554"/>
      <c r="F36" s="554"/>
      <c r="G36" s="554"/>
      <c r="I36" s="663"/>
      <c r="J36" s="662"/>
      <c r="K36" s="542"/>
      <c r="M36" s="525"/>
      <c r="O36" s="554"/>
      <c r="P36" s="662"/>
    </row>
    <row r="37" spans="1:18" ht="15.05" customHeight="1">
      <c r="A37" s="530"/>
      <c r="B37" s="1931" t="s">
        <v>1674</v>
      </c>
      <c r="C37" s="1931"/>
      <c r="D37" s="1931"/>
      <c r="E37" s="1931"/>
      <c r="F37" s="531"/>
      <c r="G37" s="531"/>
      <c r="H37" s="532"/>
      <c r="I37" s="380"/>
      <c r="J37" s="380"/>
      <c r="Q37" s="380"/>
      <c r="R37" s="380"/>
    </row>
    <row r="38" spans="1:18" ht="15.05" customHeight="1">
      <c r="B38" s="1936" t="s">
        <v>1692</v>
      </c>
      <c r="C38" s="1936"/>
      <c r="D38" s="1936"/>
      <c r="E38" s="1936"/>
      <c r="F38" s="665"/>
      <c r="G38" s="533">
        <f>D110</f>
        <v>0</v>
      </c>
      <c r="H38" s="388"/>
      <c r="I38" s="534"/>
      <c r="J38" s="388"/>
      <c r="L38" s="804"/>
      <c r="M38" s="804"/>
      <c r="N38" s="804"/>
      <c r="O38" s="804"/>
      <c r="Q38" s="1922"/>
      <c r="R38" s="1922"/>
    </row>
    <row r="39" spans="1:18" ht="15.05" customHeight="1">
      <c r="B39" s="1937" t="s">
        <v>1336</v>
      </c>
      <c r="C39" s="1937"/>
      <c r="D39" s="1937"/>
      <c r="E39" s="1937"/>
      <c r="F39" s="665"/>
      <c r="G39" s="647">
        <v>0</v>
      </c>
      <c r="H39" s="388"/>
      <c r="I39" s="534"/>
      <c r="J39" s="388"/>
      <c r="L39" s="388"/>
      <c r="M39" s="380"/>
      <c r="N39" s="380"/>
      <c r="O39" s="380"/>
      <c r="Q39" s="535"/>
      <c r="R39" s="535"/>
    </row>
    <row r="40" spans="1:18" ht="15.05" customHeight="1">
      <c r="B40" s="1937" t="s">
        <v>1337</v>
      </c>
      <c r="C40" s="1937"/>
      <c r="D40" s="1937"/>
      <c r="E40" s="1937"/>
      <c r="F40" s="665"/>
      <c r="G40" s="647">
        <v>0</v>
      </c>
      <c r="H40" s="388"/>
      <c r="I40" s="534"/>
      <c r="J40" s="388"/>
      <c r="K40" s="1921"/>
      <c r="L40" s="1921"/>
      <c r="M40" s="1921"/>
      <c r="N40" s="1921"/>
      <c r="O40" s="1921"/>
      <c r="Q40" s="1922"/>
      <c r="R40" s="1922"/>
    </row>
    <row r="41" spans="1:18" ht="15.05" customHeight="1">
      <c r="B41" s="1938" t="s">
        <v>1687</v>
      </c>
      <c r="C41" s="1938"/>
      <c r="D41" s="1938"/>
      <c r="E41" s="1938"/>
      <c r="F41" s="665"/>
      <c r="G41" s="388"/>
      <c r="H41" s="388"/>
      <c r="I41" s="534"/>
      <c r="J41" s="388"/>
      <c r="K41" s="388"/>
      <c r="L41" s="388"/>
      <c r="M41" s="380"/>
      <c r="N41" s="380"/>
      <c r="O41" s="380"/>
      <c r="Q41" s="535"/>
      <c r="R41" s="535"/>
    </row>
    <row r="42" spans="1:18" ht="15.05" customHeight="1">
      <c r="B42" s="649" t="s">
        <v>2507</v>
      </c>
      <c r="C42" s="649"/>
      <c r="D42" s="643"/>
      <c r="E42" s="667">
        <f>Application!AO620</f>
        <v>4400310</v>
      </c>
      <c r="F42" s="665"/>
      <c r="G42" s="388"/>
      <c r="H42" s="388"/>
      <c r="I42" s="534"/>
      <c r="J42" s="388"/>
      <c r="K42" s="1921"/>
      <c r="L42" s="1921"/>
      <c r="M42" s="1921"/>
      <c r="N42" s="1921"/>
      <c r="O42" s="1921"/>
      <c r="Q42" s="1922"/>
      <c r="R42" s="1922"/>
    </row>
    <row r="43" spans="1:18" ht="15.05" customHeight="1">
      <c r="B43" s="649" t="s">
        <v>2508</v>
      </c>
      <c r="C43" s="649"/>
      <c r="D43" s="519"/>
      <c r="E43" s="667">
        <f>Application!AO619</f>
        <v>400000</v>
      </c>
      <c r="F43" s="665"/>
      <c r="G43" s="388"/>
      <c r="H43" s="388"/>
      <c r="I43" s="534"/>
      <c r="J43" s="388"/>
      <c r="L43" s="388"/>
      <c r="M43" s="380"/>
      <c r="N43" s="380"/>
      <c r="O43" s="380"/>
      <c r="Q43" s="535"/>
      <c r="R43" s="535"/>
    </row>
    <row r="44" spans="1:18" ht="15.05" customHeight="1">
      <c r="B44" s="649"/>
      <c r="C44" s="649"/>
      <c r="D44" s="519"/>
      <c r="E44" s="667"/>
      <c r="F44" s="665"/>
      <c r="G44" s="388"/>
      <c r="H44" s="388"/>
      <c r="I44" s="534"/>
      <c r="K44" s="387" t="s">
        <v>1939</v>
      </c>
      <c r="Q44" s="1922"/>
      <c r="R44" s="1922"/>
    </row>
    <row r="45" spans="1:18" ht="15.05" customHeight="1">
      <c r="B45" s="649"/>
      <c r="C45" s="649"/>
      <c r="D45" s="519"/>
      <c r="E45" s="667"/>
      <c r="F45" s="665"/>
      <c r="G45" s="388"/>
      <c r="H45" s="388"/>
      <c r="I45" s="534"/>
      <c r="K45" s="392" t="s">
        <v>1934</v>
      </c>
      <c r="L45" s="392"/>
      <c r="M45" s="388"/>
      <c r="N45" s="388"/>
      <c r="O45" s="388"/>
      <c r="P45" s="388"/>
    </row>
    <row r="46" spans="1:18" ht="15.05" customHeight="1">
      <c r="B46" s="649"/>
      <c r="C46" s="649"/>
      <c r="D46" s="519"/>
      <c r="E46" s="667"/>
      <c r="F46" s="665"/>
      <c r="G46" s="388"/>
      <c r="H46" s="388"/>
      <c r="I46" s="534"/>
      <c r="J46" s="388"/>
      <c r="K46" s="1915" t="s">
        <v>1935</v>
      </c>
      <c r="L46" s="1915"/>
      <c r="M46" s="1915"/>
      <c r="N46" s="1915"/>
      <c r="O46" s="1915"/>
      <c r="Q46" s="1917"/>
      <c r="R46" s="1917"/>
    </row>
    <row r="47" spans="1:18" ht="15.05" customHeight="1">
      <c r="B47" s="649"/>
      <c r="C47" s="649"/>
      <c r="D47" s="519"/>
      <c r="E47" s="667"/>
      <c r="F47" s="665"/>
      <c r="G47" s="388"/>
      <c r="H47" s="388"/>
      <c r="I47" s="534"/>
      <c r="J47" s="388"/>
      <c r="K47" s="1920" t="s">
        <v>1936</v>
      </c>
      <c r="L47" s="1920"/>
      <c r="M47" s="1920"/>
      <c r="N47" s="1920"/>
      <c r="O47" s="1920"/>
      <c r="Q47" s="1919"/>
      <c r="R47" s="1919"/>
    </row>
    <row r="48" spans="1:18" ht="15.05" customHeight="1">
      <c r="B48" s="649"/>
      <c r="C48" s="649"/>
      <c r="D48" s="519"/>
      <c r="E48" s="667"/>
      <c r="F48" s="665"/>
      <c r="G48" s="388"/>
      <c r="H48" s="388"/>
      <c r="I48" s="534"/>
      <c r="J48" s="388"/>
      <c r="K48" s="1918" t="s">
        <v>1937</v>
      </c>
      <c r="L48" s="1918"/>
      <c r="M48" s="1918"/>
      <c r="N48" s="1918"/>
      <c r="O48" s="1918"/>
      <c r="Q48" s="1915">
        <f>Q46+Q47</f>
        <v>0</v>
      </c>
      <c r="R48" s="1915"/>
    </row>
    <row r="49" spans="1:29" ht="15.05" customHeight="1">
      <c r="B49" s="649"/>
      <c r="C49" s="649"/>
      <c r="D49" s="519"/>
      <c r="E49" s="667"/>
      <c r="F49" s="665"/>
      <c r="G49" s="388"/>
      <c r="H49" s="388"/>
      <c r="I49" s="534"/>
      <c r="J49" s="388"/>
    </row>
    <row r="50" spans="1:29" ht="15.05" customHeight="1">
      <c r="B50" s="645" t="s">
        <v>1772</v>
      </c>
      <c r="C50" s="645"/>
      <c r="D50" s="648"/>
      <c r="E50" s="646">
        <f>MAX(IF('Sources and Uses Budget'!B15="",0,'Sources and Uses Budget'!B15),IF(Application!AG387="",0,Application!AG387))</f>
        <v>0</v>
      </c>
      <c r="F50" s="665"/>
      <c r="G50" s="388"/>
      <c r="H50" s="388"/>
      <c r="I50" s="534"/>
      <c r="J50" s="388"/>
    </row>
    <row r="51" spans="1:29" ht="15.05" customHeight="1">
      <c r="B51" s="644" t="s">
        <v>1399</v>
      </c>
      <c r="C51" s="644"/>
      <c r="D51" s="648"/>
      <c r="E51" s="646">
        <v>163675</v>
      </c>
      <c r="F51" s="665"/>
      <c r="G51" s="388"/>
      <c r="H51" s="388"/>
      <c r="I51" s="534"/>
      <c r="J51" s="388"/>
    </row>
    <row r="52" spans="1:29" ht="15.05" customHeight="1">
      <c r="B52" s="1936" t="s">
        <v>1683</v>
      </c>
      <c r="C52" s="1936"/>
      <c r="D52" s="1936"/>
      <c r="E52" s="1936"/>
      <c r="F52" s="665"/>
      <c r="G52" s="533">
        <f>SUM(E42:E49)-ABS(E50)-ABS(E51)</f>
        <v>4636635</v>
      </c>
      <c r="H52" s="388"/>
      <c r="I52" s="534"/>
      <c r="J52" s="388"/>
    </row>
    <row r="53" spans="1:29" ht="15.05" customHeight="1">
      <c r="C53" s="538"/>
      <c r="D53" s="538" t="s">
        <v>916</v>
      </c>
      <c r="E53" s="538"/>
      <c r="F53" s="538"/>
      <c r="G53" s="539">
        <f>SUM(G38:G40)+G52</f>
        <v>4636635</v>
      </c>
      <c r="H53" s="536"/>
      <c r="I53" s="534"/>
      <c r="J53" s="388"/>
      <c r="K53" s="388"/>
      <c r="L53" s="388"/>
    </row>
    <row r="54" spans="1:29" ht="15.05" customHeight="1">
      <c r="B54" s="540"/>
      <c r="C54" s="540"/>
      <c r="D54" s="540"/>
      <c r="E54" s="540"/>
      <c r="F54" s="540"/>
      <c r="G54" s="540"/>
      <c r="H54" s="399"/>
      <c r="I54" s="537"/>
      <c r="J54" s="537"/>
      <c r="K54" s="537"/>
      <c r="L54" s="537"/>
      <c r="M54" s="537"/>
      <c r="N54" s="537"/>
      <c r="O54" s="399"/>
      <c r="P54" s="399"/>
      <c r="Q54" s="399"/>
      <c r="R54" s="399"/>
    </row>
    <row r="55" spans="1:29" ht="15.05" customHeight="1">
      <c r="B55" s="665"/>
      <c r="C55" s="665"/>
      <c r="D55" s="665"/>
      <c r="E55" s="665"/>
      <c r="F55" s="665"/>
      <c r="G55" s="665"/>
      <c r="H55" s="665"/>
      <c r="I55" s="665"/>
      <c r="J55" s="665"/>
      <c r="K55" s="665"/>
      <c r="L55" s="665"/>
      <c r="M55" s="665"/>
      <c r="N55" s="665"/>
      <c r="O55" s="665"/>
      <c r="P55" s="665"/>
      <c r="U55" s="770" t="s">
        <v>132</v>
      </c>
      <c r="AC55" s="770" t="s">
        <v>1018</v>
      </c>
    </row>
    <row r="56" spans="1:29" ht="15.05" customHeight="1">
      <c r="B56" s="1939" t="s">
        <v>1317</v>
      </c>
      <c r="C56" s="1939"/>
      <c r="D56" s="665"/>
      <c r="E56" s="665"/>
      <c r="F56" s="665"/>
      <c r="G56" s="665"/>
      <c r="H56" s="665"/>
      <c r="I56" s="665"/>
      <c r="J56" s="665"/>
      <c r="K56" s="665"/>
      <c r="L56" s="665"/>
      <c r="M56" s="665"/>
      <c r="N56" s="665"/>
      <c r="O56" s="665"/>
      <c r="P56" s="665"/>
      <c r="U56" s="769" t="s">
        <v>1876</v>
      </c>
      <c r="AC56" s="798">
        <v>0.2</v>
      </c>
    </row>
    <row r="57" spans="1:29" ht="15.05" customHeight="1">
      <c r="A57" s="536"/>
      <c r="B57" s="1940" t="s">
        <v>1677</v>
      </c>
      <c r="C57" s="1940"/>
      <c r="D57" s="1940"/>
      <c r="E57" s="1940"/>
      <c r="F57" s="1940"/>
      <c r="G57" s="1940"/>
      <c r="H57" s="1940"/>
      <c r="I57" s="1940"/>
      <c r="J57" s="1940"/>
      <c r="K57" s="1940"/>
      <c r="L57" s="1940"/>
      <c r="M57" s="1940"/>
      <c r="N57" s="1940"/>
      <c r="O57" s="1940"/>
      <c r="P57" s="665"/>
      <c r="U57" s="769" t="s">
        <v>1877</v>
      </c>
      <c r="AC57" s="798">
        <v>0.1</v>
      </c>
    </row>
    <row r="58" spans="1:29" ht="15.05" customHeight="1">
      <c r="B58" s="1931" t="s">
        <v>1676</v>
      </c>
      <c r="C58" s="1932"/>
      <c r="D58" s="1932"/>
      <c r="E58" s="1932"/>
      <c r="F58" s="541"/>
      <c r="G58" s="541"/>
      <c r="H58" s="531"/>
      <c r="I58" s="531"/>
      <c r="J58" s="1933">
        <f>('Sources and Uses Budget'!D104+Q47)/('Sources and Uses Budget'!B104+Q48)</f>
        <v>0</v>
      </c>
      <c r="K58" s="1934"/>
      <c r="L58" s="1934"/>
      <c r="M58" s="1934"/>
      <c r="N58" s="1935"/>
      <c r="O58" s="531"/>
      <c r="P58" s="531"/>
      <c r="U58" s="769" t="s">
        <v>1878</v>
      </c>
      <c r="AC58" s="798">
        <v>0.1</v>
      </c>
    </row>
    <row r="59" spans="1:29" ht="15.05" customHeight="1">
      <c r="B59" s="1916" t="s">
        <v>2250</v>
      </c>
      <c r="C59" s="1916"/>
      <c r="D59" s="1916"/>
      <c r="E59" s="1916"/>
      <c r="F59" s="1916"/>
      <c r="G59" s="1916"/>
      <c r="H59" s="1916"/>
      <c r="I59" s="1916"/>
      <c r="J59" s="1916"/>
      <c r="K59" s="1916"/>
      <c r="L59" s="1916"/>
      <c r="M59" s="1916"/>
      <c r="N59" s="1916"/>
      <c r="O59" s="1916"/>
      <c r="P59" s="531"/>
      <c r="U59" s="769" t="s">
        <v>1879</v>
      </c>
      <c r="AC59" s="798">
        <v>0.05</v>
      </c>
    </row>
    <row r="60" spans="1:29" ht="15.05" customHeight="1" thickBot="1">
      <c r="B60" s="1916"/>
      <c r="C60" s="1916"/>
      <c r="D60" s="1916"/>
      <c r="E60" s="1916"/>
      <c r="F60" s="1916"/>
      <c r="G60" s="1916"/>
      <c r="H60" s="1916"/>
      <c r="I60" s="1916"/>
      <c r="J60" s="1916"/>
      <c r="K60" s="1916"/>
      <c r="L60" s="1916"/>
      <c r="M60" s="1916"/>
      <c r="N60" s="1916"/>
      <c r="O60" s="1916"/>
      <c r="P60" s="531"/>
      <c r="U60" s="770"/>
      <c r="AC60" s="771"/>
    </row>
    <row r="61" spans="1:29" ht="15.05" customHeight="1">
      <c r="B61" s="1940" t="s">
        <v>1678</v>
      </c>
      <c r="C61" s="1940"/>
      <c r="D61" s="1940"/>
      <c r="E61" s="1940"/>
      <c r="F61" s="1940"/>
      <c r="G61" s="1940"/>
      <c r="H61" s="1940"/>
      <c r="I61" s="1940"/>
      <c r="J61" s="1940"/>
      <c r="K61" s="1940"/>
      <c r="L61" s="1940"/>
      <c r="M61" s="1940"/>
      <c r="N61" s="1940"/>
      <c r="O61" s="1940"/>
      <c r="P61" s="531"/>
      <c r="U61" s="1909">
        <f>IF(J67="Non-rural project, Census Tract is Highest Resource (20 percentage points)",AC56,0)</f>
        <v>0</v>
      </c>
    </row>
    <row r="62" spans="1:29" ht="15.05" customHeight="1" thickBot="1">
      <c r="B62" s="399"/>
      <c r="C62" s="399"/>
      <c r="D62" s="399"/>
      <c r="E62" s="399"/>
      <c r="F62" s="399"/>
      <c r="G62" s="399"/>
      <c r="H62" s="399"/>
      <c r="I62" s="399"/>
      <c r="J62" s="399"/>
      <c r="K62" s="399"/>
      <c r="L62" s="399"/>
      <c r="M62" s="399"/>
      <c r="N62" s="399"/>
      <c r="O62" s="399"/>
      <c r="P62" s="399"/>
      <c r="Q62" s="399"/>
      <c r="R62" s="399"/>
      <c r="U62" s="1910"/>
    </row>
    <row r="63" spans="1:29" ht="15.05" customHeight="1">
      <c r="B63" s="380"/>
      <c r="C63" s="380"/>
      <c r="D63" s="380"/>
      <c r="E63" s="387"/>
      <c r="F63" s="380"/>
      <c r="G63" s="380"/>
      <c r="H63" s="380"/>
      <c r="I63" s="774"/>
      <c r="J63" s="1942" t="s">
        <v>2252</v>
      </c>
      <c r="K63" s="1943"/>
      <c r="L63" s="1943"/>
      <c r="M63" s="1943"/>
      <c r="N63" s="1943"/>
      <c r="O63" s="1943"/>
      <c r="P63" s="1943"/>
      <c r="Q63" s="1943"/>
      <c r="R63" s="1943"/>
      <c r="U63" s="1909">
        <f>IF(J67="Non-rural project, Census Tract is High Resource (10 percentage points)",AC57,0)</f>
        <v>0</v>
      </c>
    </row>
    <row r="64" spans="1:29" ht="15.05" customHeight="1" thickBot="1">
      <c r="B64" s="1939" t="s">
        <v>1688</v>
      </c>
      <c r="C64" s="1939"/>
      <c r="D64" s="380"/>
      <c r="F64" s="380"/>
      <c r="G64" s="538" t="s">
        <v>1938</v>
      </c>
      <c r="H64" s="380"/>
      <c r="I64" s="775"/>
      <c r="J64" s="1944"/>
      <c r="K64" s="1945"/>
      <c r="L64" s="1945"/>
      <c r="M64" s="1945"/>
      <c r="N64" s="1945"/>
      <c r="O64" s="1945"/>
      <c r="P64" s="1945"/>
      <c r="Q64" s="1945"/>
      <c r="R64" s="1945"/>
      <c r="U64" s="1910"/>
    </row>
    <row r="65" spans="1:22" ht="15.05" customHeight="1">
      <c r="B65" s="542" t="s">
        <v>1681</v>
      </c>
      <c r="C65" s="527" t="str">
        <f>IF(Application!M349="Yes","Yes","No")</f>
        <v>Yes</v>
      </c>
      <c r="E65" s="807"/>
      <c r="F65" s="807"/>
      <c r="G65" s="538" t="s">
        <v>1940</v>
      </c>
      <c r="H65" s="380"/>
      <c r="I65" s="775"/>
      <c r="J65" s="1944"/>
      <c r="K65" s="1945"/>
      <c r="L65" s="1945"/>
      <c r="M65" s="1945"/>
      <c r="N65" s="1945"/>
      <c r="O65" s="1945"/>
      <c r="P65" s="1945"/>
      <c r="Q65" s="1945"/>
      <c r="R65" s="1945"/>
      <c r="U65" s="1909">
        <f>IF(J67="Rural project, Census Tract is Highest Resource (10 percentage points)",AC58,0)</f>
        <v>0.1</v>
      </c>
    </row>
    <row r="66" spans="1:22" ht="15.05" customHeight="1" thickBot="1">
      <c r="B66" s="543" t="s">
        <v>1758</v>
      </c>
      <c r="C66" s="653">
        <f>Application!AG430-Application!AG431</f>
        <v>60</v>
      </c>
      <c r="D66" s="807"/>
      <c r="E66" s="543" t="s">
        <v>1941</v>
      </c>
      <c r="F66" s="807"/>
      <c r="G66" s="670"/>
      <c r="H66" s="544"/>
      <c r="I66" s="776"/>
      <c r="J66" s="1944"/>
      <c r="K66" s="1945"/>
      <c r="L66" s="1945"/>
      <c r="M66" s="1945"/>
      <c r="N66" s="1945"/>
      <c r="O66" s="1945"/>
      <c r="P66" s="1945"/>
      <c r="Q66" s="1945"/>
      <c r="R66" s="1945"/>
      <c r="U66" s="1910"/>
    </row>
    <row r="67" spans="1:22" ht="15.05" customHeight="1">
      <c r="B67" s="543" t="s">
        <v>1675</v>
      </c>
      <c r="C67" s="654">
        <f>MIN(IF(AND(C65="Yes",G67&gt;=50),(0.75+(G67/200)),1),1.5)</f>
        <v>1.05</v>
      </c>
      <c r="D67" s="544"/>
      <c r="E67" s="543" t="s">
        <v>1759</v>
      </c>
      <c r="G67" s="653">
        <f>C66+G66</f>
        <v>60</v>
      </c>
      <c r="H67" s="544"/>
      <c r="I67" s="776"/>
      <c r="J67" s="1941" t="s">
        <v>1878</v>
      </c>
      <c r="K67" s="1941"/>
      <c r="L67" s="1941"/>
      <c r="M67" s="1941"/>
      <c r="N67" s="1941"/>
      <c r="O67" s="1941"/>
      <c r="P67" s="1941"/>
      <c r="Q67" s="1941"/>
      <c r="R67" s="1941"/>
      <c r="U67" s="1909">
        <f>IF(J67="Rural project, Census Tract is High Resource (5 percentage points)",AC59,0)</f>
        <v>0</v>
      </c>
    </row>
    <row r="68" spans="1:22" ht="15.05" customHeight="1" thickBot="1">
      <c r="B68" s="399"/>
      <c r="C68" s="399"/>
      <c r="D68" s="399"/>
      <c r="E68" s="399"/>
      <c r="F68" s="399"/>
      <c r="G68" s="399"/>
      <c r="H68" s="399"/>
      <c r="I68" s="777"/>
      <c r="J68" s="399"/>
      <c r="K68" s="399"/>
      <c r="L68" s="399"/>
      <c r="M68" s="399"/>
      <c r="N68" s="399"/>
      <c r="O68" s="399"/>
      <c r="P68" s="399"/>
      <c r="Q68" s="399"/>
      <c r="R68" s="399"/>
      <c r="U68" s="1910"/>
    </row>
    <row r="69" spans="1:22" ht="15.05" customHeight="1">
      <c r="U69" s="1913">
        <f>SUM(U61:U68)</f>
        <v>0.1</v>
      </c>
    </row>
    <row r="70" spans="1:22" ht="15.05" customHeight="1" thickBot="1">
      <c r="B70" s="523" t="s">
        <v>1685</v>
      </c>
      <c r="C70" s="523"/>
      <c r="D70" s="523"/>
      <c r="E70" s="523"/>
      <c r="F70" s="523"/>
      <c r="G70" s="523"/>
      <c r="U70" s="1914"/>
      <c r="V70" s="377" t="s">
        <v>1880</v>
      </c>
    </row>
    <row r="71" spans="1:22" ht="15.05" customHeight="1">
      <c r="B71" s="1936" t="s">
        <v>1689</v>
      </c>
      <c r="C71" s="1936"/>
      <c r="D71" s="1936"/>
      <c r="E71" s="523"/>
      <c r="F71" s="523"/>
      <c r="G71" s="533">
        <f>G53*(1-J58)</f>
        <v>4636635</v>
      </c>
      <c r="J71" s="545"/>
      <c r="K71" s="702" t="s">
        <v>1691</v>
      </c>
      <c r="L71" s="702"/>
      <c r="M71" s="702"/>
      <c r="N71" s="702"/>
      <c r="O71" s="702"/>
      <c r="Q71" s="1915">
        <f>'Basis &amp; Credits'!T23+'Basis &amp; Credits'!Y23+'Basis &amp; Credits'!AD23+'Basis &amp; Credits'!AI23</f>
        <v>24783728.355295107</v>
      </c>
      <c r="R71" s="1915"/>
    </row>
    <row r="72" spans="1:22" ht="15.05" customHeight="1">
      <c r="B72" s="1946" t="s">
        <v>1690</v>
      </c>
      <c r="C72" s="1946"/>
      <c r="D72" s="1946"/>
      <c r="E72" s="523"/>
      <c r="F72" s="523"/>
      <c r="G72" s="533">
        <f>G71*C67</f>
        <v>4868466.75</v>
      </c>
      <c r="J72" s="545"/>
      <c r="K72" s="665"/>
      <c r="L72" s="665"/>
      <c r="M72" s="665"/>
      <c r="N72" s="665"/>
      <c r="O72" s="665"/>
      <c r="Q72" s="1922"/>
      <c r="R72" s="1922"/>
    </row>
    <row r="73" spans="1:22" ht="15.05" customHeight="1">
      <c r="B73" s="650"/>
      <c r="C73" s="651"/>
      <c r="D73" s="539"/>
      <c r="E73" s="523"/>
      <c r="F73" s="523"/>
      <c r="G73" s="388"/>
      <c r="J73" s="545"/>
    </row>
    <row r="74" spans="1:22" ht="15.05" customHeight="1" thickBot="1">
      <c r="B74" s="523"/>
      <c r="C74" s="523"/>
      <c r="D74" s="523"/>
      <c r="E74" s="523"/>
      <c r="F74" s="523"/>
      <c r="G74" s="523"/>
    </row>
    <row r="75" spans="1:22" ht="15.05" customHeight="1">
      <c r="A75" s="536"/>
      <c r="B75" s="1947">
        <f>$G$72</f>
        <v>4868466.75</v>
      </c>
      <c r="C75" s="1948"/>
      <c r="D75" s="1948"/>
      <c r="E75" s="1948"/>
      <c r="F75" s="1948"/>
      <c r="G75" s="1948"/>
      <c r="H75" s="546"/>
      <c r="I75" s="1927" t="s">
        <v>149</v>
      </c>
      <c r="J75" s="1928" t="s">
        <v>1036</v>
      </c>
      <c r="K75" s="1927">
        <v>1</v>
      </c>
      <c r="M75" s="399"/>
      <c r="N75" s="525"/>
      <c r="O75" s="672">
        <f>$Q$71</f>
        <v>24783728.355295107</v>
      </c>
      <c r="P75" s="1928" t="s">
        <v>2039</v>
      </c>
      <c r="Q75" s="1949" t="s">
        <v>148</v>
      </c>
      <c r="R75" s="1911">
        <f>((B75/B76)+((1-(O75/O76))/2))+U69</f>
        <v>0.32355443328512312</v>
      </c>
    </row>
    <row r="76" spans="1:22" ht="15.05" customHeight="1" thickBot="1">
      <c r="B76" s="1950">
        <f>'Sources and Uses Budget'!$C$104+$Q$46-($E$50+$E$51)*(1-$J$58)</f>
        <v>27214751.594866805</v>
      </c>
      <c r="C76" s="1951"/>
      <c r="D76" s="1951"/>
      <c r="E76" s="1951"/>
      <c r="F76" s="1951"/>
      <c r="G76" s="1950"/>
      <c r="I76" s="1927"/>
      <c r="J76" s="1928"/>
      <c r="K76" s="1927"/>
      <c r="M76" s="663"/>
      <c r="O76" s="671">
        <f>B76</f>
        <v>27214751.594866805</v>
      </c>
      <c r="P76" s="1928"/>
      <c r="Q76" s="1949"/>
      <c r="R76" s="1912"/>
    </row>
    <row r="77" spans="1:22" ht="15.05" customHeight="1">
      <c r="B77" s="399"/>
      <c r="C77" s="399"/>
      <c r="D77" s="399"/>
      <c r="E77" s="399"/>
      <c r="F77" s="399"/>
      <c r="G77" s="399"/>
      <c r="H77" s="399"/>
      <c r="I77" s="399"/>
      <c r="J77" s="399"/>
      <c r="K77" s="399"/>
      <c r="L77" s="399"/>
      <c r="M77" s="399"/>
      <c r="N77" s="399"/>
      <c r="O77" s="399"/>
      <c r="P77" s="399"/>
      <c r="Q77" s="399"/>
    </row>
    <row r="79" spans="1:22" ht="15.05" customHeight="1">
      <c r="B79" s="701" t="s">
        <v>1684</v>
      </c>
      <c r="C79" s="380"/>
      <c r="D79" s="380"/>
      <c r="E79" s="380"/>
      <c r="F79" s="380"/>
      <c r="G79" s="380"/>
      <c r="H79" s="380"/>
      <c r="I79" s="380"/>
      <c r="J79" s="380"/>
      <c r="K79" s="380"/>
      <c r="L79" s="380"/>
      <c r="M79" s="380"/>
      <c r="N79" s="380"/>
      <c r="O79" s="380"/>
      <c r="P79" s="380"/>
      <c r="Q79" s="380"/>
      <c r="R79" s="380"/>
    </row>
    <row r="80" spans="1:22" ht="15.05" customHeight="1">
      <c r="C80" s="701"/>
      <c r="D80" s="701"/>
      <c r="E80" s="701"/>
      <c r="F80" s="701"/>
      <c r="G80" s="701"/>
      <c r="H80" s="701"/>
      <c r="I80" s="701"/>
      <c r="J80" s="701"/>
      <c r="K80" s="701"/>
      <c r="L80" s="701"/>
      <c r="M80" s="701"/>
      <c r="N80" s="701"/>
      <c r="O80" s="701"/>
    </row>
    <row r="81" spans="2:18" ht="15.05" customHeight="1">
      <c r="B81" s="387" t="s">
        <v>1932</v>
      </c>
      <c r="C81" s="666"/>
      <c r="D81" s="666"/>
      <c r="E81" s="666"/>
      <c r="F81" s="666"/>
      <c r="H81" s="666"/>
      <c r="I81" s="534"/>
      <c r="J81" s="666"/>
      <c r="K81" s="387" t="s">
        <v>1933</v>
      </c>
      <c r="L81" s="666"/>
      <c r="M81" s="666"/>
      <c r="N81" s="666"/>
      <c r="O81" s="666"/>
    </row>
    <row r="82" spans="2:18" ht="15.05" customHeight="1">
      <c r="B82" s="791" t="s">
        <v>1885</v>
      </c>
      <c r="C82" s="783"/>
      <c r="D82" s="778"/>
      <c r="E82" s="783"/>
      <c r="F82" s="783"/>
      <c r="G82" s="784"/>
      <c r="I82" s="534"/>
    </row>
    <row r="83" spans="2:18" ht="15.05" customHeight="1">
      <c r="B83" s="789" t="s">
        <v>1888</v>
      </c>
      <c r="C83" s="783"/>
      <c r="D83" s="783"/>
      <c r="E83" s="781"/>
      <c r="F83" s="781"/>
      <c r="G83" s="784"/>
      <c r="I83" s="534"/>
      <c r="K83" s="772" t="s">
        <v>1760</v>
      </c>
    </row>
    <row r="84" spans="2:18" ht="15.05" customHeight="1">
      <c r="B84" s="790" t="s">
        <v>2251</v>
      </c>
      <c r="C84" s="785"/>
      <c r="D84" s="785"/>
      <c r="E84" s="779"/>
      <c r="F84" s="779"/>
      <c r="G84" s="786"/>
      <c r="I84" s="534"/>
      <c r="K84" s="772" t="s">
        <v>1698</v>
      </c>
      <c r="L84" s="666"/>
      <c r="M84" s="666"/>
      <c r="N84" s="666"/>
      <c r="O84" s="666"/>
      <c r="P84" s="666"/>
      <c r="Q84" s="1917"/>
      <c r="R84" s="1917"/>
    </row>
    <row r="85" spans="2:18" ht="15.05" customHeight="1">
      <c r="B85" s="790" t="s">
        <v>1884</v>
      </c>
      <c r="C85" s="787"/>
      <c r="D85" s="787"/>
      <c r="E85" s="782"/>
      <c r="F85" s="782"/>
      <c r="G85" s="788"/>
      <c r="I85" s="534"/>
      <c r="L85" s="699"/>
      <c r="M85" s="699"/>
      <c r="N85" s="699"/>
      <c r="O85" s="699"/>
      <c r="P85" s="699"/>
    </row>
    <row r="86" spans="2:18" ht="15.05" customHeight="1">
      <c r="B86" s="791" t="s">
        <v>1952</v>
      </c>
      <c r="C86" s="785"/>
      <c r="D86" s="785"/>
      <c r="E86" s="779"/>
      <c r="F86" s="779"/>
      <c r="G86" s="780"/>
      <c r="I86" s="534"/>
      <c r="L86" s="700"/>
      <c r="M86" s="700"/>
      <c r="N86" s="700"/>
      <c r="O86" s="808" t="s">
        <v>1061</v>
      </c>
      <c r="P86" s="700"/>
    </row>
    <row r="87" spans="2:18" ht="15.05" customHeight="1">
      <c r="B87" s="791" t="s">
        <v>2025</v>
      </c>
      <c r="C87" s="787"/>
      <c r="D87" s="778"/>
      <c r="E87" s="783"/>
      <c r="F87" s="783"/>
      <c r="G87" s="812"/>
      <c r="I87" s="534"/>
    </row>
    <row r="88" spans="2:18" ht="15.05" customHeight="1">
      <c r="B88" s="809"/>
      <c r="C88" s="810"/>
      <c r="D88" s="810"/>
      <c r="E88" s="811" t="s">
        <v>1883</v>
      </c>
      <c r="F88" s="781"/>
      <c r="G88" s="781" t="s">
        <v>1037</v>
      </c>
      <c r="I88" s="534"/>
      <c r="K88" s="773" t="s">
        <v>1697</v>
      </c>
      <c r="L88" s="666"/>
      <c r="M88" s="666"/>
      <c r="N88" s="666"/>
      <c r="O88" s="666"/>
      <c r="P88" s="666"/>
    </row>
    <row r="89" spans="2:18" ht="15.05" customHeight="1">
      <c r="B89" s="547" t="s">
        <v>1030</v>
      </c>
      <c r="C89" s="548" t="s">
        <v>1031</v>
      </c>
      <c r="D89" s="792" t="s">
        <v>1886</v>
      </c>
      <c r="E89" s="792" t="s">
        <v>1953</v>
      </c>
      <c r="F89" s="526"/>
      <c r="G89" s="526" t="s">
        <v>1887</v>
      </c>
      <c r="I89" s="534"/>
      <c r="K89" s="773" t="s">
        <v>1699</v>
      </c>
      <c r="L89" s="699"/>
      <c r="M89" s="699"/>
      <c r="N89" s="699"/>
      <c r="O89" s="699"/>
      <c r="P89" s="699"/>
      <c r="Q89" s="1917"/>
      <c r="R89" s="1917"/>
    </row>
    <row r="90" spans="2:18" ht="15.05" customHeight="1">
      <c r="B90" s="511" t="s">
        <v>651</v>
      </c>
      <c r="C90" s="512"/>
      <c r="D90" s="513"/>
      <c r="E90" s="513"/>
      <c r="F90" s="555"/>
      <c r="G90" s="388">
        <f>MAX(($E90-$D90)*$C90*12,0)</f>
        <v>0</v>
      </c>
      <c r="I90" s="534"/>
      <c r="K90" s="773" t="s">
        <v>1700</v>
      </c>
      <c r="L90" s="699"/>
      <c r="M90" s="699"/>
      <c r="N90" s="699"/>
      <c r="O90" s="699"/>
      <c r="P90" s="699"/>
      <c r="Q90" s="1952"/>
      <c r="R90" s="1952"/>
    </row>
    <row r="91" spans="2:18" ht="15.05" customHeight="1">
      <c r="B91" s="511" t="s">
        <v>651</v>
      </c>
      <c r="C91" s="512"/>
      <c r="D91" s="513"/>
      <c r="E91" s="513"/>
      <c r="F91" s="555"/>
      <c r="G91" s="388">
        <f t="shared" ref="G91:G97" si="0">MAX(($E91-$D91)*$C91*12,0)</f>
        <v>0</v>
      </c>
      <c r="I91" s="534"/>
      <c r="K91" s="773" t="s">
        <v>1703</v>
      </c>
      <c r="L91" s="699"/>
      <c r="M91" s="699"/>
      <c r="N91" s="699"/>
      <c r="O91" s="699"/>
      <c r="P91" s="699"/>
      <c r="Q91" s="1920">
        <f>IFERROR(Q89/Q90,0)</f>
        <v>0</v>
      </c>
      <c r="R91" s="1920"/>
    </row>
    <row r="92" spans="2:18" ht="15.05" customHeight="1">
      <c r="B92" s="511" t="s">
        <v>651</v>
      </c>
      <c r="C92" s="512"/>
      <c r="D92" s="513"/>
      <c r="E92" s="513"/>
      <c r="F92" s="555"/>
      <c r="G92" s="388">
        <f t="shared" si="0"/>
        <v>0</v>
      </c>
      <c r="I92" s="534"/>
    </row>
    <row r="93" spans="2:18" ht="15.05" customHeight="1">
      <c r="B93" s="511" t="s">
        <v>651</v>
      </c>
      <c r="C93" s="512"/>
      <c r="D93" s="513"/>
      <c r="E93" s="513"/>
      <c r="F93" s="555"/>
      <c r="G93" s="388">
        <f t="shared" si="0"/>
        <v>0</v>
      </c>
      <c r="I93" s="534"/>
      <c r="K93" s="380" t="s">
        <v>1704</v>
      </c>
      <c r="L93" s="543"/>
      <c r="M93" s="543"/>
      <c r="N93" s="543"/>
      <c r="O93" s="543"/>
      <c r="P93" s="543"/>
      <c r="Q93" s="1915">
        <f>MAX(Q84,Q91)</f>
        <v>0</v>
      </c>
      <c r="R93" s="1915"/>
    </row>
    <row r="94" spans="2:18" ht="15.05" customHeight="1">
      <c r="B94" s="511" t="s">
        <v>651</v>
      </c>
      <c r="C94" s="512"/>
      <c r="D94" s="513"/>
      <c r="E94" s="513"/>
      <c r="F94" s="555"/>
      <c r="G94" s="388">
        <f t="shared" si="0"/>
        <v>0</v>
      </c>
      <c r="I94" s="534"/>
      <c r="K94" s="380"/>
      <c r="L94" s="543"/>
      <c r="M94" s="543"/>
      <c r="N94" s="543"/>
      <c r="O94" s="543"/>
      <c r="P94" s="543"/>
      <c r="Q94" s="535"/>
      <c r="R94" s="535"/>
    </row>
    <row r="95" spans="2:18" ht="15.05" customHeight="1">
      <c r="B95" s="511" t="s">
        <v>651</v>
      </c>
      <c r="C95" s="512"/>
      <c r="D95" s="513"/>
      <c r="E95" s="513"/>
      <c r="F95" s="555"/>
      <c r="G95" s="388">
        <f t="shared" si="0"/>
        <v>0</v>
      </c>
      <c r="I95" s="534"/>
      <c r="K95" s="380"/>
      <c r="L95" s="543"/>
      <c r="M95" s="543"/>
      <c r="N95" s="543"/>
      <c r="O95" s="543"/>
      <c r="P95" s="543"/>
      <c r="Q95" s="535"/>
      <c r="R95" s="535"/>
    </row>
    <row r="96" spans="2:18" ht="15.05" customHeight="1">
      <c r="B96" s="511" t="s">
        <v>651</v>
      </c>
      <c r="C96" s="512"/>
      <c r="D96" s="513"/>
      <c r="E96" s="513"/>
      <c r="F96" s="555"/>
      <c r="G96" s="388">
        <f t="shared" si="0"/>
        <v>0</v>
      </c>
      <c r="I96" s="534"/>
    </row>
    <row r="97" spans="2:9" ht="15.05" customHeight="1">
      <c r="B97" s="511" t="s">
        <v>651</v>
      </c>
      <c r="C97" s="512"/>
      <c r="D97" s="513"/>
      <c r="E97" s="513"/>
      <c r="F97" s="555"/>
      <c r="G97" s="388">
        <f t="shared" si="0"/>
        <v>0</v>
      </c>
      <c r="I97" s="534"/>
    </row>
    <row r="98" spans="2:9" ht="15.05" customHeight="1">
      <c r="C98" s="550"/>
      <c r="D98" s="380"/>
      <c r="E98" s="543" t="s">
        <v>1794</v>
      </c>
      <c r="F98" s="543"/>
      <c r="G98" s="539">
        <f>SUM(G90:G97)</f>
        <v>0</v>
      </c>
      <c r="I98" s="534"/>
    </row>
    <row r="99" spans="2:9" ht="15.05" customHeight="1">
      <c r="I99" s="534"/>
    </row>
    <row r="100" spans="2:9" ht="15.05" customHeight="1">
      <c r="B100" s="380" t="s">
        <v>1701</v>
      </c>
      <c r="D100" s="535">
        <f>G98+Q93</f>
        <v>0</v>
      </c>
      <c r="I100" s="534"/>
    </row>
    <row r="101" spans="2:9" ht="15.05" customHeight="1">
      <c r="B101" s="380" t="s">
        <v>1032</v>
      </c>
      <c r="D101" s="551">
        <v>0.05</v>
      </c>
      <c r="I101" s="534"/>
    </row>
    <row r="102" spans="2:9" ht="15.05" customHeight="1">
      <c r="B102" s="380" t="s">
        <v>1062</v>
      </c>
      <c r="D102" s="535">
        <f>D100-(D100*D101)</f>
        <v>0</v>
      </c>
    </row>
    <row r="103" spans="2:9" ht="15.05" customHeight="1">
      <c r="B103" s="380" t="s">
        <v>1693</v>
      </c>
      <c r="D103" s="552"/>
    </row>
    <row r="104" spans="2:9" ht="15.05" customHeight="1">
      <c r="B104" s="380" t="s">
        <v>1702</v>
      </c>
      <c r="D104" s="535">
        <f>D102/D108</f>
        <v>0</v>
      </c>
    </row>
    <row r="106" spans="2:9" ht="15.05" customHeight="1">
      <c r="B106" s="380" t="s">
        <v>1694</v>
      </c>
      <c r="D106" s="380">
        <v>15</v>
      </c>
    </row>
    <row r="107" spans="2:9" ht="15.05" customHeight="1">
      <c r="B107" s="380" t="s">
        <v>1695</v>
      </c>
      <c r="D107" s="658">
        <v>0.04</v>
      </c>
    </row>
    <row r="108" spans="2:9" ht="15.05" customHeight="1">
      <c r="B108" s="380" t="s">
        <v>1137</v>
      </c>
      <c r="D108" s="553">
        <v>1.1499999999999999</v>
      </c>
    </row>
    <row r="109" spans="2:9" ht="15.05" customHeight="1">
      <c r="B109" s="380"/>
      <c r="C109" s="380"/>
      <c r="D109" s="554"/>
      <c r="E109" s="554"/>
      <c r="F109" s="554"/>
    </row>
    <row r="110" spans="2:9" ht="15.05" customHeight="1">
      <c r="B110" s="380" t="s">
        <v>1696</v>
      </c>
      <c r="C110" s="380"/>
      <c r="D110" s="652">
        <f>PV(D107/12,D106*12,-D104/12, ,0)</f>
        <v>0</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topLeftCell="A50" workbookViewId="0">
      <selection activeCell="I5" sqref="I5"/>
    </sheetView>
  </sheetViews>
  <sheetFormatPr defaultColWidth="0" defaultRowHeight="12.45" zeroHeight="1"/>
  <cols>
    <col min="1" max="1" width="3.625" customWidth="1"/>
    <col min="2" max="2" width="31.375" customWidth="1"/>
    <col min="3" max="3" width="9.375" customWidth="1"/>
    <col min="4" max="4" width="2.625" customWidth="1"/>
    <col min="5" max="5" width="12.625" customWidth="1"/>
    <col min="6" max="6" width="2.625" customWidth="1"/>
    <col min="7" max="7" width="12.625" customWidth="1"/>
    <col min="8" max="8" width="2.625" customWidth="1"/>
    <col min="9" max="9" width="12.625" customWidth="1"/>
    <col min="10" max="10" width="2.625" customWidth="1"/>
    <col min="11" max="11" width="12.625" customWidth="1"/>
    <col min="12" max="12" width="2.625" customWidth="1"/>
    <col min="13" max="13" width="12.625" customWidth="1"/>
    <col min="14" max="14" width="2.625" customWidth="1"/>
    <col min="15" max="15" width="12.625" customWidth="1"/>
    <col min="16" max="16" width="2.625" customWidth="1"/>
    <col min="17" max="17" width="12.625" customWidth="1"/>
    <col min="18" max="18" width="2.625" customWidth="1"/>
    <col min="19" max="19" width="12.625" customWidth="1"/>
    <col min="20" max="20" width="2.625" customWidth="1"/>
    <col min="21" max="21" width="12.625" customWidth="1"/>
    <col min="22" max="22" width="2.625" customWidth="1"/>
    <col min="23" max="23" width="12.625" customWidth="1"/>
    <col min="24" max="24" width="2.625" customWidth="1"/>
    <col min="25" max="25" width="12.625" customWidth="1"/>
    <col min="26" max="26" width="2.625" customWidth="1"/>
    <col min="27" max="27" width="12.625" customWidth="1"/>
    <col min="28" max="28" width="2.625" customWidth="1"/>
    <col min="29" max="29" width="12.625" customWidth="1"/>
    <col min="30" max="30" width="2.625" customWidth="1"/>
    <col min="31" max="31" width="12.625" customWidth="1"/>
    <col min="32" max="32" width="2.625" customWidth="1"/>
    <col min="33" max="33" width="12.625" customWidth="1"/>
    <col min="34" max="34" width="2.625" customWidth="1"/>
  </cols>
  <sheetData>
    <row r="1" spans="1:34" ht="17.7">
      <c r="A1" s="381" t="s">
        <v>2253</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05">
      <c r="A3" s="382" t="s">
        <v>1103</v>
      </c>
      <c r="B3" s="382"/>
      <c r="C3" s="408" t="s">
        <v>1104</v>
      </c>
      <c r="D3" s="383"/>
      <c r="E3" s="409" t="s">
        <v>1105</v>
      </c>
      <c r="F3" s="379"/>
      <c r="G3" s="409" t="s">
        <v>1106</v>
      </c>
      <c r="H3" s="379"/>
      <c r="I3" s="409" t="s">
        <v>1107</v>
      </c>
      <c r="J3" s="379"/>
      <c r="K3" s="409" t="s">
        <v>1108</v>
      </c>
      <c r="L3" s="379"/>
      <c r="M3" s="409" t="s">
        <v>1109</v>
      </c>
      <c r="N3" s="379"/>
      <c r="O3" s="409" t="s">
        <v>1110</v>
      </c>
      <c r="P3" s="379"/>
      <c r="Q3" s="409" t="s">
        <v>1111</v>
      </c>
      <c r="R3" s="379"/>
      <c r="S3" s="409" t="s">
        <v>1112</v>
      </c>
      <c r="T3" s="379"/>
      <c r="U3" s="409" t="s">
        <v>1113</v>
      </c>
      <c r="V3" s="379"/>
      <c r="W3" s="409" t="s">
        <v>1114</v>
      </c>
      <c r="X3" s="379"/>
      <c r="Y3" s="409" t="s">
        <v>1115</v>
      </c>
      <c r="Z3" s="379"/>
      <c r="AA3" s="409" t="s">
        <v>1116</v>
      </c>
      <c r="AB3" s="379"/>
      <c r="AC3" s="409" t="s">
        <v>1117</v>
      </c>
      <c r="AD3" s="379"/>
      <c r="AE3" s="409" t="s">
        <v>1118</v>
      </c>
      <c r="AF3" s="379"/>
      <c r="AG3" s="409" t="s">
        <v>1119</v>
      </c>
      <c r="AH3" s="383"/>
    </row>
    <row r="4" spans="1:34" ht="14.4">
      <c r="A4" s="388" t="s">
        <v>1120</v>
      </c>
      <c r="B4" s="388"/>
      <c r="C4" s="411">
        <v>1.0249999999999999</v>
      </c>
      <c r="D4" s="388"/>
      <c r="E4" s="388">
        <f>Application!Y765</f>
        <v>498576</v>
      </c>
      <c r="F4" s="388"/>
      <c r="G4" s="388">
        <f>E4*$C$4</f>
        <v>511040.39999999997</v>
      </c>
      <c r="H4" s="388"/>
      <c r="I4" s="388">
        <f>G4*$C$4</f>
        <v>523816.40999999992</v>
      </c>
      <c r="J4" s="388"/>
      <c r="K4" s="388">
        <f>I4*$C$4</f>
        <v>536911.82024999987</v>
      </c>
      <c r="L4" s="388"/>
      <c r="M4" s="388">
        <f>K4*$C$4</f>
        <v>550334.61575624987</v>
      </c>
      <c r="N4" s="388"/>
      <c r="O4" s="388">
        <f>M4*$C$4</f>
        <v>564092.98115015612</v>
      </c>
      <c r="P4" s="388"/>
      <c r="Q4" s="388">
        <f>O4*$C$4</f>
        <v>578195.30567890999</v>
      </c>
      <c r="R4" s="388"/>
      <c r="S4" s="388">
        <f>Q4*$C$4</f>
        <v>592650.18832088273</v>
      </c>
      <c r="T4" s="388"/>
      <c r="U4" s="388">
        <f>S4*$C$4</f>
        <v>607466.44302890473</v>
      </c>
      <c r="V4" s="388"/>
      <c r="W4" s="388">
        <f>U4*$C$4</f>
        <v>622653.10410462727</v>
      </c>
      <c r="X4" s="388"/>
      <c r="Y4" s="388">
        <f>W4*$C$4</f>
        <v>638219.43170724285</v>
      </c>
      <c r="Z4" s="388"/>
      <c r="AA4" s="388">
        <f>Y4*$C$4</f>
        <v>654174.91749992385</v>
      </c>
      <c r="AB4" s="388"/>
      <c r="AC4" s="388">
        <f>AA4*$C$4</f>
        <v>670529.29043742188</v>
      </c>
      <c r="AD4" s="388"/>
      <c r="AE4" s="388">
        <f>AC4*$C$4</f>
        <v>687292.52269835735</v>
      </c>
      <c r="AF4" s="388"/>
      <c r="AG4" s="388">
        <f>AE4*$C$4</f>
        <v>704474.83576581627</v>
      </c>
      <c r="AH4" s="388"/>
    </row>
    <row r="5" spans="1:34" ht="14.4">
      <c r="A5" s="380"/>
      <c r="B5" s="380" t="s">
        <v>1032</v>
      </c>
      <c r="C5" s="412">
        <f>IF(Application!$D$214="Special Needs",0.1,0.05)</f>
        <v>0.05</v>
      </c>
      <c r="D5" s="380"/>
      <c r="E5" s="390">
        <f>-E4*$C$5</f>
        <v>-24928.800000000003</v>
      </c>
      <c r="F5" s="390"/>
      <c r="G5" s="390">
        <f>-G4*$C$5</f>
        <v>-25552.02</v>
      </c>
      <c r="H5" s="390"/>
      <c r="I5" s="390">
        <f>-I4*$C$5</f>
        <v>-26190.820499999998</v>
      </c>
      <c r="J5" s="390"/>
      <c r="K5" s="390">
        <f>-K4*$C$5</f>
        <v>-26845.591012499994</v>
      </c>
      <c r="L5" s="390"/>
      <c r="M5" s="390">
        <f>-M4*$C$5</f>
        <v>-27516.730787812496</v>
      </c>
      <c r="N5" s="390"/>
      <c r="O5" s="390">
        <f>-O4*$C$5</f>
        <v>-28204.649057507806</v>
      </c>
      <c r="P5" s="390"/>
      <c r="Q5" s="390">
        <f>-Q4*$C$5</f>
        <v>-28909.7652839455</v>
      </c>
      <c r="R5" s="390"/>
      <c r="S5" s="390">
        <f>-S4*$C$5</f>
        <v>-29632.509416044137</v>
      </c>
      <c r="T5" s="390"/>
      <c r="U5" s="390">
        <f>-U4*$C$5</f>
        <v>-30373.322151445238</v>
      </c>
      <c r="V5" s="390"/>
      <c r="W5" s="390">
        <f>-W4*$C$5</f>
        <v>-31132.655205231364</v>
      </c>
      <c r="X5" s="390"/>
      <c r="Y5" s="390">
        <f>-Y4*$C$5</f>
        <v>-31910.971585362146</v>
      </c>
      <c r="Z5" s="390"/>
      <c r="AA5" s="390">
        <f>-AA4*$C$5</f>
        <v>-32708.745874996195</v>
      </c>
      <c r="AB5" s="390"/>
      <c r="AC5" s="390">
        <f>-AC4*$C$5</f>
        <v>-33526.464521871094</v>
      </c>
      <c r="AD5" s="390"/>
      <c r="AE5" s="390">
        <f>-AE4*$C$5</f>
        <v>-34364.626134917868</v>
      </c>
      <c r="AF5" s="390"/>
      <c r="AG5" s="390">
        <f>-AG4*$C$5</f>
        <v>-35223.741788290812</v>
      </c>
      <c r="AH5" s="380"/>
    </row>
    <row r="6" spans="1:34" ht="14.4">
      <c r="A6" s="380" t="s">
        <v>1121</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4">
      <c r="A7" s="380"/>
      <c r="B7" s="380" t="s">
        <v>1032</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4">
      <c r="A8" s="380" t="s">
        <v>276</v>
      </c>
      <c r="B8" s="380"/>
      <c r="C8" s="411">
        <v>1.0249999999999999</v>
      </c>
      <c r="D8" s="380"/>
      <c r="E8" s="391">
        <f>Application!Z781</f>
        <v>14400</v>
      </c>
      <c r="F8" s="391"/>
      <c r="G8" s="391">
        <f>E8*$C$8</f>
        <v>14759.999999999998</v>
      </c>
      <c r="H8" s="391"/>
      <c r="I8" s="391">
        <f>G8*$C$8</f>
        <v>15128.999999999996</v>
      </c>
      <c r="J8" s="391"/>
      <c r="K8" s="391">
        <f>I8*$C$8</f>
        <v>15507.224999999995</v>
      </c>
      <c r="L8" s="391"/>
      <c r="M8" s="391">
        <f>K8*$C$8</f>
        <v>15894.905624999994</v>
      </c>
      <c r="N8" s="391"/>
      <c r="O8" s="391">
        <f>M8*$C$8</f>
        <v>16292.278265624993</v>
      </c>
      <c r="P8" s="391"/>
      <c r="Q8" s="391">
        <f>O8*$C$8</f>
        <v>16699.585222265618</v>
      </c>
      <c r="R8" s="391"/>
      <c r="S8" s="391">
        <f>Q8*$C$8</f>
        <v>17117.074852822258</v>
      </c>
      <c r="T8" s="391"/>
      <c r="U8" s="391">
        <f>S8*$C$8</f>
        <v>17545.001724142814</v>
      </c>
      <c r="V8" s="391"/>
      <c r="W8" s="391">
        <f>U8*$C$8</f>
        <v>17983.626767246384</v>
      </c>
      <c r="X8" s="391"/>
      <c r="Y8" s="391">
        <f>W8*$C$8</f>
        <v>18433.217436427542</v>
      </c>
      <c r="Z8" s="391"/>
      <c r="AA8" s="391">
        <f>Y8*$C$8</f>
        <v>18894.047872338229</v>
      </c>
      <c r="AB8" s="391"/>
      <c r="AC8" s="391">
        <f>AA8*$C$8</f>
        <v>19366.399069146682</v>
      </c>
      <c r="AD8" s="391"/>
      <c r="AE8" s="391">
        <f>AC8*$C$8</f>
        <v>19850.559045875347</v>
      </c>
      <c r="AF8" s="391"/>
      <c r="AG8" s="391">
        <f>AE8*$C$8</f>
        <v>20346.823022022229</v>
      </c>
      <c r="AH8" s="380"/>
    </row>
    <row r="9" spans="1:34" ht="14.4">
      <c r="A9" s="380"/>
      <c r="B9" s="380" t="s">
        <v>1032</v>
      </c>
      <c r="C9" s="412">
        <f>IF(Application!$D$214="Special Needs",0.1,0.05)</f>
        <v>0.05</v>
      </c>
      <c r="D9" s="380"/>
      <c r="E9" s="390">
        <f>-E8*$C$9</f>
        <v>-720</v>
      </c>
      <c r="F9" s="390"/>
      <c r="G9" s="390">
        <f>-G8*$C$9</f>
        <v>-738</v>
      </c>
      <c r="H9" s="390"/>
      <c r="I9" s="390">
        <f>-I8*$C$9</f>
        <v>-756.44999999999982</v>
      </c>
      <c r="J9" s="390"/>
      <c r="K9" s="390">
        <f>-K8*$C$9</f>
        <v>-775.36124999999981</v>
      </c>
      <c r="L9" s="390"/>
      <c r="M9" s="390">
        <f>-M8*$C$9</f>
        <v>-794.74528124999972</v>
      </c>
      <c r="N9" s="390"/>
      <c r="O9" s="390">
        <f>-O8*$C$9</f>
        <v>-814.61391328124967</v>
      </c>
      <c r="P9" s="390"/>
      <c r="Q9" s="390">
        <f>-Q8*$C$9</f>
        <v>-834.97926111328093</v>
      </c>
      <c r="R9" s="390"/>
      <c r="S9" s="390">
        <f>-S8*$C$9</f>
        <v>-855.85374264111294</v>
      </c>
      <c r="T9" s="390"/>
      <c r="U9" s="390">
        <f>-U8*$C$9</f>
        <v>-877.25008620714073</v>
      </c>
      <c r="V9" s="390"/>
      <c r="W9" s="390">
        <f>-W8*$C$9</f>
        <v>-899.18133836231925</v>
      </c>
      <c r="X9" s="390"/>
      <c r="Y9" s="390">
        <f>-Y8*$C$9</f>
        <v>-921.6608718213771</v>
      </c>
      <c r="Z9" s="390"/>
      <c r="AA9" s="390">
        <f>-AA8*$C$9</f>
        <v>-944.70239361691154</v>
      </c>
      <c r="AB9" s="390"/>
      <c r="AC9" s="390">
        <f>-AC8*$C$9</f>
        <v>-968.31995345733412</v>
      </c>
      <c r="AD9" s="390"/>
      <c r="AE9" s="390">
        <f>-AE8*$C$9</f>
        <v>-992.52795229376738</v>
      </c>
      <c r="AF9" s="390"/>
      <c r="AG9" s="390">
        <f>-AG8*$C$9</f>
        <v>-1017.3411511011114</v>
      </c>
      <c r="AH9" s="380"/>
    </row>
    <row r="10" spans="1:34" ht="14.4">
      <c r="A10" s="955" t="s">
        <v>2203</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4.4">
      <c r="A11" s="392" t="s">
        <v>1122</v>
      </c>
      <c r="B11" s="392"/>
      <c r="C11" s="385"/>
      <c r="D11" s="392"/>
      <c r="E11" s="392">
        <f>SUM(E4:E10)</f>
        <v>487327.2</v>
      </c>
      <c r="F11" s="392"/>
      <c r="G11" s="392">
        <f>SUM(G4:G10)</f>
        <v>499510.37999999995</v>
      </c>
      <c r="H11" s="392"/>
      <c r="I11" s="392">
        <f>SUM(I4:I10)</f>
        <v>511998.13949999993</v>
      </c>
      <c r="J11" s="392"/>
      <c r="K11" s="392">
        <f>SUM(K4:K10)</f>
        <v>524798.0929874999</v>
      </c>
      <c r="L11" s="392"/>
      <c r="M11" s="392">
        <f>SUM(M4:M10)</f>
        <v>537918.0453121874</v>
      </c>
      <c r="N11" s="392"/>
      <c r="O11" s="392">
        <f>SUM(O4:O10)</f>
        <v>551365.99644499214</v>
      </c>
      <c r="P11" s="392"/>
      <c r="Q11" s="392">
        <f>SUM(Q4:Q10)</f>
        <v>565150.14635611675</v>
      </c>
      <c r="R11" s="392"/>
      <c r="S11" s="392">
        <f>SUM(S4:S10)</f>
        <v>579278.9000150197</v>
      </c>
      <c r="T11" s="392"/>
      <c r="U11" s="392">
        <f>SUM(U4:U10)</f>
        <v>593760.87251539517</v>
      </c>
      <c r="V11" s="392"/>
      <c r="W11" s="392">
        <f>SUM(W4:W10)</f>
        <v>608604.89432828</v>
      </c>
      <c r="X11" s="392"/>
      <c r="Y11" s="392">
        <f>SUM(Y4:Y10)</f>
        <v>623820.0166864869</v>
      </c>
      <c r="Z11" s="392"/>
      <c r="AA11" s="392">
        <f>SUM(AA4:AA10)</f>
        <v>639415.51710364898</v>
      </c>
      <c r="AB11" s="392"/>
      <c r="AC11" s="392">
        <f>SUM(AC4:AC10)</f>
        <v>655400.9050312402</v>
      </c>
      <c r="AD11" s="392"/>
      <c r="AE11" s="392">
        <f>SUM(AE4:AE10)</f>
        <v>671785.92765702109</v>
      </c>
      <c r="AF11" s="392"/>
      <c r="AG11" s="392">
        <f>SUM(AG4:AG10)</f>
        <v>688580.57584844658</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05">
      <c r="A13" s="382" t="s">
        <v>1123</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4">
      <c r="A14" s="380" t="s">
        <v>1124</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4">
      <c r="A15" s="388" t="s">
        <v>1125</v>
      </c>
      <c r="B15" s="388"/>
      <c r="C15" s="403"/>
      <c r="D15" s="388"/>
      <c r="E15" s="388">
        <f>Application!W811</f>
        <v>30000</v>
      </c>
      <c r="F15" s="388"/>
      <c r="G15" s="388">
        <f t="shared" ref="G15:G21" si="0">E15*$C$14</f>
        <v>31049.999999999996</v>
      </c>
      <c r="H15" s="388"/>
      <c r="I15" s="388">
        <f t="shared" ref="I15:I21" si="1">G15*$C$14</f>
        <v>32136.749999999993</v>
      </c>
      <c r="J15" s="388"/>
      <c r="K15" s="388">
        <f t="shared" ref="K15:K21" si="2">I15*$C$14</f>
        <v>33261.53624999999</v>
      </c>
      <c r="L15" s="388"/>
      <c r="M15" s="388">
        <f t="shared" ref="M15:M21" si="3">K15*$C$14</f>
        <v>34425.690018749985</v>
      </c>
      <c r="N15" s="388"/>
      <c r="O15" s="388">
        <f t="shared" ref="O15:O21" si="4">M15*$C$14</f>
        <v>35630.58916940623</v>
      </c>
      <c r="P15" s="388"/>
      <c r="Q15" s="388">
        <f t="shared" ref="Q15:Q21" si="5">O15*$C$14</f>
        <v>36877.659790335449</v>
      </c>
      <c r="R15" s="388"/>
      <c r="S15" s="388">
        <f t="shared" ref="S15:S21" si="6">Q15*$C$14</f>
        <v>38168.377882997185</v>
      </c>
      <c r="T15" s="388"/>
      <c r="U15" s="388">
        <f t="shared" ref="U15:U21" si="7">S15*$C$14</f>
        <v>39504.271108902081</v>
      </c>
      <c r="V15" s="388"/>
      <c r="W15" s="388">
        <f t="shared" ref="W15:W21" si="8">U15*$C$14</f>
        <v>40886.920597713652</v>
      </c>
      <c r="X15" s="388"/>
      <c r="Y15" s="388">
        <f t="shared" ref="Y15:Y21" si="9">W15*$C$14</f>
        <v>42317.962818633627</v>
      </c>
      <c r="Z15" s="388"/>
      <c r="AA15" s="388">
        <f t="shared" ref="AA15:AA21" si="10">Y15*$C$14</f>
        <v>43799.0915172858</v>
      </c>
      <c r="AB15" s="388"/>
      <c r="AC15" s="388">
        <f t="shared" ref="AC15:AC21" si="11">AA15*$C$14</f>
        <v>45332.059720390796</v>
      </c>
      <c r="AD15" s="388"/>
      <c r="AE15" s="388">
        <f t="shared" ref="AE15:AE21" si="12">AC15*$C$14</f>
        <v>46918.681810604474</v>
      </c>
      <c r="AF15" s="388"/>
      <c r="AG15" s="388">
        <f t="shared" ref="AG15:AG21" si="13">AE15*$C$14</f>
        <v>48560.835673975627</v>
      </c>
      <c r="AH15" s="388"/>
    </row>
    <row r="16" spans="1:34" ht="14.4">
      <c r="A16" s="380" t="s">
        <v>497</v>
      </c>
      <c r="B16" s="380"/>
      <c r="C16" s="402"/>
      <c r="D16" s="380"/>
      <c r="E16" s="391">
        <f>Application!W813</f>
        <v>36000</v>
      </c>
      <c r="F16" s="391"/>
      <c r="G16" s="391">
        <f t="shared" si="0"/>
        <v>37260</v>
      </c>
      <c r="H16" s="391"/>
      <c r="I16" s="391">
        <f t="shared" si="1"/>
        <v>38564.1</v>
      </c>
      <c r="J16" s="391"/>
      <c r="K16" s="391">
        <f t="shared" si="2"/>
        <v>39913.843499999995</v>
      </c>
      <c r="L16" s="391"/>
      <c r="M16" s="391">
        <f t="shared" si="3"/>
        <v>41310.828022499991</v>
      </c>
      <c r="N16" s="391"/>
      <c r="O16" s="391">
        <f t="shared" si="4"/>
        <v>42756.707003287484</v>
      </c>
      <c r="P16" s="391"/>
      <c r="Q16" s="391">
        <f t="shared" si="5"/>
        <v>44253.19174840254</v>
      </c>
      <c r="R16" s="391"/>
      <c r="S16" s="391">
        <f t="shared" si="6"/>
        <v>45802.053459596624</v>
      </c>
      <c r="T16" s="391"/>
      <c r="U16" s="391">
        <f t="shared" si="7"/>
        <v>47405.125330682502</v>
      </c>
      <c r="V16" s="391"/>
      <c r="W16" s="391">
        <f t="shared" si="8"/>
        <v>49064.304717256389</v>
      </c>
      <c r="X16" s="391"/>
      <c r="Y16" s="391">
        <f t="shared" si="9"/>
        <v>50781.555382360362</v>
      </c>
      <c r="Z16" s="391"/>
      <c r="AA16" s="391">
        <f t="shared" si="10"/>
        <v>52558.909820742971</v>
      </c>
      <c r="AB16" s="391"/>
      <c r="AC16" s="391">
        <f t="shared" si="11"/>
        <v>54398.471664468969</v>
      </c>
      <c r="AD16" s="391"/>
      <c r="AE16" s="391">
        <f t="shared" si="12"/>
        <v>56302.418172725382</v>
      </c>
      <c r="AF16" s="391"/>
      <c r="AG16" s="391">
        <f t="shared" si="13"/>
        <v>58273.002808770769</v>
      </c>
      <c r="AH16" s="380"/>
    </row>
    <row r="17" spans="1:34" ht="14.4">
      <c r="A17" s="380" t="s">
        <v>770</v>
      </c>
      <c r="B17" s="380"/>
      <c r="C17" s="402"/>
      <c r="D17" s="380"/>
      <c r="E17" s="391">
        <f>Application!W819</f>
        <v>40860</v>
      </c>
      <c r="F17" s="391"/>
      <c r="G17" s="391">
        <f t="shared" si="0"/>
        <v>42290.1</v>
      </c>
      <c r="H17" s="391"/>
      <c r="I17" s="391">
        <f t="shared" si="1"/>
        <v>43770.253499999992</v>
      </c>
      <c r="J17" s="391"/>
      <c r="K17" s="391">
        <f t="shared" si="2"/>
        <v>45302.212372499991</v>
      </c>
      <c r="L17" s="391"/>
      <c r="M17" s="391">
        <f t="shared" si="3"/>
        <v>46887.78980553749</v>
      </c>
      <c r="N17" s="391"/>
      <c r="O17" s="391">
        <f t="shared" si="4"/>
        <v>48528.862448731299</v>
      </c>
      <c r="P17" s="391"/>
      <c r="Q17" s="391">
        <f t="shared" si="5"/>
        <v>50227.372634436892</v>
      </c>
      <c r="R17" s="391"/>
      <c r="S17" s="391">
        <f t="shared" si="6"/>
        <v>51985.330676642181</v>
      </c>
      <c r="T17" s="391"/>
      <c r="U17" s="391">
        <f t="shared" si="7"/>
        <v>53804.817250324653</v>
      </c>
      <c r="V17" s="391"/>
      <c r="W17" s="391">
        <f t="shared" si="8"/>
        <v>55687.985854086015</v>
      </c>
      <c r="X17" s="391"/>
      <c r="Y17" s="391">
        <f t="shared" si="9"/>
        <v>57637.065358979024</v>
      </c>
      <c r="Z17" s="391"/>
      <c r="AA17" s="391">
        <f t="shared" si="10"/>
        <v>59654.362646543283</v>
      </c>
      <c r="AB17" s="391"/>
      <c r="AC17" s="391">
        <f t="shared" si="11"/>
        <v>61742.265339172292</v>
      </c>
      <c r="AD17" s="391"/>
      <c r="AE17" s="391">
        <f t="shared" si="12"/>
        <v>63903.244626043321</v>
      </c>
      <c r="AF17" s="391"/>
      <c r="AG17" s="391">
        <f t="shared" si="13"/>
        <v>66139.858187954829</v>
      </c>
      <c r="AH17" s="380"/>
    </row>
    <row r="18" spans="1:34" ht="14.4">
      <c r="A18" s="380" t="s">
        <v>1126</v>
      </c>
      <c r="B18" s="380"/>
      <c r="C18" s="402"/>
      <c r="D18" s="380"/>
      <c r="E18" s="391">
        <f>Application!W826</f>
        <v>111360</v>
      </c>
      <c r="F18" s="391"/>
      <c r="G18" s="391">
        <f t="shared" si="0"/>
        <v>115257.59999999999</v>
      </c>
      <c r="H18" s="391"/>
      <c r="I18" s="391">
        <f t="shared" si="1"/>
        <v>119291.61599999998</v>
      </c>
      <c r="J18" s="391"/>
      <c r="K18" s="391">
        <f t="shared" si="2"/>
        <v>123466.82255999997</v>
      </c>
      <c r="L18" s="391"/>
      <c r="M18" s="391">
        <f t="shared" si="3"/>
        <v>127788.16134959996</v>
      </c>
      <c r="N18" s="391"/>
      <c r="O18" s="391">
        <f t="shared" si="4"/>
        <v>132260.74699683595</v>
      </c>
      <c r="P18" s="391"/>
      <c r="Q18" s="391">
        <f t="shared" si="5"/>
        <v>136889.8731417252</v>
      </c>
      <c r="R18" s="391"/>
      <c r="S18" s="391">
        <f t="shared" si="6"/>
        <v>141681.01870168556</v>
      </c>
      <c r="T18" s="391"/>
      <c r="U18" s="391">
        <f t="shared" si="7"/>
        <v>146639.85435624456</v>
      </c>
      <c r="V18" s="391"/>
      <c r="W18" s="391">
        <f t="shared" si="8"/>
        <v>151772.2492587131</v>
      </c>
      <c r="X18" s="391"/>
      <c r="Y18" s="391">
        <f t="shared" si="9"/>
        <v>157084.27798276805</v>
      </c>
      <c r="Z18" s="391"/>
      <c r="AA18" s="391">
        <f t="shared" si="10"/>
        <v>162582.22771216492</v>
      </c>
      <c r="AB18" s="391"/>
      <c r="AC18" s="391">
        <f t="shared" si="11"/>
        <v>168272.60568209068</v>
      </c>
      <c r="AD18" s="391"/>
      <c r="AE18" s="391">
        <f t="shared" si="12"/>
        <v>174162.14688096385</v>
      </c>
      <c r="AF18" s="391"/>
      <c r="AG18" s="391">
        <f t="shared" si="13"/>
        <v>180257.82202179756</v>
      </c>
    </row>
    <row r="19" spans="1:34" ht="14.4">
      <c r="A19" s="380" t="s">
        <v>975</v>
      </c>
      <c r="B19" s="380"/>
      <c r="C19" s="402"/>
      <c r="D19" s="380"/>
      <c r="E19" s="391">
        <f>Application!W827</f>
        <v>23100</v>
      </c>
      <c r="F19" s="391"/>
      <c r="G19" s="391">
        <f t="shared" si="0"/>
        <v>23908.499999999996</v>
      </c>
      <c r="H19" s="391"/>
      <c r="I19" s="391">
        <f t="shared" si="1"/>
        <v>24745.297499999993</v>
      </c>
      <c r="J19" s="391"/>
      <c r="K19" s="391">
        <f t="shared" si="2"/>
        <v>25611.38291249999</v>
      </c>
      <c r="L19" s="391"/>
      <c r="M19" s="391">
        <f t="shared" si="3"/>
        <v>26507.781314437489</v>
      </c>
      <c r="N19" s="391"/>
      <c r="O19" s="391">
        <f t="shared" si="4"/>
        <v>27435.553660442798</v>
      </c>
      <c r="P19" s="391"/>
      <c r="Q19" s="391">
        <f t="shared" si="5"/>
        <v>28395.798038558292</v>
      </c>
      <c r="R19" s="391"/>
      <c r="S19" s="391">
        <f t="shared" si="6"/>
        <v>29389.650969907831</v>
      </c>
      <c r="T19" s="391"/>
      <c r="U19" s="391">
        <f t="shared" si="7"/>
        <v>30418.288753854602</v>
      </c>
      <c r="V19" s="391"/>
      <c r="W19" s="391">
        <f t="shared" si="8"/>
        <v>31482.92886023951</v>
      </c>
      <c r="X19" s="391"/>
      <c r="Y19" s="391">
        <f t="shared" si="9"/>
        <v>32584.831370347889</v>
      </c>
      <c r="Z19" s="391"/>
      <c r="AA19" s="391">
        <f t="shared" si="10"/>
        <v>33725.300468310059</v>
      </c>
      <c r="AB19" s="391"/>
      <c r="AC19" s="391">
        <f t="shared" si="11"/>
        <v>34905.685984700911</v>
      </c>
      <c r="AD19" s="391"/>
      <c r="AE19" s="391">
        <f t="shared" si="12"/>
        <v>36127.384994165441</v>
      </c>
      <c r="AF19" s="391"/>
      <c r="AG19" s="391">
        <f t="shared" si="13"/>
        <v>37391.843468961226</v>
      </c>
    </row>
    <row r="20" spans="1:34" ht="14.4">
      <c r="A20" s="380" t="s">
        <v>59</v>
      </c>
      <c r="B20" s="380"/>
      <c r="C20" s="402"/>
      <c r="D20" s="380"/>
      <c r="E20" s="391">
        <f>Application!W836</f>
        <v>46980</v>
      </c>
      <c r="F20" s="391"/>
      <c r="G20" s="391">
        <f t="shared" si="0"/>
        <v>48624.299999999996</v>
      </c>
      <c r="H20" s="391"/>
      <c r="I20" s="391">
        <f t="shared" si="1"/>
        <v>50326.150499999989</v>
      </c>
      <c r="J20" s="391"/>
      <c r="K20" s="391">
        <f t="shared" si="2"/>
        <v>52087.565767499982</v>
      </c>
      <c r="L20" s="391"/>
      <c r="M20" s="391">
        <f t="shared" si="3"/>
        <v>53910.630569362474</v>
      </c>
      <c r="N20" s="391"/>
      <c r="O20" s="391">
        <f t="shared" si="4"/>
        <v>55797.502639290156</v>
      </c>
      <c r="P20" s="391"/>
      <c r="Q20" s="391">
        <f t="shared" si="5"/>
        <v>57750.415231665305</v>
      </c>
      <c r="R20" s="391"/>
      <c r="S20" s="391">
        <f t="shared" si="6"/>
        <v>59771.679764773588</v>
      </c>
      <c r="T20" s="391"/>
      <c r="U20" s="391">
        <f t="shared" si="7"/>
        <v>61863.688556540656</v>
      </c>
      <c r="V20" s="391"/>
      <c r="W20" s="391">
        <f t="shared" si="8"/>
        <v>64028.91765601957</v>
      </c>
      <c r="X20" s="391"/>
      <c r="Y20" s="391">
        <f t="shared" si="9"/>
        <v>66269.929773980257</v>
      </c>
      <c r="Z20" s="391"/>
      <c r="AA20" s="391">
        <f t="shared" si="10"/>
        <v>68589.377316069556</v>
      </c>
      <c r="AB20" s="391"/>
      <c r="AC20" s="391">
        <f t="shared" si="11"/>
        <v>70990.005522131993</v>
      </c>
      <c r="AD20" s="391"/>
      <c r="AE20" s="391">
        <f t="shared" si="12"/>
        <v>73474.65571540661</v>
      </c>
      <c r="AF20" s="391"/>
      <c r="AG20" s="391">
        <f t="shared" si="13"/>
        <v>76046.268665445838</v>
      </c>
    </row>
    <row r="21" spans="1:34" ht="14.4">
      <c r="A21" s="614" t="s">
        <v>1271</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4.4">
      <c r="A22" s="392" t="s">
        <v>1127</v>
      </c>
      <c r="B22" s="392"/>
      <c r="C22" s="402"/>
      <c r="D22" s="392"/>
      <c r="E22" s="392">
        <f>SUM(E15:E21)</f>
        <v>288300</v>
      </c>
      <c r="F22" s="392"/>
      <c r="G22" s="392">
        <f>SUM(G15:G21)</f>
        <v>298390.5</v>
      </c>
      <c r="H22" s="392"/>
      <c r="I22" s="392">
        <f>SUM(I15:I21)</f>
        <v>308834.16749999992</v>
      </c>
      <c r="J22" s="392"/>
      <c r="K22" s="392">
        <f>SUM(K15:K21)</f>
        <v>319643.36336249992</v>
      </c>
      <c r="L22" s="392"/>
      <c r="M22" s="392">
        <f>SUM(M15:M21)</f>
        <v>330830.88108018745</v>
      </c>
      <c r="N22" s="392"/>
      <c r="O22" s="392">
        <f>SUM(O15:O21)</f>
        <v>342409.96191799396</v>
      </c>
      <c r="P22" s="392"/>
      <c r="Q22" s="392">
        <f>SUM(Q15:Q21)</f>
        <v>354394.31058512366</v>
      </c>
      <c r="R22" s="392"/>
      <c r="S22" s="392">
        <f>SUM(S15:S21)</f>
        <v>366798.11145560298</v>
      </c>
      <c r="T22" s="392"/>
      <c r="U22" s="392">
        <f>SUM(U15:U21)</f>
        <v>379636.04535654897</v>
      </c>
      <c r="V22" s="392"/>
      <c r="W22" s="392">
        <f>SUM(W15:W21)</f>
        <v>392923.30694402824</v>
      </c>
      <c r="X22" s="392"/>
      <c r="Y22" s="392">
        <f>SUM(Y15:Y21)</f>
        <v>406675.62268706923</v>
      </c>
      <c r="Z22" s="392"/>
      <c r="AA22" s="392">
        <f>SUM(AA15:AA21)</f>
        <v>420909.26948111661</v>
      </c>
      <c r="AB22" s="392"/>
      <c r="AC22" s="392">
        <f>SUM(AC15:AC21)</f>
        <v>435641.09391295566</v>
      </c>
      <c r="AD22" s="392"/>
      <c r="AE22" s="392">
        <f>SUM(AE15:AE21)</f>
        <v>450888.5321999091</v>
      </c>
      <c r="AF22" s="392"/>
      <c r="AG22" s="392">
        <f>SUM(AG15:AG21)</f>
        <v>466669.63082690589</v>
      </c>
    </row>
    <row r="23" spans="1:34" ht="14.4">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4">
      <c r="A24" s="614" t="s">
        <v>2035</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4">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4">
      <c r="A26" s="380" t="s">
        <v>1424</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4">
      <c r="A27" s="380" t="s">
        <v>1128</v>
      </c>
      <c r="B27" s="380"/>
      <c r="C27" s="411">
        <v>1.0349999999999999</v>
      </c>
      <c r="D27" s="380"/>
      <c r="E27" s="391">
        <f>Application!AC852</f>
        <v>17095</v>
      </c>
      <c r="F27" s="391"/>
      <c r="G27" s="391">
        <f>E27*$C$27</f>
        <v>17693.324999999997</v>
      </c>
      <c r="H27" s="391"/>
      <c r="I27" s="391">
        <f>G27*$C$27</f>
        <v>18312.591374999996</v>
      </c>
      <c r="J27" s="391"/>
      <c r="K27" s="391">
        <f>I27*$C$27</f>
        <v>18953.532073124996</v>
      </c>
      <c r="L27" s="391"/>
      <c r="M27" s="391">
        <f>K27*$C$27</f>
        <v>19616.905695684371</v>
      </c>
      <c r="N27" s="391"/>
      <c r="O27" s="391">
        <f>M27*$C$27</f>
        <v>20303.497395033322</v>
      </c>
      <c r="P27" s="391"/>
      <c r="Q27" s="391">
        <f>O27*$C$27</f>
        <v>21014.119803859488</v>
      </c>
      <c r="R27" s="391"/>
      <c r="S27" s="391">
        <f>Q27*$C$27</f>
        <v>21749.613996994569</v>
      </c>
      <c r="T27" s="391"/>
      <c r="U27" s="391">
        <f>S27*$C$27</f>
        <v>22510.850486889376</v>
      </c>
      <c r="V27" s="391"/>
      <c r="W27" s="391">
        <f>U27*$C$27</f>
        <v>23298.730253930502</v>
      </c>
      <c r="X27" s="391"/>
      <c r="Y27" s="391">
        <f>W27*$C$27</f>
        <v>24114.185812818068</v>
      </c>
      <c r="Z27" s="391"/>
      <c r="AA27" s="391">
        <f>Y27*$C$27</f>
        <v>24958.182316266699</v>
      </c>
      <c r="AB27" s="391"/>
      <c r="AC27" s="391">
        <f>AA27*$C$27</f>
        <v>25831.718697336029</v>
      </c>
      <c r="AD27" s="391"/>
      <c r="AE27" s="391">
        <f>AC27*$C$27</f>
        <v>26735.82885174279</v>
      </c>
      <c r="AF27" s="391"/>
      <c r="AG27" s="391">
        <f>AE27*$C$27</f>
        <v>27671.582861553787</v>
      </c>
    </row>
    <row r="28" spans="1:34" ht="14.4">
      <c r="A28" s="614" t="s">
        <v>1129</v>
      </c>
      <c r="B28" s="380"/>
      <c r="C28" s="411"/>
      <c r="D28" s="380"/>
      <c r="E28" s="391">
        <f>Application!AC853</f>
        <v>30000</v>
      </c>
      <c r="F28" s="391"/>
      <c r="G28" s="391">
        <f>$E$28</f>
        <v>30000</v>
      </c>
      <c r="H28" s="391"/>
      <c r="I28" s="391">
        <f>$E$28</f>
        <v>30000</v>
      </c>
      <c r="J28" s="391"/>
      <c r="K28" s="391">
        <f>$E$28</f>
        <v>30000</v>
      </c>
      <c r="L28" s="391"/>
      <c r="M28" s="391">
        <f>$E$28</f>
        <v>30000</v>
      </c>
      <c r="N28" s="391"/>
      <c r="O28" s="391">
        <f>$E$28</f>
        <v>30000</v>
      </c>
      <c r="P28" s="391"/>
      <c r="Q28" s="391">
        <f>$E$28</f>
        <v>30000</v>
      </c>
      <c r="R28" s="391"/>
      <c r="S28" s="391">
        <f>$E$28</f>
        <v>30000</v>
      </c>
      <c r="T28" s="391"/>
      <c r="U28" s="391">
        <f>$E$28</f>
        <v>30000</v>
      </c>
      <c r="V28" s="391"/>
      <c r="W28" s="391">
        <f>$E$28</f>
        <v>30000</v>
      </c>
      <c r="X28" s="391"/>
      <c r="Y28" s="391">
        <f>$E$28</f>
        <v>30000</v>
      </c>
      <c r="Z28" s="391"/>
      <c r="AA28" s="391">
        <f>$E$28</f>
        <v>30000</v>
      </c>
      <c r="AB28" s="391"/>
      <c r="AC28" s="391">
        <f>$E$28</f>
        <v>30000</v>
      </c>
      <c r="AD28" s="391"/>
      <c r="AE28" s="391">
        <f>$E$28</f>
        <v>30000</v>
      </c>
      <c r="AF28" s="391"/>
      <c r="AG28" s="391">
        <f>$E$28</f>
        <v>30000</v>
      </c>
    </row>
    <row r="29" spans="1:34" ht="14.4">
      <c r="A29" s="614" t="s">
        <v>2036</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4">
      <c r="A30" s="614" t="s">
        <v>1130</v>
      </c>
      <c r="B30" s="380"/>
      <c r="C30" s="411">
        <v>1.02</v>
      </c>
      <c r="D30" s="380"/>
      <c r="E30" s="391">
        <f>Application!AC855</f>
        <v>3000</v>
      </c>
      <c r="F30" s="391"/>
      <c r="G30" s="391">
        <f>E30*$C$30</f>
        <v>3060</v>
      </c>
      <c r="H30" s="391"/>
      <c r="I30" s="391">
        <f>G30*$C$30</f>
        <v>3121.2000000000003</v>
      </c>
      <c r="J30" s="391"/>
      <c r="K30" s="391">
        <f>I30*$C$30</f>
        <v>3183.6240000000003</v>
      </c>
      <c r="L30" s="391"/>
      <c r="M30" s="391">
        <f>K30*$C$30</f>
        <v>3247.2964800000004</v>
      </c>
      <c r="N30" s="391"/>
      <c r="O30" s="391">
        <f>M30*$C$30</f>
        <v>3312.2424096000004</v>
      </c>
      <c r="P30" s="391"/>
      <c r="Q30" s="391">
        <f>O30*$C$30</f>
        <v>3378.4872577920005</v>
      </c>
      <c r="R30" s="391"/>
      <c r="S30" s="391">
        <f>Q30*$C$30</f>
        <v>3446.0570029478404</v>
      </c>
      <c r="T30" s="391"/>
      <c r="U30" s="391">
        <f>S30*$C$30</f>
        <v>3514.9781430067974</v>
      </c>
      <c r="V30" s="391"/>
      <c r="W30" s="391">
        <f>U30*$C$30</f>
        <v>3585.2777058669335</v>
      </c>
      <c r="X30" s="391"/>
      <c r="Y30" s="391">
        <f>W30*$C$30</f>
        <v>3656.9832599842721</v>
      </c>
      <c r="Z30" s="391"/>
      <c r="AA30" s="391">
        <f>Y30*$C$30</f>
        <v>3730.1229251839577</v>
      </c>
      <c r="AB30" s="391"/>
      <c r="AC30" s="391">
        <f>AA30*$C$30</f>
        <v>3804.7253836876371</v>
      </c>
      <c r="AD30" s="391"/>
      <c r="AE30" s="391">
        <f>AC30*$C$30</f>
        <v>3880.8198913613901</v>
      </c>
      <c r="AF30" s="391"/>
      <c r="AG30" s="391">
        <f>AE30*$C$30</f>
        <v>3958.436289188618</v>
      </c>
    </row>
    <row r="31" spans="1:34" ht="14.4">
      <c r="A31" s="614" t="s">
        <v>2037</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4">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4">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4">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4">
      <c r="A35" s="392" t="s">
        <v>159</v>
      </c>
      <c r="B35" s="392"/>
      <c r="C35" s="393"/>
      <c r="D35" s="392"/>
      <c r="E35" s="392">
        <f>SUM(E22:E33)</f>
        <v>338395</v>
      </c>
      <c r="F35" s="392"/>
      <c r="G35" s="392">
        <f>SUM(G22:G33)</f>
        <v>349143.82500000001</v>
      </c>
      <c r="H35" s="392"/>
      <c r="I35" s="392">
        <f>SUM(I22:I33)</f>
        <v>360267.95887499995</v>
      </c>
      <c r="J35" s="392"/>
      <c r="K35" s="392">
        <f>SUM(K22:K33)</f>
        <v>371780.51943562494</v>
      </c>
      <c r="L35" s="392"/>
      <c r="M35" s="392">
        <f>SUM(M22:M33)</f>
        <v>383695.08325587184</v>
      </c>
      <c r="N35" s="392"/>
      <c r="O35" s="392">
        <f>SUM(O22:O33)</f>
        <v>396025.70172262727</v>
      </c>
      <c r="P35" s="392"/>
      <c r="Q35" s="392">
        <f>SUM(Q22:Q33)</f>
        <v>408786.91764677514</v>
      </c>
      <c r="R35" s="392"/>
      <c r="S35" s="392">
        <f>SUM(S22:S33)</f>
        <v>421993.78245554538</v>
      </c>
      <c r="T35" s="392"/>
      <c r="U35" s="392">
        <f>SUM(U22:U33)</f>
        <v>435661.87398644513</v>
      </c>
      <c r="V35" s="392"/>
      <c r="W35" s="392">
        <f>SUM(W22:W33)</f>
        <v>449807.3149038257</v>
      </c>
      <c r="X35" s="392"/>
      <c r="Y35" s="392">
        <f>SUM(Y22:Y33)</f>
        <v>464446.79175987159</v>
      </c>
      <c r="Z35" s="392"/>
      <c r="AA35" s="392">
        <f>SUM(AA22:AA33)</f>
        <v>479597.57472256728</v>
      </c>
      <c r="AB35" s="392"/>
      <c r="AC35" s="392">
        <f>SUM(AC22:AC33)</f>
        <v>495277.53799397935</v>
      </c>
      <c r="AD35" s="392"/>
      <c r="AE35" s="392">
        <f>SUM(AE22:AE33)</f>
        <v>511505.18094301329</v>
      </c>
      <c r="AF35" s="392"/>
      <c r="AG35" s="392">
        <f>SUM(AG22:AG33)</f>
        <v>528299.64997764828</v>
      </c>
    </row>
    <row r="36" spans="1:35" ht="14.4">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4">
      <c r="A37" s="392" t="s">
        <v>1131</v>
      </c>
      <c r="B37" s="392"/>
      <c r="C37" s="393"/>
      <c r="D37" s="392"/>
      <c r="E37" s="392">
        <f>E11-E35</f>
        <v>148932.20000000001</v>
      </c>
      <c r="F37" s="392"/>
      <c r="G37" s="392">
        <f>G11-G35</f>
        <v>150366.55499999993</v>
      </c>
      <c r="H37" s="392"/>
      <c r="I37" s="392">
        <f>I11-I35</f>
        <v>151730.18062499998</v>
      </c>
      <c r="J37" s="392"/>
      <c r="K37" s="392">
        <f>K11-K35</f>
        <v>153017.57355187496</v>
      </c>
      <c r="L37" s="392"/>
      <c r="M37" s="392">
        <f>M11-M35</f>
        <v>154222.96205631556</v>
      </c>
      <c r="N37" s="392"/>
      <c r="O37" s="392">
        <f>O11-O35</f>
        <v>155340.29472236487</v>
      </c>
      <c r="P37" s="392"/>
      <c r="Q37" s="392">
        <f>Q11-Q35</f>
        <v>156363.22870934161</v>
      </c>
      <c r="R37" s="392"/>
      <c r="S37" s="392">
        <f>S11-S35</f>
        <v>157285.11755947431</v>
      </c>
      <c r="T37" s="392"/>
      <c r="U37" s="392">
        <f>U11-U35</f>
        <v>158098.99852895003</v>
      </c>
      <c r="V37" s="392"/>
      <c r="W37" s="392">
        <f>W11-W35</f>
        <v>158797.57942445431</v>
      </c>
      <c r="X37" s="392"/>
      <c r="Y37" s="392">
        <f>Y11-Y35</f>
        <v>159373.22492661531</v>
      </c>
      <c r="Z37" s="392"/>
      <c r="AA37" s="392">
        <f>AA11-AA35</f>
        <v>159817.9423810817</v>
      </c>
      <c r="AB37" s="392"/>
      <c r="AC37" s="392">
        <f>AC11-AC35</f>
        <v>160123.36703726085</v>
      </c>
      <c r="AD37" s="392"/>
      <c r="AE37" s="392">
        <f>AE11-AE35</f>
        <v>160280.74671400781</v>
      </c>
      <c r="AF37" s="392"/>
      <c r="AG37" s="392">
        <f>AG11-AG35</f>
        <v>160280.9258707983</v>
      </c>
    </row>
    <row r="38" spans="1:35" ht="14.4">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4">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4">
      <c r="A40" s="394" t="str">
        <f>Application!C618</f>
        <v>Citi Community Capital - Permanent Loan</v>
      </c>
      <c r="B40" s="395"/>
      <c r="C40" s="389"/>
      <c r="D40" s="380"/>
      <c r="E40" s="388">
        <f>Application!AF618</f>
        <v>108156</v>
      </c>
      <c r="F40" s="388"/>
      <c r="G40" s="388">
        <f>$E$40</f>
        <v>108156</v>
      </c>
      <c r="H40" s="388"/>
      <c r="I40" s="388">
        <f>$E$40</f>
        <v>108156</v>
      </c>
      <c r="J40" s="388"/>
      <c r="K40" s="388">
        <f>$E$40</f>
        <v>108156</v>
      </c>
      <c r="L40" s="388"/>
      <c r="M40" s="388">
        <f>$E$40</f>
        <v>108156</v>
      </c>
      <c r="N40" s="388"/>
      <c r="O40" s="388">
        <f>$E$40</f>
        <v>108156</v>
      </c>
      <c r="P40" s="388"/>
      <c r="Q40" s="388">
        <f>$E$40</f>
        <v>108156</v>
      </c>
      <c r="R40" s="388"/>
      <c r="S40" s="388">
        <f>$E$40</f>
        <v>108156</v>
      </c>
      <c r="T40" s="388"/>
      <c r="U40" s="388">
        <f>$E$40</f>
        <v>108156</v>
      </c>
      <c r="V40" s="388"/>
      <c r="W40" s="388">
        <f>$E$40</f>
        <v>108156</v>
      </c>
      <c r="X40" s="388"/>
      <c r="Y40" s="388">
        <f>$E$40</f>
        <v>108156</v>
      </c>
      <c r="Z40" s="388"/>
      <c r="AA40" s="388">
        <f>$E$40</f>
        <v>108156</v>
      </c>
      <c r="AB40" s="388"/>
      <c r="AC40" s="388">
        <f>$E$40</f>
        <v>108156</v>
      </c>
      <c r="AD40" s="388"/>
      <c r="AE40" s="388">
        <f>$E$40</f>
        <v>108156</v>
      </c>
      <c r="AF40" s="388"/>
      <c r="AG40" s="388">
        <f>$E$40</f>
        <v>108156</v>
      </c>
      <c r="AH40" s="380"/>
      <c r="AI40" s="380"/>
    </row>
    <row r="41" spans="1:35" ht="14.4">
      <c r="A41" s="394" t="s">
        <v>2476</v>
      </c>
      <c r="B41" s="395"/>
      <c r="C41" s="389"/>
      <c r="D41" s="380"/>
      <c r="E41" s="391">
        <v>18481</v>
      </c>
      <c r="F41" s="391"/>
      <c r="G41" s="391">
        <f>$E$41</f>
        <v>18481</v>
      </c>
      <c r="H41" s="391"/>
      <c r="I41" s="391">
        <f>$E$41</f>
        <v>18481</v>
      </c>
      <c r="J41" s="391"/>
      <c r="K41" s="391">
        <f>$E$41</f>
        <v>18481</v>
      </c>
      <c r="L41" s="391"/>
      <c r="M41" s="391">
        <f>$E$41</f>
        <v>18481</v>
      </c>
      <c r="N41" s="391"/>
      <c r="O41" s="391">
        <f>$E$41</f>
        <v>18481</v>
      </c>
      <c r="P41" s="391"/>
      <c r="Q41" s="391">
        <f>$E$41</f>
        <v>18481</v>
      </c>
      <c r="R41" s="391"/>
      <c r="S41" s="391">
        <f>$E$41</f>
        <v>18481</v>
      </c>
      <c r="T41" s="391"/>
      <c r="U41" s="391">
        <f>$E$41</f>
        <v>18481</v>
      </c>
      <c r="V41" s="391"/>
      <c r="W41" s="391">
        <f>$E$41</f>
        <v>18481</v>
      </c>
      <c r="X41" s="391"/>
      <c r="Y41" s="391">
        <f>$E$41</f>
        <v>18481</v>
      </c>
      <c r="Z41" s="391"/>
      <c r="AA41" s="391">
        <f>$E$41</f>
        <v>18481</v>
      </c>
      <c r="AB41" s="391"/>
      <c r="AC41" s="391">
        <f>$E$41</f>
        <v>18481</v>
      </c>
      <c r="AD41" s="391"/>
      <c r="AE41" s="391">
        <f>$E$41</f>
        <v>18481</v>
      </c>
      <c r="AF41" s="391"/>
      <c r="AG41" s="391">
        <f>$E$41</f>
        <v>18481</v>
      </c>
      <c r="AH41" s="380"/>
      <c r="AI41" s="380"/>
    </row>
    <row r="42" spans="1:35" ht="14.4">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4">
      <c r="A43" s="392" t="s">
        <v>1133</v>
      </c>
      <c r="B43" s="392"/>
      <c r="C43" s="393"/>
      <c r="D43" s="392"/>
      <c r="E43" s="392">
        <f>SUM(E40:E42)</f>
        <v>126637</v>
      </c>
      <c r="F43" s="392"/>
      <c r="G43" s="392">
        <f>SUM(G40:G42)</f>
        <v>126637</v>
      </c>
      <c r="H43" s="392"/>
      <c r="I43" s="392">
        <f>SUM(I40:I42)</f>
        <v>126637</v>
      </c>
      <c r="J43" s="392"/>
      <c r="K43" s="392">
        <f>SUM(K40:K42)</f>
        <v>126637</v>
      </c>
      <c r="L43" s="392"/>
      <c r="M43" s="392">
        <f>SUM(M40:M42)</f>
        <v>126637</v>
      </c>
      <c r="N43" s="392"/>
      <c r="O43" s="392">
        <f>SUM(O40:O42)</f>
        <v>126637</v>
      </c>
      <c r="P43" s="392"/>
      <c r="Q43" s="392">
        <f>SUM(Q40:Q42)</f>
        <v>126637</v>
      </c>
      <c r="R43" s="392"/>
      <c r="S43" s="392">
        <f>SUM(S40:S42)</f>
        <v>126637</v>
      </c>
      <c r="T43" s="392"/>
      <c r="U43" s="392">
        <f>SUM(U40:U42)</f>
        <v>126637</v>
      </c>
      <c r="V43" s="392"/>
      <c r="W43" s="392">
        <f>SUM(W40:W42)</f>
        <v>126637</v>
      </c>
      <c r="X43" s="392"/>
      <c r="Y43" s="392">
        <f>SUM(Y40:Y42)</f>
        <v>126637</v>
      </c>
      <c r="Z43" s="392"/>
      <c r="AA43" s="392">
        <f>SUM(AA40:AA42)</f>
        <v>126637</v>
      </c>
      <c r="AB43" s="392"/>
      <c r="AC43" s="392">
        <f>SUM(AC40:AC42)</f>
        <v>126637</v>
      </c>
      <c r="AD43" s="392"/>
      <c r="AE43" s="392">
        <f>SUM(AE40:AE42)</f>
        <v>126637</v>
      </c>
      <c r="AF43" s="392"/>
      <c r="AG43" s="392">
        <f>SUM(AG40:AG42)</f>
        <v>126637</v>
      </c>
      <c r="AH43" s="392"/>
      <c r="AI43" s="392"/>
    </row>
    <row r="44" spans="1:35" ht="14.4">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4">
      <c r="A45" s="392" t="s">
        <v>1134</v>
      </c>
      <c r="B45" s="392"/>
      <c r="C45" s="393"/>
      <c r="D45" s="392"/>
      <c r="E45" s="392">
        <f>E37-E43</f>
        <v>22295.200000000012</v>
      </c>
      <c r="F45" s="392"/>
      <c r="G45" s="392">
        <f>G37-G43</f>
        <v>23729.554999999935</v>
      </c>
      <c r="H45" s="392"/>
      <c r="I45" s="392">
        <f>I37-I43</f>
        <v>25093.180624999979</v>
      </c>
      <c r="J45" s="392"/>
      <c r="K45" s="392">
        <f>K37-K43</f>
        <v>26380.573551874957</v>
      </c>
      <c r="L45" s="392"/>
      <c r="M45" s="392">
        <f>M37-M43</f>
        <v>27585.962056315562</v>
      </c>
      <c r="N45" s="392"/>
      <c r="O45" s="392">
        <f>O37-O43</f>
        <v>28703.294722364866</v>
      </c>
      <c r="P45" s="392"/>
      <c r="Q45" s="392">
        <f>Q37-Q43</f>
        <v>29726.228709341609</v>
      </c>
      <c r="R45" s="392"/>
      <c r="S45" s="392">
        <f>S37-S43</f>
        <v>30648.117559474311</v>
      </c>
      <c r="T45" s="392"/>
      <c r="U45" s="392">
        <f>U37-U43</f>
        <v>31461.998528950033</v>
      </c>
      <c r="V45" s="392"/>
      <c r="W45" s="392">
        <f>W37-W43</f>
        <v>32160.579424454307</v>
      </c>
      <c r="X45" s="392"/>
      <c r="Y45" s="392">
        <f>Y37-Y43</f>
        <v>32736.224926615309</v>
      </c>
      <c r="Z45" s="392"/>
      <c r="AA45" s="392">
        <f>AA37-AA43</f>
        <v>33180.942381081695</v>
      </c>
      <c r="AB45" s="392"/>
      <c r="AC45" s="392">
        <f>AC37-AC43</f>
        <v>33486.367037260847</v>
      </c>
      <c r="AD45" s="392"/>
      <c r="AE45" s="392">
        <f>AE37-AE43</f>
        <v>33643.746714007808</v>
      </c>
      <c r="AF45" s="392"/>
      <c r="AG45" s="392">
        <f>AG37-AG43</f>
        <v>33643.925870798295</v>
      </c>
      <c r="AH45" s="392"/>
      <c r="AI45" s="392"/>
    </row>
    <row r="46" spans="1:35" ht="14.4">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4">
      <c r="A47" s="396" t="s">
        <v>1135</v>
      </c>
      <c r="B47" s="396"/>
      <c r="C47" s="389"/>
      <c r="D47" s="396"/>
      <c r="E47" s="396">
        <f>E45/(E4+E6+E8)</f>
        <v>4.3462462181466599E-2</v>
      </c>
      <c r="F47" s="396"/>
      <c r="G47" s="396">
        <f>G45/(G4+G6+G8)</f>
        <v>4.513034794191853E-2</v>
      </c>
      <c r="H47" s="396"/>
      <c r="I47" s="396">
        <f>I45/(I4+I6+I8)</f>
        <v>4.6559781676218347E-2</v>
      </c>
      <c r="J47" s="396"/>
      <c r="K47" s="396">
        <f>K45/(K4+K6+K8)</f>
        <v>4.7754641659641377E-2</v>
      </c>
      <c r="L47" s="396"/>
      <c r="M47" s="396">
        <f>M45/(M4+M6+M8)</f>
        <v>4.8718692711434176E-2</v>
      </c>
      <c r="N47" s="396"/>
      <c r="O47" s="396">
        <f>O45/(O4+O6+O8)</f>
        <v>4.9455588777802102E-2</v>
      </c>
      <c r="P47" s="396"/>
      <c r="Q47" s="396">
        <f>Q45/(Q4+Q6+Q8)</f>
        <v>4.9968875450099898E-2</v>
      </c>
      <c r="R47" s="396"/>
      <c r="S47" s="396">
        <f>S45/(S4+S6+S8)</f>
        <v>5.0261992419792394E-2</v>
      </c>
      <c r="T47" s="396"/>
      <c r="U47" s="396">
        <f>U45/(U4+U6+U8)</f>
        <v>5.033827587170215E-2</v>
      </c>
      <c r="V47" s="396"/>
      <c r="W47" s="396">
        <f>W45/(W4+W6+W8)</f>
        <v>5.0200960817038093E-2</v>
      </c>
      <c r="X47" s="396"/>
      <c r="Y47" s="396">
        <f>Y45/(Y4+Y6+Y8)</f>
        <v>4.9853183367654215E-2</v>
      </c>
      <c r="Z47" s="396"/>
      <c r="AA47" s="396">
        <f>AA45/(AA4+AA6+AA8)</f>
        <v>4.9297982952950334E-2</v>
      </c>
      <c r="AB47" s="396"/>
      <c r="AC47" s="396">
        <f>AC45/(AC4+AC6+AC8)</f>
        <v>4.8538304480799363E-2</v>
      </c>
      <c r="AD47" s="396"/>
      <c r="AE47" s="396">
        <f>AE45/(AE4+AE6+AE8)</f>
        <v>4.7577000443845746E-2</v>
      </c>
      <c r="AF47" s="396"/>
      <c r="AG47" s="396">
        <f>AG45/(AG4+AG6+AG8)</f>
        <v>4.641683297249008E-2</v>
      </c>
      <c r="AH47" s="396"/>
      <c r="AI47" s="396"/>
    </row>
    <row r="48" spans="1:35" ht="14.4">
      <c r="A48" s="396" t="s">
        <v>1136</v>
      </c>
      <c r="B48" s="396"/>
      <c r="C48" s="389"/>
      <c r="D48" s="396"/>
      <c r="E48" s="396">
        <f>E45/E43</f>
        <v>0.17605597100373518</v>
      </c>
      <c r="F48" s="396"/>
      <c r="G48" s="396">
        <f>G45/G43</f>
        <v>0.1873824790543043</v>
      </c>
      <c r="H48" s="396"/>
      <c r="I48" s="396">
        <f>I45/I43</f>
        <v>0.19815046649083584</v>
      </c>
      <c r="J48" s="396"/>
      <c r="K48" s="396">
        <f>K45/K43</f>
        <v>0.20831647584730337</v>
      </c>
      <c r="L48" s="396"/>
      <c r="M48" s="396">
        <f>M45/M43</f>
        <v>0.21783493020456551</v>
      </c>
      <c r="N48" s="396"/>
      <c r="O48" s="396">
        <f>O45/O43</f>
        <v>0.22665804403424644</v>
      </c>
      <c r="P48" s="396"/>
      <c r="Q48" s="396">
        <f>Q45/Q43</f>
        <v>0.23473573054748303</v>
      </c>
      <c r="R48" s="396"/>
      <c r="S48" s="396">
        <f>S45/S43</f>
        <v>0.24201550541685535</v>
      </c>
      <c r="T48" s="396"/>
      <c r="U48" s="396">
        <f>U45/U43</f>
        <v>0.24844238673491975</v>
      </c>
      <c r="V48" s="396"/>
      <c r="W48" s="396">
        <f>W45/W43</f>
        <v>0.25395879106781039</v>
      </c>
      <c r="X48" s="396"/>
      <c r="Y48" s="396">
        <f>Y45/Y43</f>
        <v>0.25850442545713581</v>
      </c>
      <c r="Z48" s="396"/>
      <c r="AA48" s="396">
        <f>AA45/AA43</f>
        <v>0.26201617521799864</v>
      </c>
      <c r="AB48" s="396"/>
      <c r="AC48" s="396">
        <f>AC45/AC43</f>
        <v>0.26442798737541828</v>
      </c>
      <c r="AD48" s="396"/>
      <c r="AE48" s="396">
        <f>AE45/AE43</f>
        <v>0.26567074957562015</v>
      </c>
      <c r="AF48" s="396"/>
      <c r="AG48" s="396">
        <f>AG45/AG43</f>
        <v>0.26567216430267848</v>
      </c>
      <c r="AH48" s="396"/>
      <c r="AI48" s="396"/>
    </row>
    <row r="49" spans="1:35" ht="14.4">
      <c r="A49" s="397" t="s">
        <v>1137</v>
      </c>
      <c r="B49" s="397"/>
      <c r="C49" s="398"/>
      <c r="D49" s="397"/>
      <c r="E49" s="397">
        <f>E37/E43</f>
        <v>1.1760559710037353</v>
      </c>
      <c r="F49" s="397"/>
      <c r="G49" s="397">
        <f>G37/G43</f>
        <v>1.1873824790543044</v>
      </c>
      <c r="H49" s="397"/>
      <c r="I49" s="397">
        <f>I37/I43</f>
        <v>1.1981504664908358</v>
      </c>
      <c r="J49" s="397"/>
      <c r="K49" s="397">
        <f>K37/K43</f>
        <v>1.2083164758473033</v>
      </c>
      <c r="L49" s="397"/>
      <c r="M49" s="397">
        <f>M37/M43</f>
        <v>1.2178349302045655</v>
      </c>
      <c r="N49" s="397"/>
      <c r="O49" s="397">
        <f>O37/O43</f>
        <v>1.2266580440342465</v>
      </c>
      <c r="P49" s="397"/>
      <c r="Q49" s="397">
        <f>Q37/Q43</f>
        <v>1.2347357305474831</v>
      </c>
      <c r="R49" s="397"/>
      <c r="S49" s="397">
        <f>S37/S43</f>
        <v>1.2420155054168553</v>
      </c>
      <c r="T49" s="397"/>
      <c r="U49" s="397">
        <f>U37/U43</f>
        <v>1.2484423867349197</v>
      </c>
      <c r="V49" s="397"/>
      <c r="W49" s="397">
        <f>W37/W43</f>
        <v>1.2539587910678105</v>
      </c>
      <c r="X49" s="397"/>
      <c r="Y49" s="397">
        <f>Y37/Y43</f>
        <v>1.2585044254571358</v>
      </c>
      <c r="Z49" s="397"/>
      <c r="AA49" s="397">
        <f>AA37/AA43</f>
        <v>1.2620161752179986</v>
      </c>
      <c r="AB49" s="397"/>
      <c r="AC49" s="397">
        <f>AC37/AC43</f>
        <v>1.2644279873754183</v>
      </c>
      <c r="AD49" s="397"/>
      <c r="AE49" s="397">
        <f>AE37/AE43</f>
        <v>1.2656707495756201</v>
      </c>
      <c r="AF49" s="397"/>
      <c r="AG49" s="397">
        <f>AG37/AG43</f>
        <v>1.2656721643026785</v>
      </c>
      <c r="AH49" s="397"/>
      <c r="AI49" s="397"/>
    </row>
    <row r="50" spans="1:35" ht="14.4">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1138</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837"/>
      <c r="D53" s="378"/>
      <c r="E53" s="405"/>
      <c r="F53" s="378"/>
      <c r="G53" s="839">
        <f>E53*$C$53</f>
        <v>0</v>
      </c>
      <c r="H53" s="839"/>
      <c r="I53" s="839">
        <f>G53*$C$53</f>
        <v>0</v>
      </c>
      <c r="J53" s="839"/>
      <c r="K53" s="839">
        <f>I53*$C$53</f>
        <v>0</v>
      </c>
      <c r="L53" s="839"/>
      <c r="M53" s="839">
        <f>K53*$C$53</f>
        <v>0</v>
      </c>
      <c r="N53" s="839"/>
      <c r="O53" s="839">
        <f>M53*$C$53</f>
        <v>0</v>
      </c>
      <c r="P53" s="839"/>
      <c r="Q53" s="839">
        <f>O53*$C$53</f>
        <v>0</v>
      </c>
      <c r="R53" s="839"/>
      <c r="S53" s="839">
        <f>Q53*$C$53</f>
        <v>0</v>
      </c>
      <c r="T53" s="839"/>
      <c r="U53" s="839">
        <f>S53*$C$53</f>
        <v>0</v>
      </c>
      <c r="V53" s="839"/>
      <c r="W53" s="839">
        <f>U53*$C$53</f>
        <v>0</v>
      </c>
      <c r="X53" s="839"/>
      <c r="Y53" s="839">
        <f>W53*$C$53</f>
        <v>0</v>
      </c>
      <c r="Z53" s="839"/>
      <c r="AA53" s="839">
        <f>Y53*$C$53</f>
        <v>0</v>
      </c>
      <c r="AB53" s="839"/>
      <c r="AC53" s="839">
        <f>AA53*$C$53</f>
        <v>0</v>
      </c>
      <c r="AD53" s="839"/>
      <c r="AE53" s="839">
        <f>AC53*$C$53</f>
        <v>0</v>
      </c>
      <c r="AF53" s="839"/>
      <c r="AG53" s="839">
        <f>AE53*$C$53</f>
        <v>0</v>
      </c>
      <c r="AH53" s="378"/>
      <c r="AI53" s="378"/>
    </row>
    <row r="54" spans="1:35">
      <c r="A54" s="365" t="s">
        <v>1140</v>
      </c>
      <c r="B54" s="365"/>
      <c r="C54" s="413"/>
      <c r="D54" s="365"/>
      <c r="E54" s="406"/>
      <c r="F54" s="384"/>
      <c r="G54" s="838">
        <f t="shared" ref="G54:AG57" si="14">E54*$C$53</f>
        <v>0</v>
      </c>
      <c r="H54" s="838"/>
      <c r="I54" s="838">
        <f t="shared" si="14"/>
        <v>0</v>
      </c>
      <c r="J54" s="838"/>
      <c r="K54" s="838">
        <f t="shared" si="14"/>
        <v>0</v>
      </c>
      <c r="L54" s="838"/>
      <c r="M54" s="838">
        <f t="shared" si="14"/>
        <v>0</v>
      </c>
      <c r="N54" s="838"/>
      <c r="O54" s="838">
        <f t="shared" si="14"/>
        <v>0</v>
      </c>
      <c r="P54" s="838"/>
      <c r="Q54" s="838">
        <f t="shared" si="14"/>
        <v>0</v>
      </c>
      <c r="R54" s="838"/>
      <c r="S54" s="838">
        <f t="shared" si="14"/>
        <v>0</v>
      </c>
      <c r="T54" s="838"/>
      <c r="U54" s="838">
        <f t="shared" si="14"/>
        <v>0</v>
      </c>
      <c r="V54" s="838"/>
      <c r="W54" s="838">
        <f t="shared" si="14"/>
        <v>0</v>
      </c>
      <c r="X54" s="838"/>
      <c r="Y54" s="838">
        <f t="shared" si="14"/>
        <v>0</v>
      </c>
      <c r="Z54" s="838"/>
      <c r="AA54" s="838">
        <f t="shared" si="14"/>
        <v>0</v>
      </c>
      <c r="AB54" s="838"/>
      <c r="AC54" s="838">
        <f t="shared" si="14"/>
        <v>0</v>
      </c>
      <c r="AD54" s="838"/>
      <c r="AE54" s="838">
        <f t="shared" si="14"/>
        <v>0</v>
      </c>
      <c r="AF54" s="838"/>
      <c r="AG54" s="838">
        <f t="shared" si="14"/>
        <v>0</v>
      </c>
      <c r="AH54" s="384"/>
      <c r="AI54" s="384"/>
    </row>
    <row r="55" spans="1:35">
      <c r="A55" s="365" t="s">
        <v>1141</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1142</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3"/>
      <c r="D60" s="378"/>
      <c r="E60" s="378">
        <f>E45-E58</f>
        <v>22295.200000000012</v>
      </c>
      <c r="F60" s="378"/>
      <c r="G60" s="378">
        <f>G45-G58</f>
        <v>23729.554999999935</v>
      </c>
      <c r="H60" s="378"/>
      <c r="I60" s="378">
        <f>I45-I58</f>
        <v>25093.180624999979</v>
      </c>
      <c r="J60" s="378"/>
      <c r="K60" s="378">
        <f>K45-K58</f>
        <v>26380.573551874957</v>
      </c>
      <c r="L60" s="378"/>
      <c r="M60" s="378">
        <f>M45-M58</f>
        <v>27585.962056315562</v>
      </c>
      <c r="N60" s="378"/>
      <c r="O60" s="378">
        <f>O45-O58</f>
        <v>28703.294722364866</v>
      </c>
      <c r="P60" s="378"/>
      <c r="Q60" s="378">
        <f>Q45-Q58</f>
        <v>29726.228709341609</v>
      </c>
      <c r="R60" s="378"/>
      <c r="S60" s="378">
        <f>S45-S58</f>
        <v>30648.117559474311</v>
      </c>
      <c r="T60" s="378"/>
      <c r="U60" s="378">
        <f>U45-U58</f>
        <v>31461.998528950033</v>
      </c>
      <c r="V60" s="378"/>
      <c r="W60" s="378">
        <f>W45-W58</f>
        <v>32160.579424454307</v>
      </c>
      <c r="X60" s="378"/>
      <c r="Y60" s="378">
        <f>Y45-Y58</f>
        <v>32736.224926615309</v>
      </c>
      <c r="Z60" s="378"/>
      <c r="AA60" s="378">
        <f>AA45-AA58</f>
        <v>33180.942381081695</v>
      </c>
      <c r="AB60" s="378"/>
      <c r="AC60" s="378">
        <f>AC45-AC58</f>
        <v>33486.367037260847</v>
      </c>
      <c r="AD60" s="378"/>
      <c r="AE60" s="378">
        <f>AE45-AE58</f>
        <v>33643.746714007808</v>
      </c>
      <c r="AF60" s="378"/>
      <c r="AG60" s="378">
        <f>AG45-AG58</f>
        <v>33643.925870798295</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1142</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2038</v>
      </c>
      <c r="B72" s="384"/>
      <c r="C72" s="386"/>
      <c r="D72" s="384"/>
      <c r="E72" s="378">
        <f>E60-E62-E70</f>
        <v>22295.200000000012</v>
      </c>
      <c r="F72" s="384"/>
      <c r="G72" s="378">
        <f>G60-G62-G70</f>
        <v>23729.554999999935</v>
      </c>
      <c r="H72" s="384"/>
      <c r="I72" s="378">
        <f>I60-I62-I70</f>
        <v>25093.180624999979</v>
      </c>
      <c r="J72" s="384"/>
      <c r="K72" s="378">
        <f>K60-K62-K70</f>
        <v>26380.573551874957</v>
      </c>
      <c r="L72" s="384"/>
      <c r="M72" s="378">
        <f>M60-M62-M70</f>
        <v>27585.962056315562</v>
      </c>
      <c r="N72" s="384"/>
      <c r="O72" s="378">
        <f>O60-O62-O70</f>
        <v>28703.294722364866</v>
      </c>
      <c r="P72" s="384"/>
      <c r="Q72" s="378">
        <f>Q60-Q62-Q70</f>
        <v>29726.228709341609</v>
      </c>
      <c r="R72" s="384"/>
      <c r="S72" s="378">
        <f>S60-S62-S70</f>
        <v>30648.117559474311</v>
      </c>
      <c r="T72" s="384"/>
      <c r="U72" s="378">
        <f>U60-U62-U70</f>
        <v>31461.998528950033</v>
      </c>
      <c r="V72" s="384"/>
      <c r="W72" s="378">
        <f>W60-W62-W70</f>
        <v>32160.579424454307</v>
      </c>
      <c r="X72" s="384"/>
      <c r="Y72" s="378">
        <f>Y60-Y62-Y70</f>
        <v>32736.224926615309</v>
      </c>
      <c r="Z72" s="384"/>
      <c r="AA72" s="378">
        <f>AA60-AA62-AA70</f>
        <v>33180.942381081695</v>
      </c>
      <c r="AB72" s="384"/>
      <c r="AC72" s="378">
        <f>AC60-AC62-AC70</f>
        <v>33486.367037260847</v>
      </c>
      <c r="AD72" s="384"/>
      <c r="AE72" s="378">
        <f>AE60-AE62-AE70</f>
        <v>33643.746714007808</v>
      </c>
      <c r="AF72" s="384"/>
      <c r="AG72" s="378">
        <f>AG60-AG62-AG70</f>
        <v>33643.925870798295</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1425</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29.95" customHeight="1">
      <c r="A77" s="1954" t="s">
        <v>1146</v>
      </c>
      <c r="B77" s="1954"/>
      <c r="C77" s="1954"/>
      <c r="D77" s="1954"/>
      <c r="E77" s="1954"/>
      <c r="F77" s="1954"/>
      <c r="G77" s="1954"/>
      <c r="H77" s="1954"/>
      <c r="I77" s="1954"/>
      <c r="J77" s="1954"/>
      <c r="K77" s="1954"/>
      <c r="L77" s="1954"/>
      <c r="M77" s="1954"/>
      <c r="N77" s="1954"/>
      <c r="O77" s="1954"/>
      <c r="P77" s="1954"/>
      <c r="Q77" s="1954"/>
      <c r="R77" s="1954"/>
      <c r="S77" s="1954"/>
      <c r="T77" s="1954"/>
      <c r="U77" s="1954"/>
      <c r="V77" s="1954"/>
      <c r="W77" s="1954"/>
      <c r="X77" s="1954"/>
      <c r="Y77" s="1954"/>
      <c r="Z77" s="1954"/>
      <c r="AA77" s="1954"/>
      <c r="AB77" s="1954"/>
      <c r="AC77" s="1954"/>
      <c r="AD77" s="1954"/>
      <c r="AE77" s="1954"/>
      <c r="AF77" s="1954"/>
      <c r="AG77" s="1954"/>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E4" sqref="E4"/>
    </sheetView>
  </sheetViews>
  <sheetFormatPr defaultColWidth="9.125" defaultRowHeight="14.4" zeroHeight="1"/>
  <cols>
    <col min="1" max="3" width="15.625" style="288" customWidth="1"/>
    <col min="4" max="4" width="3.625" style="288" customWidth="1"/>
    <col min="5" max="6" width="15.625" style="288" customWidth="1"/>
    <col min="7" max="7" width="3.625" style="288" customWidth="1"/>
    <col min="8" max="9" width="15.625" style="288" customWidth="1"/>
    <col min="10" max="16383" width="9.125" style="288"/>
    <col min="16384" max="16384" width="0.375" style="288" customWidth="1"/>
  </cols>
  <sheetData>
    <row r="1" spans="1:9">
      <c r="A1" s="1955" t="s">
        <v>1218</v>
      </c>
      <c r="B1" s="1955"/>
      <c r="C1" s="1955"/>
      <c r="D1" s="1955"/>
      <c r="E1" s="1955"/>
      <c r="F1" s="1955"/>
      <c r="G1" s="1955"/>
      <c r="H1" s="1955"/>
      <c r="I1" s="1955"/>
    </row>
    <row r="2" spans="1:9">
      <c r="A2" s="614"/>
      <c r="B2" s="614"/>
      <c r="C2" s="614"/>
      <c r="D2" s="614"/>
      <c r="E2" s="614"/>
      <c r="F2" s="614"/>
      <c r="G2" s="614"/>
      <c r="H2" s="614"/>
      <c r="I2" s="614"/>
    </row>
    <row r="3" spans="1:9" ht="105.05" customHeight="1">
      <c r="A3" s="615" t="s">
        <v>1211</v>
      </c>
      <c r="B3" s="615" t="s">
        <v>1426</v>
      </c>
      <c r="C3" s="482" t="s">
        <v>1213</v>
      </c>
      <c r="D3" s="614"/>
      <c r="E3" s="482" t="s">
        <v>1214</v>
      </c>
      <c r="F3" s="615" t="s">
        <v>1215</v>
      </c>
      <c r="G3" s="616"/>
      <c r="H3" s="615" t="s">
        <v>1212</v>
      </c>
      <c r="I3" s="615" t="s">
        <v>1216</v>
      </c>
    </row>
    <row r="4" spans="1:9">
      <c r="A4" s="617" t="str">
        <f>Application!$B692</f>
        <v>1 Bedroom</v>
      </c>
      <c r="B4" s="964">
        <f>Application!$G692</f>
        <v>3</v>
      </c>
      <c r="C4" s="617">
        <f>Application!$O692</f>
        <v>378</v>
      </c>
      <c r="D4" s="618"/>
      <c r="E4" s="962"/>
      <c r="F4" s="617">
        <f>$E4*$B4</f>
        <v>0</v>
      </c>
      <c r="G4" s="618"/>
      <c r="H4" s="617">
        <f>IF($E4=0,0,MAX($E4-$C4,0))</f>
        <v>0</v>
      </c>
      <c r="I4" s="617">
        <f>IF($H4=0,0,($H4*$B4))</f>
        <v>0</v>
      </c>
    </row>
    <row r="5" spans="1:9">
      <c r="A5" s="617" t="str">
        <f>Application!$B693</f>
        <v>1 Bedroom</v>
      </c>
      <c r="B5" s="963">
        <f>Application!$G693</f>
        <v>4</v>
      </c>
      <c r="C5" s="617">
        <f>Application!$O693</f>
        <v>451</v>
      </c>
      <c r="D5" s="618"/>
      <c r="E5" s="962"/>
      <c r="F5" s="617">
        <f t="shared" ref="F5:F28" si="0">$E5*$B5</f>
        <v>0</v>
      </c>
      <c r="G5" s="618"/>
      <c r="H5" s="617">
        <f t="shared" ref="H5:H28" si="1">IF($E5=0,0,MAX($E5-$C5,0))</f>
        <v>0</v>
      </c>
      <c r="I5" s="617">
        <f t="shared" ref="I5:I28" si="2">IF($H5=0,0,($H5*$B5))</f>
        <v>0</v>
      </c>
    </row>
    <row r="6" spans="1:9">
      <c r="A6" s="617" t="str">
        <f>Application!$B694</f>
        <v>1 Bedroom</v>
      </c>
      <c r="B6" s="963">
        <f>Application!$G694</f>
        <v>3</v>
      </c>
      <c r="C6" s="617">
        <f>Application!$O694</f>
        <v>525</v>
      </c>
      <c r="D6" s="618"/>
      <c r="E6" s="962"/>
      <c r="F6" s="617">
        <f t="shared" si="0"/>
        <v>0</v>
      </c>
      <c r="G6" s="618"/>
      <c r="H6" s="617">
        <f t="shared" si="1"/>
        <v>0</v>
      </c>
      <c r="I6" s="617">
        <f t="shared" si="2"/>
        <v>0</v>
      </c>
    </row>
    <row r="7" spans="1:9">
      <c r="A7" s="617" t="str">
        <f>Application!$B695</f>
        <v>1 Bedroom</v>
      </c>
      <c r="B7" s="963">
        <f>Application!$G695</f>
        <v>8</v>
      </c>
      <c r="C7" s="617">
        <f>Application!$O695</f>
        <v>817</v>
      </c>
      <c r="D7" s="618"/>
      <c r="E7" s="962"/>
      <c r="F7" s="617">
        <f t="shared" si="0"/>
        <v>0</v>
      </c>
      <c r="G7" s="618"/>
      <c r="H7" s="617">
        <f t="shared" si="1"/>
        <v>0</v>
      </c>
      <c r="I7" s="617">
        <f t="shared" si="2"/>
        <v>0</v>
      </c>
    </row>
    <row r="8" spans="1:9">
      <c r="A8" s="617" t="str">
        <f>Application!$B696</f>
        <v>2 Bedrooms</v>
      </c>
      <c r="B8" s="963">
        <f>Application!$G696</f>
        <v>5</v>
      </c>
      <c r="C8" s="617">
        <f>Application!$O696</f>
        <v>442</v>
      </c>
      <c r="D8" s="618"/>
      <c r="E8" s="962"/>
      <c r="F8" s="617">
        <f t="shared" si="0"/>
        <v>0</v>
      </c>
      <c r="G8" s="618"/>
      <c r="H8" s="617">
        <f t="shared" si="1"/>
        <v>0</v>
      </c>
      <c r="I8" s="617">
        <f t="shared" si="2"/>
        <v>0</v>
      </c>
    </row>
    <row r="9" spans="1:9">
      <c r="A9" s="617" t="str">
        <f>Application!$B697</f>
        <v>2 Bedrooms</v>
      </c>
      <c r="B9" s="963">
        <f>Application!$G697</f>
        <v>5</v>
      </c>
      <c r="C9" s="617">
        <f>Application!$O697</f>
        <v>530</v>
      </c>
      <c r="D9" s="618"/>
      <c r="E9" s="962"/>
      <c r="F9" s="617">
        <f t="shared" si="0"/>
        <v>0</v>
      </c>
      <c r="G9" s="618"/>
      <c r="H9" s="617">
        <f t="shared" si="1"/>
        <v>0</v>
      </c>
      <c r="I9" s="617">
        <f t="shared" si="2"/>
        <v>0</v>
      </c>
    </row>
    <row r="10" spans="1:9">
      <c r="A10" s="617" t="str">
        <f>Application!$B698</f>
        <v>2 Bedrooms</v>
      </c>
      <c r="B10" s="963">
        <f>Application!$G698</f>
        <v>5</v>
      </c>
      <c r="C10" s="617">
        <f>Application!$O698</f>
        <v>618</v>
      </c>
      <c r="D10" s="618"/>
      <c r="E10" s="962"/>
      <c r="F10" s="617">
        <f t="shared" si="0"/>
        <v>0</v>
      </c>
      <c r="G10" s="618"/>
      <c r="H10" s="617">
        <f t="shared" si="1"/>
        <v>0</v>
      </c>
      <c r="I10" s="617">
        <f t="shared" si="2"/>
        <v>0</v>
      </c>
    </row>
    <row r="11" spans="1:9">
      <c r="A11" s="617" t="str">
        <f>Application!$B699</f>
        <v>2 Bedrooms</v>
      </c>
      <c r="B11" s="963">
        <f>Application!$G699</f>
        <v>8</v>
      </c>
      <c r="C11" s="617">
        <f>Application!$O699</f>
        <v>969</v>
      </c>
      <c r="D11" s="618"/>
      <c r="E11" s="962"/>
      <c r="F11" s="617">
        <f t="shared" si="0"/>
        <v>0</v>
      </c>
      <c r="G11" s="618"/>
      <c r="H11" s="617">
        <f t="shared" si="1"/>
        <v>0</v>
      </c>
      <c r="I11" s="617">
        <f t="shared" si="2"/>
        <v>0</v>
      </c>
    </row>
    <row r="12" spans="1:9">
      <c r="A12" s="617" t="str">
        <f>Application!$B700</f>
        <v>3 Bedrooms</v>
      </c>
      <c r="B12" s="963">
        <f>Application!$G700</f>
        <v>4</v>
      </c>
      <c r="C12" s="617">
        <f>Application!$O700</f>
        <v>501</v>
      </c>
      <c r="D12" s="618"/>
      <c r="E12" s="962"/>
      <c r="F12" s="617">
        <f t="shared" si="0"/>
        <v>0</v>
      </c>
      <c r="G12" s="618"/>
      <c r="H12" s="617">
        <f t="shared" si="1"/>
        <v>0</v>
      </c>
      <c r="I12" s="617">
        <f t="shared" si="2"/>
        <v>0</v>
      </c>
    </row>
    <row r="13" spans="1:9">
      <c r="A13" s="617" t="str">
        <f>Application!$B701</f>
        <v>3 Bedrooms</v>
      </c>
      <c r="B13" s="963">
        <f>Application!$G701</f>
        <v>3</v>
      </c>
      <c r="C13" s="617">
        <f>Application!$O701</f>
        <v>603</v>
      </c>
      <c r="D13" s="618"/>
      <c r="E13" s="962"/>
      <c r="F13" s="617">
        <f t="shared" si="0"/>
        <v>0</v>
      </c>
      <c r="G13" s="618"/>
      <c r="H13" s="617">
        <f t="shared" si="1"/>
        <v>0</v>
      </c>
      <c r="I13" s="617">
        <f t="shared" si="2"/>
        <v>0</v>
      </c>
    </row>
    <row r="14" spans="1:9">
      <c r="A14" s="617" t="str">
        <f>Application!$B702</f>
        <v>3 Bedrooms</v>
      </c>
      <c r="B14" s="963">
        <f>Application!$G702</f>
        <v>3</v>
      </c>
      <c r="C14" s="617">
        <f>Application!$O702</f>
        <v>704</v>
      </c>
      <c r="D14" s="618"/>
      <c r="E14" s="962"/>
      <c r="F14" s="617">
        <f t="shared" si="0"/>
        <v>0</v>
      </c>
      <c r="G14" s="618"/>
      <c r="H14" s="617">
        <f t="shared" si="1"/>
        <v>0</v>
      </c>
      <c r="I14" s="617">
        <f t="shared" si="2"/>
        <v>0</v>
      </c>
    </row>
    <row r="15" spans="1:9">
      <c r="A15" s="617" t="str">
        <f>Application!$B703</f>
        <v>3 Bedrooms</v>
      </c>
      <c r="B15" s="963">
        <f>Application!$G703</f>
        <v>8</v>
      </c>
      <c r="C15" s="617">
        <f>Application!$O703</f>
        <v>1109</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c r="A30" s="619" t="s">
        <v>1217</v>
      </c>
      <c r="B30" s="620"/>
      <c r="C30" s="621">
        <f>Application!$T$717*12</f>
        <v>498576</v>
      </c>
      <c r="D30" s="618"/>
      <c r="E30" s="618"/>
      <c r="F30" s="621">
        <f>SUM(F4:F28)*12</f>
        <v>0</v>
      </c>
      <c r="G30" s="622"/>
      <c r="H30" s="620"/>
      <c r="I30" s="621">
        <f>SUM(I4:I28)*12</f>
        <v>0</v>
      </c>
    </row>
    <row r="31" spans="1:9">
      <c r="A31" s="619"/>
      <c r="B31" s="620"/>
      <c r="C31" s="622"/>
      <c r="D31" s="618"/>
      <c r="E31" s="618"/>
      <c r="F31" s="622"/>
      <c r="G31" s="622"/>
      <c r="H31" s="620"/>
      <c r="I31" s="622"/>
    </row>
    <row r="32" spans="1:9">
      <c r="A32" s="614" t="s">
        <v>1219</v>
      </c>
      <c r="B32" s="614"/>
      <c r="C32" s="614"/>
      <c r="D32" s="614"/>
      <c r="E32" s="614"/>
      <c r="F32" s="614"/>
      <c r="G32" s="614"/>
      <c r="H32" s="614"/>
      <c r="I32" s="614"/>
    </row>
    <row r="33" spans="1:9">
      <c r="A33" s="614" t="s">
        <v>1221</v>
      </c>
      <c r="B33" s="614"/>
      <c r="C33" s="614"/>
      <c r="D33" s="614"/>
      <c r="E33" s="614"/>
      <c r="F33" s="614"/>
      <c r="G33" s="614"/>
      <c r="H33" s="614"/>
      <c r="I33" s="614"/>
    </row>
    <row r="34" spans="1:9">
      <c r="A34" s="614" t="s">
        <v>2254</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25" defaultRowHeight="12.45"/>
  <cols>
    <col min="1" max="16384" width="9.1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45" zeroHeight="1"/>
  <cols>
    <col min="1" max="1" width="161.625" customWidth="1"/>
    <col min="2" max="16384" width="8.875" hidden="1"/>
  </cols>
  <sheetData>
    <row r="1" spans="1:1" s="302" customFormat="1" ht="45" customHeight="1">
      <c r="A1" s="501" t="s">
        <v>1281</v>
      </c>
    </row>
    <row r="2" spans="1:1" ht="15.05">
      <c r="A2" s="499"/>
    </row>
    <row r="3" spans="1:1" ht="15.05">
      <c r="A3" s="500" t="s">
        <v>1276</v>
      </c>
    </row>
    <row r="4" spans="1:1" ht="15.05">
      <c r="A4" s="500" t="s">
        <v>1277</v>
      </c>
    </row>
    <row r="5" spans="1:1" ht="15.05">
      <c r="A5" s="500" t="s">
        <v>1278</v>
      </c>
    </row>
    <row r="6" spans="1:1" ht="15.05">
      <c r="A6" s="500" t="s">
        <v>1279</v>
      </c>
    </row>
    <row r="7" spans="1:1" ht="15.05">
      <c r="A7" s="500" t="s">
        <v>1280</v>
      </c>
    </row>
    <row r="8" spans="1:1" ht="15.05">
      <c r="A8" s="579" t="s">
        <v>1397</v>
      </c>
    </row>
    <row r="9" spans="1:1" ht="15.05">
      <c r="A9" s="500" t="s">
        <v>1398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5" customHeight="1" zeroHeight="1"/>
  <cols>
    <col min="1" max="1" width="1.375" customWidth="1"/>
    <col min="2" max="2" width="0.875" customWidth="1"/>
    <col min="3" max="18" width="2.375" customWidth="1"/>
    <col min="19" max="19" width="4" customWidth="1"/>
    <col min="20" max="39" width="2.375" customWidth="1"/>
    <col min="40" max="40" width="1.375" customWidth="1"/>
    <col min="41" max="16384" width="2.375" hidden="1"/>
  </cols>
  <sheetData>
    <row r="1" spans="1:40" ht="12.95" customHeight="1">
      <c r="A1" s="1624" t="s">
        <v>1147</v>
      </c>
      <c r="B1" s="1394"/>
      <c r="C1" s="1394"/>
      <c r="D1" s="1394"/>
      <c r="E1" s="1394"/>
      <c r="F1" s="1394"/>
      <c r="G1" s="1394"/>
      <c r="H1" s="1394"/>
      <c r="I1" s="1394"/>
      <c r="J1" s="1394"/>
      <c r="K1" s="1394"/>
      <c r="L1" s="1394"/>
      <c r="M1" s="1394"/>
      <c r="N1" s="1394"/>
      <c r="O1" s="1394"/>
      <c r="P1" s="1394"/>
      <c r="Q1" s="1394"/>
      <c r="R1" s="1394"/>
      <c r="S1" s="1394"/>
      <c r="T1" s="1394"/>
      <c r="U1" s="1394"/>
      <c r="V1" s="1394"/>
      <c r="W1" s="1394"/>
      <c r="X1" s="1394"/>
      <c r="Y1" s="1394"/>
      <c r="Z1" s="1394"/>
      <c r="AA1" s="1394"/>
      <c r="AB1" s="1394"/>
      <c r="AC1" s="1394"/>
      <c r="AD1" s="1394"/>
      <c r="AE1" s="1394"/>
      <c r="AF1" s="1394"/>
      <c r="AG1" s="1394"/>
      <c r="AH1" s="1394"/>
      <c r="AI1" s="1394"/>
      <c r="AJ1" s="1394"/>
      <c r="AK1" s="1394"/>
      <c r="AL1" s="1394"/>
      <c r="AM1" s="1394"/>
      <c r="AN1" s="1394"/>
    </row>
    <row r="2" spans="1:40" ht="12.95" customHeight="1" thickBot="1">
      <c r="A2" s="1395"/>
      <c r="B2" s="1395"/>
      <c r="C2" s="1395"/>
      <c r="D2" s="1395"/>
      <c r="E2" s="1395"/>
      <c r="F2" s="1395"/>
      <c r="G2" s="1395"/>
      <c r="H2" s="1395"/>
      <c r="I2" s="1395"/>
      <c r="J2" s="1395"/>
      <c r="K2" s="1395"/>
      <c r="L2" s="1395"/>
      <c r="M2" s="1395"/>
      <c r="N2" s="1395"/>
      <c r="O2" s="1395"/>
      <c r="P2" s="1395"/>
      <c r="Q2" s="1395"/>
      <c r="R2" s="1395"/>
      <c r="S2" s="1395"/>
      <c r="T2" s="1395"/>
      <c r="U2" s="1395"/>
      <c r="V2" s="1395"/>
      <c r="W2" s="1395"/>
      <c r="X2" s="1395"/>
      <c r="Y2" s="1395"/>
      <c r="Z2" s="1395"/>
      <c r="AA2" s="1395"/>
      <c r="AB2" s="1395"/>
      <c r="AC2" s="1395"/>
      <c r="AD2" s="1395"/>
      <c r="AE2" s="1395"/>
      <c r="AF2" s="1395"/>
      <c r="AG2" s="1395"/>
      <c r="AH2" s="1395"/>
      <c r="AI2" s="1395"/>
      <c r="AJ2" s="1395"/>
      <c r="AK2" s="1395"/>
      <c r="AL2" s="1395"/>
      <c r="AM2" s="1395"/>
      <c r="AN2" s="139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08" t="s">
        <v>1680</v>
      </c>
      <c r="U7" s="1608"/>
      <c r="V7" s="1608"/>
      <c r="W7" s="1608"/>
      <c r="X7" s="1608"/>
      <c r="Y7" s="1608" t="s">
        <v>1825</v>
      </c>
      <c r="Z7" s="1608"/>
      <c r="AA7" s="1608"/>
      <c r="AB7" s="1608"/>
      <c r="AC7" s="1608"/>
      <c r="AD7" s="1608" t="s">
        <v>1423</v>
      </c>
      <c r="AE7" s="1608"/>
      <c r="AF7" s="1608"/>
      <c r="AG7" s="1608"/>
      <c r="AH7" s="1608"/>
      <c r="AI7" s="1608" t="s">
        <v>1826</v>
      </c>
      <c r="AJ7" s="1608"/>
      <c r="AK7" s="1608"/>
      <c r="AL7" s="1608"/>
      <c r="AM7" s="1608"/>
    </row>
    <row r="8" spans="1:40" ht="12.95"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5"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12.9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5" customHeight="1">
      <c r="B11" s="1136" t="s">
        <v>539</v>
      </c>
      <c r="C11" s="1137"/>
      <c r="D11" s="1137"/>
      <c r="E11" s="1137"/>
      <c r="F11" s="1137"/>
      <c r="G11" s="1137"/>
      <c r="H11" s="1137"/>
      <c r="I11" s="1137"/>
      <c r="J11" s="1137"/>
      <c r="K11" s="1137"/>
      <c r="L11" s="1137"/>
      <c r="M11" s="1137"/>
      <c r="N11" s="1137"/>
      <c r="O11" s="1137"/>
      <c r="P11" s="1137"/>
      <c r="Q11" s="1137"/>
      <c r="R11" s="1137"/>
      <c r="S11" s="1138"/>
      <c r="T11" s="1618">
        <f>IF('Sources and Basis Breakdown'!F105=0,'Sources and Basis Breakdown'!E105,'Sources and Basis Breakdown'!F105)</f>
        <v>24783728.355295107</v>
      </c>
      <c r="U11" s="1609"/>
      <c r="V11" s="1609"/>
      <c r="W11" s="1609"/>
      <c r="X11" s="1609"/>
      <c r="Y11" s="1625">
        <f>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IF('Sources and Basis Breakdown'!I105+'Sources and Basis Breakdown'!J105='Sources and Basis Breakdown'!H105,'Sources and Basis Breakdown'!J105,0)</f>
        <v>0</v>
      </c>
      <c r="AJ11" s="1609"/>
      <c r="AK11" s="1609"/>
      <c r="AL11" s="1609"/>
      <c r="AM11" s="1609"/>
    </row>
    <row r="12" spans="1:40" ht="12.95" customHeight="1">
      <c r="B12" s="1612" t="s">
        <v>476</v>
      </c>
      <c r="C12" s="1034"/>
      <c r="D12" s="1034"/>
      <c r="E12" s="1034"/>
      <c r="F12" s="1034"/>
      <c r="G12" s="1034"/>
      <c r="H12" s="1034"/>
      <c r="I12" s="1034"/>
      <c r="J12" s="1034"/>
      <c r="K12" s="1034"/>
      <c r="L12" s="1034"/>
      <c r="M12" s="1034"/>
      <c r="N12" s="1034"/>
      <c r="O12" s="1034"/>
      <c r="P12" s="1034"/>
      <c r="Q12" s="1034"/>
      <c r="R12" s="1034"/>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5" customHeight="1">
      <c r="B13" s="8"/>
      <c r="C13" s="1614" t="s">
        <v>1789</v>
      </c>
      <c r="D13" s="1615"/>
      <c r="E13" s="1615"/>
      <c r="F13" s="1615"/>
      <c r="G13" s="1615"/>
      <c r="H13" s="1615"/>
      <c r="I13" s="1615"/>
      <c r="J13" s="1615"/>
      <c r="K13" s="1615"/>
      <c r="L13" s="1615"/>
      <c r="M13" s="1615"/>
      <c r="N13" s="1615"/>
      <c r="O13" s="1615"/>
      <c r="P13" s="1615"/>
      <c r="Q13" s="1615"/>
      <c r="R13" s="1615"/>
      <c r="S13" s="1616"/>
      <c r="T13" s="1619">
        <f>'Basis &amp; Credits'!T13</f>
        <v>0</v>
      </c>
      <c r="U13" s="1620"/>
      <c r="V13" s="1620"/>
      <c r="W13" s="1620"/>
      <c r="X13" s="1620"/>
      <c r="Y13" s="1619">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2.95" customHeight="1">
      <c r="B14" s="8"/>
      <c r="C14" s="1615" t="s">
        <v>805</v>
      </c>
      <c r="D14" s="1615"/>
      <c r="E14" s="1615"/>
      <c r="F14" s="1615"/>
      <c r="G14" s="1615"/>
      <c r="H14" s="1615"/>
      <c r="I14" s="1615"/>
      <c r="J14" s="1615"/>
      <c r="K14" s="1615"/>
      <c r="L14" s="1615"/>
      <c r="M14" s="1615"/>
      <c r="N14" s="1615"/>
      <c r="O14" s="1615"/>
      <c r="P14" s="1615"/>
      <c r="Q14" s="1615"/>
      <c r="R14" s="1615"/>
      <c r="S14" s="1616"/>
      <c r="T14" s="1180">
        <f>'Basis &amp; Credits'!T14</f>
        <v>0</v>
      </c>
      <c r="U14" s="1139"/>
      <c r="V14" s="1139"/>
      <c r="W14" s="1139"/>
      <c r="X14" s="1139"/>
      <c r="Y14" s="1180">
        <f>'Basis &amp; Credits'!Y14</f>
        <v>0</v>
      </c>
      <c r="Z14" s="1139"/>
      <c r="AA14" s="1139"/>
      <c r="AB14" s="1139"/>
      <c r="AC14" s="1139"/>
      <c r="AD14" s="1139">
        <f>'Basis &amp; Credits'!AD14</f>
        <v>0</v>
      </c>
      <c r="AE14" s="1139"/>
      <c r="AF14" s="1139"/>
      <c r="AG14" s="1139"/>
      <c r="AH14" s="1139"/>
      <c r="AI14" s="1139">
        <f>'Basis &amp; Credits'!AI14</f>
        <v>0</v>
      </c>
      <c r="AJ14" s="1139"/>
      <c r="AK14" s="1139"/>
      <c r="AL14" s="1139"/>
      <c r="AM14" s="1139"/>
    </row>
    <row r="15" spans="1:40" ht="12.95" customHeight="1">
      <c r="B15" s="8"/>
      <c r="C15" s="1615" t="s">
        <v>806</v>
      </c>
      <c r="D15" s="1615"/>
      <c r="E15" s="1615"/>
      <c r="F15" s="1615"/>
      <c r="G15" s="1615"/>
      <c r="H15" s="1615"/>
      <c r="I15" s="1615"/>
      <c r="J15" s="1615"/>
      <c r="K15" s="1615"/>
      <c r="L15" s="1615"/>
      <c r="M15" s="1615"/>
      <c r="N15" s="1615"/>
      <c r="O15" s="1615"/>
      <c r="P15" s="1615"/>
      <c r="Q15" s="1615"/>
      <c r="R15" s="1615"/>
      <c r="S15" s="1616"/>
      <c r="T15" s="1180">
        <f>'Basis &amp; Credits'!T15</f>
        <v>0</v>
      </c>
      <c r="U15" s="1139"/>
      <c r="V15" s="1139"/>
      <c r="W15" s="1139"/>
      <c r="X15" s="1139"/>
      <c r="Y15" s="1180">
        <f>'Basis &amp; Credits'!Y15</f>
        <v>0</v>
      </c>
      <c r="Z15" s="1139"/>
      <c r="AA15" s="1139"/>
      <c r="AB15" s="1139"/>
      <c r="AC15" s="1139"/>
      <c r="AD15" s="1139">
        <f>'Basis &amp; Credits'!AD15</f>
        <v>0</v>
      </c>
      <c r="AE15" s="1139"/>
      <c r="AF15" s="1139"/>
      <c r="AG15" s="1139"/>
      <c r="AH15" s="1139"/>
      <c r="AI15" s="1139">
        <f>'Basis &amp; Credits'!AI15</f>
        <v>0</v>
      </c>
      <c r="AJ15" s="1139"/>
      <c r="AK15" s="1139"/>
      <c r="AL15" s="1139"/>
      <c r="AM15" s="1139"/>
    </row>
    <row r="16" spans="1:40" ht="12.95" customHeight="1">
      <c r="B16" s="8"/>
      <c r="C16" s="1614" t="s">
        <v>1057</v>
      </c>
      <c r="D16" s="1614"/>
      <c r="E16" s="1614"/>
      <c r="F16" s="1614"/>
      <c r="G16" s="1614"/>
      <c r="H16" s="1614"/>
      <c r="I16" s="1614"/>
      <c r="J16" s="1614"/>
      <c r="K16" s="1614"/>
      <c r="L16" s="1614"/>
      <c r="M16" s="1614"/>
      <c r="N16" s="1614"/>
      <c r="O16" s="1614"/>
      <c r="P16" s="1614"/>
      <c r="Q16" s="1614"/>
      <c r="R16" s="1614"/>
      <c r="S16" s="1617"/>
      <c r="T16" s="1180">
        <f>'Basis &amp; Credits'!T16</f>
        <v>0</v>
      </c>
      <c r="U16" s="1139"/>
      <c r="V16" s="1139"/>
      <c r="W16" s="1139"/>
      <c r="X16" s="1139"/>
      <c r="Y16" s="1180">
        <f>'Basis &amp; Credits'!Y16</f>
        <v>0</v>
      </c>
      <c r="Z16" s="1139"/>
      <c r="AA16" s="1139"/>
      <c r="AB16" s="1139"/>
      <c r="AC16" s="1139"/>
      <c r="AD16" s="1139">
        <f>'Basis &amp; Credits'!AD16</f>
        <v>0</v>
      </c>
      <c r="AE16" s="1139"/>
      <c r="AF16" s="1139"/>
      <c r="AG16" s="1139"/>
      <c r="AH16" s="1139"/>
      <c r="AI16" s="1139">
        <f>'Basis &amp; Credits'!AI16</f>
        <v>0</v>
      </c>
      <c r="AJ16" s="1139"/>
      <c r="AK16" s="1139"/>
      <c r="AL16" s="1139"/>
      <c r="AM16" s="1139"/>
    </row>
    <row r="17" spans="1:39" ht="12.95" customHeight="1">
      <c r="B17" s="8"/>
      <c r="C17" s="1615" t="s">
        <v>807</v>
      </c>
      <c r="D17" s="1615"/>
      <c r="E17" s="1615"/>
      <c r="F17" s="1615"/>
      <c r="G17" s="1615"/>
      <c r="H17" s="1615"/>
      <c r="I17" s="1615"/>
      <c r="J17" s="1615"/>
      <c r="K17" s="1615"/>
      <c r="L17" s="1615"/>
      <c r="M17" s="1615"/>
      <c r="N17" s="1615"/>
      <c r="O17" s="1615"/>
      <c r="P17" s="1615"/>
      <c r="Q17" s="1615"/>
      <c r="R17" s="1615"/>
      <c r="S17" s="1616"/>
      <c r="T17" s="1180">
        <f>'Basis &amp; Credits'!T17</f>
        <v>0</v>
      </c>
      <c r="U17" s="1139"/>
      <c r="V17" s="1139"/>
      <c r="W17" s="1139"/>
      <c r="X17" s="1139"/>
      <c r="Y17" s="1180">
        <f>'Basis &amp; Credits'!Y17</f>
        <v>0</v>
      </c>
      <c r="Z17" s="1139"/>
      <c r="AA17" s="1139"/>
      <c r="AB17" s="1139"/>
      <c r="AC17" s="1139"/>
      <c r="AD17" s="1139">
        <f>'Basis &amp; Credits'!AD17</f>
        <v>0</v>
      </c>
      <c r="AE17" s="1139"/>
      <c r="AF17" s="1139"/>
      <c r="AG17" s="1139"/>
      <c r="AH17" s="1139"/>
      <c r="AI17" s="1139">
        <f>'Basis &amp; Credits'!AI17</f>
        <v>0</v>
      </c>
      <c r="AJ17" s="1139"/>
      <c r="AK17" s="1139"/>
      <c r="AL17" s="1139"/>
      <c r="AM17" s="1139"/>
    </row>
    <row r="18" spans="1:39" ht="12.95" customHeight="1">
      <c r="B18" s="608"/>
      <c r="C18" s="1614" t="s">
        <v>1427</v>
      </c>
      <c r="D18" s="1615"/>
      <c r="E18" s="1615"/>
      <c r="F18" s="1615"/>
      <c r="G18" s="1615"/>
      <c r="H18" s="1615"/>
      <c r="I18" s="1615"/>
      <c r="J18" s="1615"/>
      <c r="K18" s="1615"/>
      <c r="L18" s="1615"/>
      <c r="M18" s="1615"/>
      <c r="N18" s="1615"/>
      <c r="O18" s="1615"/>
      <c r="P18" s="1615"/>
      <c r="Q18" s="1615"/>
      <c r="R18" s="1615"/>
      <c r="S18" s="1616"/>
      <c r="T18" s="1178">
        <f>'Basis &amp; Credits'!T18</f>
        <v>0</v>
      </c>
      <c r="U18" s="1179"/>
      <c r="V18" s="1179"/>
      <c r="W18" s="1179"/>
      <c r="X18" s="1180"/>
      <c r="Y18" s="1180">
        <f>'Basis &amp; Credits'!Y18</f>
        <v>0</v>
      </c>
      <c r="Z18" s="1139"/>
      <c r="AA18" s="1139"/>
      <c r="AB18" s="1139"/>
      <c r="AC18" s="1139"/>
      <c r="AD18" s="1139">
        <f>'Basis &amp; Credits'!AD18</f>
        <v>0</v>
      </c>
      <c r="AE18" s="1139"/>
      <c r="AF18" s="1139"/>
      <c r="AG18" s="1139"/>
      <c r="AH18" s="1139"/>
      <c r="AI18" s="1139">
        <f>'Basis &amp; Credits'!AI18</f>
        <v>0</v>
      </c>
      <c r="AJ18" s="1139"/>
      <c r="AK18" s="1139"/>
      <c r="AL18" s="1139"/>
      <c r="AM18" s="1139"/>
    </row>
    <row r="19" spans="1:39" ht="12.95" customHeight="1">
      <c r="B19" s="498"/>
      <c r="C19" s="1589" t="str">
        <f>'Basis &amp; Credits'!C19:S19</f>
        <v>Subtract (specify other ineligible amounts):</v>
      </c>
      <c r="D19" s="1589"/>
      <c r="E19" s="1589"/>
      <c r="F19" s="1589"/>
      <c r="G19" s="1589"/>
      <c r="H19" s="1589"/>
      <c r="I19" s="1589"/>
      <c r="J19" s="1589"/>
      <c r="K19" s="1589"/>
      <c r="L19" s="1589"/>
      <c r="M19" s="1589"/>
      <c r="N19" s="1589"/>
      <c r="O19" s="1589"/>
      <c r="P19" s="1589"/>
      <c r="Q19" s="1589"/>
      <c r="R19" s="1589"/>
      <c r="S19" s="1590"/>
      <c r="T19" s="1180">
        <f>'Basis &amp; Credits'!T19</f>
        <v>0</v>
      </c>
      <c r="U19" s="1139"/>
      <c r="V19" s="1139"/>
      <c r="W19" s="1139"/>
      <c r="X19" s="1139"/>
      <c r="Y19" s="1180">
        <f>'Basis &amp; Credits'!Y19</f>
        <v>0</v>
      </c>
      <c r="Z19" s="1139"/>
      <c r="AA19" s="1139"/>
      <c r="AB19" s="1139"/>
      <c r="AC19" s="1139"/>
      <c r="AD19" s="1139">
        <f>'Basis &amp; Credits'!AD19</f>
        <v>0</v>
      </c>
      <c r="AE19" s="1139"/>
      <c r="AF19" s="1139"/>
      <c r="AG19" s="1139"/>
      <c r="AH19" s="1139"/>
      <c r="AI19" s="1139">
        <f>'Basis &amp; Credits'!AI19</f>
        <v>0</v>
      </c>
      <c r="AJ19" s="1139"/>
      <c r="AK19" s="1139"/>
      <c r="AL19" s="1139"/>
      <c r="AM19" s="1139"/>
    </row>
    <row r="20" spans="1:39" ht="12.95" customHeight="1">
      <c r="B20" s="1136" t="s">
        <v>808</v>
      </c>
      <c r="C20" s="1137"/>
      <c r="D20" s="1137"/>
      <c r="E20" s="1137"/>
      <c r="F20" s="1137"/>
      <c r="G20" s="1137"/>
      <c r="H20" s="1137"/>
      <c r="I20" s="1137"/>
      <c r="J20" s="1137"/>
      <c r="K20" s="1137"/>
      <c r="L20" s="1137"/>
      <c r="M20" s="1137"/>
      <c r="N20" s="1137"/>
      <c r="O20" s="1137"/>
      <c r="P20" s="1137"/>
      <c r="Q20" s="1137"/>
      <c r="R20" s="1137"/>
      <c r="S20" s="1138"/>
      <c r="T20" s="1601">
        <f>SUM(T13:X19)</f>
        <v>0</v>
      </c>
      <c r="U20" s="1124"/>
      <c r="V20" s="1124"/>
      <c r="W20" s="1124"/>
      <c r="X20" s="1124"/>
      <c r="Y20" s="1601">
        <f>SUM(Y13:AC19)</f>
        <v>0</v>
      </c>
      <c r="Z20" s="1124"/>
      <c r="AA20" s="1124"/>
      <c r="AB20" s="1124"/>
      <c r="AC20" s="1124"/>
      <c r="AD20" s="1124">
        <f>SUM(AD13:AH19)</f>
        <v>0</v>
      </c>
      <c r="AE20" s="1124"/>
      <c r="AF20" s="1124"/>
      <c r="AG20" s="1124"/>
      <c r="AH20" s="1124"/>
      <c r="AI20" s="1124">
        <f>SUM(AI13:AM19)</f>
        <v>0</v>
      </c>
      <c r="AJ20" s="1124"/>
      <c r="AK20" s="1124"/>
      <c r="AL20" s="1124"/>
      <c r="AM20" s="1124"/>
    </row>
    <row r="21" spans="1:39" ht="12.95" customHeight="1">
      <c r="B21" s="1136" t="s">
        <v>1788</v>
      </c>
      <c r="C21" s="1137"/>
      <c r="D21" s="1137"/>
      <c r="E21" s="1137"/>
      <c r="F21" s="1137"/>
      <c r="G21" s="1137"/>
      <c r="H21" s="1137"/>
      <c r="I21" s="1137"/>
      <c r="J21" s="1137"/>
      <c r="K21" s="1137"/>
      <c r="L21" s="1137"/>
      <c r="M21" s="1137"/>
      <c r="N21" s="1137"/>
      <c r="O21" s="1137"/>
      <c r="P21" s="1137"/>
      <c r="Q21" s="1137"/>
      <c r="R21" s="1137"/>
      <c r="S21" s="1138"/>
      <c r="T21" s="1180">
        <f>'Basis &amp; Credits'!E21</f>
        <v>0</v>
      </c>
      <c r="U21" s="1139"/>
      <c r="V21" s="1139"/>
      <c r="W21" s="1139"/>
      <c r="X21" s="1139"/>
      <c r="Y21" s="1180">
        <f>'Basis &amp; Credits'!J21</f>
        <v>0</v>
      </c>
      <c r="Z21" s="1139"/>
      <c r="AA21" s="1139"/>
      <c r="AB21" s="1139"/>
      <c r="AC21" s="1139"/>
      <c r="AD21" s="1139">
        <f>'Basis &amp; Credits'!O21</f>
        <v>0</v>
      </c>
      <c r="AE21" s="1139"/>
      <c r="AF21" s="1139"/>
      <c r="AG21" s="1139"/>
      <c r="AH21" s="1139"/>
      <c r="AI21" s="1139">
        <f>'Basis &amp; Credits'!T21</f>
        <v>0</v>
      </c>
      <c r="AJ21" s="1139"/>
      <c r="AK21" s="1139"/>
      <c r="AL21" s="1139"/>
      <c r="AM21" s="1139"/>
    </row>
    <row r="22" spans="1:39" ht="12.95" customHeight="1">
      <c r="B22" s="1136" t="s">
        <v>809</v>
      </c>
      <c r="C22" s="1137"/>
      <c r="D22" s="1137"/>
      <c r="E22" s="1137"/>
      <c r="F22" s="1137"/>
      <c r="G22" s="1137"/>
      <c r="H22" s="1137"/>
      <c r="I22" s="1137"/>
      <c r="J22" s="1137"/>
      <c r="K22" s="1137"/>
      <c r="L22" s="1137"/>
      <c r="M22" s="1137"/>
      <c r="N22" s="1137"/>
      <c r="O22" s="1137"/>
      <c r="P22" s="1137"/>
      <c r="Q22" s="1137"/>
      <c r="R22" s="1137"/>
      <c r="S22" s="1138"/>
      <c r="T22" s="1602">
        <f>(T20+T21)*-1</f>
        <v>0</v>
      </c>
      <c r="U22" s="1603"/>
      <c r="V22" s="1603"/>
      <c r="W22" s="1603"/>
      <c r="X22" s="1603"/>
      <c r="Y22" s="1602">
        <f>(Y20+Y21)*-1</f>
        <v>0</v>
      </c>
      <c r="Z22" s="1603"/>
      <c r="AA22" s="1603"/>
      <c r="AB22" s="1603"/>
      <c r="AC22" s="1603"/>
      <c r="AD22" s="1602">
        <f>(AD20+AD21)*-1</f>
        <v>0</v>
      </c>
      <c r="AE22" s="1603"/>
      <c r="AF22" s="1603"/>
      <c r="AG22" s="1603"/>
      <c r="AH22" s="1603"/>
      <c r="AI22" s="1602">
        <f>(AI20+AI21)*-1</f>
        <v>0</v>
      </c>
      <c r="AJ22" s="1603"/>
      <c r="AK22" s="1603"/>
      <c r="AL22" s="1603"/>
      <c r="AM22" s="1603"/>
    </row>
    <row r="23" spans="1:39" ht="12.95" customHeight="1">
      <c r="B23" s="1136" t="s">
        <v>810</v>
      </c>
      <c r="C23" s="1137"/>
      <c r="D23" s="1137"/>
      <c r="E23" s="1137"/>
      <c r="F23" s="1137"/>
      <c r="G23" s="1137"/>
      <c r="H23" s="1137"/>
      <c r="I23" s="1137"/>
      <c r="J23" s="1137"/>
      <c r="K23" s="1137"/>
      <c r="L23" s="1137"/>
      <c r="M23" s="1137"/>
      <c r="N23" s="1137"/>
      <c r="O23" s="1137"/>
      <c r="P23" s="1137"/>
      <c r="Q23" s="1137"/>
      <c r="R23" s="1137"/>
      <c r="S23" s="1138"/>
      <c r="T23" s="1601">
        <f>T11+T22</f>
        <v>24783728.355295107</v>
      </c>
      <c r="U23" s="1124"/>
      <c r="V23" s="1124"/>
      <c r="W23" s="1124"/>
      <c r="X23" s="1124"/>
      <c r="Y23" s="1601">
        <f>Y11+Y22</f>
        <v>0</v>
      </c>
      <c r="Z23" s="1124"/>
      <c r="AA23" s="1124"/>
      <c r="AB23" s="1124"/>
      <c r="AC23" s="1124"/>
      <c r="AD23" s="1601">
        <f>AD11+AD22</f>
        <v>0</v>
      </c>
      <c r="AE23" s="1124"/>
      <c r="AF23" s="1124"/>
      <c r="AG23" s="1124"/>
      <c r="AH23" s="1124"/>
      <c r="AI23" s="1601">
        <f>AI11+AI22</f>
        <v>0</v>
      </c>
      <c r="AJ23" s="1124"/>
      <c r="AK23" s="1124"/>
      <c r="AL23" s="1124"/>
      <c r="AM23" s="1124"/>
    </row>
    <row r="24" spans="1:39" ht="12.95" customHeight="1">
      <c r="B24" s="1136" t="s">
        <v>1270</v>
      </c>
      <c r="C24" s="1137"/>
      <c r="D24" s="1137"/>
      <c r="E24" s="1137"/>
      <c r="F24" s="1137"/>
      <c r="G24" s="1137"/>
      <c r="H24" s="1137"/>
      <c r="I24" s="1137"/>
      <c r="J24" s="1137"/>
      <c r="K24" s="1137"/>
      <c r="L24" s="1137"/>
      <c r="M24" s="1137"/>
      <c r="N24" s="1137"/>
      <c r="O24" s="1137"/>
      <c r="P24" s="1137"/>
      <c r="Q24" s="1137"/>
      <c r="R24" s="1137"/>
      <c r="S24" s="1138"/>
      <c r="T24" s="1599">
        <f>Application!AD979</f>
        <v>0</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5" customHeight="1">
      <c r="B25" s="1591" t="s">
        <v>1824</v>
      </c>
      <c r="C25" s="1592"/>
      <c r="D25" s="1592"/>
      <c r="E25" s="1592"/>
      <c r="F25" s="1592"/>
      <c r="G25" s="1592"/>
      <c r="H25" s="1592"/>
      <c r="I25" s="1592"/>
      <c r="J25" s="1592"/>
      <c r="K25" s="1592"/>
      <c r="L25" s="1592"/>
      <c r="M25" s="1592"/>
      <c r="N25" s="1592"/>
      <c r="O25" s="1592"/>
      <c r="P25" s="1592"/>
      <c r="Q25" s="1592"/>
      <c r="R25" s="1592"/>
      <c r="S25" s="1593"/>
      <c r="T25" s="1605">
        <v>1</v>
      </c>
      <c r="U25" s="1606"/>
      <c r="V25" s="1606"/>
      <c r="W25" s="1606"/>
      <c r="X25" s="1607"/>
      <c r="Y25" s="1605">
        <v>1</v>
      </c>
      <c r="Z25" s="1606"/>
      <c r="AA25" s="1606"/>
      <c r="AB25" s="1606"/>
      <c r="AC25" s="1607"/>
      <c r="AD25" s="1605">
        <v>1</v>
      </c>
      <c r="AE25" s="1606"/>
      <c r="AF25" s="1606"/>
      <c r="AG25" s="1606"/>
      <c r="AH25" s="1607"/>
      <c r="AI25" s="1605">
        <v>1</v>
      </c>
      <c r="AJ25" s="1606"/>
      <c r="AK25" s="1606"/>
      <c r="AL25" s="1606"/>
      <c r="AM25" s="1607"/>
    </row>
    <row r="26" spans="1:39" ht="12.95" customHeight="1">
      <c r="B26" s="1136" t="s">
        <v>811</v>
      </c>
      <c r="C26" s="1137"/>
      <c r="D26" s="1137"/>
      <c r="E26" s="1137"/>
      <c r="F26" s="1137"/>
      <c r="G26" s="1137"/>
      <c r="H26" s="1137"/>
      <c r="I26" s="1137"/>
      <c r="J26" s="1137"/>
      <c r="K26" s="1137"/>
      <c r="L26" s="1137"/>
      <c r="M26" s="1137"/>
      <c r="N26" s="1137"/>
      <c r="O26" s="1137"/>
      <c r="P26" s="1137"/>
      <c r="Q26" s="1137"/>
      <c r="R26" s="1137"/>
      <c r="S26" s="1138"/>
      <c r="T26" s="1191">
        <f>T23*T25</f>
        <v>24783728.355295107</v>
      </c>
      <c r="U26" s="1604"/>
      <c r="V26" s="1604"/>
      <c r="W26" s="1604"/>
      <c r="X26" s="1604"/>
      <c r="Y26" s="1191">
        <f>Y23*Y25</f>
        <v>0</v>
      </c>
      <c r="Z26" s="1604"/>
      <c r="AA26" s="1604"/>
      <c r="AB26" s="1604"/>
      <c r="AC26" s="1604"/>
      <c r="AD26" s="1191">
        <f>AD23*AD25</f>
        <v>0</v>
      </c>
      <c r="AE26" s="1604"/>
      <c r="AF26" s="1604"/>
      <c r="AG26" s="1604"/>
      <c r="AH26" s="1604"/>
      <c r="AI26" s="1191">
        <f>AI23*AI25</f>
        <v>0</v>
      </c>
      <c r="AJ26" s="1604"/>
      <c r="AK26" s="1604"/>
      <c r="AL26" s="1604"/>
      <c r="AM26" s="1604"/>
    </row>
    <row r="27" spans="1:39" ht="12.95" customHeight="1">
      <c r="A27" s="4"/>
      <c r="B27" s="1594" t="s">
        <v>920</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5" customHeight="1">
      <c r="A28" s="3"/>
      <c r="B28" s="1136" t="s">
        <v>884</v>
      </c>
      <c r="C28" s="1137"/>
      <c r="D28" s="1137"/>
      <c r="E28" s="1137"/>
      <c r="F28" s="1137"/>
      <c r="G28" s="1137"/>
      <c r="H28" s="1137"/>
      <c r="I28" s="1137"/>
      <c r="J28" s="1137"/>
      <c r="K28" s="1137"/>
      <c r="L28" s="1137"/>
      <c r="M28" s="1137"/>
      <c r="N28" s="1137"/>
      <c r="O28" s="1137"/>
      <c r="P28" s="1137"/>
      <c r="Q28" s="1137"/>
      <c r="R28" s="1137"/>
      <c r="S28" s="1138"/>
      <c r="T28" s="1191">
        <f>IF(ISERROR((T26*T27)),0,(T26*T27))</f>
        <v>24783728.355295107</v>
      </c>
      <c r="U28" s="1604"/>
      <c r="V28" s="1604"/>
      <c r="W28" s="1604"/>
      <c r="X28" s="1604"/>
      <c r="Y28" s="1191">
        <f>IF(ISERROR((Y26*Y27)),0,(Y26*Y27))</f>
        <v>0</v>
      </c>
      <c r="Z28" s="1604"/>
      <c r="AA28" s="1604"/>
      <c r="AB28" s="1604"/>
      <c r="AC28" s="1604"/>
      <c r="AD28" s="1191">
        <f>IF(ISERROR((AD26*AD27)),0,(AD26*AD27))</f>
        <v>0</v>
      </c>
      <c r="AE28" s="1604"/>
      <c r="AF28" s="1604"/>
      <c r="AG28" s="1604"/>
      <c r="AH28" s="1604"/>
      <c r="AI28" s="1191">
        <f>IF(ISERROR((AI26*AI27)),0,(AI26*AI27))</f>
        <v>0</v>
      </c>
      <c r="AJ28" s="1604"/>
      <c r="AK28" s="1604"/>
      <c r="AL28" s="1604"/>
      <c r="AM28" s="1604"/>
    </row>
    <row r="29" spans="1:39" ht="12.95" customHeight="1">
      <c r="B29" s="1136" t="s">
        <v>659</v>
      </c>
      <c r="C29" s="1137"/>
      <c r="D29" s="1137"/>
      <c r="E29" s="1137"/>
      <c r="F29" s="1137"/>
      <c r="G29" s="1137"/>
      <c r="H29" s="1137"/>
      <c r="I29" s="1137"/>
      <c r="J29" s="1137"/>
      <c r="K29" s="1137"/>
      <c r="L29" s="1137"/>
      <c r="M29" s="1137"/>
      <c r="N29" s="1137"/>
      <c r="O29" s="1137"/>
      <c r="P29" s="1137"/>
      <c r="Q29" s="1137"/>
      <c r="R29" s="1137"/>
      <c r="S29" s="1138"/>
      <c r="T29" s="1599">
        <f>T28+Y28+AD28+AI28</f>
        <v>24783728.355295107</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5" customHeight="1">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8" t="s">
        <v>1679</v>
      </c>
      <c r="Z35" s="1608"/>
      <c r="AA35" s="1608"/>
      <c r="AB35" s="1608"/>
      <c r="AC35" s="1608"/>
      <c r="AD35" s="1177" t="s">
        <v>45</v>
      </c>
      <c r="AE35" s="1177"/>
      <c r="AF35" s="1177"/>
      <c r="AG35" s="1177"/>
      <c r="AH35" s="1177"/>
    </row>
    <row r="36" spans="1:40" ht="12.95" customHeight="1">
      <c r="B36" s="204"/>
      <c r="X36" s="71"/>
      <c r="Y36" s="1608"/>
      <c r="Z36" s="1608"/>
      <c r="AA36" s="1608"/>
      <c r="AB36" s="1608"/>
      <c r="AC36" s="1608"/>
      <c r="AD36" s="1177"/>
      <c r="AE36" s="1177"/>
      <c r="AF36" s="1177"/>
      <c r="AG36" s="1177"/>
      <c r="AH36" s="117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177"/>
      <c r="AE37" s="1177"/>
      <c r="AF37" s="1177"/>
      <c r="AG37" s="1177"/>
      <c r="AH37" s="1177"/>
    </row>
    <row r="38" spans="1:40" ht="12.95" customHeight="1">
      <c r="A38" s="3"/>
      <c r="B38" s="1136" t="s">
        <v>884</v>
      </c>
      <c r="C38" s="1137"/>
      <c r="D38" s="1137"/>
      <c r="E38" s="1137"/>
      <c r="F38" s="1137"/>
      <c r="G38" s="1137"/>
      <c r="H38" s="1137"/>
      <c r="I38" s="1137"/>
      <c r="J38" s="1137"/>
      <c r="K38" s="1137"/>
      <c r="L38" s="1137"/>
      <c r="M38" s="1137"/>
      <c r="N38" s="1137"/>
      <c r="O38" s="1137"/>
      <c r="P38" s="1137"/>
      <c r="Q38" s="1137"/>
      <c r="R38" s="1137"/>
      <c r="S38" s="1137"/>
      <c r="T38" s="1137"/>
      <c r="U38" s="1137"/>
      <c r="V38" s="1137"/>
      <c r="W38" s="1137"/>
      <c r="X38" s="1138"/>
      <c r="Y38" s="1124">
        <f>IF(T24&gt;=(T23+Y23+AD23+AI23),T28+Y28,0)</f>
        <v>0</v>
      </c>
      <c r="Z38" s="1124"/>
      <c r="AA38" s="1124"/>
      <c r="AB38" s="1124"/>
      <c r="AC38" s="1124"/>
      <c r="AD38" s="1124">
        <f>IF(T24&gt;=(T23+Y23+AD23+AI23),AD28+AI28,0)</f>
        <v>0</v>
      </c>
      <c r="AE38" s="1124"/>
      <c r="AF38" s="1124"/>
      <c r="AG38" s="1124"/>
      <c r="AH38" s="1124"/>
    </row>
    <row r="39" spans="1:40" ht="12.95" customHeight="1">
      <c r="B39" s="1136" t="s">
        <v>802</v>
      </c>
      <c r="C39" s="1137"/>
      <c r="D39" s="1137"/>
      <c r="E39" s="1137"/>
      <c r="F39" s="1137"/>
      <c r="G39" s="1137"/>
      <c r="H39" s="1137"/>
      <c r="I39" s="1137"/>
      <c r="J39" s="1137"/>
      <c r="K39" s="1137"/>
      <c r="L39" s="1137"/>
      <c r="M39" s="1137"/>
      <c r="N39" s="1137"/>
      <c r="O39" s="1137"/>
      <c r="P39" s="1137"/>
      <c r="Q39" s="1137"/>
      <c r="R39" s="1137"/>
      <c r="S39" s="1137"/>
      <c r="T39" s="1137"/>
      <c r="U39" s="1137"/>
      <c r="V39" s="1137"/>
      <c r="W39" s="1137"/>
      <c r="X39" s="1138"/>
      <c r="Y39" s="1956">
        <v>0.09</v>
      </c>
      <c r="Z39" s="1956"/>
      <c r="AA39" s="1956"/>
      <c r="AB39" s="1956"/>
      <c r="AC39" s="1956"/>
      <c r="AD39" s="1956">
        <f>'Basis &amp; Credits'!AD39:AH39</f>
        <v>0.04</v>
      </c>
      <c r="AE39" s="1956"/>
      <c r="AF39" s="1956"/>
      <c r="AG39" s="1956"/>
      <c r="AH39" s="1956"/>
    </row>
    <row r="40" spans="1:40" ht="12.95" customHeight="1">
      <c r="A40" s="3"/>
      <c r="B40" s="1136" t="s">
        <v>25</v>
      </c>
      <c r="C40" s="1137"/>
      <c r="D40" s="1137"/>
      <c r="E40" s="1137"/>
      <c r="F40" s="1137"/>
      <c r="G40" s="1137"/>
      <c r="H40" s="1137"/>
      <c r="I40" s="1137"/>
      <c r="J40" s="1137"/>
      <c r="K40" s="1137"/>
      <c r="L40" s="1137"/>
      <c r="M40" s="1137"/>
      <c r="N40" s="1137"/>
      <c r="O40" s="1137"/>
      <c r="P40" s="1137"/>
      <c r="Q40" s="1137"/>
      <c r="R40" s="1137"/>
      <c r="S40" s="1137"/>
      <c r="T40" s="1137"/>
      <c r="U40" s="1137"/>
      <c r="V40" s="1137"/>
      <c r="W40" s="1137"/>
      <c r="X40" s="1138"/>
      <c r="Y40" s="1124">
        <f>ROUND(Y38*Y39,0)</f>
        <v>0</v>
      </c>
      <c r="Z40" s="1124"/>
      <c r="AA40" s="1124"/>
      <c r="AB40" s="1124"/>
      <c r="AC40" s="1124"/>
      <c r="AD40" s="1601">
        <f>ROUND(AD38*AD39,0)</f>
        <v>0</v>
      </c>
      <c r="AE40" s="1124"/>
      <c r="AF40" s="1124"/>
      <c r="AG40" s="1124"/>
      <c r="AH40" s="1124"/>
    </row>
    <row r="41" spans="1:40" ht="12.95" customHeight="1">
      <c r="B41" s="1136" t="s">
        <v>653</v>
      </c>
      <c r="C41" s="1137"/>
      <c r="D41" s="1137"/>
      <c r="E41" s="1137"/>
      <c r="F41" s="1137"/>
      <c r="G41" s="1137"/>
      <c r="H41" s="1137"/>
      <c r="I41" s="1137"/>
      <c r="J41" s="1137"/>
      <c r="K41" s="1137"/>
      <c r="L41" s="1137"/>
      <c r="M41" s="1137"/>
      <c r="N41" s="1137"/>
      <c r="O41" s="1137"/>
      <c r="P41" s="1137"/>
      <c r="Q41" s="1137"/>
      <c r="R41" s="1137"/>
      <c r="S41" s="1137"/>
      <c r="T41" s="1137"/>
      <c r="U41" s="1137"/>
      <c r="V41" s="1137"/>
      <c r="W41" s="1137"/>
      <c r="X41" s="1138"/>
      <c r="Y41" s="1599">
        <f>IF((Y40+AD40)&gt;2500000,2500000,Y40+AD40)</f>
        <v>0</v>
      </c>
      <c r="Z41" s="1600"/>
      <c r="AA41" s="1600"/>
      <c r="AB41" s="1600"/>
      <c r="AC41" s="1600"/>
      <c r="AD41" s="1600"/>
      <c r="AE41" s="1600"/>
      <c r="AF41" s="1600"/>
      <c r="AG41" s="1600"/>
      <c r="AH41" s="1601"/>
    </row>
    <row r="42" spans="1:40" ht="12.95" customHeight="1">
      <c r="A42" s="3"/>
      <c r="B42" s="1633" t="s">
        <v>1210</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3">
        <f>'Sources and Uses Budget'!B104-'Sources and Uses Budget'!$B$15</f>
        <v>27378426.594866805</v>
      </c>
      <c r="AC46" s="1154"/>
      <c r="AD46" s="1154"/>
      <c r="AE46" s="1154"/>
      <c r="AF46" s="1155"/>
    </row>
    <row r="47" spans="1:40" ht="12.95" customHeight="1">
      <c r="D47" s="3" t="s">
        <v>878</v>
      </c>
      <c r="AB47" s="1153">
        <f>Application!AG630-MIN('Sources and Uses Budget'!B15,Application!AG385)</f>
        <v>0</v>
      </c>
      <c r="AC47" s="1154"/>
      <c r="AD47" s="1154"/>
      <c r="AE47" s="1154"/>
      <c r="AF47" s="1155"/>
    </row>
    <row r="48" spans="1:40" ht="12.95" customHeight="1">
      <c r="D48" s="3" t="s">
        <v>403</v>
      </c>
      <c r="AB48" s="1153">
        <f>AB46-AB47</f>
        <v>27378426.594866805</v>
      </c>
      <c r="AC48" s="1154"/>
      <c r="AD48" s="1154"/>
      <c r="AE48" s="1154"/>
      <c r="AF48" s="1155"/>
    </row>
    <row r="49" spans="1:40" ht="12.95" customHeight="1">
      <c r="D49" s="3" t="s">
        <v>913</v>
      </c>
      <c r="AA49" s="34"/>
      <c r="AB49" s="1628"/>
      <c r="AC49" s="1629"/>
      <c r="AD49" s="1629"/>
      <c r="AE49" s="1629"/>
      <c r="AF49" s="1630"/>
    </row>
    <row r="50" spans="1:40" s="324" customFormat="1" ht="12.95" customHeight="1">
      <c r="A50"/>
      <c r="B50"/>
      <c r="C50"/>
      <c r="D50"/>
      <c r="E50" s="1637" t="s">
        <v>1416</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8"/>
      <c r="AB50" s="358"/>
      <c r="AC50" s="358"/>
      <c r="AD50" s="358"/>
      <c r="AE50" s="358"/>
      <c r="AF50" s="358"/>
      <c r="AG50"/>
      <c r="AH50"/>
      <c r="AI50"/>
      <c r="AJ50"/>
      <c r="AK50"/>
      <c r="AL50"/>
      <c r="AM50"/>
      <c r="AN50"/>
    </row>
    <row r="51" spans="1:40" s="324" customFormat="1" ht="12.95"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3">
        <f>ROUND(IF(ISERROR((AB48/AB49)),0,(AB48/AB49)),0)</f>
        <v>0</v>
      </c>
      <c r="AC53" s="1154"/>
      <c r="AD53" s="1154"/>
      <c r="AE53" s="1154"/>
      <c r="AF53" s="1155"/>
    </row>
    <row r="54" spans="1:40" ht="12.95" customHeight="1">
      <c r="D54" s="3" t="s">
        <v>592</v>
      </c>
      <c r="AB54" s="1153">
        <f>(AB53/10)</f>
        <v>0</v>
      </c>
      <c r="AC54" s="1154"/>
      <c r="AD54" s="1154"/>
      <c r="AE54" s="1154"/>
      <c r="AF54" s="1155"/>
    </row>
    <row r="55" spans="1:40" ht="12.95" customHeight="1">
      <c r="D55" s="3" t="s">
        <v>362</v>
      </c>
      <c r="AB55" s="1634">
        <f>(IF((Y41&lt;AB54),Y41,AB54))</f>
        <v>0</v>
      </c>
      <c r="AC55" s="1635"/>
      <c r="AD55" s="1635"/>
      <c r="AE55" s="1635"/>
      <c r="AF55" s="1636"/>
    </row>
    <row r="56" spans="1:40" ht="12.95" customHeight="1">
      <c r="D56" s="3" t="s">
        <v>115</v>
      </c>
      <c r="AB56" s="1153">
        <f>ROUND((10*AB55*AB49),0)</f>
        <v>0</v>
      </c>
      <c r="AC56" s="1154"/>
      <c r="AD56" s="1154"/>
      <c r="AE56" s="1154"/>
      <c r="AF56" s="1155"/>
    </row>
    <row r="57" spans="1:40" ht="12.95" customHeight="1">
      <c r="D57" s="3"/>
      <c r="AB57" s="276"/>
      <c r="AC57" s="276"/>
      <c r="AD57" s="276"/>
      <c r="AE57" s="276"/>
      <c r="AF57" s="276"/>
    </row>
    <row r="58" spans="1:40" ht="12.95" customHeight="1">
      <c r="D58" s="3" t="s">
        <v>114</v>
      </c>
      <c r="AB58" s="1168">
        <f>AB48-AB56</f>
        <v>27378426.594866805</v>
      </c>
      <c r="AC58" s="1168"/>
      <c r="AD58" s="1168"/>
      <c r="AE58" s="1168"/>
      <c r="AF58" s="1168"/>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0" t="s">
        <v>1827</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5" customHeight="1" thickTop="1">
      <c r="A61" s="1504"/>
      <c r="B61" s="1504"/>
      <c r="C61" s="1504"/>
      <c r="D61" s="1504"/>
      <c r="E61" s="1504"/>
      <c r="F61" s="1504"/>
      <c r="G61" s="1504"/>
      <c r="H61" s="1504"/>
      <c r="I61" s="1504"/>
      <c r="J61" s="1504"/>
      <c r="K61" s="1504"/>
      <c r="L61" s="1504"/>
      <c r="M61" s="1504"/>
      <c r="N61" s="1504"/>
      <c r="O61" s="1504"/>
      <c r="P61" s="1504"/>
      <c r="Q61" s="1504"/>
      <c r="R61" s="1504"/>
      <c r="S61" s="1504"/>
      <c r="T61" s="1504"/>
      <c r="U61" s="1504"/>
      <c r="V61" s="1504"/>
      <c r="W61" s="1504"/>
      <c r="X61" s="1504"/>
      <c r="Y61" s="1504"/>
      <c r="Z61" s="1504"/>
      <c r="AA61" s="1504"/>
      <c r="AB61" s="1504"/>
      <c r="AC61" s="1504"/>
      <c r="AD61" s="1504"/>
      <c r="AE61" s="1504"/>
      <c r="AF61" s="1504"/>
      <c r="AG61" s="1504"/>
      <c r="AH61" s="1504"/>
      <c r="AI61" s="1504"/>
      <c r="AJ61" s="1504"/>
      <c r="AK61" s="1504"/>
      <c r="AL61" s="1504"/>
      <c r="AM61" s="1504"/>
      <c r="AN61" s="1504"/>
    </row>
    <row r="62" spans="1:40" ht="12.95" customHeight="1">
      <c r="A62" s="3" t="s">
        <v>130</v>
      </c>
      <c r="C62" s="3" t="s">
        <v>540</v>
      </c>
      <c r="Y62" s="1642" t="s">
        <v>316</v>
      </c>
      <c r="Z62" s="1642"/>
      <c r="AA62" s="1642"/>
      <c r="AB62" s="1642"/>
      <c r="AC62" s="1642"/>
      <c r="AD62" s="1642" t="s">
        <v>45</v>
      </c>
      <c r="AE62" s="1642"/>
      <c r="AF62" s="1642"/>
      <c r="AG62" s="1642"/>
      <c r="AH62" s="1642"/>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124">
        <f>Y28</f>
        <v>0</v>
      </c>
      <c r="Z63" s="1631"/>
      <c r="AA63" s="1631"/>
      <c r="AB63" s="1631"/>
      <c r="AC63" s="1631"/>
      <c r="AD63" s="1124">
        <f>AI28</f>
        <v>0</v>
      </c>
      <c r="AE63" s="1631"/>
      <c r="AF63" s="1631"/>
      <c r="AG63" s="1631"/>
      <c r="AH63" s="1631"/>
    </row>
    <row r="64" spans="1:40" ht="12.95" customHeight="1">
      <c r="C64" s="3"/>
      <c r="E64" s="1641" t="s">
        <v>1342</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2.2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7">
        <v>0.3</v>
      </c>
      <c r="Z66" s="1627"/>
      <c r="AA66" s="1627"/>
      <c r="AB66" s="1627"/>
      <c r="AC66" s="1627"/>
      <c r="AD66" s="1627">
        <v>0.13</v>
      </c>
      <c r="AE66" s="1627"/>
      <c r="AF66" s="1627"/>
      <c r="AG66" s="1627"/>
      <c r="AH66" s="1627"/>
    </row>
    <row r="67" spans="1:34" ht="12.95" customHeight="1">
      <c r="C67" s="3"/>
      <c r="D67" s="3" t="s">
        <v>985</v>
      </c>
      <c r="Y67" s="1124">
        <f>ROUND(Y63*Y66,0)</f>
        <v>0</v>
      </c>
      <c r="Z67" s="1631"/>
      <c r="AA67" s="1631"/>
      <c r="AB67" s="1631"/>
      <c r="AC67" s="1631"/>
      <c r="AD67" s="1124" t="str">
        <f>IF(OR(Application!D211="At-Risk",Application!D211="At-Risk/Located in Rural Census Tract",Application!D214="At-Risk"),ROUND(AD63*AD66,0),"$0")</f>
        <v>$0</v>
      </c>
      <c r="AE67" s="1124"/>
      <c r="AF67" s="1124"/>
      <c r="AG67" s="1124"/>
      <c r="AH67" s="1124"/>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28"/>
      <c r="AC70" s="1629"/>
      <c r="AD70" s="1629"/>
      <c r="AE70" s="1629"/>
      <c r="AF70" s="1630"/>
    </row>
    <row r="71" spans="1:34" ht="12.95" customHeight="1">
      <c r="A71" s="3"/>
      <c r="C71" s="3"/>
      <c r="D71" s="3"/>
      <c r="E71" s="1632" t="s">
        <v>1822</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5"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5"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36">
        <f>ROUND(IF(ISERROR((AB58/AB70)),0,(AB58/AB70)),0)</f>
        <v>0</v>
      </c>
      <c r="AC75" s="1536"/>
      <c r="AD75" s="1536"/>
      <c r="AE75" s="1536"/>
      <c r="AF75" s="1536"/>
    </row>
    <row r="76" spans="1:34" ht="12.95" customHeight="1">
      <c r="C76" s="3"/>
      <c r="D76" s="3" t="s">
        <v>113</v>
      </c>
      <c r="AB76" s="1533">
        <f>IF((Y67+AD67&lt;AB75),Y67+AD67,AB75)</f>
        <v>0</v>
      </c>
      <c r="AC76" s="1534"/>
      <c r="AD76" s="1534"/>
      <c r="AE76" s="1534"/>
      <c r="AF76" s="1535"/>
    </row>
    <row r="77" spans="1:34" ht="12.95" customHeight="1">
      <c r="C77" s="3"/>
      <c r="D77" s="3" t="s">
        <v>986</v>
      </c>
      <c r="AB77" s="1626">
        <f>AB76*AB70</f>
        <v>0</v>
      </c>
      <c r="AC77" s="1626"/>
      <c r="AD77" s="1626"/>
      <c r="AE77" s="1626"/>
      <c r="AF77" s="1626"/>
    </row>
    <row r="78" spans="1:34" ht="12.95" customHeight="1">
      <c r="C78" s="3"/>
      <c r="D78" s="3"/>
      <c r="AB78" s="613"/>
      <c r="AC78" s="613"/>
      <c r="AD78" s="613"/>
      <c r="AE78" s="613"/>
      <c r="AF78" s="613"/>
    </row>
    <row r="79" spans="1:34" ht="12.95" customHeight="1">
      <c r="D79" s="3" t="s">
        <v>114</v>
      </c>
      <c r="AB79" s="1168">
        <f>AB48-(AB56+AB77)</f>
        <v>27378426.594866805</v>
      </c>
      <c r="AC79" s="1168"/>
      <c r="AD79" s="1168"/>
      <c r="AE79" s="1168"/>
      <c r="AF79" s="1168"/>
    </row>
    <row r="80" spans="1:34" ht="12.95" customHeight="1">
      <c r="F80" s="16"/>
      <c r="J80" s="16" t="str">
        <f>IF(AB79&gt;0,"FUNDING GAP MUST NOT EXCEED ZERO","")</f>
        <v>FUNDING GAP MUST NOT EXCEED ZERO</v>
      </c>
    </row>
    <row r="81" spans="4:4" ht="12.9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375" customWidth="1"/>
    <col min="2" max="2" width="0.875" customWidth="1"/>
    <col min="3" max="18" width="2.375" customWidth="1"/>
    <col min="19" max="19" width="4" customWidth="1"/>
    <col min="20" max="39" width="2.375" customWidth="1"/>
    <col min="40" max="40" width="1.375" customWidth="1"/>
    <col min="41" max="16384" width="2.375" hidden="1"/>
  </cols>
  <sheetData>
    <row r="1" spans="1:40" ht="12.95" customHeight="1">
      <c r="A1" s="1624" t="s">
        <v>1417</v>
      </c>
      <c r="B1" s="1394"/>
      <c r="C1" s="1394"/>
      <c r="D1" s="1394"/>
      <c r="E1" s="1394"/>
      <c r="F1" s="1394"/>
      <c r="G1" s="1394"/>
      <c r="H1" s="1394"/>
      <c r="I1" s="1394"/>
      <c r="J1" s="1394"/>
      <c r="K1" s="1394"/>
      <c r="L1" s="1394"/>
      <c r="M1" s="1394"/>
      <c r="N1" s="1394"/>
      <c r="O1" s="1394"/>
      <c r="P1" s="1394"/>
      <c r="Q1" s="1394"/>
      <c r="R1" s="1394"/>
      <c r="S1" s="1394"/>
      <c r="T1" s="1394"/>
      <c r="U1" s="1394"/>
      <c r="V1" s="1394"/>
      <c r="W1" s="1394"/>
      <c r="X1" s="1394"/>
      <c r="Y1" s="1394"/>
      <c r="Z1" s="1394"/>
      <c r="AA1" s="1394"/>
      <c r="AB1" s="1394"/>
      <c r="AC1" s="1394"/>
      <c r="AD1" s="1394"/>
      <c r="AE1" s="1394"/>
      <c r="AF1" s="1394"/>
      <c r="AG1" s="1394"/>
      <c r="AH1" s="1394"/>
      <c r="AI1" s="1394"/>
      <c r="AJ1" s="1394"/>
      <c r="AK1" s="1394"/>
      <c r="AL1" s="1394"/>
      <c r="AM1" s="1394"/>
      <c r="AN1" s="1394"/>
    </row>
    <row r="2" spans="1:40" ht="12.95" customHeight="1" thickBot="1">
      <c r="A2" s="1395"/>
      <c r="B2" s="1395"/>
      <c r="C2" s="1395"/>
      <c r="D2" s="1395"/>
      <c r="E2" s="1395"/>
      <c r="F2" s="1395"/>
      <c r="G2" s="1395"/>
      <c r="H2" s="1395"/>
      <c r="I2" s="1395"/>
      <c r="J2" s="1395"/>
      <c r="K2" s="1395"/>
      <c r="L2" s="1395"/>
      <c r="M2" s="1395"/>
      <c r="N2" s="1395"/>
      <c r="O2" s="1395"/>
      <c r="P2" s="1395"/>
      <c r="Q2" s="1395"/>
      <c r="R2" s="1395"/>
      <c r="S2" s="1395"/>
      <c r="T2" s="1395"/>
      <c r="U2" s="1395"/>
      <c r="V2" s="1395"/>
      <c r="W2" s="1395"/>
      <c r="X2" s="1395"/>
      <c r="Y2" s="1395"/>
      <c r="Z2" s="1395"/>
      <c r="AA2" s="1395"/>
      <c r="AB2" s="1395"/>
      <c r="AC2" s="1395"/>
      <c r="AD2" s="1395"/>
      <c r="AE2" s="1395"/>
      <c r="AF2" s="1395"/>
      <c r="AG2" s="1395"/>
      <c r="AH2" s="1395"/>
      <c r="AI2" s="1395"/>
      <c r="AJ2" s="1395"/>
      <c r="AK2" s="1395"/>
      <c r="AL2" s="1395"/>
      <c r="AM2" s="1395"/>
      <c r="AN2" s="139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08" t="s">
        <v>1680</v>
      </c>
      <c r="U7" s="1608"/>
      <c r="V7" s="1608"/>
      <c r="W7" s="1608"/>
      <c r="X7" s="1608"/>
      <c r="Y7" s="1608" t="s">
        <v>1825</v>
      </c>
      <c r="Z7" s="1608"/>
      <c r="AA7" s="1608"/>
      <c r="AB7" s="1608"/>
      <c r="AC7" s="1608"/>
      <c r="AD7" s="1608" t="s">
        <v>1423</v>
      </c>
      <c r="AE7" s="1608"/>
      <c r="AF7" s="1608"/>
      <c r="AG7" s="1608"/>
      <c r="AH7" s="1608"/>
      <c r="AI7" s="1608" t="s">
        <v>1826</v>
      </c>
      <c r="AJ7" s="1608"/>
      <c r="AK7" s="1608"/>
      <c r="AL7" s="1608"/>
      <c r="AM7" s="1608"/>
    </row>
    <row r="8" spans="1:40" ht="12.95"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5"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40.7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5" customHeight="1">
      <c r="B11" s="1136" t="s">
        <v>539</v>
      </c>
      <c r="C11" s="1137"/>
      <c r="D11" s="1137"/>
      <c r="E11" s="1137"/>
      <c r="F11" s="1137"/>
      <c r="G11" s="1137"/>
      <c r="H11" s="1137"/>
      <c r="I11" s="1137"/>
      <c r="J11" s="1137"/>
      <c r="K11" s="1137"/>
      <c r="L11" s="1137"/>
      <c r="M11" s="1137"/>
      <c r="N11" s="1137"/>
      <c r="O11" s="1137"/>
      <c r="P11" s="1137"/>
      <c r="Q11" s="1137"/>
      <c r="R11" s="1137"/>
      <c r="S11" s="1138"/>
      <c r="T11" s="1618">
        <f>IF('Sources and Basis Breakdown'!F105=0,'Sources and Basis Breakdown'!E105,'Sources and Basis Breakdown'!F105)</f>
        <v>24783728.355295107</v>
      </c>
      <c r="U11" s="1609"/>
      <c r="V11" s="1609"/>
      <c r="W11" s="1609"/>
      <c r="X11" s="1609"/>
      <c r="Y11" s="1625">
        <f>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IF('Sources and Basis Breakdown'!I105+'Sources and Basis Breakdown'!J105='Sources and Basis Breakdown'!H105,'Sources and Basis Breakdown'!J105,0)</f>
        <v>0</v>
      </c>
      <c r="AJ11" s="1609"/>
      <c r="AK11" s="1609"/>
      <c r="AL11" s="1609"/>
      <c r="AM11" s="1609"/>
    </row>
    <row r="12" spans="1:40" ht="12.95" customHeight="1">
      <c r="B12" s="1612" t="s">
        <v>476</v>
      </c>
      <c r="C12" s="1034"/>
      <c r="D12" s="1034"/>
      <c r="E12" s="1034"/>
      <c r="F12" s="1034"/>
      <c r="G12" s="1034"/>
      <c r="H12" s="1034"/>
      <c r="I12" s="1034"/>
      <c r="J12" s="1034"/>
      <c r="K12" s="1034"/>
      <c r="L12" s="1034"/>
      <c r="M12" s="1034"/>
      <c r="N12" s="1034"/>
      <c r="O12" s="1034"/>
      <c r="P12" s="1034"/>
      <c r="Q12" s="1034"/>
      <c r="R12" s="1034"/>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5" customHeight="1">
      <c r="B13" s="8"/>
      <c r="C13" s="1614" t="s">
        <v>1789</v>
      </c>
      <c r="D13" s="1615"/>
      <c r="E13" s="1615"/>
      <c r="F13" s="1615"/>
      <c r="G13" s="1615"/>
      <c r="H13" s="1615"/>
      <c r="I13" s="1615"/>
      <c r="J13" s="1615"/>
      <c r="K13" s="1615"/>
      <c r="L13" s="1615"/>
      <c r="M13" s="1615"/>
      <c r="N13" s="1615"/>
      <c r="O13" s="1615"/>
      <c r="P13" s="1615"/>
      <c r="Q13" s="1615"/>
      <c r="R13" s="1615"/>
      <c r="S13" s="1616"/>
      <c r="T13" s="1619">
        <f>'Basis &amp; Credits'!T13</f>
        <v>0</v>
      </c>
      <c r="U13" s="1620"/>
      <c r="V13" s="1620"/>
      <c r="W13" s="1620"/>
      <c r="X13" s="1620"/>
      <c r="Y13" s="1619">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2.95" customHeight="1">
      <c r="B14" s="8"/>
      <c r="C14" s="1615" t="s">
        <v>805</v>
      </c>
      <c r="D14" s="1615"/>
      <c r="E14" s="1615"/>
      <c r="F14" s="1615"/>
      <c r="G14" s="1615"/>
      <c r="H14" s="1615"/>
      <c r="I14" s="1615"/>
      <c r="J14" s="1615"/>
      <c r="K14" s="1615"/>
      <c r="L14" s="1615"/>
      <c r="M14" s="1615"/>
      <c r="N14" s="1615"/>
      <c r="O14" s="1615"/>
      <c r="P14" s="1615"/>
      <c r="Q14" s="1615"/>
      <c r="R14" s="1615"/>
      <c r="S14" s="1616"/>
      <c r="T14" s="1180">
        <f>'Basis &amp; Credits'!T14</f>
        <v>0</v>
      </c>
      <c r="U14" s="1139"/>
      <c r="V14" s="1139"/>
      <c r="W14" s="1139"/>
      <c r="X14" s="1139"/>
      <c r="Y14" s="1180">
        <f>'Basis &amp; Credits'!Y14</f>
        <v>0</v>
      </c>
      <c r="Z14" s="1139"/>
      <c r="AA14" s="1139"/>
      <c r="AB14" s="1139"/>
      <c r="AC14" s="1139"/>
      <c r="AD14" s="1139">
        <f>'Basis &amp; Credits'!AD14</f>
        <v>0</v>
      </c>
      <c r="AE14" s="1139"/>
      <c r="AF14" s="1139"/>
      <c r="AG14" s="1139"/>
      <c r="AH14" s="1139"/>
      <c r="AI14" s="1139">
        <f>'Basis &amp; Credits'!AI14</f>
        <v>0</v>
      </c>
      <c r="AJ14" s="1139"/>
      <c r="AK14" s="1139"/>
      <c r="AL14" s="1139"/>
      <c r="AM14" s="1139"/>
    </row>
    <row r="15" spans="1:40" ht="12.95" customHeight="1">
      <c r="B15" s="8"/>
      <c r="C15" s="1615" t="s">
        <v>806</v>
      </c>
      <c r="D15" s="1615"/>
      <c r="E15" s="1615"/>
      <c r="F15" s="1615"/>
      <c r="G15" s="1615"/>
      <c r="H15" s="1615"/>
      <c r="I15" s="1615"/>
      <c r="J15" s="1615"/>
      <c r="K15" s="1615"/>
      <c r="L15" s="1615"/>
      <c r="M15" s="1615"/>
      <c r="N15" s="1615"/>
      <c r="O15" s="1615"/>
      <c r="P15" s="1615"/>
      <c r="Q15" s="1615"/>
      <c r="R15" s="1615"/>
      <c r="S15" s="1616"/>
      <c r="T15" s="1180">
        <f>'Basis &amp; Credits'!T15</f>
        <v>0</v>
      </c>
      <c r="U15" s="1139"/>
      <c r="V15" s="1139"/>
      <c r="W15" s="1139"/>
      <c r="X15" s="1139"/>
      <c r="Y15" s="1180">
        <f>'Basis &amp; Credits'!Y15</f>
        <v>0</v>
      </c>
      <c r="Z15" s="1139"/>
      <c r="AA15" s="1139"/>
      <c r="AB15" s="1139"/>
      <c r="AC15" s="1139"/>
      <c r="AD15" s="1139">
        <f>'Basis &amp; Credits'!AD15</f>
        <v>0</v>
      </c>
      <c r="AE15" s="1139"/>
      <c r="AF15" s="1139"/>
      <c r="AG15" s="1139"/>
      <c r="AH15" s="1139"/>
      <c r="AI15" s="1139">
        <f>'Basis &amp; Credits'!AI15</f>
        <v>0</v>
      </c>
      <c r="AJ15" s="1139"/>
      <c r="AK15" s="1139"/>
      <c r="AL15" s="1139"/>
      <c r="AM15" s="1139"/>
    </row>
    <row r="16" spans="1:40" ht="12.95" customHeight="1">
      <c r="B16" s="8"/>
      <c r="C16" s="1614" t="s">
        <v>1057</v>
      </c>
      <c r="D16" s="1614"/>
      <c r="E16" s="1614"/>
      <c r="F16" s="1614"/>
      <c r="G16" s="1614"/>
      <c r="H16" s="1614"/>
      <c r="I16" s="1614"/>
      <c r="J16" s="1614"/>
      <c r="K16" s="1614"/>
      <c r="L16" s="1614"/>
      <c r="M16" s="1614"/>
      <c r="N16" s="1614"/>
      <c r="O16" s="1614"/>
      <c r="P16" s="1614"/>
      <c r="Q16" s="1614"/>
      <c r="R16" s="1614"/>
      <c r="S16" s="1617"/>
      <c r="T16" s="1180">
        <f>'Basis &amp; Credits'!T16</f>
        <v>0</v>
      </c>
      <c r="U16" s="1139"/>
      <c r="V16" s="1139"/>
      <c r="W16" s="1139"/>
      <c r="X16" s="1139"/>
      <c r="Y16" s="1180">
        <f>'Basis &amp; Credits'!Y16</f>
        <v>0</v>
      </c>
      <c r="Z16" s="1139"/>
      <c r="AA16" s="1139"/>
      <c r="AB16" s="1139"/>
      <c r="AC16" s="1139"/>
      <c r="AD16" s="1139">
        <f>'Basis &amp; Credits'!AD16</f>
        <v>0</v>
      </c>
      <c r="AE16" s="1139"/>
      <c r="AF16" s="1139"/>
      <c r="AG16" s="1139"/>
      <c r="AH16" s="1139"/>
      <c r="AI16" s="1139">
        <f>'Basis &amp; Credits'!AI16</f>
        <v>0</v>
      </c>
      <c r="AJ16" s="1139"/>
      <c r="AK16" s="1139"/>
      <c r="AL16" s="1139"/>
      <c r="AM16" s="1139"/>
    </row>
    <row r="17" spans="1:39" ht="12.95" customHeight="1">
      <c r="B17" s="8"/>
      <c r="C17" s="1615" t="s">
        <v>807</v>
      </c>
      <c r="D17" s="1615"/>
      <c r="E17" s="1615"/>
      <c r="F17" s="1615"/>
      <c r="G17" s="1615"/>
      <c r="H17" s="1615"/>
      <c r="I17" s="1615"/>
      <c r="J17" s="1615"/>
      <c r="K17" s="1615"/>
      <c r="L17" s="1615"/>
      <c r="M17" s="1615"/>
      <c r="N17" s="1615"/>
      <c r="O17" s="1615"/>
      <c r="P17" s="1615"/>
      <c r="Q17" s="1615"/>
      <c r="R17" s="1615"/>
      <c r="S17" s="1616"/>
      <c r="T17" s="1180">
        <f>'Basis &amp; Credits'!T17</f>
        <v>0</v>
      </c>
      <c r="U17" s="1139"/>
      <c r="V17" s="1139"/>
      <c r="W17" s="1139"/>
      <c r="X17" s="1139"/>
      <c r="Y17" s="1180">
        <f>'Basis &amp; Credits'!Y17</f>
        <v>0</v>
      </c>
      <c r="Z17" s="1139"/>
      <c r="AA17" s="1139"/>
      <c r="AB17" s="1139"/>
      <c r="AC17" s="1139"/>
      <c r="AD17" s="1139">
        <f>'Basis &amp; Credits'!AD17</f>
        <v>0</v>
      </c>
      <c r="AE17" s="1139"/>
      <c r="AF17" s="1139"/>
      <c r="AG17" s="1139"/>
      <c r="AH17" s="1139"/>
      <c r="AI17" s="1139">
        <f>'Basis &amp; Credits'!AI17</f>
        <v>0</v>
      </c>
      <c r="AJ17" s="1139"/>
      <c r="AK17" s="1139"/>
      <c r="AL17" s="1139"/>
      <c r="AM17" s="1139"/>
    </row>
    <row r="18" spans="1:39" ht="12.95" customHeight="1">
      <c r="B18" s="608"/>
      <c r="C18" s="1614" t="s">
        <v>1427</v>
      </c>
      <c r="D18" s="1615"/>
      <c r="E18" s="1615"/>
      <c r="F18" s="1615"/>
      <c r="G18" s="1615"/>
      <c r="H18" s="1615"/>
      <c r="I18" s="1615"/>
      <c r="J18" s="1615"/>
      <c r="K18" s="1615"/>
      <c r="L18" s="1615"/>
      <c r="M18" s="1615"/>
      <c r="N18" s="1615"/>
      <c r="O18" s="1615"/>
      <c r="P18" s="1615"/>
      <c r="Q18" s="1615"/>
      <c r="R18" s="1615"/>
      <c r="S18" s="1616"/>
      <c r="T18" s="1178">
        <f>'Basis &amp; Credits'!T18</f>
        <v>0</v>
      </c>
      <c r="U18" s="1179"/>
      <c r="V18" s="1179"/>
      <c r="W18" s="1179"/>
      <c r="X18" s="1180"/>
      <c r="Y18" s="1180">
        <f>'Basis &amp; Credits'!Y18</f>
        <v>0</v>
      </c>
      <c r="Z18" s="1139"/>
      <c r="AA18" s="1139"/>
      <c r="AB18" s="1139"/>
      <c r="AC18" s="1139"/>
      <c r="AD18" s="1139">
        <f>'Basis &amp; Credits'!AD18</f>
        <v>0</v>
      </c>
      <c r="AE18" s="1139"/>
      <c r="AF18" s="1139"/>
      <c r="AG18" s="1139"/>
      <c r="AH18" s="1139"/>
      <c r="AI18" s="1139">
        <f>'Basis &amp; Credits'!AI18</f>
        <v>0</v>
      </c>
      <c r="AJ18" s="1139"/>
      <c r="AK18" s="1139"/>
      <c r="AL18" s="1139"/>
      <c r="AM18" s="1139"/>
    </row>
    <row r="19" spans="1:39" ht="12.95" customHeight="1">
      <c r="B19" s="498"/>
      <c r="C19" s="1589" t="str">
        <f>'Basis &amp; Credits'!C19:S19</f>
        <v>Subtract (specify other ineligible amounts):</v>
      </c>
      <c r="D19" s="1589"/>
      <c r="E19" s="1589"/>
      <c r="F19" s="1589"/>
      <c r="G19" s="1589"/>
      <c r="H19" s="1589"/>
      <c r="I19" s="1589"/>
      <c r="J19" s="1589"/>
      <c r="K19" s="1589"/>
      <c r="L19" s="1589"/>
      <c r="M19" s="1589"/>
      <c r="N19" s="1589"/>
      <c r="O19" s="1589"/>
      <c r="P19" s="1589"/>
      <c r="Q19" s="1589"/>
      <c r="R19" s="1589"/>
      <c r="S19" s="1590"/>
      <c r="T19" s="1180">
        <f>'Basis &amp; Credits'!T19</f>
        <v>0</v>
      </c>
      <c r="U19" s="1139"/>
      <c r="V19" s="1139"/>
      <c r="W19" s="1139"/>
      <c r="X19" s="1139"/>
      <c r="Y19" s="1180">
        <f>'Basis &amp; Credits'!Y19</f>
        <v>0</v>
      </c>
      <c r="Z19" s="1139"/>
      <c r="AA19" s="1139"/>
      <c r="AB19" s="1139"/>
      <c r="AC19" s="1139"/>
      <c r="AD19" s="1139">
        <f>'Basis &amp; Credits'!AD19</f>
        <v>0</v>
      </c>
      <c r="AE19" s="1139"/>
      <c r="AF19" s="1139"/>
      <c r="AG19" s="1139"/>
      <c r="AH19" s="1139"/>
      <c r="AI19" s="1139">
        <f>'Basis &amp; Credits'!AI19</f>
        <v>0</v>
      </c>
      <c r="AJ19" s="1139"/>
      <c r="AK19" s="1139"/>
      <c r="AL19" s="1139"/>
      <c r="AM19" s="1139"/>
    </row>
    <row r="20" spans="1:39" ht="12.95" customHeight="1">
      <c r="B20" s="1136" t="s">
        <v>808</v>
      </c>
      <c r="C20" s="1137"/>
      <c r="D20" s="1137"/>
      <c r="E20" s="1137"/>
      <c r="F20" s="1137"/>
      <c r="G20" s="1137"/>
      <c r="H20" s="1137"/>
      <c r="I20" s="1137"/>
      <c r="J20" s="1137"/>
      <c r="K20" s="1137"/>
      <c r="L20" s="1137"/>
      <c r="M20" s="1137"/>
      <c r="N20" s="1137"/>
      <c r="O20" s="1137"/>
      <c r="P20" s="1137"/>
      <c r="Q20" s="1137"/>
      <c r="R20" s="1137"/>
      <c r="S20" s="1138"/>
      <c r="T20" s="1601">
        <f>SUM(T13:X19)</f>
        <v>0</v>
      </c>
      <c r="U20" s="1124"/>
      <c r="V20" s="1124"/>
      <c r="W20" s="1124"/>
      <c r="X20" s="1124"/>
      <c r="Y20" s="1601">
        <f>SUM(Y13:AC19)</f>
        <v>0</v>
      </c>
      <c r="Z20" s="1124"/>
      <c r="AA20" s="1124"/>
      <c r="AB20" s="1124"/>
      <c r="AC20" s="1124"/>
      <c r="AD20" s="1124">
        <f>SUM(AD13:AH19)</f>
        <v>0</v>
      </c>
      <c r="AE20" s="1124"/>
      <c r="AF20" s="1124"/>
      <c r="AG20" s="1124"/>
      <c r="AH20" s="1124"/>
      <c r="AI20" s="1124">
        <f>SUM(AI13:AM19)</f>
        <v>0</v>
      </c>
      <c r="AJ20" s="1124"/>
      <c r="AK20" s="1124"/>
      <c r="AL20" s="1124"/>
      <c r="AM20" s="1124"/>
    </row>
    <row r="21" spans="1:39" ht="12.95" customHeight="1">
      <c r="B21" s="1136" t="s">
        <v>1788</v>
      </c>
      <c r="C21" s="1137"/>
      <c r="D21" s="1137"/>
      <c r="E21" s="1137"/>
      <c r="F21" s="1137"/>
      <c r="G21" s="1137"/>
      <c r="H21" s="1137"/>
      <c r="I21" s="1137"/>
      <c r="J21" s="1137"/>
      <c r="K21" s="1137"/>
      <c r="L21" s="1137"/>
      <c r="M21" s="1137"/>
      <c r="N21" s="1137"/>
      <c r="O21" s="1137"/>
      <c r="P21" s="1137"/>
      <c r="Q21" s="1137"/>
      <c r="R21" s="1137"/>
      <c r="S21" s="1138"/>
      <c r="T21" s="1180">
        <f>'Basis &amp; Credits'!T21</f>
        <v>0</v>
      </c>
      <c r="U21" s="1139"/>
      <c r="V21" s="1139"/>
      <c r="W21" s="1139"/>
      <c r="X21" s="1139"/>
      <c r="Y21" s="1180">
        <f>'Basis &amp; Credits'!Y21</f>
        <v>0</v>
      </c>
      <c r="Z21" s="1139"/>
      <c r="AA21" s="1139"/>
      <c r="AB21" s="1139"/>
      <c r="AC21" s="1139"/>
      <c r="AD21" s="1139">
        <f>'Basis &amp; Credits'!AD21</f>
        <v>0</v>
      </c>
      <c r="AE21" s="1139"/>
      <c r="AF21" s="1139"/>
      <c r="AG21" s="1139"/>
      <c r="AH21" s="1139"/>
      <c r="AI21" s="1139">
        <f>'Basis &amp; Credits'!AI21</f>
        <v>0</v>
      </c>
      <c r="AJ21" s="1139"/>
      <c r="AK21" s="1139"/>
      <c r="AL21" s="1139"/>
      <c r="AM21" s="1139"/>
    </row>
    <row r="22" spans="1:39" ht="12.95" customHeight="1">
      <c r="B22" s="1136" t="s">
        <v>809</v>
      </c>
      <c r="C22" s="1137"/>
      <c r="D22" s="1137"/>
      <c r="E22" s="1137"/>
      <c r="F22" s="1137"/>
      <c r="G22" s="1137"/>
      <c r="H22" s="1137"/>
      <c r="I22" s="1137"/>
      <c r="J22" s="1137"/>
      <c r="K22" s="1137"/>
      <c r="L22" s="1137"/>
      <c r="M22" s="1137"/>
      <c r="N22" s="1137"/>
      <c r="O22" s="1137"/>
      <c r="P22" s="1137"/>
      <c r="Q22" s="1137"/>
      <c r="R22" s="1137"/>
      <c r="S22" s="1138"/>
      <c r="T22" s="1602">
        <f>(T20+T21)*-1</f>
        <v>0</v>
      </c>
      <c r="U22" s="1603"/>
      <c r="V22" s="1603"/>
      <c r="W22" s="1603"/>
      <c r="X22" s="1603"/>
      <c r="Y22" s="1602">
        <f>(Y20+Y21)*-1</f>
        <v>0</v>
      </c>
      <c r="Z22" s="1603"/>
      <c r="AA22" s="1603"/>
      <c r="AB22" s="1603"/>
      <c r="AC22" s="1603"/>
      <c r="AD22" s="1602">
        <f>(AD20+AD21)*-1</f>
        <v>0</v>
      </c>
      <c r="AE22" s="1603"/>
      <c r="AF22" s="1603"/>
      <c r="AG22" s="1603"/>
      <c r="AH22" s="1603"/>
      <c r="AI22" s="1602">
        <f>(AI20+AI21)*-1</f>
        <v>0</v>
      </c>
      <c r="AJ22" s="1603"/>
      <c r="AK22" s="1603"/>
      <c r="AL22" s="1603"/>
      <c r="AM22" s="1603"/>
    </row>
    <row r="23" spans="1:39" ht="12.95" customHeight="1">
      <c r="B23" s="1136" t="s">
        <v>810</v>
      </c>
      <c r="C23" s="1137"/>
      <c r="D23" s="1137"/>
      <c r="E23" s="1137"/>
      <c r="F23" s="1137"/>
      <c r="G23" s="1137"/>
      <c r="H23" s="1137"/>
      <c r="I23" s="1137"/>
      <c r="J23" s="1137"/>
      <c r="K23" s="1137"/>
      <c r="L23" s="1137"/>
      <c r="M23" s="1137"/>
      <c r="N23" s="1137"/>
      <c r="O23" s="1137"/>
      <c r="P23" s="1137"/>
      <c r="Q23" s="1137"/>
      <c r="R23" s="1137"/>
      <c r="S23" s="1138"/>
      <c r="T23" s="1601">
        <f>T11+T22</f>
        <v>24783728.355295107</v>
      </c>
      <c r="U23" s="1124"/>
      <c r="V23" s="1124"/>
      <c r="W23" s="1124"/>
      <c r="X23" s="1124"/>
      <c r="Y23" s="1601">
        <f>Y11+Y22</f>
        <v>0</v>
      </c>
      <c r="Z23" s="1124"/>
      <c r="AA23" s="1124"/>
      <c r="AB23" s="1124"/>
      <c r="AC23" s="1124"/>
      <c r="AD23" s="1601">
        <f>AD11+AD22</f>
        <v>0</v>
      </c>
      <c r="AE23" s="1124"/>
      <c r="AF23" s="1124"/>
      <c r="AG23" s="1124"/>
      <c r="AH23" s="1124"/>
      <c r="AI23" s="1601">
        <f>AI11+AI22</f>
        <v>0</v>
      </c>
      <c r="AJ23" s="1124"/>
      <c r="AK23" s="1124"/>
      <c r="AL23" s="1124"/>
      <c r="AM23" s="1124"/>
    </row>
    <row r="24" spans="1:39" ht="12.95" customHeight="1">
      <c r="B24" s="1136" t="s">
        <v>1270</v>
      </c>
      <c r="C24" s="1137"/>
      <c r="D24" s="1137"/>
      <c r="E24" s="1137"/>
      <c r="F24" s="1137"/>
      <c r="G24" s="1137"/>
      <c r="H24" s="1137"/>
      <c r="I24" s="1137"/>
      <c r="J24" s="1137"/>
      <c r="K24" s="1137"/>
      <c r="L24" s="1137"/>
      <c r="M24" s="1137"/>
      <c r="N24" s="1137"/>
      <c r="O24" s="1137"/>
      <c r="P24" s="1137"/>
      <c r="Q24" s="1137"/>
      <c r="R24" s="1137"/>
      <c r="S24" s="1138"/>
      <c r="T24" s="1599">
        <f>Application!AD979</f>
        <v>0</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5" customHeight="1">
      <c r="B25" s="1591" t="s">
        <v>1824</v>
      </c>
      <c r="C25" s="1592"/>
      <c r="D25" s="1592"/>
      <c r="E25" s="1592"/>
      <c r="F25" s="1592"/>
      <c r="G25" s="1592"/>
      <c r="H25" s="1592"/>
      <c r="I25" s="1592"/>
      <c r="J25" s="1592"/>
      <c r="K25" s="1592"/>
      <c r="L25" s="1592"/>
      <c r="M25" s="1592"/>
      <c r="N25" s="1592"/>
      <c r="O25" s="1592"/>
      <c r="P25" s="1592"/>
      <c r="Q25" s="1592"/>
      <c r="R25" s="1592"/>
      <c r="S25" s="1593"/>
      <c r="T25" s="1605">
        <v>1</v>
      </c>
      <c r="U25" s="1606"/>
      <c r="V25" s="1606"/>
      <c r="W25" s="1606"/>
      <c r="X25" s="1606"/>
      <c r="Y25" s="1605">
        <v>1</v>
      </c>
      <c r="Z25" s="1606"/>
      <c r="AA25" s="1606"/>
      <c r="AB25" s="1606"/>
      <c r="AC25" s="1607"/>
      <c r="AD25" s="1605">
        <v>1</v>
      </c>
      <c r="AE25" s="1606"/>
      <c r="AF25" s="1606"/>
      <c r="AG25" s="1606"/>
      <c r="AH25" s="1607"/>
      <c r="AI25" s="1605">
        <v>1</v>
      </c>
      <c r="AJ25" s="1606"/>
      <c r="AK25" s="1606"/>
      <c r="AL25" s="1606"/>
      <c r="AM25" s="1607"/>
    </row>
    <row r="26" spans="1:39" ht="12.95" customHeight="1">
      <c r="B26" s="1136" t="s">
        <v>811</v>
      </c>
      <c r="C26" s="1137"/>
      <c r="D26" s="1137"/>
      <c r="E26" s="1137"/>
      <c r="F26" s="1137"/>
      <c r="G26" s="1137"/>
      <c r="H26" s="1137"/>
      <c r="I26" s="1137"/>
      <c r="J26" s="1137"/>
      <c r="K26" s="1137"/>
      <c r="L26" s="1137"/>
      <c r="M26" s="1137"/>
      <c r="N26" s="1137"/>
      <c r="O26" s="1137"/>
      <c r="P26" s="1137"/>
      <c r="Q26" s="1137"/>
      <c r="R26" s="1137"/>
      <c r="S26" s="1138"/>
      <c r="T26" s="1191">
        <f>T23*T25</f>
        <v>24783728.355295107</v>
      </c>
      <c r="U26" s="1604"/>
      <c r="V26" s="1604"/>
      <c r="W26" s="1604"/>
      <c r="X26" s="1604"/>
      <c r="Y26" s="1191">
        <f>Y23*Y25</f>
        <v>0</v>
      </c>
      <c r="Z26" s="1604"/>
      <c r="AA26" s="1604"/>
      <c r="AB26" s="1604"/>
      <c r="AC26" s="1604"/>
      <c r="AD26" s="1191">
        <f>AD23*AD25</f>
        <v>0</v>
      </c>
      <c r="AE26" s="1604"/>
      <c r="AF26" s="1604"/>
      <c r="AG26" s="1604"/>
      <c r="AH26" s="1604"/>
      <c r="AI26" s="1191">
        <f>AI23*AI25</f>
        <v>0</v>
      </c>
      <c r="AJ26" s="1604"/>
      <c r="AK26" s="1604"/>
      <c r="AL26" s="1604"/>
      <c r="AM26" s="1604"/>
    </row>
    <row r="27" spans="1:39" ht="12.95" customHeight="1">
      <c r="A27" s="4"/>
      <c r="B27" s="1594" t="s">
        <v>920</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5" customHeight="1">
      <c r="A28" s="3"/>
      <c r="B28" s="1136" t="s">
        <v>884</v>
      </c>
      <c r="C28" s="1137"/>
      <c r="D28" s="1137"/>
      <c r="E28" s="1137"/>
      <c r="F28" s="1137"/>
      <c r="G28" s="1137"/>
      <c r="H28" s="1137"/>
      <c r="I28" s="1137"/>
      <c r="J28" s="1137"/>
      <c r="K28" s="1137"/>
      <c r="L28" s="1137"/>
      <c r="M28" s="1137"/>
      <c r="N28" s="1137"/>
      <c r="O28" s="1137"/>
      <c r="P28" s="1137"/>
      <c r="Q28" s="1137"/>
      <c r="R28" s="1137"/>
      <c r="S28" s="1138"/>
      <c r="T28" s="1191">
        <f>IF(ISERROR((T26*T27)),0,(T26*T27))</f>
        <v>24783728.355295107</v>
      </c>
      <c r="U28" s="1604"/>
      <c r="V28" s="1604"/>
      <c r="W28" s="1604"/>
      <c r="X28" s="1604"/>
      <c r="Y28" s="1191">
        <f>IF(ISERROR((Y26*Y27)),0,(Y26*Y27))</f>
        <v>0</v>
      </c>
      <c r="Z28" s="1604"/>
      <c r="AA28" s="1604"/>
      <c r="AB28" s="1604"/>
      <c r="AC28" s="1604"/>
      <c r="AD28" s="1191">
        <f>IF(ISERROR((AD26*AD27)),0,(AD26*AD27))</f>
        <v>0</v>
      </c>
      <c r="AE28" s="1604"/>
      <c r="AF28" s="1604"/>
      <c r="AG28" s="1604"/>
      <c r="AH28" s="1604"/>
      <c r="AI28" s="1191">
        <f>IF(ISERROR((AI26*AI27)),0,(AI26*AI27))</f>
        <v>0</v>
      </c>
      <c r="AJ28" s="1604"/>
      <c r="AK28" s="1604"/>
      <c r="AL28" s="1604"/>
      <c r="AM28" s="1604"/>
    </row>
    <row r="29" spans="1:39" ht="12.95" customHeight="1">
      <c r="B29" s="1136" t="s">
        <v>659</v>
      </c>
      <c r="C29" s="1137"/>
      <c r="D29" s="1137"/>
      <c r="E29" s="1137"/>
      <c r="F29" s="1137"/>
      <c r="G29" s="1137"/>
      <c r="H29" s="1137"/>
      <c r="I29" s="1137"/>
      <c r="J29" s="1137"/>
      <c r="K29" s="1137"/>
      <c r="L29" s="1137"/>
      <c r="M29" s="1137"/>
      <c r="N29" s="1137"/>
      <c r="O29" s="1137"/>
      <c r="P29" s="1137"/>
      <c r="Q29" s="1137"/>
      <c r="R29" s="1137"/>
      <c r="S29" s="1138"/>
      <c r="T29" s="1599">
        <f>T28+Y28+AD28+AI28</f>
        <v>24783728.355295107</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5" customHeight="1">
      <c r="B30" s="1957"/>
      <c r="C30" s="1957"/>
      <c r="D30" s="1957"/>
      <c r="E30" s="1957"/>
      <c r="F30" s="1957"/>
      <c r="G30" s="1957"/>
      <c r="H30" s="1957"/>
      <c r="I30" s="1957"/>
      <c r="J30" s="1957"/>
      <c r="K30" s="1957"/>
      <c r="L30" s="1957"/>
      <c r="M30" s="1957"/>
      <c r="N30" s="1957"/>
      <c r="O30" s="1957"/>
      <c r="P30" s="1957"/>
      <c r="Q30" s="1957"/>
      <c r="R30" s="1957"/>
      <c r="S30" s="1957"/>
      <c r="T30" s="1957"/>
      <c r="U30" s="1957"/>
      <c r="V30" s="1957"/>
      <c r="W30" s="1957"/>
      <c r="X30" s="1957"/>
      <c r="Y30" s="1957"/>
      <c r="Z30" s="1957"/>
      <c r="AA30" s="1957"/>
      <c r="AB30" s="1957"/>
      <c r="AC30" s="1957"/>
      <c r="AD30" s="1957"/>
      <c r="AE30" s="1957"/>
      <c r="AF30" s="1957"/>
      <c r="AG30" s="1957"/>
      <c r="AH30" s="1957"/>
      <c r="AI30" s="1957"/>
      <c r="AJ30" s="1957"/>
      <c r="AK30" s="1957"/>
      <c r="AL30" s="1957"/>
      <c r="AM30" s="1957"/>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8" t="s">
        <v>1679</v>
      </c>
      <c r="Z35" s="1608"/>
      <c r="AA35" s="1608"/>
      <c r="AB35" s="1608"/>
      <c r="AC35" s="1608"/>
      <c r="AD35" s="1177" t="s">
        <v>45</v>
      </c>
      <c r="AE35" s="1177"/>
      <c r="AF35" s="1177"/>
      <c r="AG35" s="1177"/>
      <c r="AH35" s="1177"/>
    </row>
    <row r="36" spans="1:40" ht="12.95" customHeight="1">
      <c r="B36" s="204"/>
      <c r="X36" s="71"/>
      <c r="Y36" s="1608"/>
      <c r="Z36" s="1608"/>
      <c r="AA36" s="1608"/>
      <c r="AB36" s="1608"/>
      <c r="AC36" s="1608"/>
      <c r="AD36" s="1177"/>
      <c r="AE36" s="1177"/>
      <c r="AF36" s="1177"/>
      <c r="AG36" s="1177"/>
      <c r="AH36" s="1177"/>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177"/>
      <c r="AE37" s="1177"/>
      <c r="AF37" s="1177"/>
      <c r="AG37" s="1177"/>
      <c r="AH37" s="1177"/>
    </row>
    <row r="38" spans="1:40" ht="12.95" customHeight="1">
      <c r="A38" s="3"/>
      <c r="B38" s="1136" t="s">
        <v>884</v>
      </c>
      <c r="C38" s="1137"/>
      <c r="D38" s="1137"/>
      <c r="E38" s="1137"/>
      <c r="F38" s="1137"/>
      <c r="G38" s="1137"/>
      <c r="H38" s="1137"/>
      <c r="I38" s="1137"/>
      <c r="J38" s="1137"/>
      <c r="K38" s="1137"/>
      <c r="L38" s="1137"/>
      <c r="M38" s="1137"/>
      <c r="N38" s="1137"/>
      <c r="O38" s="1137"/>
      <c r="P38" s="1137"/>
      <c r="Q38" s="1137"/>
      <c r="R38" s="1137"/>
      <c r="S38" s="1137"/>
      <c r="T38" s="1137"/>
      <c r="U38" s="1137"/>
      <c r="V38" s="1137"/>
      <c r="W38" s="1137"/>
      <c r="X38" s="1138"/>
      <c r="Y38" s="1124">
        <f>IF(T24&gt;=(T23+Y23+AD23+AI23),T28+Y28,0)</f>
        <v>0</v>
      </c>
      <c r="Z38" s="1124"/>
      <c r="AA38" s="1124"/>
      <c r="AB38" s="1124"/>
      <c r="AC38" s="1124"/>
      <c r="AD38" s="1124">
        <f>IF(T24&gt;=(T23+Y23+AD23+AI23),AD28+AI28,0)</f>
        <v>0</v>
      </c>
      <c r="AE38" s="1124"/>
      <c r="AF38" s="1124"/>
      <c r="AG38" s="1124"/>
      <c r="AH38" s="1124"/>
    </row>
    <row r="39" spans="1:40" ht="12.95" customHeight="1">
      <c r="B39" s="1136" t="s">
        <v>802</v>
      </c>
      <c r="C39" s="1137"/>
      <c r="D39" s="1137"/>
      <c r="E39" s="1137"/>
      <c r="F39" s="1137"/>
      <c r="G39" s="1137"/>
      <c r="H39" s="1137"/>
      <c r="I39" s="1137"/>
      <c r="J39" s="1137"/>
      <c r="K39" s="1137"/>
      <c r="L39" s="1137"/>
      <c r="M39" s="1137"/>
      <c r="N39" s="1137"/>
      <c r="O39" s="1137"/>
      <c r="P39" s="1137"/>
      <c r="Q39" s="1137"/>
      <c r="R39" s="1137"/>
      <c r="S39" s="1137"/>
      <c r="T39" s="1137"/>
      <c r="U39" s="1137"/>
      <c r="V39" s="1137"/>
      <c r="W39" s="1137"/>
      <c r="X39" s="1138"/>
      <c r="Y39" s="1956">
        <v>0.09</v>
      </c>
      <c r="Z39" s="1956"/>
      <c r="AA39" s="1956"/>
      <c r="AB39" s="1956"/>
      <c r="AC39" s="1956"/>
      <c r="AD39" s="1956">
        <f>'Basis &amp; Credits'!AD39:AH39</f>
        <v>0.04</v>
      </c>
      <c r="AE39" s="1956"/>
      <c r="AF39" s="1956"/>
      <c r="AG39" s="1956"/>
      <c r="AH39" s="1956"/>
    </row>
    <row r="40" spans="1:40" ht="12.95" customHeight="1">
      <c r="A40" s="3"/>
      <c r="B40" s="1136" t="s">
        <v>25</v>
      </c>
      <c r="C40" s="1137"/>
      <c r="D40" s="1137"/>
      <c r="E40" s="1137"/>
      <c r="F40" s="1137"/>
      <c r="G40" s="1137"/>
      <c r="H40" s="1137"/>
      <c r="I40" s="1137"/>
      <c r="J40" s="1137"/>
      <c r="K40" s="1137"/>
      <c r="L40" s="1137"/>
      <c r="M40" s="1137"/>
      <c r="N40" s="1137"/>
      <c r="O40" s="1137"/>
      <c r="P40" s="1137"/>
      <c r="Q40" s="1137"/>
      <c r="R40" s="1137"/>
      <c r="S40" s="1137"/>
      <c r="T40" s="1137"/>
      <c r="U40" s="1137"/>
      <c r="V40" s="1137"/>
      <c r="W40" s="1137"/>
      <c r="X40" s="1138"/>
      <c r="Y40" s="1124">
        <f>ROUND(Y38*Y39,0)</f>
        <v>0</v>
      </c>
      <c r="Z40" s="1124"/>
      <c r="AA40" s="1124"/>
      <c r="AB40" s="1124"/>
      <c r="AC40" s="1124"/>
      <c r="AD40" s="1601">
        <f>ROUND(AD38*AD39,0)</f>
        <v>0</v>
      </c>
      <c r="AE40" s="1124"/>
      <c r="AF40" s="1124"/>
      <c r="AG40" s="1124"/>
      <c r="AH40" s="1124"/>
    </row>
    <row r="41" spans="1:40" ht="12.95" customHeight="1">
      <c r="B41" s="1136" t="s">
        <v>653</v>
      </c>
      <c r="C41" s="1137"/>
      <c r="D41" s="1137"/>
      <c r="E41" s="1137"/>
      <c r="F41" s="1137"/>
      <c r="G41" s="1137"/>
      <c r="H41" s="1137"/>
      <c r="I41" s="1137"/>
      <c r="J41" s="1137"/>
      <c r="K41" s="1137"/>
      <c r="L41" s="1137"/>
      <c r="M41" s="1137"/>
      <c r="N41" s="1137"/>
      <c r="O41" s="1137"/>
      <c r="P41" s="1137"/>
      <c r="Q41" s="1137"/>
      <c r="R41" s="1137"/>
      <c r="S41" s="1137"/>
      <c r="T41" s="1137"/>
      <c r="U41" s="1137"/>
      <c r="V41" s="1137"/>
      <c r="W41" s="1137"/>
      <c r="X41" s="1138"/>
      <c r="Y41" s="1599">
        <f>IF((Y40+AD40)&gt;2500000,2500000,Y40+AD40)</f>
        <v>0</v>
      </c>
      <c r="Z41" s="1600"/>
      <c r="AA41" s="1600"/>
      <c r="AB41" s="1600"/>
      <c r="AC41" s="1600"/>
      <c r="AD41" s="1600"/>
      <c r="AE41" s="1600"/>
      <c r="AF41" s="1600"/>
      <c r="AG41" s="1600"/>
      <c r="AH41" s="1601"/>
    </row>
    <row r="42" spans="1:40" ht="12.95" customHeight="1">
      <c r="A42" s="3"/>
      <c r="B42" s="1633" t="s">
        <v>1210</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3">
        <f>'Sources and Uses Budget'!B104-'Sources and Uses Budget'!$B$15</f>
        <v>27378426.594866805</v>
      </c>
      <c r="AC46" s="1154"/>
      <c r="AD46" s="1154"/>
      <c r="AE46" s="1154"/>
      <c r="AF46" s="1155"/>
    </row>
    <row r="47" spans="1:40" ht="12.95" customHeight="1">
      <c r="D47" s="3" t="s">
        <v>878</v>
      </c>
      <c r="AB47" s="1153">
        <f>Application!AG630-MIN('Sources and Uses Budget'!B15,Application!AG385)</f>
        <v>0</v>
      </c>
      <c r="AC47" s="1154"/>
      <c r="AD47" s="1154"/>
      <c r="AE47" s="1154"/>
      <c r="AF47" s="1155"/>
    </row>
    <row r="48" spans="1:40" ht="12.95" customHeight="1">
      <c r="D48" s="3" t="s">
        <v>403</v>
      </c>
      <c r="AB48" s="1153">
        <f>AB46-AB47</f>
        <v>27378426.594866805</v>
      </c>
      <c r="AC48" s="1154"/>
      <c r="AD48" s="1154"/>
      <c r="AE48" s="1154"/>
      <c r="AF48" s="1155"/>
    </row>
    <row r="49" spans="1:40" ht="12.95" customHeight="1">
      <c r="D49" s="3" t="s">
        <v>913</v>
      </c>
      <c r="AA49" s="34"/>
      <c r="AB49" s="1628"/>
      <c r="AC49" s="1629"/>
      <c r="AD49" s="1629"/>
      <c r="AE49" s="1629"/>
      <c r="AF49" s="1630"/>
    </row>
    <row r="50" spans="1:40" s="324" customFormat="1" ht="12.95" customHeight="1">
      <c r="A50"/>
      <c r="B50"/>
      <c r="C50"/>
      <c r="D50"/>
      <c r="E50" s="1637" t="s">
        <v>1416</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8"/>
      <c r="AB50" s="358"/>
      <c r="AC50" s="358"/>
      <c r="AD50" s="358"/>
      <c r="AE50" s="358"/>
      <c r="AF50" s="358"/>
      <c r="AG50"/>
      <c r="AH50"/>
      <c r="AI50"/>
      <c r="AJ50"/>
      <c r="AK50"/>
      <c r="AL50"/>
      <c r="AM50"/>
      <c r="AN50"/>
    </row>
    <row r="51" spans="1:40" s="324" customFormat="1" ht="12.95"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3">
        <f>ROUND(IF(ISERROR((AB48/AB49)),0,(AB48/AB49)),0)</f>
        <v>0</v>
      </c>
      <c r="AC53" s="1154"/>
      <c r="AD53" s="1154"/>
      <c r="AE53" s="1154"/>
      <c r="AF53" s="1155"/>
    </row>
    <row r="54" spans="1:40" ht="12.95" customHeight="1">
      <c r="D54" s="3" t="s">
        <v>592</v>
      </c>
      <c r="AB54" s="1153">
        <f>(AB53/10)</f>
        <v>0</v>
      </c>
      <c r="AC54" s="1154"/>
      <c r="AD54" s="1154"/>
      <c r="AE54" s="1154"/>
      <c r="AF54" s="1155"/>
    </row>
    <row r="55" spans="1:40" ht="12.95" customHeight="1">
      <c r="D55" s="3" t="s">
        <v>362</v>
      </c>
      <c r="AB55" s="1634">
        <f>(IF((Y41&lt;AB54),Y41,AB54))</f>
        <v>0</v>
      </c>
      <c r="AC55" s="1635"/>
      <c r="AD55" s="1635"/>
      <c r="AE55" s="1635"/>
      <c r="AF55" s="1636"/>
    </row>
    <row r="56" spans="1:40" ht="12.95" customHeight="1">
      <c r="D56" s="3" t="s">
        <v>115</v>
      </c>
      <c r="AB56" s="1153">
        <f>ROUND((10*AB55*AB49),0)</f>
        <v>0</v>
      </c>
      <c r="AC56" s="1154"/>
      <c r="AD56" s="1154"/>
      <c r="AE56" s="1154"/>
      <c r="AF56" s="1155"/>
    </row>
    <row r="57" spans="1:40" ht="12.95" customHeight="1">
      <c r="D57" s="3"/>
      <c r="AB57" s="276"/>
      <c r="AC57" s="276"/>
      <c r="AD57" s="276"/>
      <c r="AE57" s="276"/>
      <c r="AF57" s="276"/>
    </row>
    <row r="58" spans="1:40" ht="12.95" customHeight="1">
      <c r="D58" s="3" t="s">
        <v>114</v>
      </c>
      <c r="AB58" s="1168">
        <f>AB48-AB56</f>
        <v>27378426.594866805</v>
      </c>
      <c r="AC58" s="1168"/>
      <c r="AD58" s="1168"/>
      <c r="AE58" s="1168"/>
      <c r="AF58" s="1168"/>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0" t="s">
        <v>1827</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5" customHeight="1" thickTop="1">
      <c r="A61" s="1504"/>
      <c r="B61" s="1504"/>
      <c r="C61" s="1504"/>
      <c r="D61" s="1504"/>
      <c r="E61" s="1504"/>
      <c r="F61" s="1504"/>
      <c r="G61" s="1504"/>
      <c r="H61" s="1504"/>
      <c r="I61" s="1504"/>
      <c r="J61" s="1504"/>
      <c r="K61" s="1504"/>
      <c r="L61" s="1504"/>
      <c r="M61" s="1504"/>
      <c r="N61" s="1504"/>
      <c r="O61" s="1504"/>
      <c r="P61" s="1504"/>
      <c r="Q61" s="1504"/>
      <c r="R61" s="1504"/>
      <c r="S61" s="1504"/>
      <c r="T61" s="1504"/>
      <c r="U61" s="1504"/>
      <c r="V61" s="1504"/>
      <c r="W61" s="1504"/>
      <c r="X61" s="1504"/>
      <c r="Y61" s="1504"/>
      <c r="Z61" s="1504"/>
      <c r="AA61" s="1504"/>
      <c r="AB61" s="1504"/>
      <c r="AC61" s="1504"/>
      <c r="AD61" s="1504"/>
      <c r="AE61" s="1504"/>
      <c r="AF61" s="1504"/>
      <c r="AG61" s="1504"/>
      <c r="AH61" s="1504"/>
      <c r="AI61" s="1504"/>
      <c r="AJ61" s="1504"/>
      <c r="AK61" s="1504"/>
      <c r="AL61" s="1504"/>
      <c r="AM61" s="1504"/>
      <c r="AN61" s="1504"/>
    </row>
    <row r="62" spans="1:40" ht="12.95" customHeight="1">
      <c r="A62" s="3" t="s">
        <v>130</v>
      </c>
      <c r="C62" s="3" t="s">
        <v>540</v>
      </c>
      <c r="Y62" s="1642" t="s">
        <v>316</v>
      </c>
      <c r="Z62" s="1642"/>
      <c r="AA62" s="1642"/>
      <c r="AB62" s="1642"/>
      <c r="AC62" s="1642"/>
      <c r="AD62" s="1642" t="s">
        <v>45</v>
      </c>
      <c r="AE62" s="1642"/>
      <c r="AF62" s="1642"/>
      <c r="AG62" s="1642"/>
      <c r="AH62" s="1642"/>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124">
        <f>Y28</f>
        <v>0</v>
      </c>
      <c r="Z63" s="1631"/>
      <c r="AA63" s="1631"/>
      <c r="AB63" s="1631"/>
      <c r="AC63" s="1631"/>
      <c r="AD63" s="1124">
        <f>AI28</f>
        <v>0</v>
      </c>
      <c r="AE63" s="1631"/>
      <c r="AF63" s="1631"/>
      <c r="AG63" s="1631"/>
      <c r="AH63" s="1631"/>
    </row>
    <row r="64" spans="1:40" ht="12.95" customHeight="1">
      <c r="C64" s="3"/>
      <c r="E64" s="1641" t="s">
        <v>1342</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0.8"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7">
        <v>0.3</v>
      </c>
      <c r="Z66" s="1627"/>
      <c r="AA66" s="1627"/>
      <c r="AB66" s="1627"/>
      <c r="AC66" s="1627"/>
      <c r="AD66" s="1627">
        <v>0.13</v>
      </c>
      <c r="AE66" s="1627"/>
      <c r="AF66" s="1627"/>
      <c r="AG66" s="1627"/>
      <c r="AH66" s="1627"/>
    </row>
    <row r="67" spans="1:34" ht="12.95" customHeight="1">
      <c r="C67" s="3"/>
      <c r="D67" s="3" t="s">
        <v>985</v>
      </c>
      <c r="Y67" s="1124">
        <f>ROUND(Y63*Y66,0)</f>
        <v>0</v>
      </c>
      <c r="Z67" s="1631"/>
      <c r="AA67" s="1631"/>
      <c r="AB67" s="1631"/>
      <c r="AC67" s="1631"/>
      <c r="AD67" s="1124" t="str">
        <f>IF(OR(Application!D211="At-Risk",Application!D211="At-Risk/Located in Rural Census Tract",Application!D214="At-Risk"),ROUND(AD63*AD66,0),"$0")</f>
        <v>$0</v>
      </c>
      <c r="AE67" s="1124"/>
      <c r="AF67" s="1124"/>
      <c r="AG67" s="1124"/>
      <c r="AH67" s="1124"/>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28"/>
      <c r="AC70" s="1629"/>
      <c r="AD70" s="1629"/>
      <c r="AE70" s="1629"/>
      <c r="AF70" s="1630"/>
    </row>
    <row r="71" spans="1:34" ht="12.95" customHeight="1">
      <c r="A71" s="3"/>
      <c r="C71" s="3"/>
      <c r="D71" s="3"/>
      <c r="E71" s="1632" t="s">
        <v>1822</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5"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5"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36">
        <f>ROUND(IF(ISERROR((AB58/AB70)),0,(AB58/AB70)),0)</f>
        <v>0</v>
      </c>
      <c r="AC75" s="1536"/>
      <c r="AD75" s="1536"/>
      <c r="AE75" s="1536"/>
      <c r="AF75" s="1536"/>
    </row>
    <row r="76" spans="1:34" ht="12.95" customHeight="1">
      <c r="C76" s="3"/>
      <c r="D76" s="3" t="s">
        <v>113</v>
      </c>
      <c r="AB76" s="1533">
        <f>IF((Y67+AD67&lt;AB75),Y67+AD67,AB75)</f>
        <v>0</v>
      </c>
      <c r="AC76" s="1534"/>
      <c r="AD76" s="1534"/>
      <c r="AE76" s="1534"/>
      <c r="AF76" s="1535"/>
    </row>
    <row r="77" spans="1:34" ht="12.95" customHeight="1">
      <c r="C77" s="3"/>
      <c r="D77" s="3" t="s">
        <v>986</v>
      </c>
      <c r="AB77" s="1626">
        <f>AB76*AB70</f>
        <v>0</v>
      </c>
      <c r="AC77" s="1626"/>
      <c r="AD77" s="1626"/>
      <c r="AE77" s="1626"/>
      <c r="AF77" s="1626"/>
    </row>
    <row r="78" spans="1:34" ht="12.95" customHeight="1">
      <c r="C78" s="3"/>
      <c r="D78" s="3"/>
      <c r="AB78" s="613"/>
      <c r="AC78" s="613"/>
      <c r="AD78" s="613"/>
      <c r="AE78" s="613"/>
      <c r="AF78" s="613"/>
    </row>
    <row r="79" spans="1:34" ht="12.95" customHeight="1">
      <c r="D79" s="3" t="s">
        <v>114</v>
      </c>
      <c r="AB79" s="1168">
        <f>AB48-(AB56+AB77)</f>
        <v>27378426.594866805</v>
      </c>
      <c r="AC79" s="1168"/>
      <c r="AD79" s="1168"/>
      <c r="AE79" s="1168"/>
      <c r="AF79" s="1168"/>
    </row>
    <row r="80" spans="1:34" ht="12.95" customHeight="1">
      <c r="F80" s="16"/>
      <c r="J80" s="16" t="str">
        <f>IF(AB79&gt;0,"FUNDING GAP MUST NOT EXCEED ZERO","")</f>
        <v>FUNDING GAP MUST NOT EXCEED ZERO</v>
      </c>
    </row>
    <row r="81" spans="4:4" ht="12.9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F5" sqref="F5"/>
    </sheetView>
  </sheetViews>
  <sheetFormatPr defaultColWidth="0" defaultRowHeight="11.95" customHeight="1" zeroHeight="1"/>
  <cols>
    <col min="1" max="1" width="35.625" style="334" customWidth="1"/>
    <col min="2" max="2" width="14.625" style="356" customWidth="1"/>
    <col min="3" max="4" width="14.625" style="335" customWidth="1"/>
    <col min="5" max="5" width="14.625" style="356" customWidth="1"/>
    <col min="6" max="6" width="50.625" style="335" customWidth="1"/>
    <col min="7" max="7" width="9.125" style="335" customWidth="1"/>
    <col min="8" max="8" width="0.375" style="335" hidden="1" customWidth="1"/>
    <col min="9" max="16383" width="11.375" style="335" hidden="1"/>
    <col min="16384" max="16384" width="0.375" style="335" customWidth="1"/>
  </cols>
  <sheetData>
    <row r="1" spans="1:7" ht="18" customHeight="1">
      <c r="A1" s="680" t="s">
        <v>1282</v>
      </c>
      <c r="G1" s="581"/>
    </row>
    <row r="2" spans="1:7" ht="13.1">
      <c r="A2" s="264" t="s">
        <v>996</v>
      </c>
      <c r="B2" s="227"/>
      <c r="C2" s="325"/>
      <c r="D2" s="325"/>
      <c r="E2" s="227"/>
      <c r="F2" s="326"/>
      <c r="G2" s="326"/>
    </row>
    <row r="3" spans="1:7" s="582" customFormat="1" ht="80.2" customHeight="1">
      <c r="A3" s="337"/>
      <c r="B3" s="327" t="s">
        <v>995</v>
      </c>
      <c r="C3" s="327" t="s">
        <v>1225</v>
      </c>
      <c r="D3" s="327" t="s">
        <v>998</v>
      </c>
      <c r="E3" s="327" t="s">
        <v>999</v>
      </c>
      <c r="F3" s="323" t="s">
        <v>997</v>
      </c>
      <c r="G3" s="327"/>
    </row>
    <row r="4" spans="1:7" s="583" customFormat="1" ht="12.45">
      <c r="A4" s="903" t="s">
        <v>364</v>
      </c>
      <c r="B4" s="328"/>
      <c r="C4" s="328"/>
      <c r="D4" s="328"/>
      <c r="E4" s="328"/>
      <c r="F4" s="328"/>
      <c r="G4" s="328"/>
    </row>
    <row r="5" spans="1:7" s="583" customFormat="1" ht="12.45">
      <c r="A5" s="904" t="s">
        <v>1000</v>
      </c>
      <c r="B5" s="330">
        <f>'Sources and Uses Budget'!C4</f>
        <v>1200000</v>
      </c>
      <c r="C5" s="330">
        <f>'Sources and Uses Budget'!C4</f>
        <v>1200000</v>
      </c>
      <c r="D5" s="330">
        <f>'Sources and Uses Budget'!C4</f>
        <v>1200000</v>
      </c>
      <c r="E5" s="332">
        <f>C5-B5</f>
        <v>0</v>
      </c>
      <c r="F5" s="331"/>
      <c r="G5" s="331"/>
    </row>
    <row r="6" spans="1:7" s="583" customFormat="1" ht="12.45">
      <c r="A6" s="904" t="s">
        <v>1001</v>
      </c>
      <c r="B6" s="330">
        <f>'Sources and Uses Budget'!C5</f>
        <v>0</v>
      </c>
      <c r="C6" s="330">
        <f>'Sources and Uses Budget'!C5</f>
        <v>0</v>
      </c>
      <c r="D6" s="330">
        <f>'Sources and Uses Budget'!C5</f>
        <v>0</v>
      </c>
      <c r="E6" s="332">
        <f t="shared" ref="E6:E73" si="0">C6-B6</f>
        <v>0</v>
      </c>
      <c r="F6" s="331"/>
      <c r="G6" s="331"/>
    </row>
    <row r="7" spans="1:7" s="583" customFormat="1" ht="12.45">
      <c r="A7" s="904" t="s">
        <v>365</v>
      </c>
      <c r="B7" s="330">
        <f>'Sources and Uses Budget'!C6</f>
        <v>3563</v>
      </c>
      <c r="C7" s="330">
        <f>'Sources and Uses Budget'!C6</f>
        <v>3563</v>
      </c>
      <c r="D7" s="330">
        <f>'Sources and Uses Budget'!C6</f>
        <v>3563</v>
      </c>
      <c r="E7" s="332">
        <f t="shared" si="0"/>
        <v>0</v>
      </c>
      <c r="F7" s="331"/>
      <c r="G7" s="331"/>
    </row>
    <row r="8" spans="1:7" s="583" customFormat="1" ht="12.45">
      <c r="A8" s="904" t="s">
        <v>297</v>
      </c>
      <c r="B8" s="330">
        <f>'Sources and Uses Budget'!C7</f>
        <v>0</v>
      </c>
      <c r="C8" s="330">
        <f>'Sources and Uses Budget'!C7</f>
        <v>0</v>
      </c>
      <c r="D8" s="330">
        <f>'Sources and Uses Budget'!C7</f>
        <v>0</v>
      </c>
      <c r="E8" s="332">
        <f t="shared" si="0"/>
        <v>0</v>
      </c>
      <c r="F8" s="331"/>
      <c r="G8" s="331"/>
    </row>
    <row r="9" spans="1:7" s="583" customFormat="1" ht="12.45">
      <c r="A9" s="905" t="s">
        <v>1002</v>
      </c>
      <c r="B9" s="332">
        <f>SUM(B5:B8)</f>
        <v>1203563</v>
      </c>
      <c r="C9" s="332">
        <f>SUM(C5:C8)</f>
        <v>1203563</v>
      </c>
      <c r="D9" s="332">
        <f>SUM(D5:D8)</f>
        <v>1203563</v>
      </c>
      <c r="E9" s="332">
        <f t="shared" si="0"/>
        <v>0</v>
      </c>
      <c r="F9" s="331"/>
      <c r="G9" s="331"/>
    </row>
    <row r="10" spans="1:7" s="583" customFormat="1" ht="12.45">
      <c r="A10" s="904" t="s">
        <v>616</v>
      </c>
      <c r="B10" s="330">
        <f>'Sources and Uses Budget'!C9</f>
        <v>0</v>
      </c>
      <c r="C10" s="330">
        <f>'Sources and Uses Budget'!C9</f>
        <v>0</v>
      </c>
      <c r="D10" s="330">
        <f>'Sources and Uses Budget'!C9</f>
        <v>0</v>
      </c>
      <c r="E10" s="332">
        <f t="shared" si="0"/>
        <v>0</v>
      </c>
      <c r="F10" s="331"/>
      <c r="G10" s="331"/>
    </row>
    <row r="11" spans="1:7" s="583" customFormat="1" ht="12.45">
      <c r="A11" s="904" t="s">
        <v>1003</v>
      </c>
      <c r="B11" s="330">
        <f>'Sources and Uses Budget'!C10</f>
        <v>409628</v>
      </c>
      <c r="C11" s="330">
        <f>'Sources and Uses Budget'!C10</f>
        <v>409628</v>
      </c>
      <c r="D11" s="330">
        <f>'Sources and Uses Budget'!C10</f>
        <v>409628</v>
      </c>
      <c r="E11" s="332">
        <f t="shared" si="0"/>
        <v>0</v>
      </c>
      <c r="F11" s="331"/>
      <c r="G11" s="331"/>
    </row>
    <row r="12" spans="1:7" s="583" customFormat="1" ht="12.45">
      <c r="A12" s="905" t="s">
        <v>617</v>
      </c>
      <c r="B12" s="332">
        <f>SUM(B10:B11)</f>
        <v>409628</v>
      </c>
      <c r="C12" s="332">
        <f>SUM(C10:C11)</f>
        <v>409628</v>
      </c>
      <c r="D12" s="332">
        <f>SUM(D10:D11)</f>
        <v>409628</v>
      </c>
      <c r="E12" s="332">
        <f t="shared" si="0"/>
        <v>0</v>
      </c>
      <c r="F12" s="331"/>
      <c r="G12" s="331"/>
    </row>
    <row r="13" spans="1:7" s="583" customFormat="1" ht="12.45">
      <c r="A13" s="905" t="s">
        <v>747</v>
      </c>
      <c r="B13" s="332">
        <f>SUM(B9+B12)</f>
        <v>1613191</v>
      </c>
      <c r="C13" s="332">
        <f>SUM(C9+C12)</f>
        <v>1613191</v>
      </c>
      <c r="D13" s="332">
        <f>SUM(D9+D12)</f>
        <v>1613191</v>
      </c>
      <c r="E13" s="332">
        <f t="shared" si="0"/>
        <v>0</v>
      </c>
      <c r="F13" s="331"/>
      <c r="G13" s="331"/>
    </row>
    <row r="14" spans="1:7" s="583" customFormat="1" ht="12.45">
      <c r="A14" s="906" t="s">
        <v>1157</v>
      </c>
      <c r="B14" s="330">
        <f>'Sources and Uses Budget'!C13</f>
        <v>124000</v>
      </c>
      <c r="C14" s="330">
        <f>'Sources and Uses Budget'!C13</f>
        <v>124000</v>
      </c>
      <c r="D14" s="330">
        <f>'Sources and Uses Budget'!C13</f>
        <v>124000</v>
      </c>
      <c r="E14" s="332">
        <f t="shared" si="0"/>
        <v>0</v>
      </c>
      <c r="F14" s="331"/>
      <c r="G14" s="331"/>
    </row>
    <row r="15" spans="1:7" s="583" customFormat="1" ht="23.6">
      <c r="A15" s="904" t="s">
        <v>1189</v>
      </c>
      <c r="B15" s="330">
        <f>'Sources and Uses Budget'!C14</f>
        <v>0</v>
      </c>
      <c r="C15" s="330">
        <f>'Sources and Uses Budget'!C14</f>
        <v>0</v>
      </c>
      <c r="D15" s="330">
        <f>'Sources and Uses Budget'!C14</f>
        <v>0</v>
      </c>
      <c r="E15" s="332">
        <f t="shared" si="0"/>
        <v>0</v>
      </c>
      <c r="F15" s="331"/>
      <c r="G15" s="331"/>
    </row>
    <row r="16" spans="1:7" s="583" customFormat="1" ht="12.45">
      <c r="A16" s="904" t="s">
        <v>1756</v>
      </c>
      <c r="B16" s="330">
        <f>'Sources and Uses Budget'!C15</f>
        <v>0</v>
      </c>
      <c r="C16" s="330">
        <f>'Sources and Uses Budget'!C15</f>
        <v>0</v>
      </c>
      <c r="D16" s="330">
        <f>'Sources and Uses Budget'!C15</f>
        <v>0</v>
      </c>
      <c r="E16" s="332">
        <f t="shared" si="0"/>
        <v>0</v>
      </c>
      <c r="F16" s="331"/>
      <c r="G16" s="331"/>
    </row>
    <row r="17" spans="1:7" s="583" customFormat="1" ht="12.45">
      <c r="A17" s="903" t="s">
        <v>953</v>
      </c>
      <c r="B17" s="328"/>
      <c r="C17" s="328"/>
      <c r="D17" s="328"/>
      <c r="E17" s="328"/>
      <c r="F17" s="328"/>
      <c r="G17" s="328"/>
    </row>
    <row r="18" spans="1:7" s="583" customFormat="1" ht="12.45">
      <c r="A18" s="239" t="s">
        <v>954</v>
      </c>
      <c r="B18" s="330">
        <f>'Sources and Uses Budget'!C17</f>
        <v>0</v>
      </c>
      <c r="C18" s="330">
        <f>'Sources and Uses Budget'!C17</f>
        <v>0</v>
      </c>
      <c r="D18" s="330">
        <f>'Sources and Uses Budget'!C17</f>
        <v>0</v>
      </c>
      <c r="E18" s="332">
        <f t="shared" si="0"/>
        <v>0</v>
      </c>
      <c r="F18" s="331"/>
      <c r="G18" s="331"/>
    </row>
    <row r="19" spans="1:7" s="583" customFormat="1" ht="12.45">
      <c r="A19" s="239" t="s">
        <v>955</v>
      </c>
      <c r="B19" s="330">
        <f>'Sources and Uses Budget'!C18</f>
        <v>0</v>
      </c>
      <c r="C19" s="330">
        <f>'Sources and Uses Budget'!C18</f>
        <v>0</v>
      </c>
      <c r="D19" s="330">
        <f>'Sources and Uses Budget'!C18</f>
        <v>0</v>
      </c>
      <c r="E19" s="332">
        <f t="shared" ref="E19:E26" si="1">C19-B19</f>
        <v>0</v>
      </c>
      <c r="F19" s="331"/>
      <c r="G19" s="331"/>
    </row>
    <row r="20" spans="1:7" s="583" customFormat="1" ht="12.45">
      <c r="A20" s="239" t="s">
        <v>956</v>
      </c>
      <c r="B20" s="330">
        <f>'Sources and Uses Budget'!C19</f>
        <v>0</v>
      </c>
      <c r="C20" s="330">
        <f>'Sources and Uses Budget'!C19</f>
        <v>0</v>
      </c>
      <c r="D20" s="330">
        <f>'Sources and Uses Budget'!C19</f>
        <v>0</v>
      </c>
      <c r="E20" s="332">
        <f t="shared" si="1"/>
        <v>0</v>
      </c>
      <c r="F20" s="331"/>
      <c r="G20" s="331"/>
    </row>
    <row r="21" spans="1:7" s="583" customFormat="1" ht="12.45">
      <c r="A21" s="239" t="s">
        <v>957</v>
      </c>
      <c r="B21" s="330">
        <f>'Sources and Uses Budget'!C20</f>
        <v>0</v>
      </c>
      <c r="C21" s="330">
        <f>'Sources and Uses Budget'!C20</f>
        <v>0</v>
      </c>
      <c r="D21" s="330">
        <f>'Sources and Uses Budget'!C20</f>
        <v>0</v>
      </c>
      <c r="E21" s="332">
        <f t="shared" si="1"/>
        <v>0</v>
      </c>
      <c r="F21" s="331"/>
      <c r="G21" s="331"/>
    </row>
    <row r="22" spans="1:7" s="583" customFormat="1" ht="12.45">
      <c r="A22" s="239" t="s">
        <v>958</v>
      </c>
      <c r="B22" s="330">
        <f>'Sources and Uses Budget'!C21</f>
        <v>0</v>
      </c>
      <c r="C22" s="330">
        <f>'Sources and Uses Budget'!C21</f>
        <v>0</v>
      </c>
      <c r="D22" s="330">
        <f>'Sources and Uses Budget'!C21</f>
        <v>0</v>
      </c>
      <c r="E22" s="332">
        <f t="shared" si="1"/>
        <v>0</v>
      </c>
      <c r="F22" s="331"/>
      <c r="G22" s="331"/>
    </row>
    <row r="23" spans="1:7" s="583" customFormat="1" ht="12.45">
      <c r="A23" s="239" t="s">
        <v>959</v>
      </c>
      <c r="B23" s="330">
        <f>'Sources and Uses Budget'!C22</f>
        <v>0</v>
      </c>
      <c r="C23" s="330">
        <f>'Sources and Uses Budget'!C22</f>
        <v>0</v>
      </c>
      <c r="D23" s="330">
        <f>'Sources and Uses Budget'!C22</f>
        <v>0</v>
      </c>
      <c r="E23" s="332">
        <f t="shared" si="1"/>
        <v>0</v>
      </c>
      <c r="F23" s="331"/>
      <c r="G23" s="331"/>
    </row>
    <row r="24" spans="1:7" s="583" customFormat="1" ht="12.45">
      <c r="A24" s="239" t="s">
        <v>960</v>
      </c>
      <c r="B24" s="330">
        <f>'Sources and Uses Budget'!C23</f>
        <v>0</v>
      </c>
      <c r="C24" s="330">
        <f>'Sources and Uses Budget'!C23</f>
        <v>0</v>
      </c>
      <c r="D24" s="330">
        <f>'Sources and Uses Budget'!C23</f>
        <v>0</v>
      </c>
      <c r="E24" s="332">
        <f t="shared" si="1"/>
        <v>0</v>
      </c>
      <c r="F24" s="331"/>
      <c r="G24" s="331"/>
    </row>
    <row r="25" spans="1:7" s="583" customFormat="1" ht="12.45">
      <c r="A25" s="250" t="s">
        <v>2052</v>
      </c>
      <c r="B25" s="330">
        <f>'Sources and Uses Budget'!C24</f>
        <v>0</v>
      </c>
      <c r="C25" s="330">
        <f>'Sources and Uses Budget'!C24</f>
        <v>0</v>
      </c>
      <c r="D25" s="330">
        <f>'Sources and Uses Budget'!C24</f>
        <v>0</v>
      </c>
      <c r="E25" s="332">
        <f t="shared" si="1"/>
        <v>0</v>
      </c>
      <c r="F25" s="331"/>
      <c r="G25" s="331"/>
    </row>
    <row r="26" spans="1:7" s="583" customFormat="1" ht="12.45">
      <c r="A26" s="250" t="s">
        <v>564</v>
      </c>
      <c r="B26" s="330">
        <f>'Sources and Uses Budget'!C25</f>
        <v>0</v>
      </c>
      <c r="C26" s="330">
        <f>'Sources and Uses Budget'!C25</f>
        <v>0</v>
      </c>
      <c r="D26" s="330">
        <f>'Sources and Uses Budget'!C25</f>
        <v>0</v>
      </c>
      <c r="E26" s="332">
        <f t="shared" si="1"/>
        <v>0</v>
      </c>
      <c r="F26" s="331"/>
      <c r="G26" s="331"/>
    </row>
    <row r="27" spans="1:7" s="583" customFormat="1" ht="13.1">
      <c r="A27" s="333" t="s">
        <v>237</v>
      </c>
      <c r="B27" s="914">
        <f>'Sources and Uses Budget'!C26</f>
        <v>0</v>
      </c>
      <c r="C27" s="914">
        <f>'Sources and Uses Budget'!C26</f>
        <v>0</v>
      </c>
      <c r="D27" s="914">
        <f>'Sources and Uses Budget'!C26</f>
        <v>0</v>
      </c>
      <c r="E27" s="332">
        <f>C27-B27</f>
        <v>0</v>
      </c>
      <c r="F27" s="331"/>
      <c r="G27" s="331"/>
    </row>
    <row r="28" spans="1:7" s="583" customFormat="1" ht="13.1">
      <c r="A28" s="907" t="s">
        <v>961</v>
      </c>
      <c r="B28" s="330">
        <f>'Sources and Uses Budget'!C27</f>
        <v>0</v>
      </c>
      <c r="C28" s="330">
        <f>'Sources and Uses Budget'!C27</f>
        <v>0</v>
      </c>
      <c r="D28" s="330">
        <f>'Sources and Uses Budget'!C27</f>
        <v>0</v>
      </c>
      <c r="E28" s="332">
        <f>C28-B28</f>
        <v>0</v>
      </c>
      <c r="F28" s="331"/>
      <c r="G28" s="331"/>
    </row>
    <row r="29" spans="1:7" s="583" customFormat="1" ht="12.45">
      <c r="A29" s="903" t="s">
        <v>962</v>
      </c>
      <c r="B29" s="328"/>
      <c r="C29" s="328"/>
      <c r="D29" s="328"/>
      <c r="E29" s="328"/>
      <c r="F29" s="328"/>
      <c r="G29" s="328"/>
    </row>
    <row r="30" spans="1:7" s="583" customFormat="1" ht="12.45">
      <c r="A30" s="239" t="s">
        <v>954</v>
      </c>
      <c r="B30" s="330">
        <f>'Sources and Uses Budget'!C29</f>
        <v>3771034</v>
      </c>
      <c r="C30" s="330">
        <f>'Sources and Uses Budget'!C29</f>
        <v>3771034</v>
      </c>
      <c r="D30" s="330">
        <f>'Sources and Uses Budget'!C29</f>
        <v>3771034</v>
      </c>
      <c r="E30" s="332">
        <f t="shared" si="0"/>
        <v>0</v>
      </c>
      <c r="F30" s="331"/>
      <c r="G30" s="331"/>
    </row>
    <row r="31" spans="1:7" s="583" customFormat="1" ht="12.45">
      <c r="A31" s="239" t="s">
        <v>955</v>
      </c>
      <c r="B31" s="330">
        <f>'Sources and Uses Budget'!C30</f>
        <v>11350402</v>
      </c>
      <c r="C31" s="330">
        <f>'Sources and Uses Budget'!C30</f>
        <v>11350402</v>
      </c>
      <c r="D31" s="330">
        <f>'Sources and Uses Budget'!C30</f>
        <v>11350402</v>
      </c>
      <c r="E31" s="332">
        <f t="shared" si="0"/>
        <v>0</v>
      </c>
      <c r="F31" s="331"/>
      <c r="G31" s="331"/>
    </row>
    <row r="32" spans="1:7" s="583" customFormat="1" ht="12.45">
      <c r="A32" s="239" t="s">
        <v>956</v>
      </c>
      <c r="B32" s="330">
        <f>'Sources and Uses Budget'!C31</f>
        <v>621242.53362807014</v>
      </c>
      <c r="C32" s="330">
        <f>'Sources and Uses Budget'!C31</f>
        <v>621242.53362807014</v>
      </c>
      <c r="D32" s="330">
        <f>'Sources and Uses Budget'!C31</f>
        <v>621242.53362807014</v>
      </c>
      <c r="E32" s="332">
        <f t="shared" si="0"/>
        <v>0</v>
      </c>
      <c r="F32" s="331"/>
      <c r="G32" s="331"/>
    </row>
    <row r="33" spans="1:7" s="583" customFormat="1" ht="12.45">
      <c r="A33" s="239" t="s">
        <v>957</v>
      </c>
      <c r="B33" s="330">
        <f>'Sources and Uses Budget'!C32</f>
        <v>465931.90022105258</v>
      </c>
      <c r="C33" s="330">
        <f>'Sources and Uses Budget'!C32</f>
        <v>465931.90022105258</v>
      </c>
      <c r="D33" s="330">
        <f>'Sources and Uses Budget'!C32</f>
        <v>465931.90022105258</v>
      </c>
      <c r="E33" s="332">
        <f t="shared" si="0"/>
        <v>0</v>
      </c>
      <c r="F33" s="331"/>
      <c r="G33" s="331"/>
    </row>
    <row r="34" spans="1:7" s="583" customFormat="1" ht="12.45">
      <c r="A34" s="239" t="s">
        <v>958</v>
      </c>
      <c r="B34" s="330">
        <f>'Sources and Uses Budget'!C33</f>
        <v>1087174.4338491228</v>
      </c>
      <c r="C34" s="330">
        <f>'Sources and Uses Budget'!C33</f>
        <v>1087174.4338491228</v>
      </c>
      <c r="D34" s="330">
        <f>'Sources and Uses Budget'!C33</f>
        <v>1087174.4338491228</v>
      </c>
      <c r="E34" s="332">
        <f t="shared" si="0"/>
        <v>0</v>
      </c>
      <c r="F34" s="331"/>
      <c r="G34" s="331"/>
    </row>
    <row r="35" spans="1:7" s="583" customFormat="1" ht="12.45">
      <c r="A35" s="239" t="s">
        <v>959</v>
      </c>
      <c r="B35" s="330">
        <f>'Sources and Uses Budget'!C34</f>
        <v>0</v>
      </c>
      <c r="C35" s="330">
        <f>'Sources and Uses Budget'!C34</f>
        <v>0</v>
      </c>
      <c r="D35" s="330">
        <f>'Sources and Uses Budget'!C34</f>
        <v>0</v>
      </c>
      <c r="E35" s="332">
        <f t="shared" si="0"/>
        <v>0</v>
      </c>
      <c r="F35" s="331"/>
      <c r="G35" s="331"/>
    </row>
    <row r="36" spans="1:7" s="583" customFormat="1" ht="12.45">
      <c r="A36" s="239" t="s">
        <v>960</v>
      </c>
      <c r="B36" s="330">
        <f>'Sources and Uses Budget'!C35</f>
        <v>0</v>
      </c>
      <c r="C36" s="330">
        <f>'Sources and Uses Budget'!C35</f>
        <v>0</v>
      </c>
      <c r="D36" s="330">
        <f>'Sources and Uses Budget'!C35</f>
        <v>0</v>
      </c>
      <c r="E36" s="332">
        <f t="shared" si="0"/>
        <v>0</v>
      </c>
      <c r="F36" s="331"/>
      <c r="G36" s="331"/>
    </row>
    <row r="37" spans="1:7" s="583" customFormat="1" ht="12.45">
      <c r="A37" s="239" t="s">
        <v>2052</v>
      </c>
      <c r="B37" s="330">
        <f>'Sources and Uses Budget'!C36</f>
        <v>0</v>
      </c>
      <c r="C37" s="330">
        <f>'Sources and Uses Budget'!C36</f>
        <v>0</v>
      </c>
      <c r="D37" s="330">
        <f>'Sources and Uses Budget'!C36</f>
        <v>0</v>
      </c>
      <c r="E37" s="332">
        <f t="shared" si="0"/>
        <v>0</v>
      </c>
      <c r="F37" s="331"/>
      <c r="G37" s="331"/>
    </row>
    <row r="38" spans="1:7" s="583" customFormat="1" ht="12.45">
      <c r="A38" s="250" t="s">
        <v>564</v>
      </c>
      <c r="B38" s="330">
        <f>'Sources and Uses Budget'!C37</f>
        <v>0</v>
      </c>
      <c r="C38" s="330">
        <f>'Sources and Uses Budget'!C37</f>
        <v>0</v>
      </c>
      <c r="D38" s="330">
        <f>'Sources and Uses Budget'!C37</f>
        <v>0</v>
      </c>
      <c r="E38" s="332">
        <f>C38-B38</f>
        <v>0</v>
      </c>
      <c r="F38" s="331"/>
      <c r="G38" s="331"/>
    </row>
    <row r="39" spans="1:7" s="583" customFormat="1" ht="13.1">
      <c r="A39" s="907" t="s">
        <v>963</v>
      </c>
      <c r="B39" s="914">
        <f>'Sources and Uses Budget'!C38</f>
        <v>17295784.867698245</v>
      </c>
      <c r="C39" s="914">
        <f>'Sources and Uses Budget'!C38</f>
        <v>17295784.867698245</v>
      </c>
      <c r="D39" s="914">
        <f>'Sources and Uses Budget'!C38</f>
        <v>17295784.867698245</v>
      </c>
      <c r="E39" s="332">
        <f>C39-B39</f>
        <v>0</v>
      </c>
      <c r="F39" s="331"/>
      <c r="G39" s="331"/>
    </row>
    <row r="40" spans="1:7" s="583" customFormat="1" ht="12.45">
      <c r="A40" s="903" t="s">
        <v>964</v>
      </c>
      <c r="B40" s="328"/>
      <c r="C40" s="328"/>
      <c r="D40" s="328"/>
      <c r="E40" s="328"/>
      <c r="F40" s="328"/>
      <c r="G40" s="328"/>
    </row>
    <row r="41" spans="1:7" s="583" customFormat="1" ht="12.45">
      <c r="A41" s="908" t="s">
        <v>965</v>
      </c>
      <c r="B41" s="330">
        <f>'Sources and Uses Budget'!C40</f>
        <v>416500</v>
      </c>
      <c r="C41" s="330">
        <f>'Sources and Uses Budget'!C40</f>
        <v>416500</v>
      </c>
      <c r="D41" s="330">
        <f>'Sources and Uses Budget'!C40</f>
        <v>416500</v>
      </c>
      <c r="E41" s="332">
        <f>C41-B41</f>
        <v>0</v>
      </c>
      <c r="F41" s="331"/>
      <c r="G41" s="331"/>
    </row>
    <row r="42" spans="1:7" s="583" customFormat="1" ht="12.45">
      <c r="A42" s="908" t="s">
        <v>966</v>
      </c>
      <c r="B42" s="330">
        <f>'Sources and Uses Budget'!C41</f>
        <v>0</v>
      </c>
      <c r="C42" s="330">
        <f>'Sources and Uses Budget'!C41</f>
        <v>0</v>
      </c>
      <c r="D42" s="330">
        <f>'Sources and Uses Budget'!C41</f>
        <v>0</v>
      </c>
      <c r="E42" s="332">
        <f>C42-B42</f>
        <v>0</v>
      </c>
      <c r="F42" s="331"/>
      <c r="G42" s="331"/>
    </row>
    <row r="43" spans="1:7" s="583" customFormat="1" ht="11.95" customHeight="1">
      <c r="A43" s="907" t="s">
        <v>967</v>
      </c>
      <c r="B43" s="914">
        <f>'Sources and Uses Budget'!C42</f>
        <v>416500</v>
      </c>
      <c r="C43" s="914">
        <f>'Sources and Uses Budget'!C42</f>
        <v>416500</v>
      </c>
      <c r="D43" s="914">
        <f>'Sources and Uses Budget'!C42</f>
        <v>416500</v>
      </c>
      <c r="E43" s="332">
        <f>C43-B43</f>
        <v>0</v>
      </c>
      <c r="F43" s="331"/>
      <c r="G43" s="331"/>
    </row>
    <row r="44" spans="1:7" s="583" customFormat="1" ht="13.1">
      <c r="A44" s="907" t="s">
        <v>968</v>
      </c>
      <c r="B44" s="330">
        <f>'Sources and Uses Budget'!C43</f>
        <v>542769.35</v>
      </c>
      <c r="C44" s="330">
        <f>'Sources and Uses Budget'!C43</f>
        <v>542769.35</v>
      </c>
      <c r="D44" s="330">
        <f>'Sources and Uses Budget'!C43</f>
        <v>542769.35</v>
      </c>
      <c r="E44" s="332">
        <f>C44-B44</f>
        <v>0</v>
      </c>
      <c r="F44" s="331"/>
      <c r="G44" s="331"/>
    </row>
    <row r="45" spans="1:7" s="583" customFormat="1" ht="12.45">
      <c r="A45" s="235" t="s">
        <v>969</v>
      </c>
      <c r="B45" s="328"/>
      <c r="C45" s="328"/>
      <c r="D45" s="328"/>
      <c r="E45" s="328"/>
      <c r="F45" s="328"/>
      <c r="G45" s="328"/>
    </row>
    <row r="46" spans="1:7" s="583" customFormat="1" ht="11.95" customHeight="1">
      <c r="A46" s="239" t="s">
        <v>970</v>
      </c>
      <c r="B46" s="330">
        <f>'Sources and Uses Budget'!C45</f>
        <v>1750731</v>
      </c>
      <c r="C46" s="330">
        <f>'Sources and Uses Budget'!C45</f>
        <v>1750731</v>
      </c>
      <c r="D46" s="330">
        <f>'Sources and Uses Budget'!C45</f>
        <v>1750731</v>
      </c>
      <c r="E46" s="332">
        <f t="shared" si="0"/>
        <v>0</v>
      </c>
      <c r="F46" s="331"/>
      <c r="G46" s="331"/>
    </row>
    <row r="47" spans="1:7" s="583" customFormat="1" ht="12.45">
      <c r="A47" s="239" t="s">
        <v>971</v>
      </c>
      <c r="B47" s="330">
        <f>'Sources and Uses Budget'!C46</f>
        <v>146875</v>
      </c>
      <c r="C47" s="330">
        <f>'Sources and Uses Budget'!C46</f>
        <v>146875</v>
      </c>
      <c r="D47" s="330">
        <f>'Sources and Uses Budget'!C46</f>
        <v>146875</v>
      </c>
      <c r="E47" s="332">
        <f t="shared" si="0"/>
        <v>0</v>
      </c>
      <c r="F47" s="331"/>
      <c r="G47" s="331"/>
    </row>
    <row r="48" spans="1:7" s="583" customFormat="1" ht="12.45">
      <c r="A48" s="239" t="s">
        <v>972</v>
      </c>
      <c r="B48" s="330">
        <f>'Sources and Uses Budget'!C47</f>
        <v>0</v>
      </c>
      <c r="C48" s="330">
        <f>'Sources and Uses Budget'!C47</f>
        <v>0</v>
      </c>
      <c r="D48" s="330">
        <f>'Sources and Uses Budget'!C47</f>
        <v>0</v>
      </c>
      <c r="E48" s="332">
        <f t="shared" si="0"/>
        <v>0</v>
      </c>
      <c r="F48" s="331"/>
      <c r="G48" s="331"/>
    </row>
    <row r="49" spans="1:7" s="583" customFormat="1" ht="12.45">
      <c r="A49" s="239" t="s">
        <v>973</v>
      </c>
      <c r="B49" s="330">
        <f>'Sources and Uses Budget'!C48</f>
        <v>0</v>
      </c>
      <c r="C49" s="330">
        <f>'Sources and Uses Budget'!C48</f>
        <v>0</v>
      </c>
      <c r="D49" s="330">
        <f>'Sources and Uses Budget'!C48</f>
        <v>0</v>
      </c>
      <c r="E49" s="332">
        <f t="shared" si="0"/>
        <v>0</v>
      </c>
      <c r="F49" s="331"/>
      <c r="G49" s="331"/>
    </row>
    <row r="50" spans="1:7" s="583" customFormat="1" ht="12.45">
      <c r="A50" s="239" t="s">
        <v>976</v>
      </c>
      <c r="B50" s="330">
        <f>'Sources and Uses Budget'!C49</f>
        <v>32000</v>
      </c>
      <c r="C50" s="330">
        <f>'Sources and Uses Budget'!C49</f>
        <v>32000</v>
      </c>
      <c r="D50" s="330">
        <f>'Sources and Uses Budget'!C49</f>
        <v>32000</v>
      </c>
      <c r="E50" s="332">
        <f t="shared" si="0"/>
        <v>0</v>
      </c>
      <c r="F50" s="331"/>
      <c r="G50" s="331"/>
    </row>
    <row r="51" spans="1:7" s="583" customFormat="1" ht="12.45">
      <c r="A51" s="239" t="s">
        <v>974</v>
      </c>
      <c r="B51" s="330">
        <f>'Sources and Uses Budget'!C50</f>
        <v>5000</v>
      </c>
      <c r="C51" s="330">
        <f>'Sources and Uses Budget'!C50</f>
        <v>5000</v>
      </c>
      <c r="D51" s="330">
        <f>'Sources and Uses Budget'!C50</f>
        <v>5000</v>
      </c>
      <c r="E51" s="332">
        <f t="shared" si="0"/>
        <v>0</v>
      </c>
      <c r="F51" s="331"/>
      <c r="G51" s="331"/>
    </row>
    <row r="52" spans="1:7" s="584" customFormat="1" ht="13.1">
      <c r="A52" s="239" t="s">
        <v>975</v>
      </c>
      <c r="B52" s="330">
        <f>'Sources and Uses Budget'!C51</f>
        <v>180000</v>
      </c>
      <c r="C52" s="330">
        <f>'Sources and Uses Budget'!C51</f>
        <v>180000</v>
      </c>
      <c r="D52" s="330">
        <f>'Sources and Uses Budget'!C51</f>
        <v>180000</v>
      </c>
      <c r="E52" s="332">
        <f t="shared" si="0"/>
        <v>0</v>
      </c>
      <c r="F52" s="331"/>
      <c r="G52" s="331"/>
    </row>
    <row r="53" spans="1:7" s="583" customFormat="1" ht="12.45">
      <c r="A53" s="246" t="s">
        <v>564</v>
      </c>
      <c r="B53" s="330">
        <f>'Sources and Uses Budget'!C52</f>
        <v>77495</v>
      </c>
      <c r="C53" s="330">
        <f>'Sources and Uses Budget'!C52</f>
        <v>77495</v>
      </c>
      <c r="D53" s="330">
        <f>'Sources and Uses Budget'!C52</f>
        <v>77495</v>
      </c>
      <c r="E53" s="332">
        <f t="shared" si="0"/>
        <v>0</v>
      </c>
      <c r="F53" s="331"/>
      <c r="G53" s="331"/>
    </row>
    <row r="54" spans="1:7" s="583" customFormat="1" ht="12.45">
      <c r="A54" s="243" t="s">
        <v>977</v>
      </c>
      <c r="B54" s="914">
        <f>'Sources and Uses Budget'!C53</f>
        <v>2192101</v>
      </c>
      <c r="C54" s="914">
        <f>'Sources and Uses Budget'!C53</f>
        <v>2192101</v>
      </c>
      <c r="D54" s="914">
        <f>'Sources and Uses Budget'!C53</f>
        <v>2192101</v>
      </c>
      <c r="E54" s="332">
        <f t="shared" si="0"/>
        <v>0</v>
      </c>
      <c r="F54" s="331"/>
      <c r="G54" s="331"/>
    </row>
    <row r="55" spans="1:7" s="583" customFormat="1" ht="11.95" customHeight="1">
      <c r="A55" s="903" t="s">
        <v>719</v>
      </c>
      <c r="B55" s="328"/>
      <c r="C55" s="328"/>
      <c r="D55" s="328"/>
      <c r="E55" s="328"/>
      <c r="F55" s="328"/>
      <c r="G55" s="328"/>
    </row>
    <row r="56" spans="1:7" s="583" customFormat="1" ht="12.45">
      <c r="A56" s="908" t="s">
        <v>978</v>
      </c>
      <c r="B56" s="330">
        <f>'Sources and Uses Budget'!C55</f>
        <v>10275</v>
      </c>
      <c r="C56" s="330">
        <f>'Sources and Uses Budget'!C55</f>
        <v>10275</v>
      </c>
      <c r="D56" s="330">
        <f>'Sources and Uses Budget'!C55</f>
        <v>10275</v>
      </c>
      <c r="E56" s="332">
        <f t="shared" si="0"/>
        <v>0</v>
      </c>
      <c r="F56" s="331"/>
      <c r="G56" s="331"/>
    </row>
    <row r="57" spans="1:7" s="583" customFormat="1" ht="12.45">
      <c r="A57" s="908" t="s">
        <v>972</v>
      </c>
      <c r="B57" s="330">
        <f>'Sources and Uses Budget'!C56</f>
        <v>0</v>
      </c>
      <c r="C57" s="330">
        <f>'Sources and Uses Budget'!C56</f>
        <v>0</v>
      </c>
      <c r="D57" s="330">
        <f>'Sources and Uses Budget'!C56</f>
        <v>0</v>
      </c>
      <c r="E57" s="332">
        <f t="shared" si="0"/>
        <v>0</v>
      </c>
      <c r="F57" s="331"/>
      <c r="G57" s="331"/>
    </row>
    <row r="58" spans="1:7" s="583" customFormat="1" ht="12.45">
      <c r="A58" s="908" t="s">
        <v>976</v>
      </c>
      <c r="B58" s="330">
        <f>'Sources and Uses Budget'!C57</f>
        <v>5000</v>
      </c>
      <c r="C58" s="330">
        <f>'Sources and Uses Budget'!C57</f>
        <v>5000</v>
      </c>
      <c r="D58" s="330">
        <f>'Sources and Uses Budget'!C57</f>
        <v>5000</v>
      </c>
      <c r="E58" s="332">
        <f t="shared" si="0"/>
        <v>0</v>
      </c>
      <c r="F58" s="331"/>
      <c r="G58" s="331"/>
    </row>
    <row r="59" spans="1:7" s="583" customFormat="1" ht="12.45">
      <c r="A59" s="908" t="s">
        <v>974</v>
      </c>
      <c r="B59" s="330">
        <f>'Sources and Uses Budget'!C58</f>
        <v>0</v>
      </c>
      <c r="C59" s="330">
        <f>'Sources and Uses Budget'!C58</f>
        <v>0</v>
      </c>
      <c r="D59" s="330">
        <f>'Sources and Uses Budget'!C58</f>
        <v>0</v>
      </c>
      <c r="E59" s="332">
        <f t="shared" si="0"/>
        <v>0</v>
      </c>
      <c r="F59" s="331"/>
      <c r="G59" s="331"/>
    </row>
    <row r="60" spans="1:7" s="583" customFormat="1" ht="12.45">
      <c r="A60" s="908" t="s">
        <v>975</v>
      </c>
      <c r="B60" s="330">
        <f>'Sources and Uses Budget'!C59</f>
        <v>0</v>
      </c>
      <c r="C60" s="330">
        <f>'Sources and Uses Budget'!C59</f>
        <v>0</v>
      </c>
      <c r="D60" s="330">
        <f>'Sources and Uses Budget'!C59</f>
        <v>0</v>
      </c>
      <c r="E60" s="332">
        <f t="shared" si="0"/>
        <v>0</v>
      </c>
      <c r="F60" s="331"/>
      <c r="G60" s="331"/>
    </row>
    <row r="61" spans="1:7" s="583" customFormat="1" ht="14.1" customHeight="1">
      <c r="A61" s="909" t="s">
        <v>564</v>
      </c>
      <c r="B61" s="330">
        <f>'Sources and Uses Budget'!C60</f>
        <v>0</v>
      </c>
      <c r="C61" s="330">
        <f>'Sources and Uses Budget'!C60</f>
        <v>0</v>
      </c>
      <c r="D61" s="330">
        <f>'Sources and Uses Budget'!C60</f>
        <v>0</v>
      </c>
      <c r="E61" s="332">
        <f t="shared" si="0"/>
        <v>0</v>
      </c>
      <c r="F61" s="331"/>
      <c r="G61" s="331"/>
    </row>
    <row r="62" spans="1:7" s="583" customFormat="1" ht="13.1">
      <c r="A62" s="907" t="s">
        <v>529</v>
      </c>
      <c r="B62" s="914">
        <f>'Sources and Uses Budget'!C61</f>
        <v>15275</v>
      </c>
      <c r="C62" s="914">
        <f>'Sources and Uses Budget'!C61</f>
        <v>15275</v>
      </c>
      <c r="D62" s="914">
        <f>'Sources and Uses Budget'!C61</f>
        <v>15275</v>
      </c>
      <c r="E62" s="332">
        <f t="shared" si="0"/>
        <v>0</v>
      </c>
      <c r="F62" s="331"/>
      <c r="G62" s="331"/>
    </row>
    <row r="63" spans="1:7" s="583" customFormat="1" ht="12.45">
      <c r="A63" s="910" t="s">
        <v>530</v>
      </c>
      <c r="B63" s="914">
        <f>'Sources and Uses Budget'!C62</f>
        <v>22199621.217698246</v>
      </c>
      <c r="C63" s="914">
        <f>'Sources and Uses Budget'!C62</f>
        <v>22199621.217698246</v>
      </c>
      <c r="D63" s="914">
        <f>'Sources and Uses Budget'!C62</f>
        <v>22199621.217698246</v>
      </c>
      <c r="E63" s="332">
        <f t="shared" si="0"/>
        <v>0</v>
      </c>
      <c r="F63" s="331"/>
      <c r="G63" s="331"/>
    </row>
    <row r="64" spans="1:7" s="583" customFormat="1" ht="23.6">
      <c r="A64" s="235" t="s">
        <v>2053</v>
      </c>
      <c r="B64" s="328"/>
      <c r="C64" s="328"/>
      <c r="D64" s="328"/>
      <c r="E64" s="328"/>
      <c r="F64" s="328"/>
      <c r="G64" s="328"/>
    </row>
    <row r="65" spans="1:7" s="583" customFormat="1" ht="12.45">
      <c r="A65" s="239" t="s">
        <v>299</v>
      </c>
      <c r="B65" s="330">
        <f>'Sources and Uses Budget'!C64</f>
        <v>65000</v>
      </c>
      <c r="C65" s="330">
        <f>'Sources and Uses Budget'!C64</f>
        <v>65000</v>
      </c>
      <c r="D65" s="330">
        <f>'Sources and Uses Budget'!C64</f>
        <v>65000</v>
      </c>
      <c r="E65" s="332">
        <f t="shared" si="0"/>
        <v>0</v>
      </c>
      <c r="F65" s="331"/>
      <c r="G65" s="331"/>
    </row>
    <row r="66" spans="1:7" s="583" customFormat="1" ht="23.6">
      <c r="A66" s="239" t="s">
        <v>2054</v>
      </c>
      <c r="B66" s="330">
        <f>'Sources and Uses Budget'!C65</f>
        <v>100000</v>
      </c>
      <c r="C66" s="330">
        <f>'Sources and Uses Budget'!C65</f>
        <v>100000</v>
      </c>
      <c r="D66" s="330">
        <f>'Sources and Uses Budget'!C65</f>
        <v>100000</v>
      </c>
      <c r="E66" s="332">
        <f t="shared" si="0"/>
        <v>0</v>
      </c>
      <c r="F66" s="331"/>
      <c r="G66" s="331"/>
    </row>
    <row r="67" spans="1:7" s="583" customFormat="1" ht="23.6">
      <c r="A67" s="239" t="s">
        <v>2055</v>
      </c>
      <c r="B67" s="330">
        <f>'Sources and Uses Budget'!C66</f>
        <v>175000</v>
      </c>
      <c r="C67" s="330">
        <f>'Sources and Uses Budget'!C66</f>
        <v>175000</v>
      </c>
      <c r="D67" s="330">
        <f>'Sources and Uses Budget'!C66</f>
        <v>175000</v>
      </c>
      <c r="E67" s="332">
        <f t="shared" si="0"/>
        <v>0</v>
      </c>
      <c r="F67" s="331"/>
      <c r="G67" s="331"/>
    </row>
    <row r="68" spans="1:7" s="583" customFormat="1" ht="12.45">
      <c r="A68" s="239" t="s">
        <v>2056</v>
      </c>
      <c r="B68" s="330">
        <f>'Sources and Uses Budget'!C67</f>
        <v>0</v>
      </c>
      <c r="C68" s="330">
        <f>'Sources and Uses Budget'!C67</f>
        <v>0</v>
      </c>
      <c r="D68" s="330">
        <f>'Sources and Uses Budget'!C67</f>
        <v>0</v>
      </c>
      <c r="E68" s="332">
        <f t="shared" si="0"/>
        <v>0</v>
      </c>
      <c r="F68" s="331"/>
      <c r="G68" s="331"/>
    </row>
    <row r="69" spans="1:7" s="583" customFormat="1" ht="12.45">
      <c r="A69" s="250" t="s">
        <v>2115</v>
      </c>
      <c r="B69" s="330">
        <f>'Sources and Uses Budget'!C68</f>
        <v>162975.15000000002</v>
      </c>
      <c r="C69" s="330">
        <f>'Sources and Uses Budget'!C68</f>
        <v>162975.15000000002</v>
      </c>
      <c r="D69" s="330">
        <f>'Sources and Uses Budget'!C68</f>
        <v>162975.15000000002</v>
      </c>
      <c r="E69" s="332">
        <f t="shared" si="0"/>
        <v>0</v>
      </c>
      <c r="F69" s="331"/>
      <c r="G69" s="331"/>
    </row>
    <row r="70" spans="1:7" s="583" customFormat="1" ht="12.45">
      <c r="A70" s="243" t="s">
        <v>2057</v>
      </c>
      <c r="B70" s="914">
        <f>'Sources and Uses Budget'!C69</f>
        <v>502975.15</v>
      </c>
      <c r="C70" s="914">
        <f>'Sources and Uses Budget'!C69</f>
        <v>502975.15</v>
      </c>
      <c r="D70" s="914">
        <f>'Sources and Uses Budget'!C69</f>
        <v>502975.15</v>
      </c>
      <c r="E70" s="332">
        <f t="shared" si="0"/>
        <v>0</v>
      </c>
      <c r="F70" s="331"/>
      <c r="G70" s="331"/>
    </row>
    <row r="71" spans="1:7" s="583" customFormat="1" ht="12.45">
      <c r="A71" s="903" t="s">
        <v>300</v>
      </c>
      <c r="B71" s="328"/>
      <c r="C71" s="328"/>
      <c r="D71" s="328"/>
      <c r="E71" s="328"/>
      <c r="F71" s="328"/>
      <c r="G71" s="328"/>
    </row>
    <row r="72" spans="1:7" s="583" customFormat="1" ht="12.45">
      <c r="A72" s="908" t="s">
        <v>301</v>
      </c>
      <c r="B72" s="330">
        <f>'Sources and Uses Budget'!C71</f>
        <v>0</v>
      </c>
      <c r="C72" s="330">
        <f>'Sources and Uses Budget'!C71</f>
        <v>0</v>
      </c>
      <c r="D72" s="330">
        <f>'Sources and Uses Budget'!C71</f>
        <v>0</v>
      </c>
      <c r="E72" s="332">
        <f t="shared" si="0"/>
        <v>0</v>
      </c>
      <c r="F72" s="331"/>
      <c r="G72" s="331"/>
    </row>
    <row r="73" spans="1:7" s="583" customFormat="1" ht="12.45">
      <c r="A73" s="908" t="s">
        <v>302</v>
      </c>
      <c r="B73" s="330">
        <f>'Sources and Uses Budget'!C72</f>
        <v>0</v>
      </c>
      <c r="C73" s="330">
        <f>'Sources and Uses Budget'!C72</f>
        <v>0</v>
      </c>
      <c r="D73" s="330">
        <f>'Sources and Uses Budget'!C72</f>
        <v>0</v>
      </c>
      <c r="E73" s="332">
        <f t="shared" si="0"/>
        <v>0</v>
      </c>
      <c r="F73" s="331"/>
      <c r="G73" s="331"/>
    </row>
    <row r="74" spans="1:7" s="583" customFormat="1" ht="12.45">
      <c r="A74" s="911" t="s">
        <v>1292</v>
      </c>
      <c r="B74" s="330">
        <f>'Sources and Uses Budget'!C73</f>
        <v>0</v>
      </c>
      <c r="C74" s="330">
        <f>'Sources and Uses Budget'!C73</f>
        <v>0</v>
      </c>
      <c r="D74" s="330">
        <f>'Sources and Uses Budget'!C73</f>
        <v>0</v>
      </c>
      <c r="E74" s="332">
        <f>C74-B74</f>
        <v>0</v>
      </c>
      <c r="F74" s="331"/>
      <c r="G74" s="331"/>
    </row>
    <row r="75" spans="1:7" s="583" customFormat="1" ht="12.45">
      <c r="A75" s="908" t="s">
        <v>303</v>
      </c>
      <c r="B75" s="330">
        <f>'Sources and Uses Budget'!C74</f>
        <v>116258.07943215885</v>
      </c>
      <c r="C75" s="330">
        <f>'Sources and Uses Budget'!C74</f>
        <v>116258.07943215885</v>
      </c>
      <c r="D75" s="330">
        <f>'Sources and Uses Budget'!C74</f>
        <v>116258.07943215885</v>
      </c>
      <c r="E75" s="332">
        <f>C75-B75</f>
        <v>0</v>
      </c>
      <c r="F75" s="331"/>
      <c r="G75" s="331"/>
    </row>
    <row r="76" spans="1:7" s="583" customFormat="1" ht="12.45">
      <c r="A76" s="912" t="s">
        <v>564</v>
      </c>
      <c r="B76" s="330">
        <f>'Sources and Uses Budget'!C75</f>
        <v>0</v>
      </c>
      <c r="C76" s="330">
        <f>'Sources and Uses Budget'!C75</f>
        <v>0</v>
      </c>
      <c r="D76" s="330">
        <f>'Sources and Uses Budget'!C75</f>
        <v>0</v>
      </c>
      <c r="E76" s="332">
        <f>C76-B76</f>
        <v>0</v>
      </c>
      <c r="F76" s="331"/>
      <c r="G76" s="331"/>
    </row>
    <row r="77" spans="1:7" s="583" customFormat="1" ht="13.1">
      <c r="A77" s="907" t="s">
        <v>304</v>
      </c>
      <c r="B77" s="914">
        <f>'Sources and Uses Budget'!C76</f>
        <v>116258.07943215885</v>
      </c>
      <c r="C77" s="914">
        <f>'Sources and Uses Budget'!C76</f>
        <v>116258.07943215885</v>
      </c>
      <c r="D77" s="914">
        <f>'Sources and Uses Budget'!C76</f>
        <v>116258.07943215885</v>
      </c>
      <c r="E77" s="332">
        <f>C77-B77</f>
        <v>0</v>
      </c>
      <c r="F77" s="331"/>
      <c r="G77" s="331"/>
    </row>
    <row r="78" spans="1:7" s="583" customFormat="1" ht="12.45">
      <c r="A78" s="903" t="s">
        <v>1820</v>
      </c>
      <c r="B78" s="328"/>
      <c r="C78" s="328"/>
      <c r="D78" s="328"/>
      <c r="E78" s="328"/>
      <c r="F78" s="328"/>
      <c r="G78" s="328"/>
    </row>
    <row r="79" spans="1:7" s="583" customFormat="1" ht="14.1" customHeight="1">
      <c r="A79" s="908" t="s">
        <v>1818</v>
      </c>
      <c r="B79" s="330">
        <f>'Sources and Uses Budget'!C78</f>
        <v>897345.61042000004</v>
      </c>
      <c r="C79" s="330">
        <f>'Sources and Uses Budget'!C78</f>
        <v>897345.61042000004</v>
      </c>
      <c r="D79" s="330">
        <f>'Sources and Uses Budget'!C78</f>
        <v>897345.61042000004</v>
      </c>
      <c r="E79" s="332">
        <f t="shared" ref="E79:E105" si="2">C79-B79</f>
        <v>0</v>
      </c>
      <c r="F79" s="331"/>
      <c r="G79" s="331"/>
    </row>
    <row r="80" spans="1:7" s="583" customFormat="1" ht="12.45">
      <c r="A80" s="908" t="s">
        <v>569</v>
      </c>
      <c r="B80" s="330">
        <f>'Sources and Uses Budget'!C79</f>
        <v>210311.77761081324</v>
      </c>
      <c r="C80" s="330">
        <f>'Sources and Uses Budget'!C79</f>
        <v>210311.77761081324</v>
      </c>
      <c r="D80" s="330">
        <f>'Sources and Uses Budget'!C79</f>
        <v>210311.77761081324</v>
      </c>
      <c r="E80" s="332">
        <f t="shared" si="2"/>
        <v>0</v>
      </c>
      <c r="F80" s="331"/>
      <c r="G80" s="331"/>
    </row>
    <row r="81" spans="1:7" s="583" customFormat="1" ht="13.1">
      <c r="A81" s="907" t="s">
        <v>1819</v>
      </c>
      <c r="B81" s="914">
        <f>'Sources and Uses Budget'!C80</f>
        <v>1107657.3880308133</v>
      </c>
      <c r="C81" s="914">
        <f>'Sources and Uses Budget'!C80</f>
        <v>1107657.3880308133</v>
      </c>
      <c r="D81" s="914">
        <f>'Sources and Uses Budget'!C80</f>
        <v>1107657.3880308133</v>
      </c>
      <c r="E81" s="332">
        <f t="shared" si="2"/>
        <v>0</v>
      </c>
      <c r="F81" s="331"/>
      <c r="G81" s="331"/>
    </row>
    <row r="82" spans="1:7" s="583" customFormat="1" ht="12.45">
      <c r="A82" s="903" t="s">
        <v>546</v>
      </c>
      <c r="B82" s="328"/>
      <c r="C82" s="328"/>
      <c r="D82" s="328"/>
      <c r="E82" s="328"/>
      <c r="F82" s="328"/>
      <c r="G82" s="328"/>
    </row>
    <row r="83" spans="1:7" s="583" customFormat="1" ht="12.45">
      <c r="A83" s="239" t="s">
        <v>2240</v>
      </c>
      <c r="B83" s="330">
        <f>'Sources and Uses Budget'!C82</f>
        <v>115411.41970558871</v>
      </c>
      <c r="C83" s="330">
        <f>'Sources and Uses Budget'!C82</f>
        <v>115411.41970558871</v>
      </c>
      <c r="D83" s="330">
        <f>'Sources and Uses Budget'!C82</f>
        <v>115411.41970558871</v>
      </c>
      <c r="E83" s="332">
        <f t="shared" si="2"/>
        <v>0</v>
      </c>
      <c r="F83" s="331"/>
      <c r="G83" s="331"/>
    </row>
    <row r="84" spans="1:7" s="583" customFormat="1" ht="12.45">
      <c r="A84" s="239" t="s">
        <v>547</v>
      </c>
      <c r="B84" s="330">
        <f>'Sources and Uses Budget'!C83</f>
        <v>12000</v>
      </c>
      <c r="C84" s="330">
        <f>'Sources and Uses Budget'!C83</f>
        <v>12000</v>
      </c>
      <c r="D84" s="330">
        <f>'Sources and Uses Budget'!C83</f>
        <v>12000</v>
      </c>
      <c r="E84" s="332">
        <f t="shared" si="2"/>
        <v>0</v>
      </c>
      <c r="F84" s="331"/>
      <c r="G84" s="331"/>
    </row>
    <row r="85" spans="1:7" s="583" customFormat="1" ht="12.45">
      <c r="A85" s="239" t="s">
        <v>548</v>
      </c>
      <c r="B85" s="330">
        <f>'Sources and Uses Budget'!C84</f>
        <v>673345</v>
      </c>
      <c r="C85" s="330">
        <f>'Sources and Uses Budget'!C84</f>
        <v>673345</v>
      </c>
      <c r="D85" s="330">
        <f>'Sources and Uses Budget'!C84</f>
        <v>673345</v>
      </c>
      <c r="E85" s="332">
        <f t="shared" si="2"/>
        <v>0</v>
      </c>
      <c r="F85" s="331"/>
      <c r="G85" s="331"/>
    </row>
    <row r="86" spans="1:7" s="583" customFormat="1" ht="12.45">
      <c r="A86" s="239" t="s">
        <v>549</v>
      </c>
      <c r="B86" s="330">
        <f>'Sources and Uses Budget'!C85</f>
        <v>319000</v>
      </c>
      <c r="C86" s="330">
        <f>'Sources and Uses Budget'!C85</f>
        <v>319000</v>
      </c>
      <c r="D86" s="330">
        <f>'Sources and Uses Budget'!C85</f>
        <v>319000</v>
      </c>
      <c r="E86" s="332">
        <f t="shared" si="2"/>
        <v>0</v>
      </c>
      <c r="F86" s="331"/>
      <c r="G86" s="331"/>
    </row>
    <row r="87" spans="1:7" s="583" customFormat="1" ht="12.45">
      <c r="A87" s="239" t="s">
        <v>550</v>
      </c>
      <c r="B87" s="330">
        <f>'Sources and Uses Budget'!C86</f>
        <v>0</v>
      </c>
      <c r="C87" s="330">
        <f>'Sources and Uses Budget'!C86</f>
        <v>0</v>
      </c>
      <c r="D87" s="330">
        <f>'Sources and Uses Budget'!C86</f>
        <v>0</v>
      </c>
      <c r="E87" s="332">
        <f t="shared" si="2"/>
        <v>0</v>
      </c>
      <c r="F87" s="331"/>
      <c r="G87" s="331"/>
    </row>
    <row r="88" spans="1:7" s="583" customFormat="1" ht="12.45">
      <c r="A88" s="239" t="s">
        <v>551</v>
      </c>
      <c r="B88" s="330">
        <f>'Sources and Uses Budget'!C87</f>
        <v>45060</v>
      </c>
      <c r="C88" s="330">
        <f>'Sources and Uses Budget'!C87</f>
        <v>45060</v>
      </c>
      <c r="D88" s="330">
        <f>'Sources and Uses Budget'!C87</f>
        <v>45060</v>
      </c>
      <c r="E88" s="332">
        <f t="shared" si="2"/>
        <v>0</v>
      </c>
      <c r="F88" s="331"/>
      <c r="G88" s="331"/>
    </row>
    <row r="89" spans="1:7" s="583" customFormat="1" ht="12.45">
      <c r="A89" s="239" t="s">
        <v>552</v>
      </c>
      <c r="B89" s="330">
        <f>'Sources and Uses Budget'!C88</f>
        <v>0</v>
      </c>
      <c r="C89" s="330">
        <f>'Sources and Uses Budget'!C88</f>
        <v>0</v>
      </c>
      <c r="D89" s="330">
        <f>'Sources and Uses Budget'!C88</f>
        <v>0</v>
      </c>
      <c r="E89" s="332">
        <f t="shared" si="2"/>
        <v>0</v>
      </c>
      <c r="F89" s="331"/>
      <c r="G89" s="331"/>
    </row>
    <row r="90" spans="1:7" s="583" customFormat="1" ht="12.45">
      <c r="A90" s="239" t="s">
        <v>553</v>
      </c>
      <c r="B90" s="330">
        <f>'Sources and Uses Budget'!C89</f>
        <v>19598.34</v>
      </c>
      <c r="C90" s="330">
        <f>'Sources and Uses Budget'!C89</f>
        <v>19598.34</v>
      </c>
      <c r="D90" s="330">
        <f>'Sources and Uses Budget'!C89</f>
        <v>19598.34</v>
      </c>
      <c r="E90" s="332">
        <f t="shared" si="2"/>
        <v>0</v>
      </c>
      <c r="F90" s="331"/>
      <c r="G90" s="331"/>
    </row>
    <row r="91" spans="1:7" s="583" customFormat="1" ht="12.45">
      <c r="A91" s="250" t="s">
        <v>1368</v>
      </c>
      <c r="B91" s="330">
        <f>'Sources and Uses Budget'!C90</f>
        <v>25500</v>
      </c>
      <c r="C91" s="330">
        <f>'Sources and Uses Budget'!C90</f>
        <v>25500</v>
      </c>
      <c r="D91" s="330">
        <f>'Sources and Uses Budget'!C90</f>
        <v>25500</v>
      </c>
      <c r="E91" s="332">
        <f t="shared" si="2"/>
        <v>0</v>
      </c>
      <c r="F91" s="331"/>
      <c r="G91" s="331"/>
    </row>
    <row r="92" spans="1:7" s="583" customFormat="1" ht="12.45">
      <c r="A92" s="250" t="s">
        <v>1817</v>
      </c>
      <c r="B92" s="330">
        <f>'Sources and Uses Budget'!C91</f>
        <v>17000</v>
      </c>
      <c r="C92" s="330">
        <f>'Sources and Uses Budget'!C91</f>
        <v>17000</v>
      </c>
      <c r="D92" s="330">
        <f>'Sources and Uses Budget'!C91</f>
        <v>17000</v>
      </c>
      <c r="E92" s="332">
        <f t="shared" si="2"/>
        <v>0</v>
      </c>
      <c r="F92" s="331"/>
      <c r="G92" s="331"/>
    </row>
    <row r="93" spans="1:7" s="583" customFormat="1" ht="12.45">
      <c r="A93" s="246" t="s">
        <v>564</v>
      </c>
      <c r="B93" s="330">
        <f>'Sources and Uses Budget'!C92</f>
        <v>25000</v>
      </c>
      <c r="C93" s="330">
        <f>'Sources and Uses Budget'!C92</f>
        <v>25000</v>
      </c>
      <c r="D93" s="330">
        <f>'Sources and Uses Budget'!C92</f>
        <v>25000</v>
      </c>
      <c r="E93" s="332">
        <f t="shared" si="2"/>
        <v>0</v>
      </c>
      <c r="F93" s="331"/>
      <c r="G93" s="331"/>
    </row>
    <row r="94" spans="1:7" s="583" customFormat="1" ht="12.45">
      <c r="A94" s="246" t="s">
        <v>564</v>
      </c>
      <c r="B94" s="330">
        <f>'Sources and Uses Budget'!C93</f>
        <v>0</v>
      </c>
      <c r="C94" s="330">
        <f>'Sources and Uses Budget'!C93</f>
        <v>0</v>
      </c>
      <c r="D94" s="330">
        <f>'Sources and Uses Budget'!C93</f>
        <v>0</v>
      </c>
      <c r="E94" s="332">
        <f t="shared" si="2"/>
        <v>0</v>
      </c>
      <c r="F94" s="331"/>
      <c r="G94" s="331"/>
    </row>
    <row r="95" spans="1:7" s="583" customFormat="1" ht="12.45">
      <c r="A95" s="246" t="s">
        <v>564</v>
      </c>
      <c r="B95" s="330">
        <f>'Sources and Uses Budget'!C94</f>
        <v>0</v>
      </c>
      <c r="C95" s="330">
        <f>'Sources and Uses Budget'!C94</f>
        <v>0</v>
      </c>
      <c r="D95" s="330">
        <f>'Sources and Uses Budget'!C94</f>
        <v>0</v>
      </c>
      <c r="E95" s="332">
        <f t="shared" si="2"/>
        <v>0</v>
      </c>
      <c r="F95" s="331"/>
      <c r="G95" s="331"/>
    </row>
    <row r="96" spans="1:7" s="583" customFormat="1" ht="12.45">
      <c r="A96" s="243" t="s">
        <v>554</v>
      </c>
      <c r="B96" s="914">
        <f>'Sources and Uses Budget'!C95</f>
        <v>1251914.7597055889</v>
      </c>
      <c r="C96" s="914">
        <f>'Sources and Uses Budget'!C95</f>
        <v>1251914.7597055889</v>
      </c>
      <c r="D96" s="914">
        <f>'Sources and Uses Budget'!C95</f>
        <v>1251914.7597055889</v>
      </c>
      <c r="E96" s="332">
        <f t="shared" si="2"/>
        <v>0</v>
      </c>
      <c r="F96" s="331"/>
      <c r="G96" s="331"/>
    </row>
    <row r="97" spans="1:7" s="583" customFormat="1" ht="12.45">
      <c r="A97" s="243" t="s">
        <v>555</v>
      </c>
      <c r="B97" s="914">
        <f>'Sources and Uses Budget'!C96</f>
        <v>25178426.594866805</v>
      </c>
      <c r="C97" s="914">
        <f>'Sources and Uses Budget'!C96</f>
        <v>25178426.594866805</v>
      </c>
      <c r="D97" s="914">
        <f>'Sources and Uses Budget'!C96</f>
        <v>25178426.594866805</v>
      </c>
      <c r="E97" s="332">
        <f t="shared" si="2"/>
        <v>0</v>
      </c>
      <c r="F97" s="331"/>
      <c r="G97" s="331"/>
    </row>
    <row r="98" spans="1:7" s="583" customFormat="1" ht="12.45">
      <c r="A98" s="903" t="s">
        <v>556</v>
      </c>
      <c r="B98" s="328"/>
      <c r="C98" s="328"/>
      <c r="D98" s="328"/>
      <c r="E98" s="328"/>
      <c r="F98" s="328"/>
      <c r="G98" s="328"/>
    </row>
    <row r="99" spans="1:7" s="583" customFormat="1" ht="12.45">
      <c r="A99" s="239" t="s">
        <v>557</v>
      </c>
      <c r="B99" s="330">
        <f>'Sources and Uses Budget'!C98</f>
        <v>2200000</v>
      </c>
      <c r="C99" s="330">
        <f>'Sources and Uses Budget'!C98</f>
        <v>2200000</v>
      </c>
      <c r="D99" s="330">
        <f>'Sources and Uses Budget'!C98</f>
        <v>2200000</v>
      </c>
      <c r="E99" s="332">
        <f t="shared" si="2"/>
        <v>0</v>
      </c>
      <c r="F99" s="331"/>
      <c r="G99" s="331"/>
    </row>
    <row r="100" spans="1:7" s="583" customFormat="1" ht="11.95" customHeight="1">
      <c r="A100" s="239" t="s">
        <v>2113</v>
      </c>
      <c r="B100" s="330">
        <f>'Sources and Uses Budget'!C99</f>
        <v>0</v>
      </c>
      <c r="C100" s="330">
        <f>'Sources and Uses Budget'!C99</f>
        <v>0</v>
      </c>
      <c r="D100" s="330">
        <f>'Sources and Uses Budget'!C99</f>
        <v>0</v>
      </c>
      <c r="E100" s="332">
        <f t="shared" si="2"/>
        <v>0</v>
      </c>
      <c r="F100" s="331"/>
      <c r="G100" s="331"/>
    </row>
    <row r="101" spans="1:7" s="583" customFormat="1" ht="12.45">
      <c r="A101" s="239" t="s">
        <v>558</v>
      </c>
      <c r="B101" s="330">
        <f>'Sources and Uses Budget'!C100</f>
        <v>0</v>
      </c>
      <c r="C101" s="330">
        <f>'Sources and Uses Budget'!C100</f>
        <v>0</v>
      </c>
      <c r="D101" s="330">
        <f>'Sources and Uses Budget'!C100</f>
        <v>0</v>
      </c>
      <c r="E101" s="332">
        <f t="shared" si="2"/>
        <v>0</v>
      </c>
      <c r="F101" s="331"/>
      <c r="G101" s="331"/>
    </row>
    <row r="102" spans="1:7" s="583" customFormat="1" ht="12.45">
      <c r="A102" s="239" t="s">
        <v>2114</v>
      </c>
      <c r="B102" s="330">
        <f>'Sources and Uses Budget'!C101</f>
        <v>0</v>
      </c>
      <c r="C102" s="330">
        <f>'Sources and Uses Budget'!C101</f>
        <v>0</v>
      </c>
      <c r="D102" s="330">
        <f>'Sources and Uses Budget'!C101</f>
        <v>0</v>
      </c>
      <c r="E102" s="332">
        <f t="shared" si="2"/>
        <v>0</v>
      </c>
      <c r="F102" s="331"/>
      <c r="G102" s="331"/>
    </row>
    <row r="103" spans="1:7" s="583" customFormat="1" ht="12.45">
      <c r="A103" s="909" t="s">
        <v>564</v>
      </c>
      <c r="B103" s="330">
        <f>'Sources and Uses Budget'!C102</f>
        <v>0</v>
      </c>
      <c r="C103" s="330">
        <f>'Sources and Uses Budget'!C102</f>
        <v>0</v>
      </c>
      <c r="D103" s="330">
        <f>'Sources and Uses Budget'!C102</f>
        <v>0</v>
      </c>
      <c r="E103" s="332">
        <f t="shared" si="2"/>
        <v>0</v>
      </c>
      <c r="F103" s="331"/>
      <c r="G103" s="331"/>
    </row>
    <row r="104" spans="1:7" s="583" customFormat="1" ht="13.1">
      <c r="A104" s="907" t="s">
        <v>559</v>
      </c>
      <c r="B104" s="914">
        <f>'Sources and Uses Budget'!C103</f>
        <v>2200000</v>
      </c>
      <c r="C104" s="914">
        <f>'Sources and Uses Budget'!C103</f>
        <v>2200000</v>
      </c>
      <c r="D104" s="914">
        <f>'Sources and Uses Budget'!C103</f>
        <v>2200000</v>
      </c>
      <c r="E104" s="332">
        <f t="shared" si="2"/>
        <v>0</v>
      </c>
      <c r="F104" s="331"/>
      <c r="G104" s="331"/>
    </row>
    <row r="105" spans="1:7" s="583" customFormat="1" ht="13.1">
      <c r="A105" s="907" t="s">
        <v>560</v>
      </c>
      <c r="B105" s="914">
        <f>'Sources and Uses Budget'!C104</f>
        <v>27378426.594866805</v>
      </c>
      <c r="C105" s="914">
        <f>'Sources and Uses Budget'!C104</f>
        <v>27378426.594866805</v>
      </c>
      <c r="D105" s="914">
        <f>'Sources and Uses Budget'!C104</f>
        <v>27378426.594866805</v>
      </c>
      <c r="E105" s="332">
        <f t="shared" si="2"/>
        <v>0</v>
      </c>
      <c r="F105" s="331"/>
      <c r="G105" s="913"/>
    </row>
    <row r="106" spans="1:7" s="583" customFormat="1" ht="13.1">
      <c r="A106" s="337" t="s">
        <v>561</v>
      </c>
      <c r="B106" s="138"/>
      <c r="C106" s="338"/>
      <c r="D106" s="339"/>
      <c r="E106" s="357"/>
      <c r="F106" s="329"/>
      <c r="G106" s="336"/>
    </row>
    <row r="107" spans="1:7" ht="11.95"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45" zeroHeight="1"/>
  <cols>
    <col min="1" max="10" width="9.125" customWidth="1"/>
    <col min="11" max="16384" width="8.875" hidden="1"/>
  </cols>
  <sheetData>
    <row r="1" spans="1:10" ht="14.25" customHeight="1"/>
    <row r="2" spans="1:10" ht="15.05">
      <c r="A2" s="990" t="s">
        <v>318</v>
      </c>
      <c r="B2" s="991"/>
      <c r="C2" s="991"/>
      <c r="D2" s="991"/>
      <c r="E2" s="991"/>
      <c r="F2" s="991"/>
      <c r="G2" s="991"/>
      <c r="H2" s="991"/>
      <c r="I2" s="991"/>
      <c r="J2" s="991"/>
    </row>
    <row r="3" spans="1:10" ht="15.05">
      <c r="A3" s="992" t="s">
        <v>2332</v>
      </c>
      <c r="B3" s="991"/>
      <c r="C3" s="991"/>
      <c r="D3" s="991"/>
      <c r="E3" s="991"/>
      <c r="F3" s="991"/>
      <c r="G3" s="991"/>
      <c r="H3" s="991"/>
      <c r="I3" s="991"/>
      <c r="J3" s="991"/>
    </row>
    <row r="4" spans="1:10"/>
    <row r="5" spans="1:10" ht="12.8" customHeight="1">
      <c r="A5" s="997" t="s">
        <v>2298</v>
      </c>
      <c r="B5" s="997"/>
      <c r="C5" s="997"/>
      <c r="D5" s="997"/>
      <c r="E5" s="997"/>
      <c r="F5" s="997"/>
      <c r="G5" s="997"/>
      <c r="H5" s="997"/>
      <c r="I5" s="997"/>
      <c r="J5" s="997"/>
    </row>
    <row r="6" spans="1:10">
      <c r="A6" s="997"/>
      <c r="B6" s="997"/>
      <c r="C6" s="997"/>
      <c r="D6" s="997"/>
      <c r="E6" s="997"/>
      <c r="F6" s="997"/>
      <c r="G6" s="997"/>
      <c r="H6" s="997"/>
      <c r="I6" s="997"/>
      <c r="J6" s="997"/>
    </row>
    <row r="7" spans="1:10">
      <c r="A7" s="49"/>
      <c r="B7" s="49"/>
      <c r="C7" s="49"/>
      <c r="D7" s="49"/>
      <c r="E7" s="49"/>
      <c r="F7" s="49"/>
      <c r="G7" s="49"/>
      <c r="H7" s="49"/>
      <c r="I7" s="49"/>
      <c r="J7" s="49"/>
    </row>
    <row r="8" spans="1:10">
      <c r="A8" s="5" t="s">
        <v>2117</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2200</v>
      </c>
    </row>
    <row r="11" spans="1:10" s="977" customFormat="1" ht="12.8" customHeight="1"/>
    <row r="12" spans="1:10" s="977" customFormat="1" ht="12.8" customHeight="1"/>
    <row r="13" spans="1:10" s="977" customFormat="1" ht="12.8" customHeight="1"/>
    <row r="14" spans="1:10" s="977" customFormat="1" ht="12.8" customHeight="1"/>
    <row r="15" spans="1:10"/>
    <row r="16" spans="1:10" ht="12.8" customHeight="1">
      <c r="A16" s="993" t="s">
        <v>1960</v>
      </c>
      <c r="B16" s="994"/>
      <c r="C16" s="994"/>
      <c r="D16" s="994"/>
      <c r="E16" s="994"/>
      <c r="F16" s="994"/>
      <c r="G16" s="994"/>
      <c r="H16" s="994"/>
      <c r="I16" s="994"/>
      <c r="J16" s="994"/>
    </row>
    <row r="17" spans="1:10" ht="12.8" customHeight="1">
      <c r="A17" s="994"/>
      <c r="B17" s="994"/>
      <c r="C17" s="994"/>
      <c r="D17" s="994"/>
      <c r="E17" s="994"/>
      <c r="F17" s="994"/>
      <c r="G17" s="994"/>
      <c r="H17" s="994"/>
      <c r="I17" s="994"/>
      <c r="J17" s="994"/>
    </row>
    <row r="18" spans="1:10">
      <c r="A18" s="994"/>
      <c r="B18" s="994"/>
      <c r="C18" s="994"/>
      <c r="D18" s="994"/>
      <c r="E18" s="994"/>
      <c r="F18" s="994"/>
      <c r="G18" s="994"/>
      <c r="H18" s="994"/>
      <c r="I18" s="994"/>
      <c r="J18" s="994"/>
    </row>
    <row r="19" spans="1:10">
      <c r="A19" s="995"/>
      <c r="B19" s="995"/>
      <c r="C19" s="995"/>
      <c r="D19" s="995"/>
      <c r="E19" s="995"/>
      <c r="F19" s="995"/>
      <c r="G19" s="995"/>
      <c r="H19" s="995"/>
      <c r="I19" s="995"/>
      <c r="J19" s="995"/>
    </row>
    <row r="20" spans="1:10">
      <c r="A20" s="995"/>
      <c r="B20" s="995"/>
      <c r="C20" s="995"/>
      <c r="D20" s="995"/>
      <c r="E20" s="995"/>
      <c r="F20" s="995"/>
      <c r="G20" s="995"/>
      <c r="H20" s="995"/>
      <c r="I20" s="995"/>
      <c r="J20" s="995"/>
    </row>
    <row r="21" spans="1:10">
      <c r="A21" s="995"/>
      <c r="B21" s="995"/>
      <c r="C21" s="995"/>
      <c r="D21" s="995"/>
      <c r="E21" s="995"/>
      <c r="F21" s="995"/>
      <c r="G21" s="995"/>
      <c r="H21" s="995"/>
      <c r="I21" s="995"/>
      <c r="J21" s="995"/>
    </row>
    <row r="22" spans="1:10">
      <c r="A22" s="5" t="s">
        <v>1079</v>
      </c>
      <c r="B22" s="302"/>
      <c r="C22" s="302"/>
      <c r="D22" s="302"/>
      <c r="E22" s="302"/>
      <c r="F22" s="302"/>
      <c r="G22" s="302"/>
      <c r="H22" s="302"/>
      <c r="I22" s="302"/>
      <c r="J22" s="302"/>
    </row>
    <row r="23" spans="1:10" ht="15.05">
      <c r="A23" s="358" t="s">
        <v>244</v>
      </c>
      <c r="B23" s="358"/>
      <c r="C23" s="358"/>
      <c r="D23" s="358"/>
      <c r="E23" s="358"/>
      <c r="F23" s="358"/>
      <c r="G23" s="358"/>
      <c r="H23" s="358"/>
      <c r="I23" s="358"/>
      <c r="J23" s="954"/>
    </row>
    <row r="24" spans="1:10">
      <c r="A24" s="996" t="s">
        <v>1063</v>
      </c>
      <c r="B24" s="991"/>
      <c r="C24" s="991"/>
      <c r="D24" s="991"/>
      <c r="E24" s="99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4" t="s">
        <v>1080</v>
      </c>
      <c r="B61" s="995"/>
      <c r="C61" s="995"/>
      <c r="D61" s="995"/>
      <c r="E61" s="995"/>
      <c r="F61" s="995"/>
      <c r="G61" s="995"/>
      <c r="H61" s="995"/>
      <c r="I61" s="995"/>
      <c r="J61" s="995"/>
    </row>
    <row r="62" spans="1:10">
      <c r="A62" s="995"/>
      <c r="B62" s="995"/>
      <c r="C62" s="995"/>
      <c r="D62" s="995"/>
      <c r="E62" s="995"/>
      <c r="F62" s="995"/>
      <c r="G62" s="995"/>
      <c r="H62" s="995"/>
      <c r="I62" s="995"/>
      <c r="J62" s="995"/>
    </row>
    <row r="63" spans="1:10">
      <c r="A63" s="995"/>
      <c r="B63" s="995"/>
      <c r="C63" s="995"/>
      <c r="D63" s="995"/>
      <c r="E63" s="995"/>
      <c r="F63" s="995"/>
      <c r="G63" s="995"/>
      <c r="H63" s="995"/>
      <c r="I63" s="995"/>
      <c r="J63" s="995"/>
    </row>
    <row r="64" spans="1:10"/>
    <row r="65" spans="1:9">
      <c r="A65" s="5" t="s">
        <v>1063</v>
      </c>
    </row>
    <row r="66" spans="1:9"/>
    <row r="67" spans="1:9"/>
    <row r="68" spans="1:9"/>
    <row r="69" spans="1:9"/>
    <row r="70" spans="1:9"/>
    <row r="71" spans="1:9"/>
    <row r="72" spans="1:9"/>
    <row r="73" spans="1:9"/>
    <row r="74" spans="1:9"/>
    <row r="75" spans="1:9"/>
    <row r="76" spans="1:9" ht="13.1">
      <c r="A76" s="989" t="s">
        <v>1190</v>
      </c>
      <c r="B76" s="989"/>
      <c r="C76" s="989"/>
      <c r="D76" s="989"/>
      <c r="E76" s="989"/>
      <c r="F76" s="989"/>
      <c r="G76" s="989"/>
      <c r="H76" s="989"/>
      <c r="I76" s="989"/>
    </row>
    <row r="77" spans="1:9">
      <c r="A77" s="988" t="s">
        <v>1341</v>
      </c>
      <c r="B77" s="988"/>
      <c r="C77" s="988"/>
      <c r="D77" s="988"/>
      <c r="E77" s="988"/>
      <c r="F77" s="683"/>
    </row>
    <row r="78" spans="1:9">
      <c r="A78" s="988" t="s">
        <v>1340</v>
      </c>
      <c r="B78" s="988"/>
      <c r="C78" s="988"/>
      <c r="D78" s="988"/>
      <c r="E78" s="988"/>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824" workbookViewId="0">
      <selection activeCell="B838" sqref="B838"/>
    </sheetView>
  </sheetViews>
  <sheetFormatPr defaultColWidth="0" defaultRowHeight="13.75" customHeight="1" zeroHeight="1"/>
  <cols>
    <col min="1" max="1" width="1.625" style="10" customWidth="1"/>
    <col min="2" max="2" width="13.625" style="10" customWidth="1"/>
    <col min="3" max="3" width="2.625" style="10" customWidth="1"/>
    <col min="4" max="5" width="3.625" style="5" customWidth="1"/>
    <col min="6" max="6" width="67" style="5" customWidth="1"/>
    <col min="7" max="7" width="3.25" style="5" customWidth="1"/>
    <col min="8" max="8" width="2.625" hidden="1" customWidth="1"/>
    <col min="9" max="9" width="14" hidden="1" customWidth="1"/>
    <col min="10" max="16383" width="8.875" hidden="1"/>
    <col min="16384" max="16384" width="0.25" hidden="1" customWidth="1"/>
  </cols>
  <sheetData>
    <row r="1" spans="1:9" ht="13.75" customHeight="1"/>
    <row r="2" spans="1:9" ht="13.1">
      <c r="A2" s="1044" t="s">
        <v>2331</v>
      </c>
      <c r="B2" s="1044"/>
      <c r="C2" s="991"/>
      <c r="D2" s="991"/>
      <c r="E2" s="991"/>
      <c r="F2" s="991"/>
      <c r="G2" s="991"/>
      <c r="I2" t="s">
        <v>84</v>
      </c>
    </row>
    <row r="3" spans="1:9" ht="13.1">
      <c r="A3" s="190"/>
      <c r="B3" s="190"/>
      <c r="C3"/>
      <c r="D3"/>
      <c r="E3"/>
      <c r="F3"/>
      <c r="G3"/>
      <c r="I3" s="5" t="s">
        <v>1456</v>
      </c>
    </row>
    <row r="4" spans="1:9" ht="13.1">
      <c r="A4" s="1045" t="s">
        <v>2263</v>
      </c>
      <c r="B4" s="1045"/>
      <c r="C4" s="1046"/>
      <c r="D4" s="1046"/>
      <c r="E4" s="1046"/>
      <c r="F4" s="1046"/>
      <c r="G4" s="1046"/>
      <c r="I4" s="5" t="s">
        <v>1440</v>
      </c>
    </row>
    <row r="5" spans="1:9" ht="13.1">
      <c r="A5" s="1045" t="s">
        <v>1088</v>
      </c>
      <c r="B5" s="1045"/>
      <c r="C5" s="1046"/>
      <c r="D5" s="1046"/>
      <c r="E5" s="1046"/>
      <c r="F5" s="1046"/>
      <c r="G5" s="1046"/>
      <c r="I5" t="s">
        <v>132</v>
      </c>
    </row>
    <row r="6" spans="1:9" ht="13.75" customHeight="1"/>
    <row r="7" spans="1:9" ht="13.1">
      <c r="A7" s="1044" t="s">
        <v>1491</v>
      </c>
      <c r="B7" s="1044"/>
      <c r="C7" s="1047"/>
      <c r="D7" s="1047"/>
      <c r="E7" s="1047"/>
      <c r="F7" s="1047"/>
      <c r="G7" s="1047"/>
    </row>
    <row r="8" spans="1:9" ht="13.1">
      <c r="A8" s="1044" t="s">
        <v>1492</v>
      </c>
      <c r="B8" s="1044"/>
      <c r="C8" s="1047"/>
      <c r="D8" s="1047"/>
      <c r="E8" s="1047"/>
      <c r="F8" s="1047"/>
      <c r="G8" s="1047"/>
    </row>
    <row r="9" spans="1:9" ht="13.1">
      <c r="A9" s="192"/>
      <c r="B9" s="192"/>
      <c r="C9" s="190"/>
      <c r="D9" s="190"/>
      <c r="E9" s="190"/>
      <c r="F9" s="190"/>
      <c r="G9" s="190"/>
    </row>
    <row r="10" spans="1:9" ht="13.1">
      <c r="A10" s="1034" t="s">
        <v>1614</v>
      </c>
      <c r="B10" s="1034"/>
      <c r="C10" s="1034"/>
      <c r="D10" s="1034"/>
      <c r="E10" s="1034"/>
      <c r="F10" s="1034"/>
      <c r="G10" s="1034"/>
    </row>
    <row r="11" spans="1:9" ht="13.1">
      <c r="A11" s="190"/>
      <c r="B11" s="190"/>
    </row>
    <row r="12" spans="1:9" ht="13.75" customHeight="1">
      <c r="C12" s="190"/>
      <c r="D12" s="1048" t="s">
        <v>1613</v>
      </c>
      <c r="E12" s="1048"/>
      <c r="F12" s="1048"/>
      <c r="G12" s="625"/>
    </row>
    <row r="13" spans="1:9" ht="13.1">
      <c r="C13" s="190"/>
      <c r="D13" s="1048"/>
      <c r="E13" s="1048"/>
      <c r="F13" s="1048"/>
      <c r="G13" s="625"/>
    </row>
    <row r="14" spans="1:9" ht="13.1">
      <c r="A14" s="191"/>
      <c r="B14" s="191"/>
      <c r="C14" s="191"/>
      <c r="D14" s="1000" t="s">
        <v>1478</v>
      </c>
      <c r="E14" s="1000"/>
      <c r="F14" s="1000"/>
    </row>
    <row r="15" spans="1:9" ht="13.1">
      <c r="A15" s="191"/>
      <c r="B15" s="191"/>
      <c r="C15" s="191"/>
    </row>
    <row r="16" spans="1:9" ht="14.4" customHeight="1">
      <c r="A16" s="271"/>
      <c r="B16" s="624" t="s">
        <v>132</v>
      </c>
      <c r="C16" s="191"/>
      <c r="D16" s="973" t="s">
        <v>2165</v>
      </c>
      <c r="E16" s="980"/>
      <c r="F16" s="980"/>
      <c r="G16" s="358"/>
    </row>
    <row r="17" spans="1:7" ht="14.4" customHeight="1">
      <c r="A17" s="271"/>
      <c r="C17" s="191"/>
      <c r="D17" s="980"/>
      <c r="E17" s="980"/>
      <c r="F17" s="980"/>
      <c r="G17" s="358"/>
    </row>
    <row r="18" spans="1:7" ht="13.1">
      <c r="A18" s="191"/>
      <c r="C18" s="191"/>
      <c r="D18" s="980"/>
      <c r="E18" s="980"/>
      <c r="F18" s="980"/>
      <c r="G18" s="358"/>
    </row>
    <row r="19" spans="1:7" ht="13.1">
      <c r="A19" s="191"/>
      <c r="C19" s="191"/>
      <c r="D19" s="24"/>
      <c r="E19" s="128" t="s">
        <v>2166</v>
      </c>
      <c r="F19" s="24"/>
      <c r="G19" s="358"/>
    </row>
    <row r="20" spans="1:7" ht="13.1">
      <c r="A20" s="191"/>
      <c r="B20" s="191"/>
      <c r="C20" s="191"/>
    </row>
    <row r="21" spans="1:7">
      <c r="A21" s="271"/>
      <c r="B21" s="624" t="s">
        <v>1440</v>
      </c>
      <c r="D21" s="973" t="s">
        <v>2167</v>
      </c>
      <c r="E21" s="980"/>
      <c r="F21" s="980"/>
    </row>
    <row r="22" spans="1:7" ht="12.45">
      <c r="D22" s="980"/>
      <c r="E22" s="980"/>
      <c r="F22" s="980"/>
    </row>
    <row r="23" spans="1:7" ht="13.1">
      <c r="D23" s="102"/>
      <c r="E23" s="104" t="s">
        <v>2168</v>
      </c>
      <c r="F23" s="102"/>
    </row>
    <row r="24" spans="1:7">
      <c r="A24" s="271"/>
      <c r="B24" s="271"/>
      <c r="D24" s="44"/>
    </row>
    <row r="25" spans="1:7">
      <c r="A25" s="271"/>
      <c r="B25" s="624" t="s">
        <v>132</v>
      </c>
      <c r="D25" s="980" t="s">
        <v>1472</v>
      </c>
      <c r="E25" s="980"/>
      <c r="F25" s="980"/>
    </row>
    <row r="26" spans="1:7">
      <c r="A26" s="271"/>
      <c r="B26" s="271"/>
      <c r="D26" s="980"/>
      <c r="E26" s="980"/>
      <c r="F26" s="980"/>
    </row>
    <row r="27" spans="1:7">
      <c r="A27" s="271"/>
      <c r="B27" s="271"/>
      <c r="D27" s="44"/>
    </row>
    <row r="28" spans="1:7" ht="14.25" customHeight="1">
      <c r="A28" s="271"/>
      <c r="B28" s="624" t="s">
        <v>1440</v>
      </c>
      <c r="D28" s="973" t="s">
        <v>2264</v>
      </c>
      <c r="E28" s="973"/>
      <c r="F28" s="973"/>
    </row>
    <row r="29" spans="1:7">
      <c r="A29" s="271"/>
      <c r="B29" s="271"/>
      <c r="D29" s="973"/>
      <c r="E29" s="973"/>
      <c r="F29" s="973"/>
    </row>
    <row r="30" spans="1:7">
      <c r="A30" s="271"/>
      <c r="B30" s="271"/>
      <c r="D30" s="973"/>
      <c r="E30" s="973"/>
      <c r="F30" s="973"/>
    </row>
    <row r="31" spans="1:7">
      <c r="A31" s="271"/>
      <c r="B31" s="271"/>
      <c r="D31" s="973"/>
      <c r="E31" s="973"/>
      <c r="F31" s="973"/>
    </row>
    <row r="32" spans="1:7">
      <c r="A32" s="271"/>
      <c r="B32" s="271"/>
      <c r="D32" s="973"/>
      <c r="E32" s="973"/>
      <c r="F32" s="973"/>
    </row>
    <row r="33" spans="1:6">
      <c r="A33" s="271"/>
      <c r="B33" s="271"/>
      <c r="D33" s="591"/>
      <c r="F33" s="627"/>
    </row>
    <row r="34" spans="1:6" ht="14.4" customHeight="1">
      <c r="A34" s="271"/>
      <c r="B34" s="624" t="s">
        <v>132</v>
      </c>
      <c r="D34" s="980" t="s">
        <v>2265</v>
      </c>
      <c r="E34" s="980"/>
      <c r="F34" s="980"/>
    </row>
    <row r="35" spans="1:6">
      <c r="A35" s="271"/>
      <c r="B35" s="271"/>
      <c r="D35" s="980"/>
      <c r="E35" s="980"/>
      <c r="F35" s="980"/>
    </row>
    <row r="36" spans="1:6">
      <c r="A36" s="271"/>
      <c r="B36" s="271"/>
      <c r="D36" s="209"/>
      <c r="E36" s="209"/>
      <c r="F36" s="209"/>
    </row>
    <row r="37" spans="1:6">
      <c r="A37" s="271"/>
      <c r="B37" s="624" t="s">
        <v>132</v>
      </c>
      <c r="D37" s="973" t="s">
        <v>1830</v>
      </c>
      <c r="E37" s="980"/>
      <c r="F37" s="980"/>
    </row>
    <row r="38" spans="1:6">
      <c r="A38" s="271"/>
      <c r="B38" s="271"/>
      <c r="D38" s="980"/>
      <c r="E38" s="980"/>
      <c r="F38" s="980"/>
    </row>
    <row r="39" spans="1:6">
      <c r="A39" s="271"/>
      <c r="B39" s="271"/>
      <c r="D39" s="980"/>
      <c r="E39" s="980"/>
      <c r="F39" s="980"/>
    </row>
    <row r="40" spans="1:6">
      <c r="A40" s="271"/>
      <c r="B40" s="271"/>
      <c r="D40" s="980"/>
      <c r="E40" s="980"/>
      <c r="F40" s="980"/>
    </row>
    <row r="41" spans="1:6">
      <c r="A41" s="271"/>
      <c r="B41" s="271"/>
      <c r="D41" s="980"/>
      <c r="E41" s="980"/>
      <c r="F41" s="980"/>
    </row>
    <row r="42" spans="1:6">
      <c r="A42" s="271"/>
      <c r="B42" s="271"/>
      <c r="D42" s="980"/>
      <c r="E42" s="980"/>
      <c r="F42" s="980"/>
    </row>
    <row r="43" spans="1:6">
      <c r="A43" s="271"/>
      <c r="B43" s="271"/>
      <c r="D43" s="980"/>
      <c r="E43" s="980"/>
      <c r="F43" s="980"/>
    </row>
    <row r="44" spans="1:6">
      <c r="A44" s="271"/>
      <c r="B44" s="271"/>
      <c r="D44" s="980"/>
      <c r="E44" s="980"/>
      <c r="F44" s="980"/>
    </row>
    <row r="45" spans="1:6">
      <c r="A45" s="271"/>
      <c r="B45" s="271"/>
      <c r="D45" s="24"/>
      <c r="E45" s="24"/>
      <c r="F45" s="24"/>
    </row>
    <row r="46" spans="1:6" ht="14.4" customHeight="1">
      <c r="A46" s="271"/>
      <c r="B46" s="624" t="s">
        <v>132</v>
      </c>
      <c r="D46" s="980" t="s">
        <v>1508</v>
      </c>
      <c r="E46" s="980"/>
      <c r="F46" s="980"/>
    </row>
    <row r="47" spans="1:6">
      <c r="A47" s="271"/>
      <c r="B47" s="271"/>
      <c r="D47" s="980"/>
      <c r="E47" s="980"/>
      <c r="F47" s="980"/>
    </row>
    <row r="48" spans="1:6">
      <c r="A48" s="271"/>
      <c r="B48" s="271"/>
      <c r="D48" s="980"/>
      <c r="E48" s="980"/>
      <c r="F48" s="980"/>
    </row>
    <row r="49" spans="1:6">
      <c r="A49" s="271"/>
      <c r="B49" s="271"/>
      <c r="D49" s="980"/>
      <c r="E49" s="980"/>
      <c r="F49" s="980"/>
    </row>
    <row r="50" spans="1:6">
      <c r="A50" s="271"/>
      <c r="B50" s="271"/>
      <c r="D50" s="980"/>
      <c r="E50" s="980"/>
      <c r="F50" s="980"/>
    </row>
    <row r="51" spans="1:6">
      <c r="A51" s="271"/>
      <c r="B51" s="271"/>
      <c r="D51" s="44"/>
    </row>
    <row r="52" spans="1:6">
      <c r="A52" s="271"/>
      <c r="B52" s="624" t="s">
        <v>132</v>
      </c>
      <c r="D52" s="973" t="s">
        <v>1976</v>
      </c>
      <c r="E52" s="980"/>
      <c r="F52" s="980"/>
    </row>
    <row r="53" spans="1:6">
      <c r="A53" s="271"/>
      <c r="B53" s="271"/>
      <c r="D53" s="980"/>
      <c r="E53" s="980"/>
      <c r="F53" s="980"/>
    </row>
    <row r="54" spans="1:6">
      <c r="A54" s="271"/>
      <c r="B54" s="271"/>
      <c r="D54" s="980"/>
      <c r="E54" s="980"/>
      <c r="F54" s="980"/>
    </row>
    <row r="55" spans="1:6">
      <c r="A55" s="271"/>
      <c r="B55" s="271"/>
      <c r="D55" s="980"/>
      <c r="E55" s="980"/>
      <c r="F55" s="980"/>
    </row>
    <row r="56" spans="1:6">
      <c r="A56" s="271"/>
      <c r="B56" s="271"/>
      <c r="D56" s="980"/>
      <c r="E56" s="980"/>
      <c r="F56" s="980"/>
    </row>
    <row r="57" spans="1:6" ht="15.05" customHeight="1">
      <c r="A57" s="271"/>
      <c r="B57" s="271"/>
      <c r="D57" s="980"/>
      <c r="E57" s="980"/>
      <c r="F57" s="980"/>
    </row>
    <row r="58" spans="1:6">
      <c r="A58" s="271"/>
      <c r="B58" s="271"/>
      <c r="D58"/>
    </row>
    <row r="59" spans="1:6">
      <c r="A59" s="271"/>
      <c r="B59" s="624" t="s">
        <v>132</v>
      </c>
      <c r="D59" s="973" t="s">
        <v>2023</v>
      </c>
      <c r="E59" s="980"/>
      <c r="F59" s="980"/>
    </row>
    <row r="60" spans="1:6">
      <c r="A60" s="271"/>
      <c r="B60" s="271"/>
      <c r="D60" s="980"/>
      <c r="E60" s="980"/>
      <c r="F60" s="980"/>
    </row>
    <row r="61" spans="1:6">
      <c r="A61" s="271"/>
      <c r="B61" s="271"/>
      <c r="D61" s="980"/>
      <c r="E61" s="980"/>
      <c r="F61" s="980"/>
    </row>
    <row r="62" spans="1:6">
      <c r="A62" s="271"/>
      <c r="B62" s="271"/>
      <c r="D62" s="980"/>
      <c r="E62" s="980"/>
      <c r="F62" s="980"/>
    </row>
    <row r="63" spans="1:6" ht="17.2" customHeight="1">
      <c r="A63" s="271"/>
      <c r="B63" s="271"/>
      <c r="D63" s="980"/>
      <c r="E63" s="980"/>
      <c r="F63" s="980"/>
    </row>
    <row r="64" spans="1:6" ht="14.25" customHeight="1">
      <c r="A64" s="271"/>
      <c r="B64" s="624" t="s">
        <v>132</v>
      </c>
      <c r="D64" s="980" t="s">
        <v>2266</v>
      </c>
      <c r="E64" s="980"/>
      <c r="F64" s="980"/>
    </row>
    <row r="65" spans="1:6" ht="15.05" customHeight="1">
      <c r="A65" s="271"/>
      <c r="B65" s="271"/>
      <c r="D65" s="980"/>
      <c r="E65" s="980"/>
      <c r="F65" s="980"/>
    </row>
    <row r="66" spans="1:6" ht="21.6" customHeight="1">
      <c r="A66" s="271"/>
      <c r="B66" s="271"/>
      <c r="D66" s="980"/>
      <c r="E66" s="980"/>
      <c r="F66" s="980"/>
    </row>
    <row r="67" spans="1:6">
      <c r="A67" s="271"/>
      <c r="B67" s="271"/>
    </row>
    <row r="68" spans="1:6" ht="14.25" customHeight="1">
      <c r="A68" s="271"/>
      <c r="B68" s="624" t="s">
        <v>1440</v>
      </c>
      <c r="D68" s="973" t="s">
        <v>2169</v>
      </c>
      <c r="E68" s="980"/>
      <c r="F68" s="980"/>
    </row>
    <row r="69" spans="1:6" ht="12.45">
      <c r="D69" s="980"/>
      <c r="E69" s="980"/>
      <c r="F69" s="980"/>
    </row>
    <row r="70" spans="1:6" ht="12.45">
      <c r="D70" s="980"/>
      <c r="E70" s="980"/>
      <c r="F70" s="980"/>
    </row>
    <row r="71" spans="1:6">
      <c r="A71" s="271"/>
      <c r="B71" s="271"/>
      <c r="D71" s="209"/>
      <c r="E71" s="128" t="s">
        <v>2166</v>
      </c>
      <c r="F71" s="209"/>
    </row>
    <row r="72" spans="1:6">
      <c r="A72" s="271"/>
      <c r="B72" s="271"/>
    </row>
    <row r="73" spans="1:6">
      <c r="A73" s="271"/>
      <c r="B73" s="624" t="s">
        <v>132</v>
      </c>
      <c r="D73" s="980" t="s">
        <v>1612</v>
      </c>
      <c r="E73" s="980"/>
      <c r="F73" s="980"/>
    </row>
    <row r="74" spans="1:6" ht="12.45">
      <c r="D74" s="980"/>
      <c r="E74" s="980"/>
      <c r="F74" s="980"/>
    </row>
    <row r="75" spans="1:6" ht="12.45">
      <c r="D75" s="980"/>
      <c r="E75" s="980"/>
      <c r="F75" s="980"/>
    </row>
    <row r="76" spans="1:6" ht="12.45"/>
    <row r="77" spans="1:6">
      <c r="A77" s="271" t="s">
        <v>244</v>
      </c>
      <c r="B77" s="624" t="s">
        <v>132</v>
      </c>
      <c r="D77" s="980" t="s">
        <v>1511</v>
      </c>
      <c r="E77" s="980"/>
      <c r="F77" s="980"/>
    </row>
    <row r="78" spans="1:6" ht="12.45">
      <c r="D78" s="980"/>
      <c r="E78" s="980"/>
      <c r="F78" s="980"/>
    </row>
    <row r="79" spans="1:6" ht="12.45"/>
    <row r="80" spans="1:6">
      <c r="A80" s="271" t="s">
        <v>244</v>
      </c>
      <c r="B80" s="624" t="s">
        <v>1440</v>
      </c>
      <c r="D80" s="980" t="s">
        <v>1512</v>
      </c>
      <c r="E80" s="980"/>
      <c r="F80" s="980"/>
    </row>
    <row r="81" spans="1:7" ht="12.45">
      <c r="D81" s="980"/>
      <c r="E81" s="980"/>
      <c r="F81" s="980"/>
    </row>
    <row r="82" spans="1:7" ht="12.45">
      <c r="D82" s="980"/>
      <c r="E82" s="980"/>
      <c r="F82" s="980"/>
    </row>
    <row r="83" spans="1:7" ht="12.45">
      <c r="D83" s="44"/>
    </row>
    <row r="84" spans="1:7">
      <c r="A84" s="271" t="s">
        <v>244</v>
      </c>
      <c r="B84" s="624" t="s">
        <v>1440</v>
      </c>
      <c r="D84" s="980" t="s">
        <v>1513</v>
      </c>
      <c r="E84" s="980"/>
      <c r="F84" s="980"/>
    </row>
    <row r="85" spans="1:7" ht="12.45">
      <c r="D85" s="980"/>
      <c r="E85" s="980"/>
      <c r="F85" s="980"/>
    </row>
    <row r="86" spans="1:7" ht="12.45"/>
    <row r="87" spans="1:7" ht="13.1">
      <c r="A87" s="1034" t="s">
        <v>1444</v>
      </c>
      <c r="B87" s="1034"/>
      <c r="C87" s="1034"/>
      <c r="D87" s="1034"/>
      <c r="E87" s="1034"/>
      <c r="F87" s="1034"/>
      <c r="G87" s="1034"/>
    </row>
    <row r="88" spans="1:7" ht="12.45">
      <c r="E88"/>
      <c r="F88"/>
      <c r="G88"/>
    </row>
    <row r="89" spans="1:7" ht="13.75" customHeight="1">
      <c r="C89" s="605"/>
      <c r="D89" s="1007" t="s">
        <v>1445</v>
      </c>
      <c r="E89" s="1007"/>
      <c r="F89" s="1007"/>
      <c r="G89"/>
    </row>
    <row r="90" spans="1:7" ht="13.75" customHeight="1">
      <c r="A90" s="44"/>
      <c r="B90" s="44"/>
      <c r="D90" s="980" t="s">
        <v>1615</v>
      </c>
      <c r="E90" s="980"/>
      <c r="F90" s="980"/>
      <c r="G90"/>
    </row>
    <row r="91" spans="1:7" ht="12.45">
      <c r="A91" s="44"/>
      <c r="B91" s="44"/>
      <c r="E91"/>
      <c r="F91"/>
      <c r="G91"/>
    </row>
    <row r="92" spans="1:7" ht="14.25" customHeight="1">
      <c r="A92" s="271"/>
      <c r="B92" s="624" t="s">
        <v>1440</v>
      </c>
      <c r="D92" s="973" t="s">
        <v>1949</v>
      </c>
      <c r="E92" s="973"/>
      <c r="F92" s="973"/>
      <c r="G92"/>
    </row>
    <row r="93" spans="1:7" ht="14.4" customHeight="1">
      <c r="A93" s="271"/>
      <c r="D93" s="973"/>
      <c r="E93" s="973"/>
      <c r="F93" s="973"/>
      <c r="G93"/>
    </row>
    <row r="94" spans="1:7">
      <c r="A94" s="271"/>
      <c r="B94" s="271"/>
      <c r="D94" s="973"/>
      <c r="E94" s="973"/>
      <c r="F94" s="973"/>
      <c r="G94"/>
    </row>
    <row r="95" spans="1:7">
      <c r="A95" s="271"/>
      <c r="B95" s="271"/>
      <c r="D95" s="973"/>
      <c r="E95" s="973"/>
      <c r="F95" s="973"/>
      <c r="G95"/>
    </row>
    <row r="96" spans="1:7">
      <c r="A96" s="271"/>
      <c r="B96" s="271"/>
      <c r="D96" s="973"/>
      <c r="E96" s="973"/>
      <c r="F96" s="973"/>
      <c r="G96"/>
    </row>
    <row r="97" spans="1:7">
      <c r="A97" s="271"/>
      <c r="B97" s="271"/>
      <c r="D97" s="973"/>
      <c r="E97" s="973"/>
      <c r="F97" s="973"/>
      <c r="G97"/>
    </row>
    <row r="98" spans="1:7">
      <c r="A98" s="271"/>
      <c r="B98" s="271"/>
      <c r="D98" s="973"/>
      <c r="E98" s="973"/>
      <c r="F98" s="973"/>
      <c r="G98"/>
    </row>
    <row r="99" spans="1:7">
      <c r="A99" s="271"/>
      <c r="B99" s="271"/>
      <c r="D99" s="973"/>
      <c r="E99" s="973"/>
      <c r="F99" s="973"/>
      <c r="G99"/>
    </row>
    <row r="100" spans="1:7">
      <c r="A100" s="271"/>
      <c r="B100" s="271"/>
      <c r="D100" s="973"/>
      <c r="E100" s="973"/>
      <c r="F100" s="973"/>
      <c r="G100"/>
    </row>
    <row r="101" spans="1:7" ht="14.4" customHeight="1">
      <c r="A101" s="271"/>
      <c r="B101" s="624" t="s">
        <v>132</v>
      </c>
      <c r="D101" s="1027" t="s">
        <v>1950</v>
      </c>
      <c r="E101" s="1027"/>
      <c r="F101" s="1027"/>
      <c r="G101"/>
    </row>
    <row r="102" spans="1:7">
      <c r="A102" s="271"/>
      <c r="B102" s="271"/>
      <c r="D102" s="1027"/>
      <c r="E102" s="1027"/>
      <c r="F102" s="1027"/>
      <c r="G102"/>
    </row>
    <row r="103" spans="1:7">
      <c r="A103" s="271"/>
      <c r="B103" s="271"/>
      <c r="D103" s="1027"/>
      <c r="E103" s="1027"/>
      <c r="F103" s="1027"/>
      <c r="G103"/>
    </row>
    <row r="104" spans="1:7">
      <c r="A104" s="271"/>
      <c r="B104" s="271"/>
      <c r="D104" s="1027"/>
      <c r="E104" s="1027"/>
      <c r="F104" s="1027"/>
      <c r="G104"/>
    </row>
    <row r="105" spans="1:7">
      <c r="A105" s="271"/>
      <c r="B105" s="271"/>
      <c r="D105" s="1027"/>
      <c r="E105" s="1027"/>
      <c r="F105" s="1027"/>
      <c r="G105"/>
    </row>
    <row r="106" spans="1:7">
      <c r="A106" s="271"/>
      <c r="B106" s="271"/>
      <c r="D106" s="1027"/>
      <c r="E106" s="1027"/>
      <c r="F106" s="1027"/>
      <c r="G106"/>
    </row>
    <row r="107" spans="1:7">
      <c r="A107" s="271"/>
      <c r="B107" s="271"/>
      <c r="D107" s="1027"/>
      <c r="E107" s="1027"/>
      <c r="F107" s="1027"/>
      <c r="G107"/>
    </row>
    <row r="108" spans="1:7">
      <c r="A108" s="271"/>
      <c r="B108" s="271"/>
      <c r="D108" s="1027"/>
      <c r="E108" s="1027"/>
      <c r="F108" s="1027"/>
      <c r="G108"/>
    </row>
    <row r="109" spans="1:7">
      <c r="A109" s="271"/>
      <c r="B109" s="271"/>
      <c r="D109" s="1027"/>
      <c r="E109" s="1027"/>
      <c r="F109" s="1027"/>
      <c r="G109"/>
    </row>
    <row r="110" spans="1:7">
      <c r="A110" s="271"/>
      <c r="B110" s="271"/>
      <c r="D110" s="1027"/>
      <c r="E110" s="1027"/>
      <c r="F110" s="1027"/>
      <c r="G110"/>
    </row>
    <row r="111" spans="1:7">
      <c r="A111" s="271"/>
      <c r="B111" s="271"/>
      <c r="D111" s="1027"/>
      <c r="E111" s="1027"/>
      <c r="F111" s="1027"/>
      <c r="G111"/>
    </row>
    <row r="112" spans="1:7">
      <c r="A112" s="271"/>
      <c r="B112" s="271"/>
      <c r="D112" s="1027"/>
      <c r="E112" s="1027"/>
      <c r="F112" s="1027"/>
      <c r="G112"/>
    </row>
    <row r="113" spans="1:7">
      <c r="A113" s="271"/>
      <c r="B113" s="271"/>
      <c r="D113" s="1027"/>
      <c r="E113" s="1027"/>
      <c r="F113" s="1027"/>
      <c r="G113"/>
    </row>
    <row r="114" spans="1:7">
      <c r="A114" s="271"/>
      <c r="B114" s="624" t="s">
        <v>132</v>
      </c>
      <c r="D114" s="980" t="s">
        <v>1616</v>
      </c>
      <c r="E114" s="980"/>
      <c r="F114" s="980"/>
      <c r="G114"/>
    </row>
    <row r="115" spans="1:7">
      <c r="A115" s="271"/>
      <c r="B115" s="271"/>
      <c r="D115" s="980"/>
      <c r="E115" s="980"/>
      <c r="F115" s="980"/>
      <c r="G115"/>
    </row>
    <row r="116" spans="1:7">
      <c r="A116" s="271"/>
      <c r="B116" s="271"/>
      <c r="D116" s="980"/>
      <c r="E116" s="980"/>
      <c r="F116" s="980"/>
      <c r="G116"/>
    </row>
    <row r="117" spans="1:7">
      <c r="A117" s="271"/>
      <c r="B117" s="271"/>
      <c r="D117" s="980"/>
      <c r="E117" s="980"/>
      <c r="F117" s="980"/>
      <c r="G117"/>
    </row>
    <row r="118" spans="1:7">
      <c r="A118" s="271"/>
      <c r="B118" s="271"/>
      <c r="D118" s="980"/>
      <c r="E118" s="980"/>
      <c r="F118" s="980"/>
      <c r="G118"/>
    </row>
    <row r="119" spans="1:7">
      <c r="A119" s="271"/>
      <c r="B119" s="271"/>
      <c r="D119" s="980"/>
      <c r="E119" s="980"/>
      <c r="F119" s="980"/>
      <c r="G119"/>
    </row>
    <row r="120" spans="1:7">
      <c r="A120" s="271"/>
      <c r="B120" s="271"/>
      <c r="D120" s="980"/>
      <c r="E120" s="980"/>
      <c r="F120" s="980"/>
      <c r="G120"/>
    </row>
    <row r="121" spans="1:7">
      <c r="A121" s="271"/>
      <c r="B121" s="271"/>
      <c r="D121" s="980"/>
      <c r="E121" s="980"/>
      <c r="F121" s="980"/>
      <c r="G121"/>
    </row>
    <row r="122" spans="1:7" ht="12.8" customHeight="1">
      <c r="A122" s="271"/>
      <c r="B122" s="624" t="s">
        <v>1440</v>
      </c>
      <c r="D122" s="980" t="s">
        <v>1617</v>
      </c>
      <c r="E122" s="980"/>
      <c r="F122" s="980"/>
    </row>
    <row r="123" spans="1:7" ht="12.45">
      <c r="D123" s="980"/>
      <c r="E123" s="980"/>
      <c r="F123" s="980"/>
    </row>
    <row r="124" spans="1:7" ht="12.45">
      <c r="D124" s="980"/>
      <c r="E124" s="980"/>
      <c r="F124" s="980"/>
    </row>
    <row r="125" spans="1:7" ht="12.45">
      <c r="D125" s="980"/>
      <c r="E125" s="980"/>
      <c r="F125" s="980"/>
    </row>
    <row r="126" spans="1:7" ht="26.85" customHeight="1">
      <c r="D126" s="980"/>
      <c r="E126" s="980"/>
      <c r="F126" s="980"/>
    </row>
    <row r="127" spans="1:7" ht="12.45"/>
    <row r="128" spans="1:7">
      <c r="A128" s="271"/>
      <c r="B128" s="624" t="s">
        <v>1440</v>
      </c>
      <c r="D128" s="980" t="s">
        <v>1618</v>
      </c>
      <c r="E128" s="980"/>
      <c r="F128" s="980"/>
    </row>
    <row r="129" spans="1:7" s="324" customFormat="1" ht="14.1" customHeight="1">
      <c r="A129" s="317"/>
      <c r="B129" s="317"/>
      <c r="C129" s="317"/>
      <c r="D129" s="980"/>
      <c r="E129" s="980"/>
      <c r="F129" s="980"/>
      <c r="G129" s="361"/>
    </row>
    <row r="130" spans="1:7" ht="14.1" customHeight="1">
      <c r="D130" s="980"/>
      <c r="E130" s="980"/>
      <c r="F130" s="980"/>
    </row>
    <row r="131" spans="1:7" ht="14.1" customHeight="1">
      <c r="D131" s="980"/>
      <c r="E131" s="980"/>
      <c r="F131" s="980"/>
    </row>
    <row r="132" spans="1:7" ht="14.1" customHeight="1">
      <c r="D132" s="980"/>
      <c r="E132" s="980"/>
      <c r="F132" s="980"/>
    </row>
    <row r="133" spans="1:7" ht="14.1" customHeight="1">
      <c r="D133" s="980"/>
      <c r="E133" s="980"/>
      <c r="F133" s="980"/>
    </row>
    <row r="134" spans="1:7" ht="14.1" customHeight="1">
      <c r="D134" s="980"/>
      <c r="E134" s="980"/>
      <c r="F134" s="980"/>
      <c r="G134"/>
    </row>
    <row r="135" spans="1:7" ht="14.1" customHeight="1">
      <c r="D135" s="980"/>
      <c r="E135" s="980"/>
      <c r="F135" s="980"/>
      <c r="G135"/>
    </row>
    <row r="136" spans="1:7" ht="14.1" customHeight="1">
      <c r="D136" s="980"/>
      <c r="E136" s="980"/>
      <c r="F136" s="980"/>
      <c r="G136"/>
    </row>
    <row r="137" spans="1:7" ht="14.1" customHeight="1">
      <c r="D137" s="980"/>
      <c r="E137" s="980"/>
      <c r="F137" s="980"/>
      <c r="G137"/>
    </row>
    <row r="138" spans="1:7" ht="17.2" customHeight="1">
      <c r="D138" s="980"/>
      <c r="E138" s="980"/>
      <c r="F138" s="980"/>
      <c r="G138"/>
    </row>
    <row r="139" spans="1:7" ht="25.55" hidden="1" customHeight="1">
      <c r="D139" s="980"/>
      <c r="E139" s="980"/>
      <c r="F139" s="980"/>
      <c r="G139"/>
    </row>
    <row r="140" spans="1:7" ht="14.1" customHeight="1">
      <c r="G140"/>
    </row>
    <row r="141" spans="1:7" ht="14.1" customHeight="1">
      <c r="B141" s="624" t="s">
        <v>132</v>
      </c>
      <c r="D141" s="973" t="s">
        <v>1807</v>
      </c>
      <c r="E141" s="980"/>
      <c r="F141" s="980"/>
      <c r="G141"/>
    </row>
    <row r="142" spans="1:7" ht="14.1" customHeight="1">
      <c r="D142" s="980"/>
      <c r="E142" s="980"/>
      <c r="F142" s="980"/>
      <c r="G142"/>
    </row>
    <row r="143" spans="1:7" ht="14.1" customHeight="1">
      <c r="D143" s="980"/>
      <c r="E143" s="980"/>
      <c r="F143" s="980"/>
      <c r="G143"/>
    </row>
    <row r="144" spans="1:7" ht="14.1" customHeight="1">
      <c r="D144" s="980"/>
      <c r="E144" s="980"/>
      <c r="F144" s="980"/>
      <c r="G144"/>
    </row>
    <row r="145" spans="1:7" ht="14.1" customHeight="1">
      <c r="D145" s="980"/>
      <c r="E145" s="980"/>
      <c r="F145" s="980"/>
      <c r="G145"/>
    </row>
    <row r="146" spans="1:7" ht="14.1" customHeight="1">
      <c r="A146" s="18"/>
      <c r="B146" s="18"/>
      <c r="D146" s="980"/>
      <c r="E146" s="980"/>
      <c r="F146" s="980"/>
      <c r="G146"/>
    </row>
    <row r="147" spans="1:7" ht="14.1" customHeight="1">
      <c r="A147" s="18"/>
      <c r="B147" s="18"/>
      <c r="D147" s="980"/>
      <c r="E147" s="980"/>
      <c r="F147" s="980"/>
      <c r="G147"/>
    </row>
    <row r="148" spans="1:7" ht="14.1" customHeight="1">
      <c r="A148" s="18"/>
      <c r="B148" s="18"/>
      <c r="D148" s="980"/>
      <c r="E148" s="980"/>
      <c r="F148" s="980"/>
      <c r="G148"/>
    </row>
    <row r="149" spans="1:7" ht="14.1" customHeight="1">
      <c r="A149" s="18"/>
      <c r="B149" s="18"/>
      <c r="D149" s="980"/>
      <c r="E149" s="980"/>
      <c r="F149" s="980"/>
      <c r="G149"/>
    </row>
    <row r="150" spans="1:7" ht="14.1" customHeight="1">
      <c r="A150" s="18"/>
      <c r="B150" s="18"/>
      <c r="D150" s="980"/>
      <c r="E150" s="980"/>
      <c r="F150" s="980"/>
      <c r="G150"/>
    </row>
    <row r="151" spans="1:7" ht="14.1" customHeight="1">
      <c r="A151" s="18"/>
      <c r="B151" s="18"/>
      <c r="D151" s="980"/>
      <c r="E151" s="980"/>
      <c r="F151" s="980"/>
      <c r="G151"/>
    </row>
    <row r="152" spans="1:7" ht="14.1" customHeight="1">
      <c r="A152" s="18"/>
      <c r="B152" s="18"/>
      <c r="D152" s="980"/>
      <c r="E152" s="980"/>
      <c r="F152" s="980"/>
      <c r="G152"/>
    </row>
    <row r="153" spans="1:7" ht="14.1" customHeight="1">
      <c r="A153" s="18"/>
      <c r="B153" s="18"/>
      <c r="D153" s="980"/>
      <c r="E153" s="980"/>
      <c r="F153" s="980"/>
      <c r="G153"/>
    </row>
    <row r="154" spans="1:7" ht="14.1" customHeight="1">
      <c r="A154" s="18"/>
      <c r="B154" s="18"/>
      <c r="D154" s="980"/>
      <c r="E154" s="980"/>
      <c r="F154" s="980"/>
      <c r="G154"/>
    </row>
    <row r="155" spans="1:7" ht="14.1" customHeight="1">
      <c r="A155" s="18"/>
      <c r="B155" s="18"/>
      <c r="D155" s="980"/>
      <c r="E155" s="980"/>
      <c r="F155" s="980"/>
      <c r="G155"/>
    </row>
    <row r="156" spans="1:7" ht="14.1" customHeight="1">
      <c r="A156" s="18"/>
      <c r="B156" s="18"/>
      <c r="D156" s="980"/>
      <c r="E156" s="980"/>
      <c r="F156" s="980"/>
      <c r="G156"/>
    </row>
    <row r="157" spans="1:7" ht="14.1" customHeight="1">
      <c r="A157" s="18"/>
      <c r="B157" s="18"/>
      <c r="D157" s="980"/>
      <c r="E157" s="980"/>
      <c r="F157" s="980"/>
      <c r="G157"/>
    </row>
    <row r="158" spans="1:7" ht="14.1" customHeight="1">
      <c r="A158" s="18"/>
      <c r="B158" s="18"/>
      <c r="D158" s="980"/>
      <c r="E158" s="980"/>
      <c r="F158" s="980"/>
      <c r="G158"/>
    </row>
    <row r="159" spans="1:7" ht="14.1" customHeight="1">
      <c r="A159" s="18"/>
      <c r="B159" s="18"/>
      <c r="D159" s="1029" t="s">
        <v>1808</v>
      </c>
      <c r="E159" s="1029"/>
      <c r="F159" s="1029"/>
      <c r="G159"/>
    </row>
    <row r="160" spans="1:7" ht="14.1" customHeight="1">
      <c r="A160" s="18"/>
      <c r="B160" s="18"/>
      <c r="D160" s="44"/>
      <c r="G160"/>
    </row>
    <row r="161" spans="1:7" ht="14.1" customHeight="1">
      <c r="A161" s="271"/>
      <c r="B161" s="624" t="s">
        <v>132</v>
      </c>
      <c r="D161" s="1027" t="s">
        <v>1836</v>
      </c>
      <c r="E161" s="1028"/>
      <c r="F161" s="1028"/>
      <c r="G161"/>
    </row>
    <row r="162" spans="1:7" ht="14.1" customHeight="1">
      <c r="A162" s="271"/>
      <c r="B162" s="18"/>
      <c r="D162" s="1028"/>
      <c r="E162" s="1028"/>
      <c r="F162" s="1028"/>
      <c r="G162"/>
    </row>
    <row r="163" spans="1:7" ht="14.1" customHeight="1">
      <c r="A163" s="18"/>
      <c r="B163" s="18"/>
      <c r="D163" s="1028"/>
      <c r="E163" s="1028"/>
      <c r="F163" s="1028"/>
      <c r="G163"/>
    </row>
    <row r="164" spans="1:7" ht="14.1" customHeight="1">
      <c r="A164" s="18"/>
      <c r="B164" s="18"/>
      <c r="D164" s="44"/>
      <c r="G164"/>
    </row>
    <row r="165" spans="1:7" ht="14.1" customHeight="1">
      <c r="A165" s="271"/>
      <c r="B165" s="624" t="s">
        <v>132</v>
      </c>
      <c r="D165" s="1028" t="s">
        <v>1619</v>
      </c>
      <c r="E165" s="1028"/>
      <c r="F165" s="1028"/>
      <c r="G165"/>
    </row>
    <row r="166" spans="1:7" ht="14.1" customHeight="1">
      <c r="A166" s="18"/>
      <c r="B166" s="18"/>
      <c r="D166" s="1028"/>
      <c r="E166" s="1028"/>
      <c r="F166" s="1028"/>
    </row>
    <row r="167" spans="1:7" ht="14.1" customHeight="1">
      <c r="A167" s="18"/>
      <c r="B167" s="18"/>
      <c r="D167" s="1028"/>
      <c r="E167" s="1028"/>
      <c r="F167" s="1028"/>
    </row>
    <row r="168" spans="1:7" ht="14.1" customHeight="1">
      <c r="A168" s="18"/>
      <c r="B168" s="18"/>
      <c r="D168" s="1028"/>
      <c r="E168" s="1028"/>
      <c r="F168" s="1028"/>
    </row>
    <row r="169" spans="1:7" ht="14.1" customHeight="1">
      <c r="A169" s="18"/>
      <c r="B169" s="18"/>
      <c r="D169" s="44"/>
    </row>
    <row r="170" spans="1:7" ht="14.1" customHeight="1">
      <c r="A170" s="374"/>
      <c r="B170" s="624" t="s">
        <v>132</v>
      </c>
      <c r="C170" s="374"/>
      <c r="D170" s="1031" t="s">
        <v>2267</v>
      </c>
      <c r="E170" s="1031"/>
      <c r="F170" s="1031"/>
      <c r="G170" s="365"/>
    </row>
    <row r="171" spans="1:7" ht="14.1" customHeight="1">
      <c r="A171" s="374"/>
      <c r="B171" s="374"/>
      <c r="C171" s="374"/>
      <c r="D171" s="1031"/>
      <c r="E171" s="1031"/>
      <c r="F171" s="1031"/>
      <c r="G171" s="365"/>
    </row>
    <row r="172" spans="1:7" ht="14.1" customHeight="1">
      <c r="A172" s="374"/>
      <c r="B172" s="374"/>
      <c r="C172" s="374"/>
      <c r="D172" s="1031"/>
      <c r="E172" s="1031"/>
      <c r="F172" s="1031"/>
      <c r="G172" s="365"/>
    </row>
    <row r="173" spans="1:7" ht="12.45">
      <c r="A173" s="374"/>
      <c r="B173" s="374"/>
      <c r="C173" s="374"/>
      <c r="D173" s="376"/>
      <c r="E173" s="365"/>
      <c r="F173" s="365"/>
      <c r="G173" s="365"/>
    </row>
    <row r="174" spans="1:7" ht="13.1">
      <c r="A174" s="1034" t="s">
        <v>1447</v>
      </c>
      <c r="B174" s="1034"/>
      <c r="C174" s="1034"/>
      <c r="D174" s="1034"/>
      <c r="E174" s="1034"/>
      <c r="F174" s="1034"/>
      <c r="G174" s="1034"/>
    </row>
    <row r="175" spans="1:7" ht="12.45">
      <c r="D175" s="44"/>
    </row>
    <row r="176" spans="1:7" ht="13.1">
      <c r="C176" s="605"/>
      <c r="D176" s="1030" t="s">
        <v>1446</v>
      </c>
      <c r="E176" s="1030"/>
      <c r="F176" s="1030"/>
    </row>
    <row r="177" spans="1:6" ht="13.1">
      <c r="A177" s="190"/>
      <c r="B177" s="190"/>
      <c r="C177" s="190"/>
      <c r="D177" s="1032" t="s">
        <v>1479</v>
      </c>
      <c r="E177" s="1032"/>
      <c r="F177" s="1032"/>
    </row>
    <row r="178" spans="1:6" ht="13.1">
      <c r="A178" s="191"/>
      <c r="B178" s="191"/>
      <c r="C178" s="191"/>
    </row>
    <row r="179" spans="1:6">
      <c r="A179" s="271"/>
      <c r="B179" s="624" t="s">
        <v>132</v>
      </c>
      <c r="D179" s="1033" t="s">
        <v>1810</v>
      </c>
      <c r="E179" s="1010"/>
      <c r="F179" s="1010"/>
    </row>
    <row r="180" spans="1:6">
      <c r="A180" s="271"/>
      <c r="D180" s="313"/>
      <c r="E180" s="102"/>
      <c r="F180" s="102"/>
    </row>
    <row r="181" spans="1:6">
      <c r="A181" s="271"/>
      <c r="B181" s="624" t="s">
        <v>132</v>
      </c>
      <c r="D181" s="1010" t="s">
        <v>1620</v>
      </c>
      <c r="E181" s="1010"/>
      <c r="F181" s="1010"/>
    </row>
    <row r="182" spans="1:6">
      <c r="A182" s="271"/>
      <c r="D182" s="102"/>
      <c r="E182" s="102"/>
      <c r="F182" s="102"/>
    </row>
    <row r="183" spans="1:6">
      <c r="A183" s="271"/>
      <c r="B183" s="624" t="s">
        <v>132</v>
      </c>
      <c r="D183" s="1035" t="s">
        <v>1890</v>
      </c>
      <c r="E183" s="1035"/>
      <c r="F183" s="1035"/>
    </row>
    <row r="184" spans="1:6" ht="13.75" customHeight="1">
      <c r="A184" s="271"/>
      <c r="D184" s="41" t="s">
        <v>944</v>
      </c>
      <c r="E184" s="973" t="s">
        <v>2262</v>
      </c>
      <c r="F184" s="973"/>
    </row>
    <row r="185" spans="1:6">
      <c r="A185" s="271"/>
      <c r="D185" s="793"/>
      <c r="E185" s="973"/>
      <c r="F185" s="973"/>
    </row>
    <row r="186" spans="1:6">
      <c r="A186" s="271"/>
      <c r="D186" s="793"/>
      <c r="E186" s="973"/>
      <c r="F186" s="973"/>
    </row>
    <row r="187" spans="1:6">
      <c r="A187" s="271"/>
      <c r="D187"/>
      <c r="E187" s="973"/>
      <c r="F187" s="973"/>
    </row>
    <row r="188" spans="1:6" ht="13.75" customHeight="1">
      <c r="A188" s="271"/>
      <c r="D188" s="793" t="s">
        <v>945</v>
      </c>
      <c r="E188" s="973" t="s">
        <v>1891</v>
      </c>
      <c r="F188" s="973"/>
    </row>
    <row r="189" spans="1:6" ht="13.75" customHeight="1">
      <c r="A189" s="271"/>
      <c r="D189" s="793"/>
      <c r="E189" s="973"/>
      <c r="F189" s="973"/>
    </row>
    <row r="190" spans="1:6" ht="13.75" customHeight="1">
      <c r="A190" s="271"/>
      <c r="D190" s="793"/>
      <c r="E190" s="973"/>
      <c r="F190" s="973"/>
    </row>
    <row r="191" spans="1:6" ht="13.75" customHeight="1">
      <c r="A191" s="271"/>
      <c r="D191" s="793"/>
      <c r="E191" s="973"/>
      <c r="F191" s="973"/>
    </row>
    <row r="192" spans="1:6" ht="13.75" customHeight="1">
      <c r="A192" s="271"/>
      <c r="D192" s="793"/>
      <c r="E192" s="973"/>
      <c r="F192" s="973"/>
    </row>
    <row r="193" spans="1:7">
      <c r="A193" s="271"/>
      <c r="D193"/>
      <c r="E193" s="973"/>
      <c r="F193" s="973"/>
    </row>
    <row r="194" spans="1:7">
      <c r="A194" s="271"/>
      <c r="D194"/>
      <c r="E194" s="973"/>
      <c r="F194" s="973"/>
    </row>
    <row r="195" spans="1:7" ht="12.45"/>
    <row r="196" spans="1:7">
      <c r="A196" s="271"/>
      <c r="B196" s="624" t="s">
        <v>1440</v>
      </c>
      <c r="D196" s="980" t="s">
        <v>1621</v>
      </c>
      <c r="E196" s="980"/>
      <c r="F196" s="980"/>
    </row>
    <row r="197" spans="1:7">
      <c r="A197" s="271"/>
      <c r="B197" s="271"/>
      <c r="D197" s="980"/>
      <c r="E197" s="980"/>
      <c r="F197" s="980"/>
    </row>
    <row r="198" spans="1:7">
      <c r="A198" s="271"/>
      <c r="B198" s="271"/>
      <c r="D198" s="980"/>
      <c r="E198" s="980"/>
      <c r="F198" s="980"/>
    </row>
    <row r="199" spans="1:7">
      <c r="A199" s="271"/>
      <c r="B199" s="271"/>
      <c r="D199" s="980"/>
      <c r="E199" s="980"/>
      <c r="F199" s="980"/>
    </row>
    <row r="200" spans="1:7" ht="12.45">
      <c r="D200" s="1029" t="s">
        <v>2355</v>
      </c>
      <c r="E200" s="1029"/>
      <c r="F200" s="1029"/>
    </row>
    <row r="201" spans="1:7" ht="12.45">
      <c r="D201" s="640"/>
      <c r="E201" s="640"/>
      <c r="F201" s="640"/>
    </row>
    <row r="202" spans="1:7">
      <c r="A202" s="271"/>
      <c r="B202" s="624" t="s">
        <v>132</v>
      </c>
      <c r="D202" s="1000" t="s">
        <v>1622</v>
      </c>
      <c r="E202" s="1000"/>
      <c r="F202" s="1000"/>
    </row>
    <row r="203" spans="1:7" ht="12.45"/>
    <row r="204" spans="1:7" ht="13.1">
      <c r="A204" s="1034" t="s">
        <v>1449</v>
      </c>
      <c r="B204" s="1034"/>
      <c r="C204" s="1034"/>
      <c r="D204" s="1034"/>
      <c r="E204" s="1034"/>
      <c r="F204" s="1034"/>
      <c r="G204" s="1034"/>
    </row>
    <row r="205" spans="1:7" ht="12.45"/>
    <row r="206" spans="1:7" ht="13.1">
      <c r="C206" s="606"/>
      <c r="D206" s="1030" t="s">
        <v>1448</v>
      </c>
      <c r="E206" s="1030"/>
      <c r="F206" s="1030"/>
    </row>
    <row r="207" spans="1:7" ht="13.1">
      <c r="A207" s="607"/>
      <c r="B207" s="607"/>
      <c r="C207" s="606"/>
      <c r="D207" s="1030" t="s">
        <v>733</v>
      </c>
      <c r="E207" s="1030"/>
      <c r="F207" s="1030"/>
    </row>
    <row r="208" spans="1:7" ht="13.1">
      <c r="A208" s="190"/>
      <c r="B208" s="190"/>
      <c r="C208" s="190"/>
      <c r="D208" s="1010" t="s">
        <v>1480</v>
      </c>
      <c r="E208" s="1010"/>
      <c r="F208" s="1010"/>
    </row>
    <row r="209" spans="1:6" ht="13.1">
      <c r="A209" s="190"/>
      <c r="B209" s="190"/>
      <c r="C209" s="190"/>
    </row>
    <row r="210" spans="1:6" ht="13.1">
      <c r="A210" s="190"/>
      <c r="B210" s="190"/>
      <c r="C210" s="190"/>
      <c r="D210" s="980" t="s">
        <v>1490</v>
      </c>
      <c r="E210" s="980"/>
      <c r="F210" s="980"/>
    </row>
    <row r="211" spans="1:6" ht="13.1">
      <c r="A211" s="190"/>
      <c r="B211" s="190"/>
      <c r="C211" s="190"/>
      <c r="D211" s="980"/>
      <c r="E211" s="980"/>
      <c r="F211" s="980"/>
    </row>
    <row r="212" spans="1:6" ht="13.1">
      <c r="A212" s="190"/>
      <c r="B212" s="190"/>
      <c r="C212" s="190"/>
      <c r="D212" s="980"/>
      <c r="E212" s="980"/>
      <c r="F212" s="980"/>
    </row>
    <row r="213" spans="1:6" ht="13.1">
      <c r="A213" s="190"/>
      <c r="B213" s="190"/>
      <c r="C213" s="190"/>
      <c r="D213" s="980"/>
      <c r="E213" s="980"/>
      <c r="F213" s="980"/>
    </row>
    <row r="214" spans="1:6" ht="13.1">
      <c r="A214" s="190"/>
      <c r="B214" s="190"/>
      <c r="C214" s="190"/>
    </row>
    <row r="215" spans="1:6" ht="13.1">
      <c r="A215" s="190"/>
      <c r="B215" s="190"/>
      <c r="C215" s="190"/>
      <c r="D215" s="973" t="s">
        <v>2268</v>
      </c>
      <c r="E215" s="980"/>
      <c r="F215" s="980"/>
    </row>
    <row r="216" spans="1:6" ht="13.1">
      <c r="A216" s="190"/>
      <c r="B216" s="190"/>
      <c r="C216" s="190"/>
      <c r="D216" s="980"/>
      <c r="E216" s="980"/>
      <c r="F216" s="980"/>
    </row>
    <row r="217" spans="1:6" ht="13.1">
      <c r="A217" s="190"/>
      <c r="B217" s="190"/>
      <c r="C217" s="190"/>
      <c r="D217" s="980"/>
      <c r="E217" s="980"/>
      <c r="F217" s="980"/>
    </row>
    <row r="218" spans="1:6" ht="13.1">
      <c r="A218" s="190"/>
      <c r="B218" s="190"/>
      <c r="C218" s="190"/>
      <c r="D218" s="980"/>
      <c r="E218" s="980"/>
      <c r="F218" s="980"/>
    </row>
    <row r="219" spans="1:6" ht="13.1">
      <c r="A219" s="190"/>
      <c r="B219" s="190"/>
      <c r="C219" s="190"/>
      <c r="D219" s="980"/>
      <c r="E219" s="980"/>
      <c r="F219" s="980"/>
    </row>
    <row r="220" spans="1:6" ht="13.1">
      <c r="A220" s="190"/>
      <c r="B220" s="190"/>
      <c r="C220" s="190"/>
      <c r="D220" s="980"/>
      <c r="E220" s="980"/>
      <c r="F220" s="980"/>
    </row>
    <row r="221" spans="1:6" ht="13.1">
      <c r="A221" s="191"/>
      <c r="B221" s="191"/>
      <c r="C221" s="191"/>
    </row>
    <row r="222" spans="1:6" ht="14.4" customHeight="1">
      <c r="A222" s="271"/>
      <c r="B222" s="624" t="s">
        <v>1440</v>
      </c>
      <c r="C222" s="191"/>
      <c r="D222" s="1000" t="s">
        <v>308</v>
      </c>
      <c r="E222" s="1000"/>
      <c r="F222" s="1000"/>
    </row>
    <row r="223" spans="1:6">
      <c r="A223" s="271"/>
      <c r="C223" s="191"/>
      <c r="D223" s="1010" t="s">
        <v>1158</v>
      </c>
      <c r="E223" s="1010"/>
      <c r="F223" s="1010"/>
    </row>
    <row r="224" spans="1:6">
      <c r="A224" s="271"/>
      <c r="B224" s="271"/>
      <c r="C224" s="191"/>
      <c r="D224" s="104" t="s">
        <v>1497</v>
      </c>
      <c r="E224" s="1040" t="s">
        <v>2170</v>
      </c>
      <c r="F224" s="1040"/>
    </row>
    <row r="225" spans="1:6" ht="12.45">
      <c r="D225" s="1033" t="s">
        <v>1473</v>
      </c>
      <c r="E225" s="1010"/>
      <c r="F225" s="1010"/>
    </row>
    <row r="226" spans="1:6" ht="12.45"/>
    <row r="227" spans="1:6">
      <c r="A227" s="271"/>
      <c r="B227" s="624" t="s">
        <v>132</v>
      </c>
      <c r="D227" s="1010" t="s">
        <v>309</v>
      </c>
      <c r="E227" s="1010"/>
      <c r="F227" s="1010"/>
    </row>
    <row r="228" spans="1:6">
      <c r="A228" s="271"/>
      <c r="D228" s="1000" t="s">
        <v>1158</v>
      </c>
      <c r="E228" s="1000"/>
      <c r="F228" s="1000"/>
    </row>
    <row r="229" spans="1:6">
      <c r="A229" s="271"/>
      <c r="B229" s="271"/>
      <c r="D229" s="63" t="s">
        <v>1498</v>
      </c>
      <c r="E229" s="1040" t="s">
        <v>2171</v>
      </c>
      <c r="F229" s="1040"/>
    </row>
    <row r="230" spans="1:6" ht="12.45">
      <c r="D230" s="1010" t="s">
        <v>1474</v>
      </c>
      <c r="E230" s="1010"/>
      <c r="F230" s="1010"/>
    </row>
    <row r="231" spans="1:6" ht="12.45"/>
    <row r="232" spans="1:6">
      <c r="A232" s="271"/>
      <c r="B232" s="624" t="s">
        <v>132</v>
      </c>
      <c r="D232" s="1010" t="s">
        <v>677</v>
      </c>
      <c r="E232" s="1010"/>
      <c r="F232" s="1010"/>
    </row>
    <row r="233" spans="1:6">
      <c r="A233" s="271"/>
      <c r="D233" s="44" t="s">
        <v>1158</v>
      </c>
    </row>
    <row r="234" spans="1:6">
      <c r="A234" s="271"/>
      <c r="B234" s="271"/>
      <c r="D234" s="63" t="s">
        <v>1497</v>
      </c>
      <c r="E234" s="1040" t="s">
        <v>2172</v>
      </c>
      <c r="F234" s="1040"/>
    </row>
    <row r="235" spans="1:6">
      <c r="A235" s="271"/>
      <c r="B235" s="271"/>
      <c r="D235" s="980" t="s">
        <v>1500</v>
      </c>
      <c r="E235" s="980"/>
      <c r="F235" s="980"/>
    </row>
    <row r="236" spans="1:6" ht="12.45">
      <c r="D236" s="980"/>
      <c r="E236" s="980"/>
      <c r="F236" s="980"/>
    </row>
    <row r="237" spans="1:6" ht="12.45">
      <c r="D237" s="980"/>
      <c r="E237" s="980"/>
      <c r="F237" s="980"/>
    </row>
    <row r="238" spans="1:6" ht="12.45">
      <c r="D238" s="980"/>
      <c r="E238" s="980"/>
      <c r="F238" s="980"/>
    </row>
    <row r="239" spans="1:6" ht="12.45">
      <c r="D239" s="980"/>
      <c r="E239" s="980"/>
      <c r="F239" s="980"/>
    </row>
    <row r="240" spans="1:6" ht="12.45">
      <c r="D240" s="980" t="s">
        <v>1475</v>
      </c>
      <c r="E240" s="980"/>
      <c r="F240" s="980"/>
    </row>
    <row r="241" spans="1:6" ht="12.45">
      <c r="D241" s="44"/>
    </row>
    <row r="242" spans="1:6">
      <c r="A242" s="271"/>
      <c r="B242" s="624" t="s">
        <v>132</v>
      </c>
      <c r="D242" s="1010" t="s">
        <v>678</v>
      </c>
      <c r="E242" s="1010"/>
      <c r="F242" s="1010"/>
    </row>
    <row r="243" spans="1:6">
      <c r="A243" s="271"/>
      <c r="D243" s="1010" t="s">
        <v>1158</v>
      </c>
      <c r="E243" s="1010"/>
      <c r="F243" s="1010"/>
    </row>
    <row r="244" spans="1:6">
      <c r="A244" s="271"/>
      <c r="B244" s="271"/>
      <c r="D244" s="63" t="s">
        <v>1497</v>
      </c>
      <c r="E244" s="1040" t="s">
        <v>2173</v>
      </c>
      <c r="F244" s="1040"/>
    </row>
    <row r="245" spans="1:6" ht="12.45">
      <c r="D245" s="1033" t="s">
        <v>2027</v>
      </c>
      <c r="E245" s="1010"/>
      <c r="F245" s="1010"/>
    </row>
    <row r="246" spans="1:6" ht="12.45">
      <c r="D246" s="102"/>
      <c r="E246" s="102"/>
      <c r="F246" s="102"/>
    </row>
    <row r="247" spans="1:6">
      <c r="A247" s="271"/>
      <c r="B247" s="624" t="s">
        <v>132</v>
      </c>
      <c r="D247" s="1033" t="s">
        <v>2026</v>
      </c>
      <c r="E247" s="1010"/>
      <c r="F247" s="1010"/>
    </row>
    <row r="248" spans="1:6">
      <c r="A248" s="271"/>
      <c r="D248" s="1010" t="s">
        <v>1158</v>
      </c>
      <c r="E248" s="1010"/>
      <c r="F248" s="1010"/>
    </row>
    <row r="249" spans="1:6">
      <c r="A249" s="271"/>
      <c r="B249" s="271"/>
      <c r="D249" s="63" t="s">
        <v>1497</v>
      </c>
      <c r="E249" s="1040" t="s">
        <v>2174</v>
      </c>
      <c r="F249" s="1040"/>
    </row>
    <row r="250" spans="1:6" ht="12.45">
      <c r="D250" s="1033" t="s">
        <v>2028</v>
      </c>
      <c r="E250" s="1010"/>
      <c r="F250" s="1010"/>
    </row>
    <row r="251" spans="1:6" ht="12.45">
      <c r="D251" s="44"/>
    </row>
    <row r="252" spans="1:6">
      <c r="A252" s="271"/>
      <c r="B252" s="624" t="s">
        <v>132</v>
      </c>
      <c r="D252" s="102" t="s">
        <v>1520</v>
      </c>
      <c r="E252" s="102"/>
      <c r="F252" s="102"/>
    </row>
    <row r="253" spans="1:6">
      <c r="A253" s="271"/>
      <c r="B253"/>
      <c r="D253" s="973" t="s">
        <v>1831</v>
      </c>
      <c r="E253" s="980"/>
      <c r="F253" s="980"/>
    </row>
    <row r="254" spans="1:6">
      <c r="A254" s="271"/>
      <c r="D254" s="980"/>
      <c r="E254" s="980"/>
      <c r="F254" s="980"/>
    </row>
    <row r="255" spans="1:6">
      <c r="A255" s="271"/>
      <c r="D255" s="980"/>
      <c r="E255" s="980"/>
      <c r="F255" s="980"/>
    </row>
    <row r="256" spans="1:6">
      <c r="A256" s="271"/>
      <c r="D256" s="24"/>
      <c r="E256" s="24"/>
      <c r="F256" s="24"/>
    </row>
    <row r="257" spans="1:7">
      <c r="A257" s="271"/>
      <c r="B257" s="624" t="s">
        <v>132</v>
      </c>
      <c r="D257" s="1010" t="s">
        <v>1067</v>
      </c>
      <c r="E257" s="1010"/>
      <c r="F257" s="1010"/>
    </row>
    <row r="258" spans="1:7">
      <c r="A258" s="271"/>
      <c r="D258" s="102"/>
      <c r="E258" s="102"/>
      <c r="F258" s="102"/>
    </row>
    <row r="259" spans="1:7" ht="13.1">
      <c r="A259" s="1034" t="s">
        <v>1451</v>
      </c>
      <c r="B259" s="1034"/>
      <c r="C259" s="1034"/>
      <c r="D259" s="1034"/>
      <c r="E259" s="1034"/>
      <c r="F259" s="1034"/>
      <c r="G259" s="1034"/>
    </row>
    <row r="260" spans="1:7" ht="12.45">
      <c r="D260" s="44"/>
    </row>
    <row r="261" spans="1:7" ht="13.1">
      <c r="C261" s="605"/>
      <c r="D261" s="1001" t="s">
        <v>1450</v>
      </c>
      <c r="E261" s="1001"/>
      <c r="F261" s="1001"/>
    </row>
    <row r="262" spans="1:7" ht="13.1">
      <c r="A262" s="190"/>
      <c r="B262" s="190"/>
      <c r="C262" s="190"/>
      <c r="D262" s="1000" t="s">
        <v>1481</v>
      </c>
      <c r="E262" s="1000"/>
      <c r="F262" s="1000"/>
    </row>
    <row r="263" spans="1:7" ht="13.1">
      <c r="A263" s="18"/>
      <c r="B263" s="18"/>
      <c r="C263" s="18"/>
      <c r="D263" s="3"/>
    </row>
    <row r="264" spans="1:7" ht="13.1">
      <c r="A264" s="18"/>
      <c r="C264" s="18"/>
      <c r="D264" s="1001" t="s">
        <v>223</v>
      </c>
      <c r="E264" s="1001"/>
      <c r="F264" s="1001"/>
      <c r="G264"/>
    </row>
    <row r="265" spans="1:7" ht="14.4" customHeight="1">
      <c r="A265" s="271"/>
      <c r="B265" s="624" t="s">
        <v>1440</v>
      </c>
      <c r="C265" s="900"/>
      <c r="D265" s="1021" t="s">
        <v>2108</v>
      </c>
      <c r="E265" s="1021"/>
      <c r="F265" s="1021"/>
      <c r="G265"/>
    </row>
    <row r="266" spans="1:7">
      <c r="A266" s="271"/>
      <c r="B266" s="901"/>
      <c r="C266" s="900"/>
      <c r="D266" s="1021"/>
      <c r="E266" s="1021"/>
      <c r="F266" s="1021"/>
      <c r="G266"/>
    </row>
    <row r="267" spans="1:7">
      <c r="A267" s="271"/>
      <c r="B267" s="901"/>
      <c r="C267" s="900"/>
      <c r="D267" s="1021"/>
      <c r="E267" s="1021"/>
      <c r="F267" s="1021"/>
      <c r="G267"/>
    </row>
    <row r="268" spans="1:7" ht="14.4" customHeight="1">
      <c r="A268" s="271"/>
      <c r="B268" s="901"/>
      <c r="C268" s="900"/>
      <c r="D268" s="1021"/>
      <c r="E268" s="1021"/>
      <c r="F268" s="1021"/>
      <c r="G268"/>
    </row>
    <row r="269" spans="1:7">
      <c r="A269" s="271"/>
      <c r="B269" s="901"/>
      <c r="C269" s="900"/>
      <c r="D269" s="902"/>
      <c r="E269" s="902"/>
      <c r="F269" s="902"/>
      <c r="G269"/>
    </row>
    <row r="270" spans="1:7">
      <c r="A270" s="271"/>
      <c r="B270" s="624" t="s">
        <v>1440</v>
      </c>
      <c r="C270" s="900"/>
      <c r="D270" s="1021" t="s">
        <v>2109</v>
      </c>
      <c r="E270" s="1021"/>
      <c r="F270" s="1021"/>
      <c r="G270"/>
    </row>
    <row r="271" spans="1:7">
      <c r="A271" s="271"/>
      <c r="B271" s="901"/>
      <c r="C271" s="900"/>
      <c r="D271" s="1021"/>
      <c r="E271" s="1021"/>
      <c r="F271" s="1021"/>
      <c r="G271"/>
    </row>
    <row r="272" spans="1:7">
      <c r="A272" s="271"/>
      <c r="B272" s="901"/>
      <c r="C272" s="900"/>
      <c r="D272" s="1021"/>
      <c r="E272" s="1021"/>
      <c r="F272" s="1021"/>
      <c r="G272"/>
    </row>
    <row r="273" spans="1:7">
      <c r="A273" s="271"/>
      <c r="B273" s="901"/>
      <c r="C273" s="900"/>
      <c r="D273" s="1021"/>
      <c r="E273" s="1021"/>
      <c r="F273" s="1021"/>
      <c r="G273"/>
    </row>
    <row r="274" spans="1:7">
      <c r="A274" s="271"/>
      <c r="B274" s="901"/>
      <c r="C274" s="900"/>
      <c r="D274" s="1021"/>
      <c r="E274" s="1021"/>
      <c r="F274" s="1021"/>
      <c r="G274"/>
    </row>
    <row r="275" spans="1:7">
      <c r="A275" s="271"/>
      <c r="B275" s="901"/>
      <c r="C275" s="900"/>
      <c r="D275" s="902"/>
      <c r="E275" s="902"/>
      <c r="F275" s="902"/>
      <c r="G275"/>
    </row>
    <row r="276" spans="1:7">
      <c r="A276" s="271"/>
      <c r="B276" s="901"/>
      <c r="C276" s="900"/>
      <c r="D276" s="1021" t="s">
        <v>1631</v>
      </c>
      <c r="E276" s="1021"/>
      <c r="F276" s="1021"/>
      <c r="G276"/>
    </row>
    <row r="277" spans="1:7">
      <c r="A277" s="271"/>
      <c r="B277" s="901"/>
      <c r="C277" s="900"/>
      <c r="D277" s="1021"/>
      <c r="E277" s="1021"/>
      <c r="F277" s="1021"/>
      <c r="G277"/>
    </row>
    <row r="278" spans="1:7">
      <c r="A278" s="271"/>
      <c r="B278" s="901"/>
      <c r="C278" s="900"/>
      <c r="D278" s="1021"/>
      <c r="E278" s="1021"/>
      <c r="F278" s="1021"/>
      <c r="G278"/>
    </row>
    <row r="279" spans="1:7">
      <c r="A279" s="271"/>
      <c r="B279" s="901"/>
      <c r="C279" s="900"/>
      <c r="D279" s="1021"/>
      <c r="E279" s="1021"/>
      <c r="F279" s="1021"/>
      <c r="G279"/>
    </row>
    <row r="280" spans="1:7">
      <c r="A280" s="271"/>
      <c r="B280" s="901"/>
      <c r="C280" s="900"/>
      <c r="D280" s="1021"/>
      <c r="E280" s="1021"/>
      <c r="F280" s="1021"/>
      <c r="G280"/>
    </row>
    <row r="281" spans="1:7">
      <c r="A281" s="271"/>
      <c r="B281" s="271"/>
      <c r="D281" s="209"/>
      <c r="E281" s="209"/>
      <c r="F281" s="209"/>
      <c r="G281"/>
    </row>
    <row r="282" spans="1:7" s="460" customFormat="1" ht="14.4" customHeight="1">
      <c r="A282" s="289"/>
      <c r="B282" s="624" t="s">
        <v>132</v>
      </c>
      <c r="C282" s="818"/>
      <c r="D282" s="1023" t="s">
        <v>2021</v>
      </c>
      <c r="E282" s="1023"/>
      <c r="F282" s="1023"/>
      <c r="G282" s="819"/>
    </row>
    <row r="283" spans="1:7" s="460" customFormat="1">
      <c r="A283" s="289"/>
      <c r="B283" s="818"/>
      <c r="C283" s="818"/>
      <c r="D283" s="1023"/>
      <c r="E283" s="1023"/>
      <c r="F283" s="1023"/>
      <c r="G283" s="819"/>
    </row>
    <row r="284" spans="1:7" s="460" customFormat="1">
      <c r="A284" s="289"/>
      <c r="B284" s="818"/>
      <c r="C284" s="818"/>
      <c r="D284" s="1023"/>
      <c r="E284" s="1023"/>
      <c r="F284" s="1023"/>
      <c r="G284" s="819"/>
    </row>
    <row r="285" spans="1:7" s="460" customFormat="1" ht="13.1">
      <c r="A285" s="818"/>
      <c r="B285" s="818"/>
      <c r="C285" s="818"/>
      <c r="D285" s="946"/>
      <c r="E285" s="947" t="s">
        <v>2175</v>
      </c>
      <c r="F285" s="946"/>
      <c r="G285" s="819"/>
    </row>
    <row r="286" spans="1:7">
      <c r="A286" s="271"/>
      <c r="B286" s="271"/>
      <c r="D286" s="44"/>
      <c r="E286"/>
      <c r="F286"/>
      <c r="G286"/>
    </row>
    <row r="287" spans="1:7">
      <c r="A287" s="271"/>
      <c r="B287" s="624" t="s">
        <v>1440</v>
      </c>
      <c r="D287" s="1000" t="s">
        <v>1159</v>
      </c>
      <c r="E287" s="1000"/>
      <c r="F287" s="1000"/>
      <c r="G287"/>
    </row>
    <row r="288" spans="1:7">
      <c r="A288" s="271"/>
      <c r="B288" s="271"/>
      <c r="D288" s="1000" t="s">
        <v>1632</v>
      </c>
      <c r="E288" s="1000"/>
      <c r="F288" s="1000"/>
      <c r="G288"/>
    </row>
    <row r="289" spans="1:7">
      <c r="A289" s="271"/>
      <c r="B289" s="271"/>
      <c r="D289" s="3" t="s">
        <v>1089</v>
      </c>
      <c r="E289" s="947" t="s">
        <v>2176</v>
      </c>
      <c r="F289" s="3"/>
    </row>
    <row r="290" spans="1:7" ht="12.45">
      <c r="D290" s="28"/>
    </row>
    <row r="291" spans="1:7">
      <c r="A291" s="271"/>
      <c r="B291" s="624" t="s">
        <v>1440</v>
      </c>
      <c r="D291" s="980" t="s">
        <v>1633</v>
      </c>
      <c r="E291" s="980"/>
      <c r="F291" s="980"/>
    </row>
    <row r="292" spans="1:7">
      <c r="A292" s="271"/>
      <c r="B292" s="271"/>
      <c r="D292" s="980"/>
      <c r="E292" s="980"/>
      <c r="F292" s="980"/>
    </row>
    <row r="293" spans="1:7" ht="12.45">
      <c r="D293" s="28"/>
    </row>
    <row r="294" spans="1:7" ht="13.1">
      <c r="A294" s="1034" t="s">
        <v>1453</v>
      </c>
      <c r="B294" s="1034"/>
      <c r="C294" s="1034"/>
      <c r="D294" s="1034"/>
      <c r="E294" s="1034"/>
      <c r="F294" s="1034"/>
      <c r="G294" s="1034"/>
    </row>
    <row r="295" spans="1:7" ht="12.45">
      <c r="D295" s="28"/>
    </row>
    <row r="296" spans="1:7" ht="13.1">
      <c r="C296" s="605"/>
      <c r="D296" s="1001" t="s">
        <v>1452</v>
      </c>
      <c r="E296" s="1001"/>
      <c r="F296" s="1001"/>
    </row>
    <row r="297" spans="1:7" ht="13.1">
      <c r="A297" s="190"/>
      <c r="B297" s="190"/>
      <c r="C297" s="190"/>
      <c r="D297" s="44"/>
    </row>
    <row r="298" spans="1:7" ht="13.1">
      <c r="A298" s="191"/>
      <c r="B298" s="191"/>
      <c r="C298" s="191"/>
      <c r="D298" s="1001" t="s">
        <v>225</v>
      </c>
      <c r="E298" s="1001"/>
      <c r="F298" s="1001"/>
    </row>
    <row r="299" spans="1:7" ht="14.4" customHeight="1">
      <c r="A299" s="271"/>
      <c r="B299" s="624" t="s">
        <v>132</v>
      </c>
      <c r="D299" s="973" t="s">
        <v>1973</v>
      </c>
      <c r="E299" s="980"/>
      <c r="F299" s="980"/>
    </row>
    <row r="300" spans="1:7" ht="12.45">
      <c r="D300" s="980"/>
      <c r="E300" s="980"/>
      <c r="F300" s="980"/>
    </row>
    <row r="301" spans="1:7" ht="12.45">
      <c r="D301" s="980"/>
      <c r="E301" s="980"/>
      <c r="F301" s="980"/>
    </row>
    <row r="302" spans="1:7" ht="12.45">
      <c r="D302" s="24"/>
      <c r="E302" s="24"/>
      <c r="F302" s="24"/>
    </row>
    <row r="303" spans="1:7" s="460" customFormat="1" ht="14.4" customHeight="1">
      <c r="A303" s="289"/>
      <c r="B303" s="624" t="s">
        <v>132</v>
      </c>
      <c r="C303" s="818"/>
      <c r="D303" s="1023" t="s">
        <v>2022</v>
      </c>
      <c r="E303" s="1023"/>
      <c r="F303" s="1023"/>
      <c r="G303" s="819"/>
    </row>
    <row r="304" spans="1:7" s="460" customFormat="1" ht="12.45">
      <c r="A304" s="818"/>
      <c r="B304" s="818"/>
      <c r="C304" s="818"/>
      <c r="D304" s="1023"/>
      <c r="E304" s="1023"/>
      <c r="F304" s="1023"/>
      <c r="G304" s="819"/>
    </row>
    <row r="305" spans="1:7" s="460" customFormat="1" ht="12.45">
      <c r="A305" s="818"/>
      <c r="B305" s="818"/>
      <c r="C305" s="818"/>
      <c r="D305" s="1023"/>
      <c r="E305" s="1023"/>
      <c r="F305" s="1023"/>
      <c r="G305" s="819"/>
    </row>
    <row r="306" spans="1:7" s="460" customFormat="1" ht="13.1">
      <c r="A306" s="818"/>
      <c r="B306" s="818"/>
      <c r="C306" s="818"/>
      <c r="E306" s="377" t="s">
        <v>2177</v>
      </c>
      <c r="F306" s="377"/>
      <c r="G306" s="819"/>
    </row>
    <row r="307" spans="1:7" ht="12.45">
      <c r="D307" s="212"/>
    </row>
    <row r="308" spans="1:7" ht="13.1">
      <c r="A308" s="1034" t="s">
        <v>1454</v>
      </c>
      <c r="B308" s="1034"/>
      <c r="C308" s="1034"/>
      <c r="D308" s="1034"/>
      <c r="E308" s="1034"/>
      <c r="F308" s="1034"/>
      <c r="G308" s="1034"/>
    </row>
    <row r="309" spans="1:7" ht="12.45">
      <c r="D309" s="212"/>
    </row>
    <row r="310" spans="1:7" ht="13.1">
      <c r="C310" s="190"/>
      <c r="D310" s="1007" t="s">
        <v>1634</v>
      </c>
      <c r="E310" s="1007"/>
      <c r="F310" s="1007"/>
    </row>
    <row r="311" spans="1:7" ht="13.1">
      <c r="C311" s="190"/>
      <c r="D311" s="1007"/>
      <c r="E311" s="1007"/>
      <c r="F311" s="1007"/>
    </row>
    <row r="312" spans="1:7" ht="13.1">
      <c r="A312" s="191"/>
      <c r="B312" s="191"/>
      <c r="C312" s="191"/>
      <c r="D312" s="3"/>
    </row>
    <row r="313" spans="1:7" ht="13.1">
      <c r="C313" s="191"/>
      <c r="D313" s="1001" t="s">
        <v>173</v>
      </c>
      <c r="E313" s="1001"/>
      <c r="F313" s="1001"/>
    </row>
    <row r="314" spans="1:7">
      <c r="A314" s="271"/>
      <c r="B314" s="271"/>
      <c r="D314" s="1025" t="s">
        <v>1635</v>
      </c>
      <c r="E314" s="1025"/>
      <c r="F314" s="1025"/>
    </row>
    <row r="315" spans="1:7" ht="11.95" customHeight="1"/>
    <row r="316" spans="1:7" ht="14.4" customHeight="1">
      <c r="A316" s="271"/>
      <c r="B316" s="624" t="s">
        <v>132</v>
      </c>
      <c r="D316" s="980" t="s">
        <v>1636</v>
      </c>
      <c r="E316" s="980"/>
      <c r="F316" s="980"/>
    </row>
    <row r="317" spans="1:7">
      <c r="A317" s="271"/>
      <c r="B317" s="271"/>
      <c r="D317" s="980"/>
      <c r="E317" s="980"/>
      <c r="F317" s="980"/>
    </row>
    <row r="318" spans="1:7" ht="12.45"/>
    <row r="319" spans="1:7" ht="14.4" customHeight="1">
      <c r="A319" s="271"/>
      <c r="B319" s="624" t="s">
        <v>132</v>
      </c>
      <c r="D319" s="980" t="s">
        <v>1637</v>
      </c>
      <c r="E319" s="980"/>
      <c r="F319" s="980"/>
    </row>
    <row r="320" spans="1:7">
      <c r="A320" s="271"/>
      <c r="B320" s="271"/>
      <c r="D320" s="980"/>
      <c r="E320" s="980"/>
      <c r="F320" s="980"/>
    </row>
    <row r="321" spans="1:7">
      <c r="A321" s="271"/>
      <c r="B321" s="271"/>
      <c r="D321" s="980"/>
      <c r="E321" s="980"/>
      <c r="F321" s="980"/>
    </row>
    <row r="322" spans="1:7" ht="12.45">
      <c r="D322" s="44"/>
      <c r="E322"/>
      <c r="F322"/>
      <c r="G322"/>
    </row>
    <row r="323" spans="1:7">
      <c r="A323" s="271"/>
      <c r="B323" s="624" t="s">
        <v>132</v>
      </c>
      <c r="D323" s="980" t="s">
        <v>1638</v>
      </c>
      <c r="E323" s="980"/>
      <c r="F323" s="980"/>
    </row>
    <row r="324" spans="1:7">
      <c r="A324" s="271"/>
      <c r="B324" s="271"/>
      <c r="D324" s="980"/>
      <c r="E324" s="980"/>
      <c r="F324" s="980"/>
    </row>
    <row r="325" spans="1:7" ht="13.1">
      <c r="A325" s="18"/>
      <c r="B325" s="18"/>
      <c r="D325" s="44"/>
    </row>
    <row r="326" spans="1:7" ht="13.1">
      <c r="A326" s="1034" t="s">
        <v>1441</v>
      </c>
      <c r="B326" s="1034"/>
      <c r="C326" s="1034"/>
      <c r="D326" s="1034"/>
      <c r="E326" s="1034"/>
      <c r="F326" s="1034"/>
      <c r="G326" s="1034"/>
    </row>
    <row r="327" spans="1:7" ht="13.1">
      <c r="A327" s="18"/>
      <c r="B327" s="18"/>
      <c r="D327" s="44"/>
      <c r="G327"/>
    </row>
    <row r="328" spans="1:7" ht="13.1">
      <c r="C328" s="18"/>
      <c r="D328" s="1001" t="s">
        <v>174</v>
      </c>
      <c r="E328" s="1001"/>
      <c r="F328" s="1001"/>
      <c r="G328"/>
    </row>
    <row r="329" spans="1:7" ht="13.1">
      <c r="C329" s="18"/>
      <c r="D329" s="1000" t="s">
        <v>1482</v>
      </c>
      <c r="E329" s="1000"/>
      <c r="F329" s="1000"/>
      <c r="G329"/>
    </row>
    <row r="330" spans="1:7" ht="13.1">
      <c r="C330" s="18"/>
      <c r="D330" s="182"/>
      <c r="G330"/>
    </row>
    <row r="331" spans="1:7" ht="12.45">
      <c r="B331" s="624" t="s">
        <v>132</v>
      </c>
      <c r="D331" s="1000" t="s">
        <v>1639</v>
      </c>
      <c r="E331" s="1000"/>
      <c r="F331" s="1000"/>
      <c r="G331"/>
    </row>
    <row r="332" spans="1:7">
      <c r="A332" s="271"/>
      <c r="B332" s="271"/>
      <c r="D332" s="431"/>
      <c r="G332"/>
    </row>
    <row r="333" spans="1:7">
      <c r="A333" s="271"/>
      <c r="B333" s="624" t="s">
        <v>132</v>
      </c>
      <c r="D333" s="1000" t="s">
        <v>1640</v>
      </c>
      <c r="E333" s="1000"/>
      <c r="F333" s="1000"/>
      <c r="G333"/>
    </row>
    <row r="334" spans="1:7" ht="12.45">
      <c r="G334"/>
    </row>
    <row r="335" spans="1:7" ht="14.4" customHeight="1">
      <c r="A335" s="271"/>
      <c r="B335" s="624" t="s">
        <v>132</v>
      </c>
      <c r="D335" s="980" t="s">
        <v>1646</v>
      </c>
      <c r="E335" s="980"/>
      <c r="F335" s="980"/>
      <c r="G335"/>
    </row>
    <row r="336" spans="1:7">
      <c r="A336" s="271"/>
      <c r="B336" s="271"/>
      <c r="D336" s="980"/>
      <c r="E336" s="980"/>
      <c r="F336" s="980"/>
      <c r="G336"/>
    </row>
    <row r="337" spans="1:7">
      <c r="A337" s="271"/>
      <c r="B337" s="271"/>
      <c r="D337" s="980"/>
      <c r="E337" s="980"/>
      <c r="F337" s="980"/>
      <c r="G337"/>
    </row>
    <row r="338" spans="1:7">
      <c r="A338" s="271"/>
      <c r="B338" s="271"/>
      <c r="D338" s="980"/>
      <c r="E338" s="980"/>
      <c r="F338" s="980"/>
      <c r="G338"/>
    </row>
    <row r="339" spans="1:7">
      <c r="A339" s="271"/>
      <c r="B339" s="271"/>
      <c r="D339" s="980"/>
      <c r="E339" s="980"/>
      <c r="F339" s="980"/>
      <c r="G339"/>
    </row>
    <row r="340" spans="1:7">
      <c r="A340" s="271"/>
      <c r="B340" s="271"/>
      <c r="D340" s="980"/>
      <c r="E340" s="980"/>
      <c r="F340" s="980"/>
      <c r="G340"/>
    </row>
    <row r="341" spans="1:7">
      <c r="A341" s="271"/>
      <c r="B341" s="271"/>
      <c r="D341" s="980"/>
      <c r="E341" s="980"/>
      <c r="F341" s="980"/>
      <c r="G341"/>
    </row>
    <row r="342" spans="1:7">
      <c r="A342" s="271"/>
      <c r="B342" s="271"/>
      <c r="D342" s="980"/>
      <c r="E342" s="980"/>
      <c r="F342" s="980"/>
      <c r="G342"/>
    </row>
    <row r="343" spans="1:7">
      <c r="A343" s="271"/>
      <c r="B343" s="271"/>
      <c r="D343" s="980"/>
      <c r="E343" s="980"/>
      <c r="F343" s="980"/>
    </row>
    <row r="344" spans="1:7">
      <c r="A344" s="271"/>
      <c r="B344" s="271"/>
      <c r="D344" s="980"/>
      <c r="E344" s="980"/>
      <c r="F344" s="980"/>
    </row>
    <row r="345" spans="1:7">
      <c r="A345" s="271"/>
      <c r="B345" s="271"/>
      <c r="D345" s="980"/>
      <c r="E345" s="980"/>
      <c r="F345" s="980"/>
    </row>
    <row r="346" spans="1:7">
      <c r="A346" s="271"/>
      <c r="B346" s="271"/>
      <c r="D346" s="980"/>
      <c r="E346" s="980"/>
      <c r="F346" s="980"/>
    </row>
    <row r="347" spans="1:7">
      <c r="A347" s="271"/>
      <c r="B347" s="271"/>
      <c r="D347" s="980"/>
      <c r="E347" s="980"/>
      <c r="F347" s="980"/>
    </row>
    <row r="348" spans="1:7">
      <c r="A348" s="271"/>
      <c r="B348" s="271"/>
      <c r="D348" s="980"/>
      <c r="E348" s="980"/>
      <c r="F348" s="980"/>
    </row>
    <row r="349" spans="1:7">
      <c r="A349" s="271"/>
      <c r="B349" s="271"/>
      <c r="D349" s="980"/>
      <c r="E349" s="980"/>
      <c r="F349" s="980"/>
    </row>
    <row r="350" spans="1:7" ht="12.45"/>
    <row r="351" spans="1:7" ht="14.4" customHeight="1">
      <c r="A351" s="271"/>
      <c r="B351" s="624" t="s">
        <v>132</v>
      </c>
      <c r="D351" s="980" t="s">
        <v>1641</v>
      </c>
      <c r="E351" s="980"/>
      <c r="F351" s="980"/>
    </row>
    <row r="352" spans="1:7" ht="12.45">
      <c r="D352" s="980"/>
      <c r="E352" s="980"/>
      <c r="F352" s="980"/>
    </row>
    <row r="353" spans="1:6" ht="12.45">
      <c r="D353" s="980"/>
      <c r="E353" s="980"/>
      <c r="F353" s="980"/>
    </row>
    <row r="354" spans="1:6" ht="12.45">
      <c r="D354" s="980"/>
      <c r="E354" s="980"/>
      <c r="F354" s="980"/>
    </row>
    <row r="355" spans="1:6" ht="12.45">
      <c r="D355" s="980"/>
      <c r="E355" s="980"/>
      <c r="F355" s="980"/>
    </row>
    <row r="356" spans="1:6" ht="12.45">
      <c r="D356" s="980"/>
      <c r="E356" s="980"/>
      <c r="F356" s="980"/>
    </row>
    <row r="357" spans="1:6" ht="12.45">
      <c r="D357" s="980"/>
      <c r="E357" s="980"/>
      <c r="F357" s="980"/>
    </row>
    <row r="358" spans="1:6" ht="12.45">
      <c r="D358" s="980"/>
      <c r="E358" s="980"/>
      <c r="F358" s="980"/>
    </row>
    <row r="359" spans="1:6" ht="12.45">
      <c r="D359" s="980"/>
      <c r="E359" s="980"/>
      <c r="F359" s="980"/>
    </row>
    <row r="360" spans="1:6" ht="12.45">
      <c r="E360" s="44"/>
      <c r="F360" s="44"/>
    </row>
    <row r="361" spans="1:6" ht="14.25" customHeight="1">
      <c r="A361" s="271"/>
      <c r="B361" s="624" t="s">
        <v>132</v>
      </c>
      <c r="D361" s="997" t="s">
        <v>2178</v>
      </c>
      <c r="E361" s="997"/>
      <c r="F361" s="997"/>
    </row>
    <row r="362" spans="1:6" ht="12.45">
      <c r="D362" s="997"/>
      <c r="E362" s="997"/>
      <c r="F362" s="997"/>
    </row>
    <row r="363" spans="1:6" ht="12.45">
      <c r="D363" s="997"/>
      <c r="E363" s="997"/>
      <c r="F363" s="997"/>
    </row>
    <row r="364" spans="1:6" ht="12.45">
      <c r="D364" s="997"/>
      <c r="E364" s="997"/>
      <c r="F364" s="997"/>
    </row>
    <row r="365" spans="1:6" ht="12.45">
      <c r="D365" s="997"/>
      <c r="E365" s="997"/>
      <c r="F365" s="997"/>
    </row>
    <row r="366" spans="1:6" ht="13.1">
      <c r="D366" s="209"/>
      <c r="E366" s="104" t="s">
        <v>2179</v>
      </c>
      <c r="F366" s="209"/>
    </row>
    <row r="367" spans="1:6" ht="13.1" thickBot="1">
      <c r="D367" s="794"/>
      <c r="E367" s="98"/>
      <c r="F367" s="98"/>
    </row>
    <row r="368" spans="1:6" ht="14.4" thickTop="1" thickBot="1">
      <c r="D368" s="1049" t="s">
        <v>1319</v>
      </c>
      <c r="E368" s="1049"/>
      <c r="F368" s="1049"/>
    </row>
    <row r="369" spans="1:6" ht="13.1" thickTop="1">
      <c r="D369" s="1050" t="s">
        <v>1642</v>
      </c>
      <c r="E369" s="1050"/>
      <c r="F369" s="1050"/>
    </row>
    <row r="370" spans="1:6" ht="12.45">
      <c r="D370" s="44"/>
    </row>
    <row r="371" spans="1:6">
      <c r="A371" s="271"/>
      <c r="B371" s="624" t="s">
        <v>132</v>
      </c>
      <c r="C371" s="365"/>
      <c r="D371" s="1017" t="s">
        <v>2269</v>
      </c>
      <c r="E371" s="1017"/>
      <c r="F371" s="1017"/>
    </row>
    <row r="372" spans="1:6">
      <c r="A372" s="271"/>
      <c r="B372" s="271"/>
      <c r="C372" s="365"/>
      <c r="D372" s="431"/>
    </row>
    <row r="373" spans="1:6">
      <c r="A373" s="271"/>
      <c r="B373" s="624" t="s">
        <v>132</v>
      </c>
      <c r="C373" s="365"/>
      <c r="D373" s="987" t="s">
        <v>2270</v>
      </c>
      <c r="E373" s="1037"/>
      <c r="F373" s="1037"/>
    </row>
    <row r="374" spans="1:6">
      <c r="A374" s="271"/>
      <c r="B374" s="271"/>
      <c r="C374" s="365"/>
      <c r="D374" s="1037"/>
      <c r="E374" s="1037"/>
      <c r="F374" s="1037"/>
    </row>
    <row r="375" spans="1:6">
      <c r="A375" s="271"/>
      <c r="B375" s="271"/>
      <c r="C375" s="365"/>
      <c r="D375" s="1037"/>
      <c r="E375" s="1037"/>
      <c r="F375" s="1037"/>
    </row>
    <row r="376" spans="1:6">
      <c r="A376" s="271"/>
      <c r="B376" s="271"/>
      <c r="C376" s="365"/>
      <c r="D376" s="1037"/>
      <c r="E376" s="1037"/>
      <c r="F376" s="1037"/>
    </row>
    <row r="377" spans="1:6">
      <c r="A377" s="271"/>
      <c r="B377" s="271"/>
      <c r="C377" s="365"/>
      <c r="D377" s="1037"/>
      <c r="E377" s="1037"/>
      <c r="F377" s="1037"/>
    </row>
    <row r="378" spans="1:6">
      <c r="A378" s="271"/>
      <c r="B378" s="271"/>
      <c r="C378" s="365"/>
      <c r="D378" s="1037"/>
      <c r="E378" s="1037"/>
      <c r="F378" s="1037"/>
    </row>
    <row r="379" spans="1:6">
      <c r="A379" s="271"/>
      <c r="B379" s="271"/>
      <c r="C379" s="365"/>
      <c r="D379" s="1037"/>
      <c r="E379" s="1037"/>
      <c r="F379" s="1037"/>
    </row>
    <row r="380" spans="1:6">
      <c r="A380" s="271"/>
      <c r="B380" s="271"/>
      <c r="C380" s="365"/>
      <c r="D380" s="1037"/>
      <c r="E380" s="1037"/>
      <c r="F380" s="1037"/>
    </row>
    <row r="381" spans="1:6">
      <c r="A381" s="271"/>
      <c r="B381" s="271"/>
      <c r="C381" s="365"/>
      <c r="D381" s="1037"/>
      <c r="E381" s="1037"/>
      <c r="F381" s="1037"/>
    </row>
    <row r="382" spans="1:6">
      <c r="A382" s="271"/>
      <c r="B382" s="271"/>
      <c r="C382" s="365"/>
      <c r="D382" s="1037"/>
      <c r="E382" s="1037"/>
      <c r="F382" s="1037"/>
    </row>
    <row r="383" spans="1:6">
      <c r="A383" s="271"/>
      <c r="B383" s="271"/>
      <c r="C383" s="365"/>
      <c r="D383" s="642"/>
      <c r="E383" s="642"/>
      <c r="F383" s="642"/>
    </row>
    <row r="384" spans="1:6">
      <c r="A384" s="271"/>
      <c r="B384" s="624" t="s">
        <v>132</v>
      </c>
      <c r="C384" s="365"/>
      <c r="D384" s="1037" t="s">
        <v>1643</v>
      </c>
      <c r="E384" s="1037"/>
      <c r="F384" s="1037"/>
    </row>
    <row r="385" spans="1:6" ht="12.45">
      <c r="A385" s="365"/>
      <c r="B385" s="365"/>
      <c r="C385" s="365"/>
      <c r="D385" s="1037"/>
      <c r="E385" s="1037"/>
      <c r="F385" s="1037"/>
    </row>
    <row r="386" spans="1:6" ht="12.45">
      <c r="A386" s="365"/>
      <c r="B386" s="365"/>
      <c r="C386" s="365"/>
      <c r="D386" s="1037"/>
      <c r="E386" s="1037"/>
      <c r="F386" s="1037"/>
    </row>
    <row r="387" spans="1:6" ht="12.45">
      <c r="A387" s="365"/>
      <c r="B387" s="365"/>
      <c r="C387" s="365"/>
      <c r="D387" s="1037"/>
      <c r="E387" s="1037"/>
      <c r="F387" s="1037"/>
    </row>
    <row r="388" spans="1:6" ht="12.45">
      <c r="A388" s="365"/>
      <c r="B388" s="365"/>
      <c r="C388" s="365"/>
      <c r="D388" s="642"/>
      <c r="E388" s="642"/>
      <c r="F388" s="642"/>
    </row>
    <row r="389" spans="1:6" ht="12.45">
      <c r="A389" s="365"/>
      <c r="B389" s="365"/>
      <c r="C389" s="365"/>
      <c r="D389" s="1037" t="s">
        <v>1644</v>
      </c>
      <c r="E389" s="1037"/>
      <c r="F389" s="1037"/>
    </row>
    <row r="390" spans="1:6" ht="12.45">
      <c r="A390" s="365"/>
      <c r="B390" s="365"/>
      <c r="C390" s="365"/>
      <c r="D390" s="1037"/>
      <c r="E390" s="1037"/>
      <c r="F390" s="1037"/>
    </row>
    <row r="391" spans="1:6" ht="12.45">
      <c r="A391" s="365"/>
      <c r="B391" s="365"/>
      <c r="C391" s="365"/>
      <c r="D391" s="1037"/>
      <c r="E391" s="1037"/>
      <c r="F391" s="1037"/>
    </row>
    <row r="392" spans="1:6" ht="12.45">
      <c r="A392" s="365"/>
      <c r="B392" s="365"/>
      <c r="C392" s="365"/>
      <c r="D392" s="1037"/>
      <c r="E392" s="1037"/>
      <c r="F392" s="1037"/>
    </row>
    <row r="393" spans="1:6" ht="12.45">
      <c r="A393" s="365"/>
      <c r="B393" s="365"/>
      <c r="C393" s="365"/>
      <c r="D393" s="1037"/>
      <c r="E393" s="1037"/>
      <c r="F393" s="1037"/>
    </row>
    <row r="394" spans="1:6" ht="12.45">
      <c r="A394" s="365"/>
      <c r="B394" s="365"/>
      <c r="C394" s="365"/>
      <c r="D394" s="1037"/>
      <c r="E394" s="1037"/>
      <c r="F394" s="1037"/>
    </row>
    <row r="395" spans="1:6" ht="12.45">
      <c r="A395" s="365"/>
      <c r="B395" s="365"/>
      <c r="C395" s="365"/>
      <c r="D395" s="1037"/>
      <c r="E395" s="1037"/>
      <c r="F395" s="1037"/>
    </row>
    <row r="396" spans="1:6" ht="12.45">
      <c r="A396" s="365"/>
      <c r="B396" s="365"/>
      <c r="C396" s="365"/>
      <c r="D396" s="1037"/>
      <c r="E396" s="1037"/>
      <c r="F396" s="1037"/>
    </row>
    <row r="397" spans="1:6" ht="12.45">
      <c r="A397" s="365"/>
      <c r="B397" s="365"/>
      <c r="C397" s="365"/>
      <c r="D397" s="1037"/>
      <c r="E397" s="1037"/>
      <c r="F397" s="1037"/>
    </row>
    <row r="398" spans="1:6" ht="13.75" customHeight="1">
      <c r="A398" s="365"/>
      <c r="B398" s="365"/>
      <c r="C398" s="365"/>
      <c r="D398" s="1037" t="s">
        <v>1647</v>
      </c>
      <c r="E398" s="1037"/>
      <c r="F398" s="1037"/>
    </row>
    <row r="399" spans="1:6" ht="13.75" customHeight="1">
      <c r="A399" s="365"/>
      <c r="B399" s="365"/>
      <c r="C399" s="365"/>
      <c r="D399" s="1037"/>
      <c r="E399" s="1037"/>
      <c r="F399" s="1037"/>
    </row>
    <row r="400" spans="1:6" ht="13.75" customHeight="1">
      <c r="A400" s="365"/>
      <c r="B400" s="365"/>
      <c r="C400" s="365"/>
      <c r="D400" s="1037"/>
      <c r="E400" s="1037"/>
      <c r="F400" s="1037"/>
    </row>
    <row r="401" spans="1:6" ht="13.75" customHeight="1">
      <c r="A401" s="365"/>
      <c r="B401" s="365"/>
      <c r="C401" s="365"/>
      <c r="D401" s="1037"/>
      <c r="E401" s="1037"/>
      <c r="F401" s="1037"/>
    </row>
    <row r="402" spans="1:6" ht="13.75" customHeight="1">
      <c r="A402" s="365"/>
      <c r="B402" s="365"/>
      <c r="C402" s="365"/>
      <c r="D402" s="1037"/>
      <c r="E402" s="1037"/>
      <c r="F402" s="1037"/>
    </row>
    <row r="403" spans="1:6" ht="13.75" customHeight="1">
      <c r="A403" s="365"/>
      <c r="B403" s="365"/>
      <c r="C403" s="365"/>
      <c r="D403" s="1037"/>
      <c r="E403" s="1037"/>
      <c r="F403" s="1037"/>
    </row>
    <row r="404" spans="1:6" ht="13.75" customHeight="1">
      <c r="A404" s="365"/>
      <c r="B404" s="365"/>
      <c r="C404" s="365"/>
      <c r="D404" s="1037"/>
      <c r="E404" s="1037"/>
      <c r="F404" s="1037"/>
    </row>
    <row r="405" spans="1:6" ht="13.75" customHeight="1">
      <c r="A405" s="365"/>
      <c r="B405" s="365"/>
      <c r="C405" s="365"/>
      <c r="D405" s="1037"/>
      <c r="E405" s="1037"/>
      <c r="F405" s="1037"/>
    </row>
    <row r="406" spans="1:6" ht="13.75" customHeight="1">
      <c r="A406" s="365"/>
      <c r="B406" s="365"/>
      <c r="C406" s="365"/>
      <c r="D406" s="1037"/>
      <c r="E406" s="1037"/>
      <c r="F406" s="1037"/>
    </row>
    <row r="407" spans="1:6" ht="13.75" customHeight="1">
      <c r="A407" s="365"/>
      <c r="B407" s="365"/>
      <c r="C407" s="365"/>
      <c r="D407" s="1037"/>
      <c r="E407" s="1037"/>
      <c r="F407" s="1037"/>
    </row>
    <row r="408" spans="1:6" ht="13.75" customHeight="1">
      <c r="A408" s="365"/>
      <c r="B408" s="365"/>
      <c r="C408" s="365"/>
      <c r="D408" s="1037"/>
      <c r="E408" s="1037"/>
      <c r="F408" s="1037"/>
    </row>
    <row r="409" spans="1:6" ht="13.75" customHeight="1">
      <c r="A409" s="365"/>
      <c r="B409" s="365"/>
      <c r="C409" s="365"/>
      <c r="D409" s="1037"/>
      <c r="E409" s="1037"/>
      <c r="F409" s="1037"/>
    </row>
    <row r="410" spans="1:6" ht="13.75" customHeight="1">
      <c r="A410" s="365"/>
      <c r="B410" s="365"/>
      <c r="C410" s="365"/>
      <c r="D410" s="1037"/>
      <c r="E410" s="1037"/>
      <c r="F410" s="1037"/>
    </row>
    <row r="411" spans="1:6" ht="13.75" customHeight="1">
      <c r="A411" s="365"/>
      <c r="B411" s="365"/>
      <c r="C411" s="365"/>
      <c r="D411" s="1037"/>
      <c r="E411" s="1037"/>
      <c r="F411" s="1037"/>
    </row>
    <row r="412" spans="1:6" ht="13.75" customHeight="1">
      <c r="A412" s="365"/>
      <c r="B412" s="365"/>
      <c r="C412" s="365"/>
      <c r="D412" s="1037"/>
      <c r="E412" s="1037"/>
      <c r="F412" s="1037"/>
    </row>
    <row r="413" spans="1:6" ht="13.75" customHeight="1">
      <c r="A413" s="365"/>
      <c r="B413" s="365"/>
      <c r="C413" s="365"/>
      <c r="D413" s="1037"/>
      <c r="E413" s="1037"/>
      <c r="F413" s="1037"/>
    </row>
    <row r="414" spans="1:6" ht="13.75" customHeight="1">
      <c r="A414" s="365"/>
      <c r="B414" s="365"/>
      <c r="C414" s="365"/>
      <c r="D414" s="1037"/>
      <c r="E414" s="1037"/>
      <c r="F414" s="1037"/>
    </row>
    <row r="415" spans="1:6" ht="13.75" customHeight="1">
      <c r="A415" s="365"/>
      <c r="B415" s="365"/>
      <c r="C415" s="365"/>
      <c r="D415" s="1037"/>
      <c r="E415" s="1037"/>
      <c r="F415" s="1037"/>
    </row>
    <row r="416" spans="1:6" ht="12.45">
      <c r="A416" s="365"/>
      <c r="B416" s="365"/>
      <c r="C416" s="365"/>
      <c r="D416" s="431"/>
    </row>
    <row r="417" spans="1:6" ht="13.75" customHeight="1">
      <c r="A417" s="365"/>
      <c r="B417" s="624" t="s">
        <v>132</v>
      </c>
      <c r="C417" s="365"/>
      <c r="D417" s="1037" t="s">
        <v>1645</v>
      </c>
      <c r="E417" s="1037"/>
      <c r="F417" s="1037"/>
    </row>
    <row r="418" spans="1:6" ht="12.45">
      <c r="A418" s="365"/>
      <c r="B418" s="365"/>
      <c r="C418" s="365"/>
      <c r="D418" s="1037"/>
      <c r="E418" s="1037"/>
      <c r="F418" s="1037"/>
    </row>
    <row r="419" spans="1:6" ht="12.45">
      <c r="A419" s="365"/>
      <c r="B419" s="365"/>
      <c r="C419" s="365"/>
      <c r="D419" s="642"/>
      <c r="E419" s="642"/>
      <c r="F419" s="642"/>
    </row>
    <row r="420" spans="1:6" ht="12.45">
      <c r="A420" s="365"/>
      <c r="B420" s="624" t="s">
        <v>132</v>
      </c>
      <c r="C420" s="365"/>
      <c r="D420" s="1027" t="s">
        <v>1970</v>
      </c>
      <c r="E420" s="1027"/>
      <c r="F420" s="1027"/>
    </row>
    <row r="421" spans="1:6" ht="12.45">
      <c r="A421" s="365"/>
      <c r="B421" s="365"/>
      <c r="C421" s="365"/>
      <c r="D421" s="1027"/>
      <c r="E421" s="1027"/>
      <c r="F421" s="1027"/>
    </row>
    <row r="422" spans="1:6" ht="12.45">
      <c r="A422" s="365"/>
      <c r="B422" s="365"/>
      <c r="C422" s="365"/>
      <c r="D422" s="1027"/>
      <c r="E422" s="1027"/>
      <c r="F422" s="1027"/>
    </row>
    <row r="423" spans="1:6" ht="12.45">
      <c r="A423" s="365"/>
      <c r="B423" s="365"/>
      <c r="C423" s="365"/>
      <c r="D423" s="1027"/>
      <c r="E423" s="1027"/>
      <c r="F423" s="1027"/>
    </row>
    <row r="424" spans="1:6" ht="12.45">
      <c r="A424" s="365"/>
      <c r="B424" s="365"/>
      <c r="C424" s="365"/>
      <c r="D424" s="1027"/>
      <c r="E424" s="1027"/>
      <c r="F424" s="1027"/>
    </row>
    <row r="425" spans="1:6" ht="12.45">
      <c r="A425" s="365"/>
      <c r="B425" s="365"/>
      <c r="C425" s="365"/>
      <c r="D425" s="1027"/>
      <c r="E425" s="1027"/>
      <c r="F425" s="1027"/>
    </row>
    <row r="426" spans="1:6" ht="14.4" customHeight="1">
      <c r="A426" s="271"/>
      <c r="B426" s="624" t="s">
        <v>132</v>
      </c>
      <c r="C426" s="365"/>
      <c r="D426" s="1027" t="s">
        <v>1951</v>
      </c>
      <c r="E426" s="1027"/>
      <c r="F426" s="1027"/>
    </row>
    <row r="427" spans="1:6">
      <c r="A427" s="515"/>
      <c r="B427" s="515"/>
      <c r="C427" s="365"/>
      <c r="D427" s="1027"/>
      <c r="E427" s="1027"/>
      <c r="F427" s="1027"/>
    </row>
    <row r="428" spans="1:6">
      <c r="A428" s="515"/>
      <c r="B428" s="515"/>
      <c r="C428" s="365"/>
      <c r="D428" s="1027"/>
      <c r="E428" s="1027"/>
      <c r="F428" s="1027"/>
    </row>
    <row r="429" spans="1:6">
      <c r="A429" s="515"/>
      <c r="B429" s="515"/>
      <c r="C429" s="365"/>
      <c r="D429" s="1027"/>
      <c r="E429" s="1027"/>
      <c r="F429" s="1027"/>
    </row>
    <row r="430" spans="1:6" ht="14.25" customHeight="1">
      <c r="A430" s="515"/>
      <c r="B430" s="515"/>
      <c r="C430" s="365"/>
      <c r="D430" s="1056" t="s">
        <v>1966</v>
      </c>
      <c r="E430" s="1056"/>
      <c r="F430" s="1056"/>
    </row>
    <row r="431" spans="1:6" ht="12.45">
      <c r="D431" s="44"/>
    </row>
    <row r="432" spans="1:6" ht="14.4" customHeight="1">
      <c r="A432" s="271"/>
      <c r="B432" s="624" t="s">
        <v>132</v>
      </c>
      <c r="C432" s="207"/>
      <c r="D432" s="980" t="s">
        <v>2271</v>
      </c>
      <c r="E432" s="980"/>
      <c r="F432" s="980"/>
    </row>
    <row r="433" spans="1:6">
      <c r="A433" s="271"/>
      <c r="B433" s="271"/>
      <c r="D433" s="980"/>
      <c r="E433" s="980"/>
      <c r="F433" s="980"/>
    </row>
    <row r="434" spans="1:6">
      <c r="A434" s="271"/>
      <c r="B434" s="271"/>
      <c r="D434" s="980"/>
      <c r="E434" s="980"/>
      <c r="F434" s="980"/>
    </row>
    <row r="435" spans="1:6">
      <c r="A435" s="271"/>
      <c r="B435" s="271"/>
      <c r="D435" s="980"/>
      <c r="E435" s="980"/>
      <c r="F435" s="980"/>
    </row>
    <row r="436" spans="1:6">
      <c r="A436" s="271"/>
      <c r="B436" s="271"/>
      <c r="D436" s="980"/>
      <c r="E436" s="980"/>
      <c r="F436" s="980"/>
    </row>
    <row r="437" spans="1:6">
      <c r="A437" s="271"/>
      <c r="B437" s="271"/>
      <c r="D437" s="980"/>
      <c r="E437" s="980"/>
      <c r="F437" s="980"/>
    </row>
    <row r="438" spans="1:6">
      <c r="A438" s="271"/>
      <c r="B438" s="271"/>
      <c r="D438" s="980"/>
      <c r="E438" s="980"/>
      <c r="F438" s="980"/>
    </row>
    <row r="439" spans="1:6">
      <c r="A439" s="271"/>
      <c r="B439" s="271"/>
      <c r="D439" s="980"/>
      <c r="E439" s="980"/>
      <c r="F439" s="980"/>
    </row>
    <row r="440" spans="1:6">
      <c r="A440" s="271"/>
      <c r="B440" s="271"/>
      <c r="D440" s="980"/>
      <c r="E440" s="980"/>
      <c r="F440" s="980"/>
    </row>
    <row r="441" spans="1:6">
      <c r="A441" s="271"/>
      <c r="B441" s="271"/>
      <c r="D441" s="980"/>
      <c r="E441" s="980"/>
      <c r="F441" s="980"/>
    </row>
    <row r="442" spans="1:6">
      <c r="A442" s="271"/>
      <c r="B442" s="271"/>
      <c r="D442" s="980"/>
      <c r="E442" s="980"/>
      <c r="F442" s="980"/>
    </row>
    <row r="443" spans="1:6">
      <c r="A443" s="271"/>
      <c r="B443" s="271"/>
      <c r="D443" s="980"/>
      <c r="E443" s="980"/>
      <c r="F443" s="980"/>
    </row>
    <row r="444" spans="1:6">
      <c r="A444" s="271"/>
      <c r="B444" s="271"/>
      <c r="D444" s="980"/>
      <c r="E444" s="980"/>
      <c r="F444" s="980"/>
    </row>
    <row r="445" spans="1:6">
      <c r="A445" s="271"/>
      <c r="B445" s="271"/>
      <c r="D445" s="980"/>
      <c r="E445" s="980"/>
      <c r="F445" s="980"/>
    </row>
    <row r="446" spans="1:6">
      <c r="A446" s="271"/>
      <c r="B446" s="271"/>
      <c r="D446" s="980"/>
      <c r="E446" s="980"/>
      <c r="F446" s="980"/>
    </row>
    <row r="447" spans="1:6">
      <c r="A447" s="271"/>
      <c r="B447" s="271"/>
      <c r="D447" s="980"/>
      <c r="E447" s="980"/>
      <c r="F447" s="980"/>
    </row>
    <row r="448" spans="1:6">
      <c r="A448" s="271"/>
      <c r="B448" s="271"/>
      <c r="D448" s="980"/>
      <c r="E448" s="980"/>
      <c r="F448" s="980"/>
    </row>
    <row r="449" spans="1:6">
      <c r="A449" s="271"/>
      <c r="B449" s="271"/>
      <c r="D449" s="980"/>
      <c r="E449" s="980"/>
      <c r="F449" s="980"/>
    </row>
    <row r="450" spans="1:6">
      <c r="A450" s="271"/>
      <c r="B450" s="271"/>
      <c r="D450" s="980"/>
      <c r="E450" s="980"/>
      <c r="F450" s="980"/>
    </row>
    <row r="451" spans="1:6">
      <c r="A451" s="271"/>
      <c r="B451" s="271"/>
      <c r="D451" s="980"/>
      <c r="E451" s="980"/>
      <c r="F451" s="980"/>
    </row>
    <row r="452" spans="1:6">
      <c r="A452" s="271"/>
      <c r="B452" s="271"/>
      <c r="D452" s="980"/>
      <c r="E452" s="980"/>
      <c r="F452" s="980"/>
    </row>
    <row r="453" spans="1:6">
      <c r="A453" s="271"/>
      <c r="B453" s="271"/>
      <c r="D453" s="980"/>
      <c r="E453" s="980"/>
      <c r="F453" s="980"/>
    </row>
    <row r="454" spans="1:6">
      <c r="A454" s="271"/>
      <c r="B454" s="271"/>
      <c r="D454" s="980"/>
      <c r="E454" s="980"/>
      <c r="F454" s="980"/>
    </row>
    <row r="455" spans="1:6">
      <c r="A455" s="271"/>
      <c r="B455" s="271"/>
      <c r="D455" s="980"/>
      <c r="E455" s="980"/>
      <c r="F455" s="980"/>
    </row>
    <row r="456" spans="1:6">
      <c r="A456" s="271"/>
      <c r="B456" s="271"/>
      <c r="D456" s="980"/>
      <c r="E456" s="980"/>
      <c r="F456" s="980"/>
    </row>
    <row r="457" spans="1:6">
      <c r="A457" s="271"/>
      <c r="B457" s="271"/>
      <c r="D457" s="980"/>
      <c r="E457" s="980"/>
      <c r="F457" s="980"/>
    </row>
    <row r="458" spans="1:6">
      <c r="A458" s="271"/>
      <c r="B458" s="271"/>
      <c r="D458" s="980"/>
      <c r="E458" s="980"/>
      <c r="F458" s="980"/>
    </row>
    <row r="459" spans="1:6">
      <c r="A459" s="271"/>
      <c r="B459" s="271"/>
      <c r="D459" s="980"/>
      <c r="E459" s="980"/>
      <c r="F459" s="980"/>
    </row>
    <row r="460" spans="1:6">
      <c r="A460" s="271"/>
      <c r="B460" s="271"/>
      <c r="D460" s="980"/>
      <c r="E460" s="980"/>
      <c r="F460" s="980"/>
    </row>
    <row r="461" spans="1:6">
      <c r="A461" s="271"/>
      <c r="B461" s="271"/>
      <c r="D461" s="980"/>
      <c r="E461" s="980"/>
      <c r="F461" s="980"/>
    </row>
    <row r="462" spans="1:6" ht="12.45" hidden="1">
      <c r="D462" s="980"/>
      <c r="E462" s="980"/>
      <c r="F462" s="980"/>
    </row>
    <row r="463" spans="1:6" ht="12.45" hidden="1">
      <c r="D463" s="44"/>
    </row>
    <row r="464" spans="1:6">
      <c r="A464" s="271"/>
      <c r="B464" s="624" t="s">
        <v>132</v>
      </c>
      <c r="C464" s="207"/>
      <c r="D464" s="1002" t="s">
        <v>2181</v>
      </c>
      <c r="E464" s="1000"/>
      <c r="F464" s="1000"/>
    </row>
    <row r="465" spans="1:6" ht="13.1">
      <c r="D465"/>
      <c r="E465" s="948" t="s">
        <v>2180</v>
      </c>
      <c r="F465" s="948"/>
    </row>
    <row r="466" spans="1:6" ht="13.75" customHeight="1">
      <c r="D466" s="973" t="s">
        <v>1948</v>
      </c>
      <c r="E466" s="980"/>
      <c r="F466" s="980"/>
    </row>
    <row r="467" spans="1:6" ht="13.75" customHeight="1">
      <c r="D467" s="980"/>
      <c r="E467" s="980"/>
      <c r="F467" s="980"/>
    </row>
    <row r="468" spans="1:6" ht="12.45">
      <c r="D468" s="44"/>
    </row>
    <row r="469" spans="1:6" ht="14.4" customHeight="1">
      <c r="A469" s="271"/>
      <c r="B469" s="624" t="s">
        <v>132</v>
      </c>
      <c r="C469" s="207"/>
      <c r="D469" s="980" t="s">
        <v>1648</v>
      </c>
      <c r="E469" s="980"/>
      <c r="F469" s="980"/>
    </row>
    <row r="470" spans="1:6" ht="12.45">
      <c r="D470" s="980"/>
      <c r="E470" s="980"/>
      <c r="F470" s="980"/>
    </row>
    <row r="471" spans="1:6" ht="12.45">
      <c r="D471" s="980"/>
      <c r="E471" s="980"/>
      <c r="F471" s="980"/>
    </row>
    <row r="472" spans="1:6" ht="12.45">
      <c r="D472" s="24"/>
      <c r="E472" s="24"/>
      <c r="F472" s="24"/>
    </row>
    <row r="473" spans="1:6">
      <c r="B473" s="624" t="s">
        <v>132</v>
      </c>
      <c r="C473" s="271"/>
      <c r="D473" s="973" t="s">
        <v>1795</v>
      </c>
      <c r="E473" s="980"/>
      <c r="F473" s="980"/>
    </row>
    <row r="474" spans="1:6" ht="12.45">
      <c r="D474" s="980"/>
      <c r="E474" s="980"/>
      <c r="F474" s="980"/>
    </row>
    <row r="475" spans="1:6" ht="12.45">
      <c r="D475" s="44"/>
      <c r="E475" s="44"/>
    </row>
    <row r="476" spans="1:6">
      <c r="B476" s="624" t="s">
        <v>132</v>
      </c>
      <c r="C476" s="271"/>
      <c r="D476" s="980" t="s">
        <v>1649</v>
      </c>
      <c r="E476" s="980"/>
      <c r="F476" s="980"/>
    </row>
    <row r="477" spans="1:6" ht="12.45">
      <c r="D477" s="980"/>
      <c r="E477" s="980"/>
      <c r="F477" s="980"/>
    </row>
    <row r="478" spans="1:6" ht="12.45">
      <c r="D478" s="980"/>
      <c r="E478" s="980"/>
      <c r="F478" s="980"/>
    </row>
    <row r="479" spans="1:6" ht="12.45">
      <c r="D479" s="980"/>
      <c r="E479" s="980"/>
      <c r="F479" s="980"/>
    </row>
    <row r="480" spans="1:6" ht="12.45">
      <c r="B480" s="624" t="s">
        <v>132</v>
      </c>
      <c r="D480" s="980"/>
      <c r="E480" s="980"/>
      <c r="F480" s="980"/>
    </row>
    <row r="481" spans="2:6" ht="12.45">
      <c r="D481" s="980"/>
      <c r="E481" s="980"/>
      <c r="F481" s="980"/>
    </row>
    <row r="482" spans="2:6" ht="12.45">
      <c r="D482" s="980"/>
      <c r="E482" s="980"/>
      <c r="F482" s="980"/>
    </row>
    <row r="483" spans="2:6" ht="12.45">
      <c r="B483" s="624" t="s">
        <v>132</v>
      </c>
      <c r="D483" s="980"/>
      <c r="E483" s="980"/>
      <c r="F483" s="980"/>
    </row>
    <row r="484" spans="2:6" ht="12.45">
      <c r="D484" s="980"/>
      <c r="E484" s="980"/>
      <c r="F484" s="980"/>
    </row>
    <row r="485" spans="2:6" ht="12.45">
      <c r="D485" s="980"/>
      <c r="E485" s="980"/>
      <c r="F485" s="980"/>
    </row>
    <row r="486" spans="2:6" ht="12.45">
      <c r="D486" s="980"/>
      <c r="E486" s="980"/>
      <c r="F486" s="980"/>
    </row>
    <row r="487" spans="2:6" ht="12.45">
      <c r="B487" s="624" t="s">
        <v>132</v>
      </c>
      <c r="D487" s="980"/>
      <c r="E487" s="980"/>
      <c r="F487" s="980"/>
    </row>
    <row r="488" spans="2:6" ht="12.45">
      <c r="D488" s="980"/>
      <c r="E488" s="980"/>
      <c r="F488" s="980"/>
    </row>
    <row r="489" spans="2:6" ht="12.45">
      <c r="B489" s="624" t="s">
        <v>132</v>
      </c>
      <c r="D489" s="980"/>
      <c r="E489" s="980"/>
      <c r="F489" s="980"/>
    </row>
    <row r="490" spans="2:6" ht="12.45">
      <c r="D490" s="980"/>
      <c r="E490" s="980"/>
      <c r="F490" s="980"/>
    </row>
    <row r="491" spans="2:6" ht="13.75" customHeight="1">
      <c r="B491" s="624" t="s">
        <v>132</v>
      </c>
      <c r="D491" s="980" t="s">
        <v>1650</v>
      </c>
      <c r="E491" s="980"/>
      <c r="F491" s="980"/>
    </row>
    <row r="492" spans="2:6" ht="12.45">
      <c r="D492" s="980"/>
      <c r="E492" s="980"/>
      <c r="F492" s="980"/>
    </row>
    <row r="493" spans="2:6" ht="12.45">
      <c r="D493" s="980"/>
      <c r="E493" s="980"/>
      <c r="F493" s="980"/>
    </row>
    <row r="494" spans="2:6" ht="12.45">
      <c r="D494" s="980"/>
      <c r="E494" s="980"/>
      <c r="F494" s="980"/>
    </row>
    <row r="495" spans="2:6" ht="12.45">
      <c r="D495" s="980"/>
      <c r="E495" s="980"/>
      <c r="F495" s="980"/>
    </row>
    <row r="496" spans="2:6" ht="12.45">
      <c r="D496" s="44"/>
    </row>
    <row r="497" spans="1:7" ht="12.45">
      <c r="B497" s="624" t="s">
        <v>132</v>
      </c>
      <c r="D497" s="1000" t="s">
        <v>1483</v>
      </c>
      <c r="E497" s="1000"/>
      <c r="F497" s="1000"/>
    </row>
    <row r="498" spans="1:7" ht="12.45">
      <c r="A498" s="44"/>
      <c r="B498" s="44"/>
    </row>
    <row r="499" spans="1:7" ht="13.1">
      <c r="A499" s="1034" t="s">
        <v>1442</v>
      </c>
      <c r="B499" s="1034"/>
      <c r="C499" s="1034"/>
      <c r="D499" s="1034"/>
      <c r="E499" s="1034"/>
      <c r="F499" s="1034"/>
      <c r="G499" s="1034"/>
    </row>
    <row r="500" spans="1:7" ht="12.45">
      <c r="A500" s="44"/>
      <c r="B500" s="44"/>
    </row>
    <row r="501" spans="1:7" ht="13.1">
      <c r="D501" s="1051" t="s">
        <v>1165</v>
      </c>
      <c r="E501" s="1051"/>
      <c r="F501" s="1051"/>
    </row>
    <row r="502" spans="1:7" ht="12.45">
      <c r="D502" s="1017" t="s">
        <v>1476</v>
      </c>
      <c r="E502" s="1017"/>
      <c r="F502" s="1017"/>
    </row>
    <row r="503" spans="1:7">
      <c r="A503" s="271"/>
      <c r="B503" s="271"/>
      <c r="D503" s="431"/>
    </row>
    <row r="504" spans="1:7">
      <c r="A504" s="271"/>
      <c r="B504" s="624" t="s">
        <v>132</v>
      </c>
      <c r="D504" s="1037" t="s">
        <v>1651</v>
      </c>
      <c r="E504" s="1037"/>
      <c r="F504" s="1037"/>
    </row>
    <row r="505" spans="1:7">
      <c r="A505" s="271"/>
      <c r="B505" s="271"/>
      <c r="D505" s="1037"/>
      <c r="E505" s="1037"/>
      <c r="F505" s="1037"/>
    </row>
    <row r="506" spans="1:7">
      <c r="A506" s="271"/>
      <c r="B506" s="271"/>
      <c r="D506" s="44"/>
    </row>
    <row r="507" spans="1:7">
      <c r="A507" s="271"/>
      <c r="B507" s="624" t="s">
        <v>132</v>
      </c>
      <c r="D507" s="1052" t="s">
        <v>1967</v>
      </c>
      <c r="E507" s="1003"/>
      <c r="F507" s="1003"/>
    </row>
    <row r="508" spans="1:7">
      <c r="A508" s="271"/>
      <c r="B508" s="271"/>
      <c r="D508" s="1003"/>
      <c r="E508" s="1003"/>
      <c r="F508" s="1003"/>
    </row>
    <row r="509" spans="1:7">
      <c r="A509" s="271"/>
      <c r="B509" s="271"/>
      <c r="D509" s="1003"/>
      <c r="E509" s="1003"/>
      <c r="F509" s="1003"/>
      <c r="G509"/>
    </row>
    <row r="510" spans="1:7">
      <c r="A510" s="271"/>
      <c r="B510" s="271"/>
      <c r="D510" s="1003"/>
      <c r="E510" s="1003"/>
      <c r="F510" s="1003"/>
      <c r="G510"/>
    </row>
    <row r="511" spans="1:7" ht="12.45">
      <c r="G511"/>
    </row>
    <row r="512" spans="1:7">
      <c r="A512" s="271"/>
      <c r="B512" s="624" t="s">
        <v>132</v>
      </c>
      <c r="D512" s="1000" t="s">
        <v>1653</v>
      </c>
      <c r="E512" s="1000"/>
      <c r="F512" s="1000"/>
      <c r="G512"/>
    </row>
    <row r="513" spans="1:7" ht="12.45">
      <c r="D513" s="44"/>
      <c r="G513"/>
    </row>
    <row r="514" spans="1:7">
      <c r="A514" s="271"/>
      <c r="B514" s="624" t="s">
        <v>132</v>
      </c>
      <c r="D514" s="980" t="s">
        <v>1654</v>
      </c>
      <c r="E514" s="980"/>
      <c r="F514" s="980"/>
      <c r="G514"/>
    </row>
    <row r="515" spans="1:7" ht="12.45">
      <c r="D515" s="980"/>
      <c r="E515" s="980"/>
      <c r="F515" s="980"/>
      <c r="G515"/>
    </row>
    <row r="516" spans="1:7" ht="12.45">
      <c r="D516" s="431"/>
      <c r="G516"/>
    </row>
    <row r="517" spans="1:7">
      <c r="A517" s="271"/>
      <c r="B517" s="624" t="s">
        <v>132</v>
      </c>
      <c r="D517" s="1000" t="s">
        <v>1652</v>
      </c>
      <c r="E517" s="1000"/>
      <c r="F517" s="1000"/>
    </row>
    <row r="518" spans="1:7">
      <c r="A518" s="271"/>
      <c r="B518" s="271"/>
      <c r="D518" s="44"/>
    </row>
    <row r="519" spans="1:7" ht="13.1">
      <c r="A519" s="1034" t="s">
        <v>1443</v>
      </c>
      <c r="B519" s="1034"/>
      <c r="C519" s="1034"/>
      <c r="D519" s="1034"/>
      <c r="E519" s="1034"/>
      <c r="F519" s="1034"/>
      <c r="G519" s="1034"/>
    </row>
    <row r="520" spans="1:7" ht="11.95" customHeight="1">
      <c r="A520" s="271"/>
      <c r="B520" s="271"/>
      <c r="D520" s="44"/>
    </row>
    <row r="521" spans="1:7" ht="13.1">
      <c r="B521" s="624" t="s">
        <v>1440</v>
      </c>
      <c r="C521" s="190"/>
      <c r="D521" s="1008" t="s">
        <v>1595</v>
      </c>
      <c r="E521" s="1008"/>
      <c r="F521" s="1008"/>
    </row>
    <row r="522" spans="1:7" ht="13.1">
      <c r="C522" s="190"/>
      <c r="D522" s="1008"/>
      <c r="E522" s="1008"/>
      <c r="F522" s="1008"/>
    </row>
    <row r="523" spans="1:7" ht="13.1">
      <c r="A523" s="191"/>
      <c r="B523" s="191"/>
      <c r="C523" s="191"/>
      <c r="D523" s="1008"/>
      <c r="E523" s="1008"/>
      <c r="F523" s="1008"/>
    </row>
    <row r="524" spans="1:7" ht="13.1">
      <c r="A524" s="191"/>
      <c r="B524" s="191"/>
      <c r="C524" s="191"/>
      <c r="D524" s="1008"/>
      <c r="E524" s="1008"/>
      <c r="F524" s="1008"/>
    </row>
    <row r="525" spans="1:7" ht="13.1">
      <c r="A525" s="191"/>
      <c r="B525" s="191"/>
      <c r="C525" s="191"/>
    </row>
    <row r="526" spans="1:7">
      <c r="A526" s="271"/>
      <c r="B526" s="624" t="s">
        <v>132</v>
      </c>
      <c r="C526" s="207"/>
      <c r="D526" s="980" t="s">
        <v>2272</v>
      </c>
      <c r="E526" s="980"/>
      <c r="F526" s="980"/>
      <c r="G526"/>
    </row>
    <row r="527" spans="1:7" ht="12.45">
      <c r="A527" s="207"/>
      <c r="B527" s="207"/>
      <c r="C527" s="207"/>
      <c r="D527" s="980"/>
      <c r="E527" s="980"/>
      <c r="F527" s="980"/>
      <c r="G527"/>
    </row>
    <row r="528" spans="1:7" ht="13.1">
      <c r="A528" s="191"/>
      <c r="B528" s="191"/>
      <c r="C528" s="191"/>
      <c r="D528" s="44"/>
      <c r="G528"/>
    </row>
    <row r="529" spans="1:7" ht="13.1">
      <c r="A529" s="191"/>
      <c r="B529" s="624" t="s">
        <v>1440</v>
      </c>
      <c r="C529" s="191"/>
      <c r="D529" s="949" t="s">
        <v>2182</v>
      </c>
      <c r="E529" s="950"/>
      <c r="G529"/>
    </row>
    <row r="530" spans="1:7" ht="13.1">
      <c r="A530" s="191"/>
      <c r="B530" s="191"/>
      <c r="C530" s="191"/>
      <c r="D530" s="950"/>
      <c r="E530" s="104" t="s">
        <v>2183</v>
      </c>
      <c r="G530"/>
    </row>
    <row r="531" spans="1:7">
      <c r="A531" s="271"/>
      <c r="B531"/>
      <c r="D531" s="1037" t="s">
        <v>2273</v>
      </c>
      <c r="E531" s="1037"/>
      <c r="F531" s="1037"/>
      <c r="G531"/>
    </row>
    <row r="532" spans="1:7">
      <c r="A532" s="271"/>
      <c r="B532" s="271"/>
      <c r="D532" s="1037"/>
      <c r="E532" s="1037"/>
      <c r="F532" s="1037"/>
      <c r="G532"/>
    </row>
    <row r="533" spans="1:7" ht="12.45">
      <c r="D533" s="1037"/>
      <c r="E533" s="1037"/>
      <c r="F533" s="1037"/>
    </row>
    <row r="534" spans="1:7" ht="11.95" customHeight="1">
      <c r="A534" s="44"/>
      <c r="B534" s="44"/>
      <c r="C534" s="207"/>
      <c r="E534" s="44"/>
    </row>
    <row r="535" spans="1:7" ht="13.1">
      <c r="A535" s="1034" t="s">
        <v>1455</v>
      </c>
      <c r="B535" s="1034"/>
      <c r="C535" s="1034"/>
      <c r="D535" s="1034"/>
      <c r="E535" s="1034"/>
      <c r="F535" s="1034"/>
      <c r="G535" s="1034"/>
    </row>
    <row r="536" spans="1:7" ht="11.95" customHeight="1">
      <c r="A536" s="44"/>
      <c r="B536" s="44"/>
      <c r="C536" s="207"/>
      <c r="E536" s="44"/>
    </row>
    <row r="537" spans="1:7" ht="13.1">
      <c r="C537" s="207"/>
      <c r="D537" s="1001" t="s">
        <v>1484</v>
      </c>
      <c r="E537" s="1001"/>
      <c r="F537" s="1001"/>
    </row>
    <row r="538" spans="1:7" ht="12.45"/>
    <row r="539" spans="1:7" ht="12.45">
      <c r="B539" s="624" t="s">
        <v>132</v>
      </c>
      <c r="D539" s="980" t="s">
        <v>1623</v>
      </c>
      <c r="E539" s="980"/>
      <c r="F539" s="980"/>
    </row>
    <row r="540" spans="1:7" ht="12.45">
      <c r="D540" s="980"/>
      <c r="E540" s="980"/>
      <c r="F540" s="980"/>
    </row>
    <row r="541" spans="1:7" ht="11.95" customHeight="1">
      <c r="A541" s="207"/>
      <c r="B541" s="207"/>
      <c r="C541" s="207"/>
      <c r="D541" s="44"/>
    </row>
    <row r="542" spans="1:7">
      <c r="A542" s="271"/>
      <c r="B542" s="624" t="s">
        <v>132</v>
      </c>
      <c r="C542" s="207"/>
      <c r="D542" s="980" t="s">
        <v>1624</v>
      </c>
      <c r="E542" s="980"/>
      <c r="F542" s="980"/>
    </row>
    <row r="543" spans="1:7" ht="12.45">
      <c r="A543" s="207"/>
      <c r="B543" s="207"/>
      <c r="C543" s="207"/>
      <c r="D543" s="980"/>
      <c r="E543" s="980"/>
      <c r="F543" s="980"/>
    </row>
    <row r="544" spans="1:7" ht="11.95" customHeight="1">
      <c r="A544" s="207"/>
      <c r="B544" s="207"/>
      <c r="C544" s="207"/>
      <c r="D544" s="44"/>
    </row>
    <row r="545" spans="1:7" ht="13.1">
      <c r="A545" s="1012" t="s">
        <v>1493</v>
      </c>
      <c r="B545" s="1012"/>
      <c r="C545" s="1012"/>
      <c r="D545" s="1012"/>
      <c r="E545" s="1012"/>
      <c r="F545" s="1012"/>
      <c r="G545" s="1012"/>
    </row>
    <row r="546" spans="1:7" ht="11.95" customHeight="1">
      <c r="A546" s="44"/>
      <c r="B546" s="44"/>
      <c r="C546" s="207"/>
      <c r="D546" s="44"/>
    </row>
    <row r="547" spans="1:7" ht="13.1">
      <c r="C547" s="207"/>
      <c r="D547" s="1001" t="s">
        <v>175</v>
      </c>
      <c r="E547" s="1001"/>
      <c r="F547" s="1001"/>
    </row>
    <row r="548" spans="1:7" ht="12.45">
      <c r="C548" s="207"/>
      <c r="D548" s="1000" t="s">
        <v>1604</v>
      </c>
      <c r="E548" s="1000"/>
      <c r="F548" s="1000"/>
    </row>
    <row r="549" spans="1:7" ht="12.45">
      <c r="C549" s="207"/>
      <c r="D549" s="44"/>
      <c r="E549" s="44"/>
      <c r="F549" s="44"/>
    </row>
    <row r="550" spans="1:7">
      <c r="A550" s="271"/>
      <c r="B550" s="624" t="s">
        <v>1440</v>
      </c>
      <c r="C550" s="207"/>
      <c r="D550" s="1000" t="s">
        <v>1160</v>
      </c>
      <c r="E550" s="1000"/>
      <c r="F550" s="1000"/>
    </row>
    <row r="551" spans="1:7" ht="11.95" customHeight="1">
      <c r="A551" s="207"/>
      <c r="B551" s="207"/>
      <c r="C551" s="207"/>
      <c r="D551" s="44"/>
      <c r="E551"/>
      <c r="F551"/>
      <c r="G551"/>
    </row>
    <row r="552" spans="1:7" ht="14.4" customHeight="1">
      <c r="A552" s="271"/>
      <c r="B552" s="624" t="s">
        <v>1440</v>
      </c>
      <c r="C552" s="207"/>
      <c r="D552" s="980" t="s">
        <v>1603</v>
      </c>
      <c r="E552" s="980"/>
      <c r="F552" s="980"/>
      <c r="G552"/>
    </row>
    <row r="553" spans="1:7" ht="12.45">
      <c r="A553" s="207"/>
      <c r="B553" s="207"/>
      <c r="C553" s="207"/>
      <c r="D553" s="980"/>
      <c r="E553" s="980"/>
      <c r="F553" s="980"/>
      <c r="G553"/>
    </row>
    <row r="554" spans="1:7" ht="11.95" customHeight="1">
      <c r="A554" s="207"/>
      <c r="B554" s="207"/>
      <c r="C554" s="207"/>
      <c r="D554" s="44"/>
      <c r="E554"/>
      <c r="F554"/>
      <c r="G554"/>
    </row>
    <row r="555" spans="1:7">
      <c r="A555" s="271"/>
      <c r="B555" s="624" t="s">
        <v>1440</v>
      </c>
      <c r="C555" s="207"/>
      <c r="D555" s="980" t="s">
        <v>1605</v>
      </c>
      <c r="E555" s="980"/>
      <c r="F555" s="980"/>
      <c r="G555"/>
    </row>
    <row r="556" spans="1:7" ht="12.45">
      <c r="A556" s="207"/>
      <c r="B556" s="207"/>
      <c r="C556" s="207"/>
      <c r="D556" s="980"/>
      <c r="E556" s="980"/>
      <c r="F556" s="980"/>
      <c r="G556"/>
    </row>
    <row r="557" spans="1:7" ht="11.95" customHeight="1">
      <c r="A557" s="207"/>
      <c r="B557" s="207"/>
      <c r="C557" s="207"/>
      <c r="D557" s="44"/>
      <c r="E557"/>
      <c r="F557"/>
      <c r="G557"/>
    </row>
    <row r="558" spans="1:7">
      <c r="A558" s="271"/>
      <c r="B558" s="624" t="s">
        <v>1440</v>
      </c>
      <c r="C558" s="207"/>
      <c r="D558" s="980" t="s">
        <v>1606</v>
      </c>
      <c r="E558" s="980"/>
      <c r="F558" s="980"/>
      <c r="G558"/>
    </row>
    <row r="559" spans="1:7" ht="12.45">
      <c r="A559" s="207"/>
      <c r="B559" s="207"/>
      <c r="C559" s="207"/>
      <c r="D559" s="980"/>
      <c r="E559" s="980"/>
      <c r="F559" s="980"/>
      <c r="G559"/>
    </row>
    <row r="560" spans="1:7" ht="11.95" customHeight="1">
      <c r="A560" s="207"/>
      <c r="B560" s="207"/>
      <c r="C560" s="207"/>
      <c r="D560" s="44"/>
      <c r="E560"/>
      <c r="F560"/>
      <c r="G560"/>
    </row>
    <row r="561" spans="1:7" ht="14.4" customHeight="1">
      <c r="A561" s="271"/>
      <c r="B561" s="624" t="s">
        <v>1440</v>
      </c>
      <c r="C561" s="207"/>
      <c r="D561" s="980" t="s">
        <v>1607</v>
      </c>
      <c r="E561" s="980"/>
      <c r="F561" s="980"/>
      <c r="G561"/>
    </row>
    <row r="562" spans="1:7" ht="12.45">
      <c r="A562" s="207"/>
      <c r="B562" s="207"/>
      <c r="C562" s="207"/>
      <c r="D562" s="980"/>
      <c r="E562" s="980"/>
      <c r="F562" s="980"/>
      <c r="G562"/>
    </row>
    <row r="563" spans="1:7" ht="12.45">
      <c r="A563" s="207"/>
      <c r="B563" s="207"/>
      <c r="C563" s="207"/>
      <c r="D563" s="980"/>
      <c r="E563" s="980"/>
      <c r="F563" s="980"/>
      <c r="G563"/>
    </row>
    <row r="564" spans="1:7" ht="12.45">
      <c r="A564" s="207"/>
      <c r="B564" s="207"/>
      <c r="C564" s="207"/>
      <c r="D564" s="44"/>
      <c r="E564"/>
      <c r="F564"/>
      <c r="G564"/>
    </row>
    <row r="565" spans="1:7">
      <c r="A565" s="271"/>
      <c r="B565" s="624" t="s">
        <v>132</v>
      </c>
      <c r="C565" s="207"/>
      <c r="D565" s="973" t="s">
        <v>1705</v>
      </c>
      <c r="E565" s="980"/>
      <c r="F565" s="980"/>
      <c r="G565"/>
    </row>
    <row r="566" spans="1:7" ht="12.45">
      <c r="A566" s="207"/>
      <c r="B566" s="207"/>
      <c r="C566" s="207"/>
      <c r="D566" s="980"/>
      <c r="E566" s="980"/>
      <c r="F566" s="980"/>
      <c r="G566"/>
    </row>
    <row r="567" spans="1:7" ht="12.45">
      <c r="A567" s="207"/>
      <c r="B567" s="207"/>
      <c r="C567" s="207"/>
      <c r="D567" s="44"/>
      <c r="G567"/>
    </row>
    <row r="568" spans="1:7">
      <c r="A568" s="271"/>
      <c r="B568" s="624" t="s">
        <v>1440</v>
      </c>
      <c r="C568" s="207"/>
      <c r="D568" s="980" t="s">
        <v>1608</v>
      </c>
      <c r="E568" s="980"/>
      <c r="F568" s="980"/>
      <c r="G568"/>
    </row>
    <row r="569" spans="1:7" ht="12.45">
      <c r="A569" s="207"/>
      <c r="B569" s="207"/>
      <c r="C569" s="207"/>
      <c r="D569" s="980"/>
      <c r="E569" s="980"/>
      <c r="F569" s="980"/>
      <c r="G569"/>
    </row>
    <row r="570" spans="1:7" ht="11.95" customHeight="1">
      <c r="A570" s="207"/>
      <c r="B570" s="207"/>
      <c r="C570" s="207"/>
      <c r="D570" s="44"/>
      <c r="G570"/>
    </row>
    <row r="571" spans="1:7">
      <c r="A571" s="271"/>
      <c r="B571" s="624" t="s">
        <v>1440</v>
      </c>
      <c r="C571" s="207"/>
      <c r="D571" s="1000" t="s">
        <v>1609</v>
      </c>
      <c r="E571" s="1000"/>
      <c r="F571" s="1000"/>
      <c r="G571"/>
    </row>
    <row r="572" spans="1:7">
      <c r="A572" s="271"/>
      <c r="B572" s="271"/>
      <c r="C572" s="207"/>
      <c r="D572" s="1041" t="s">
        <v>2184</v>
      </c>
      <c r="E572" s="1041"/>
      <c r="F572" s="1041"/>
      <c r="G572"/>
    </row>
    <row r="573" spans="1:7" ht="13.1">
      <c r="A573" s="18"/>
      <c r="B573" s="18"/>
      <c r="C573" s="207"/>
      <c r="D573" s="951"/>
      <c r="E573" s="104" t="s">
        <v>2185</v>
      </c>
      <c r="F573" s="952"/>
      <c r="G573"/>
    </row>
    <row r="574" spans="1:7" ht="15.05" customHeight="1">
      <c r="A574" s="18"/>
      <c r="B574" s="18"/>
      <c r="C574" s="207"/>
      <c r="D574" s="973" t="s">
        <v>1829</v>
      </c>
      <c r="E574" s="980"/>
      <c r="F574" s="980"/>
      <c r="G574"/>
    </row>
    <row r="575" spans="1:7" ht="13.1">
      <c r="A575" s="18"/>
      <c r="B575" s="18"/>
      <c r="C575" s="207"/>
      <c r="D575" s="980"/>
      <c r="E575" s="980"/>
      <c r="F575" s="980"/>
      <c r="G575"/>
    </row>
    <row r="576" spans="1:7" ht="13.1">
      <c r="A576" s="18"/>
      <c r="B576" s="18"/>
      <c r="C576" s="207"/>
      <c r="D576" s="980"/>
      <c r="E576" s="980"/>
      <c r="F576" s="980"/>
      <c r="G576"/>
    </row>
    <row r="577" spans="1:7" ht="13.1">
      <c r="A577" s="18"/>
      <c r="B577" s="18"/>
      <c r="C577" s="207"/>
      <c r="D577" s="980"/>
      <c r="E577" s="980"/>
      <c r="F577" s="980"/>
      <c r="G577"/>
    </row>
    <row r="578" spans="1:7" ht="13.1">
      <c r="A578" s="18"/>
      <c r="B578" s="18"/>
      <c r="C578" s="207"/>
      <c r="D578" s="980"/>
      <c r="E578" s="980"/>
      <c r="F578" s="980"/>
      <c r="G578"/>
    </row>
    <row r="579" spans="1:7" ht="13.1">
      <c r="A579" s="18"/>
      <c r="B579" s="18"/>
      <c r="C579" s="207"/>
      <c r="D579" s="980"/>
      <c r="E579" s="980"/>
      <c r="F579" s="980"/>
      <c r="G579"/>
    </row>
    <row r="580" spans="1:7" ht="13.1">
      <c r="A580" s="18"/>
      <c r="B580" s="18"/>
      <c r="C580" s="207"/>
      <c r="D580" s="980"/>
      <c r="E580" s="980"/>
      <c r="F580" s="980"/>
      <c r="G580"/>
    </row>
    <row r="581" spans="1:7" ht="13.1">
      <c r="A581" s="18"/>
      <c r="B581" s="18"/>
      <c r="C581" s="207"/>
      <c r="D581" s="980"/>
      <c r="E581" s="980"/>
      <c r="F581" s="980"/>
      <c r="G581"/>
    </row>
    <row r="582" spans="1:7" ht="13.1">
      <c r="A582" s="18"/>
      <c r="B582" s="18"/>
      <c r="C582" s="207"/>
      <c r="D582" s="980"/>
      <c r="E582" s="980"/>
      <c r="F582" s="980"/>
      <c r="G582"/>
    </row>
    <row r="583" spans="1:7" ht="13.1">
      <c r="A583" s="18"/>
      <c r="B583" s="18"/>
      <c r="C583" s="207"/>
      <c r="D583" s="209"/>
      <c r="E583" s="209"/>
      <c r="F583" s="209"/>
      <c r="G583"/>
    </row>
    <row r="584" spans="1:7">
      <c r="A584" s="271"/>
      <c r="B584" s="624" t="s">
        <v>1440</v>
      </c>
      <c r="C584" s="207"/>
      <c r="D584" s="1000" t="s">
        <v>1610</v>
      </c>
      <c r="E584" s="1000"/>
      <c r="F584" s="1000"/>
      <c r="G584"/>
    </row>
    <row r="585" spans="1:7" ht="13.75" customHeight="1">
      <c r="C585" s="207"/>
      <c r="D585" s="980" t="s">
        <v>1611</v>
      </c>
      <c r="E585" s="980"/>
      <c r="F585" s="980"/>
      <c r="G585"/>
    </row>
    <row r="586" spans="1:7" ht="12.45">
      <c r="A586" s="207"/>
      <c r="B586" s="207"/>
      <c r="C586" s="207"/>
      <c r="D586" s="980"/>
      <c r="E586" s="980"/>
      <c r="F586" s="980"/>
      <c r="G586"/>
    </row>
    <row r="587" spans="1:7" ht="12.45">
      <c r="A587" s="207"/>
      <c r="B587" s="207"/>
      <c r="C587" s="207"/>
      <c r="D587" s="980"/>
      <c r="E587" s="980"/>
      <c r="F587" s="980"/>
      <c r="G587"/>
    </row>
    <row r="588" spans="1:7" ht="12.45">
      <c r="A588" s="207"/>
      <c r="B588" s="207"/>
      <c r="C588" s="207"/>
      <c r="D588" s="209"/>
      <c r="E588" s="209"/>
      <c r="F588" s="209"/>
      <c r="G588"/>
    </row>
    <row r="589" spans="1:7" ht="14.4" customHeight="1">
      <c r="A589" s="271"/>
      <c r="B589" s="624" t="s">
        <v>1440</v>
      </c>
      <c r="C589" s="207"/>
      <c r="D589" s="980" t="s">
        <v>2274</v>
      </c>
      <c r="E589" s="980"/>
      <c r="F589" s="980"/>
      <c r="G589"/>
    </row>
    <row r="590" spans="1:7">
      <c r="A590" s="271"/>
      <c r="B590" s="271"/>
      <c r="C590" s="207"/>
      <c r="D590" s="980"/>
      <c r="E590" s="980"/>
      <c r="F590" s="980"/>
      <c r="G590"/>
    </row>
    <row r="591" spans="1:7">
      <c r="A591" s="271"/>
      <c r="B591" s="271"/>
      <c r="C591" s="207"/>
      <c r="D591" s="980"/>
      <c r="E591" s="980"/>
      <c r="F591" s="980"/>
    </row>
    <row r="592" spans="1:7" ht="12.45">
      <c r="A592" s="207"/>
      <c r="B592" s="207"/>
      <c r="C592" s="207"/>
      <c r="D592" s="980"/>
      <c r="E592" s="980"/>
      <c r="F592" s="980"/>
    </row>
    <row r="593" spans="1:7" ht="12.45">
      <c r="A593" s="207"/>
      <c r="B593" s="207"/>
      <c r="C593" s="207"/>
      <c r="D593" s="44"/>
    </row>
    <row r="594" spans="1:7" ht="13.1">
      <c r="A594" s="191"/>
      <c r="B594" s="624" t="s">
        <v>132</v>
      </c>
      <c r="C594" s="191"/>
      <c r="D594" s="1033" t="s">
        <v>1893</v>
      </c>
      <c r="E594" s="1010"/>
      <c r="F594" s="1010"/>
    </row>
    <row r="595" spans="1:7" ht="13.1">
      <c r="A595" s="191"/>
      <c r="B595" s="191"/>
      <c r="C595" s="191"/>
    </row>
    <row r="596" spans="1:7" ht="12.45">
      <c r="A596" s="207"/>
      <c r="B596" s="207"/>
      <c r="C596" s="207"/>
      <c r="D596" s="24"/>
      <c r="E596" s="24"/>
      <c r="F596" s="24"/>
    </row>
    <row r="597" spans="1:7" ht="13.1">
      <c r="A597" s="1034" t="s">
        <v>1457</v>
      </c>
      <c r="B597" s="1034"/>
      <c r="C597" s="1034"/>
      <c r="D597" s="1034"/>
      <c r="E597" s="1034"/>
      <c r="F597" s="1034"/>
      <c r="G597" s="1034"/>
    </row>
    <row r="598" spans="1:7" ht="12.45">
      <c r="A598" s="207"/>
      <c r="B598" s="207"/>
      <c r="C598" s="207"/>
    </row>
    <row r="599" spans="1:7" ht="13.1">
      <c r="C599" s="190"/>
      <c r="D599" s="1007" t="s">
        <v>176</v>
      </c>
      <c r="E599" s="1007"/>
      <c r="F599" s="1007"/>
    </row>
    <row r="600" spans="1:7" ht="13.1">
      <c r="C600" s="190"/>
      <c r="D600" s="1003" t="s">
        <v>1509</v>
      </c>
      <c r="E600" s="1003"/>
      <c r="F600" s="1003"/>
    </row>
    <row r="601" spans="1:7" ht="13.1">
      <c r="C601" s="190"/>
      <c r="D601" s="375"/>
    </row>
    <row r="602" spans="1:7">
      <c r="A602" s="271"/>
      <c r="B602" s="624" t="s">
        <v>1440</v>
      </c>
      <c r="D602" s="1003" t="s">
        <v>1161</v>
      </c>
      <c r="E602" s="1003"/>
      <c r="F602" s="1003"/>
    </row>
    <row r="603" spans="1:7" ht="13.1">
      <c r="A603" s="18"/>
      <c r="B603" s="18"/>
      <c r="D603" s="365"/>
    </row>
    <row r="604" spans="1:7" ht="14.4" customHeight="1">
      <c r="A604" s="271"/>
      <c r="B604" s="624" t="s">
        <v>1440</v>
      </c>
      <c r="D604" s="1003" t="s">
        <v>2275</v>
      </c>
      <c r="E604" s="1003"/>
      <c r="F604" s="1003"/>
    </row>
    <row r="605" spans="1:7" ht="14.4" customHeight="1">
      <c r="A605" s="271"/>
      <c r="B605" s="271"/>
      <c r="D605" s="1003"/>
      <c r="E605" s="1003"/>
      <c r="F605" s="1003"/>
    </row>
    <row r="606" spans="1:7">
      <c r="A606" s="271"/>
      <c r="B606" s="271"/>
      <c r="D606" s="1003"/>
      <c r="E606" s="1003"/>
      <c r="F606" s="1003"/>
    </row>
    <row r="607" spans="1:7">
      <c r="A607" s="271"/>
      <c r="B607" s="271"/>
      <c r="D607" s="628"/>
      <c r="E607" s="628"/>
      <c r="F607" s="628"/>
    </row>
    <row r="608" spans="1:7">
      <c r="A608" s="271"/>
      <c r="B608" s="624" t="s">
        <v>132</v>
      </c>
      <c r="D608" s="1003" t="s">
        <v>1510</v>
      </c>
      <c r="E608" s="1003"/>
      <c r="F608" s="1003"/>
    </row>
    <row r="609" spans="1:7">
      <c r="A609" s="271"/>
      <c r="B609" s="271"/>
      <c r="D609" s="1003"/>
      <c r="E609" s="1003"/>
      <c r="F609" s="1003"/>
    </row>
    <row r="610" spans="1:7">
      <c r="A610" s="271"/>
      <c r="B610" s="271"/>
      <c r="D610" s="1003"/>
      <c r="E610" s="1003"/>
      <c r="F610" s="1003"/>
    </row>
    <row r="611" spans="1:7">
      <c r="A611" s="271"/>
      <c r="B611" s="271"/>
      <c r="D611" s="1003"/>
      <c r="E611" s="1003"/>
      <c r="F611" s="1003"/>
    </row>
    <row r="612" spans="1:7">
      <c r="A612" s="271"/>
      <c r="B612" s="271"/>
      <c r="D612" s="375"/>
    </row>
    <row r="613" spans="1:7">
      <c r="A613" s="271"/>
      <c r="B613" s="624" t="s">
        <v>1440</v>
      </c>
      <c r="D613" s="1003" t="s">
        <v>2276</v>
      </c>
      <c r="E613" s="1003"/>
      <c r="F613" s="1003"/>
    </row>
    <row r="614" spans="1:7">
      <c r="A614" s="271"/>
      <c r="B614" s="271"/>
      <c r="D614" s="1003"/>
      <c r="E614" s="1003"/>
      <c r="F614" s="1003"/>
    </row>
    <row r="615" spans="1:7">
      <c r="A615" s="271"/>
      <c r="B615" s="271"/>
      <c r="D615" s="375"/>
    </row>
    <row r="616" spans="1:7" ht="14.4" customHeight="1">
      <c r="A616" s="271"/>
      <c r="B616" s="624" t="s">
        <v>132</v>
      </c>
      <c r="D616" s="1003" t="s">
        <v>1514</v>
      </c>
      <c r="E616" s="1003"/>
      <c r="F616" s="1003"/>
    </row>
    <row r="617" spans="1:7">
      <c r="A617" s="271"/>
      <c r="B617" s="271"/>
      <c r="D617" s="1003"/>
      <c r="E617" s="1003"/>
      <c r="F617" s="1003"/>
    </row>
    <row r="618" spans="1:7">
      <c r="A618" s="271"/>
      <c r="B618" s="271"/>
      <c r="D618" s="375"/>
    </row>
    <row r="619" spans="1:7">
      <c r="A619" s="271"/>
      <c r="B619" s="624" t="s">
        <v>1440</v>
      </c>
      <c r="D619" s="1003" t="s">
        <v>1162</v>
      </c>
      <c r="E619" s="1003"/>
      <c r="F619" s="1003"/>
    </row>
    <row r="620" spans="1:7" ht="13.1">
      <c r="A620" s="18"/>
      <c r="B620" s="18"/>
    </row>
    <row r="621" spans="1:7" ht="13.1">
      <c r="A621" s="1034" t="s">
        <v>1459</v>
      </c>
      <c r="B621" s="1034"/>
      <c r="C621" s="1034"/>
      <c r="D621" s="1034"/>
      <c r="E621" s="1034"/>
      <c r="F621" s="1034"/>
      <c r="G621" s="1034"/>
    </row>
    <row r="622" spans="1:7" ht="13.1">
      <c r="A622" s="63"/>
      <c r="B622" s="63"/>
    </row>
    <row r="623" spans="1:7" ht="13.1">
      <c r="C623" s="191"/>
      <c r="D623" s="1030" t="s">
        <v>1458</v>
      </c>
      <c r="E623" s="1030"/>
      <c r="F623" s="1030"/>
    </row>
    <row r="624" spans="1:7" ht="13.1">
      <c r="C624" s="191"/>
      <c r="D624" s="1010" t="s">
        <v>1485</v>
      </c>
      <c r="E624" s="1010"/>
      <c r="F624" s="1010"/>
    </row>
    <row r="625" spans="1:7" ht="13.1">
      <c r="C625" s="191"/>
      <c r="D625" s="102"/>
      <c r="E625" s="102"/>
      <c r="F625" s="102"/>
    </row>
    <row r="626" spans="1:7" ht="14.25" customHeight="1">
      <c r="A626" s="271"/>
      <c r="B626" s="624" t="s">
        <v>1440</v>
      </c>
      <c r="D626" s="1053" t="s">
        <v>2187</v>
      </c>
      <c r="E626" s="1054"/>
      <c r="F626" s="1054"/>
    </row>
    <row r="627" spans="1:7" ht="12.45">
      <c r="D627" s="1054"/>
      <c r="E627" s="1054"/>
      <c r="F627" s="1054"/>
    </row>
    <row r="628" spans="1:7" ht="13.1">
      <c r="D628" s="953"/>
      <c r="E628" s="947" t="s">
        <v>2186</v>
      </c>
      <c r="F628" s="953"/>
    </row>
    <row r="629" spans="1:7" ht="13.1">
      <c r="A629" s="63"/>
      <c r="B629" s="63"/>
    </row>
    <row r="630" spans="1:7" ht="11.95" customHeight="1">
      <c r="A630" s="1034" t="s">
        <v>1461</v>
      </c>
      <c r="B630" s="1034"/>
      <c r="C630" s="1034"/>
      <c r="D630" s="1034"/>
      <c r="E630" s="1034"/>
      <c r="F630" s="1034"/>
      <c r="G630" s="1034"/>
    </row>
    <row r="631" spans="1:7" ht="12.45">
      <c r="A631" s="44"/>
      <c r="B631" s="44"/>
    </row>
    <row r="632" spans="1:7" ht="13.1">
      <c r="C632" s="190"/>
      <c r="D632" s="1001" t="s">
        <v>1460</v>
      </c>
      <c r="E632" s="1001"/>
      <c r="F632" s="1001"/>
    </row>
    <row r="633" spans="1:7" ht="13.1">
      <c r="A633" s="191"/>
      <c r="B633" s="191"/>
      <c r="C633" s="191"/>
      <c r="D633" s="1000" t="s">
        <v>1625</v>
      </c>
      <c r="E633" s="1000"/>
      <c r="F633" s="1000"/>
    </row>
    <row r="634" spans="1:7" ht="13.1">
      <c r="A634" s="191"/>
      <c r="B634" s="191"/>
      <c r="C634" s="191"/>
    </row>
    <row r="635" spans="1:7">
      <c r="A635" s="271"/>
      <c r="B635" s="271"/>
      <c r="D635" s="1030" t="s">
        <v>911</v>
      </c>
      <c r="E635" s="1030"/>
      <c r="F635" s="1030"/>
    </row>
    <row r="636" spans="1:7">
      <c r="A636" s="271"/>
      <c r="B636" s="624" t="s">
        <v>1440</v>
      </c>
      <c r="D636" s="1010" t="s">
        <v>1626</v>
      </c>
      <c r="E636" s="1010"/>
      <c r="F636" s="1010"/>
    </row>
    <row r="637" spans="1:7">
      <c r="A637" s="271"/>
      <c r="B637" s="271"/>
      <c r="D637" s="44"/>
    </row>
    <row r="638" spans="1:7">
      <c r="A638" s="271"/>
      <c r="B638" s="624" t="s">
        <v>132</v>
      </c>
      <c r="D638" s="980" t="s">
        <v>1627</v>
      </c>
      <c r="E638" s="980"/>
      <c r="F638" s="980"/>
    </row>
    <row r="639" spans="1:7">
      <c r="A639" s="271"/>
      <c r="B639" s="271"/>
      <c r="D639" s="980"/>
      <c r="E639" s="980"/>
      <c r="F639" s="980"/>
    </row>
    <row r="640" spans="1:7">
      <c r="A640" s="271"/>
      <c r="B640" s="271"/>
      <c r="D640" s="44"/>
    </row>
    <row r="641" spans="1:7">
      <c r="A641" s="271"/>
      <c r="B641" s="624" t="s">
        <v>1440</v>
      </c>
      <c r="D641" s="973" t="s">
        <v>2017</v>
      </c>
      <c r="E641" s="973"/>
      <c r="F641" s="973"/>
    </row>
    <row r="642" spans="1:7" ht="13.75" customHeight="1">
      <c r="D642" s="973"/>
      <c r="E642" s="973"/>
      <c r="F642" s="973"/>
    </row>
    <row r="643" spans="1:7" ht="12.45"/>
    <row r="644" spans="1:7">
      <c r="A644" s="271"/>
      <c r="B644" s="624" t="s">
        <v>132</v>
      </c>
      <c r="D644" s="1010" t="s">
        <v>1628</v>
      </c>
      <c r="E644" s="1010"/>
      <c r="F644" s="1010"/>
    </row>
    <row r="645" spans="1:7" ht="13.1">
      <c r="A645" s="190"/>
      <c r="B645" s="190"/>
      <c r="C645" s="190"/>
    </row>
    <row r="646" spans="1:7" ht="13.1">
      <c r="A646" s="1034" t="s">
        <v>1462</v>
      </c>
      <c r="B646" s="1034"/>
      <c r="C646" s="1034"/>
      <c r="D646" s="1034"/>
      <c r="E646" s="1034"/>
      <c r="F646" s="1034"/>
      <c r="G646" s="1034"/>
    </row>
    <row r="647" spans="1:7" ht="13.1">
      <c r="A647" s="190"/>
      <c r="B647" s="190"/>
      <c r="C647" s="190"/>
    </row>
    <row r="648" spans="1:7" ht="13.1">
      <c r="C648" s="18"/>
      <c r="D648" s="1018" t="s">
        <v>1486</v>
      </c>
      <c r="E648" s="1018"/>
      <c r="F648" s="1018"/>
    </row>
    <row r="649" spans="1:7" ht="13.1">
      <c r="A649" s="18"/>
      <c r="B649" s="18"/>
      <c r="D649" s="3"/>
    </row>
    <row r="650" spans="1:7" ht="14.25" customHeight="1">
      <c r="A650" s="271"/>
      <c r="B650" s="624" t="s">
        <v>1440</v>
      </c>
      <c r="D650" s="1053" t="s">
        <v>2277</v>
      </c>
      <c r="E650" s="1053"/>
      <c r="F650" s="1053"/>
    </row>
    <row r="651" spans="1:7">
      <c r="A651" s="271"/>
      <c r="B651" s="271"/>
      <c r="D651" s="1053"/>
      <c r="E651" s="1053"/>
      <c r="F651" s="1053"/>
    </row>
    <row r="652" spans="1:7" ht="13.1">
      <c r="D652" s="953"/>
      <c r="E652" s="947" t="s">
        <v>2189</v>
      </c>
      <c r="F652" s="953"/>
    </row>
    <row r="653" spans="1:7" ht="12.45">
      <c r="D653" s="977" t="s">
        <v>2188</v>
      </c>
      <c r="E653" s="977"/>
      <c r="F653" s="977"/>
    </row>
    <row r="654" spans="1:7" ht="12.8" customHeight="1">
      <c r="D654" s="977"/>
      <c r="E654" s="977"/>
      <c r="F654" s="977"/>
    </row>
    <row r="655" spans="1:7" ht="12.45">
      <c r="B655"/>
      <c r="D655" s="977"/>
      <c r="E655" s="977"/>
      <c r="F655" s="977"/>
    </row>
    <row r="656" spans="1:7" ht="12.45"/>
    <row r="657" spans="1:9">
      <c r="A657" s="303"/>
      <c r="B657" s="624" t="s">
        <v>132</v>
      </c>
      <c r="D657" s="1019" t="s">
        <v>1629</v>
      </c>
      <c r="E657" s="1019"/>
      <c r="F657" s="1019"/>
      <c r="G657" s="44"/>
    </row>
    <row r="658" spans="1:9">
      <c r="A658" s="303"/>
      <c r="B658" s="303"/>
      <c r="D658" s="1019"/>
      <c r="E658" s="1019"/>
      <c r="F658" s="1019"/>
      <c r="G658" s="44"/>
    </row>
    <row r="659" spans="1:9">
      <c r="A659" s="303"/>
      <c r="B659" s="303"/>
      <c r="D659" s="44"/>
      <c r="E659" s="44"/>
      <c r="F659" s="44"/>
      <c r="G659" s="44"/>
    </row>
    <row r="660" spans="1:9" ht="13.75" customHeight="1">
      <c r="A660" s="303"/>
      <c r="B660" s="624" t="s">
        <v>132</v>
      </c>
      <c r="D660" s="1021" t="s">
        <v>1894</v>
      </c>
      <c r="E660" s="1021"/>
      <c r="F660" s="1021"/>
      <c r="G660" s="44"/>
    </row>
    <row r="661" spans="1:9">
      <c r="A661" s="303"/>
      <c r="B661" s="303"/>
      <c r="D661" s="1021"/>
      <c r="E661" s="1021"/>
      <c r="F661" s="1021"/>
      <c r="G661" s="44"/>
    </row>
    <row r="662" spans="1:9">
      <c r="A662" s="271"/>
      <c r="B662" s="271"/>
      <c r="D662" s="641"/>
      <c r="E662" s="641"/>
      <c r="F662" s="641"/>
      <c r="G662" s="44"/>
    </row>
    <row r="663" spans="1:9">
      <c r="A663" s="271"/>
      <c r="B663" s="624" t="s">
        <v>132</v>
      </c>
      <c r="C663" s="207"/>
      <c r="D663" s="1020" t="s">
        <v>1630</v>
      </c>
      <c r="E663" s="1020"/>
      <c r="F663" s="1020"/>
      <c r="G663" s="44"/>
    </row>
    <row r="664" spans="1:9" ht="12.45">
      <c r="A664" s="44"/>
      <c r="B664" s="44"/>
      <c r="C664" s="207"/>
      <c r="D664" s="44"/>
      <c r="E664" s="44"/>
      <c r="F664" s="44"/>
      <c r="G664" s="44"/>
      <c r="H664" s="267"/>
      <c r="I664" s="267"/>
    </row>
    <row r="665" spans="1:9" ht="13.1">
      <c r="A665" s="1034" t="s">
        <v>1464</v>
      </c>
      <c r="B665" s="1034"/>
      <c r="C665" s="1034"/>
      <c r="D665" s="1034"/>
      <c r="E665" s="1034"/>
      <c r="F665" s="1034"/>
      <c r="G665" s="1034"/>
    </row>
    <row r="666" spans="1:9" ht="12.45">
      <c r="A666" s="44"/>
      <c r="B666" s="44"/>
      <c r="C666" s="207"/>
      <c r="D666" s="44"/>
      <c r="E666" s="44"/>
      <c r="F666" s="44"/>
      <c r="G666" s="44"/>
    </row>
    <row r="667" spans="1:9" ht="13.1">
      <c r="C667" s="190"/>
      <c r="D667" s="1001" t="s">
        <v>1463</v>
      </c>
      <c r="E667" s="1001"/>
      <c r="F667" s="1001"/>
      <c r="G667" s="44"/>
    </row>
    <row r="668" spans="1:9" ht="13.1">
      <c r="A668" s="191"/>
      <c r="B668" s="191"/>
      <c r="C668" s="191"/>
      <c r="D668" s="1000" t="s">
        <v>1487</v>
      </c>
      <c r="E668" s="1000"/>
      <c r="F668" s="1000"/>
      <c r="G668" s="44"/>
    </row>
    <row r="669" spans="1:9" ht="13.1">
      <c r="A669" s="191"/>
      <c r="B669" s="191"/>
      <c r="C669" s="191"/>
      <c r="D669" s="44"/>
      <c r="E669" s="44"/>
      <c r="F669" s="44"/>
      <c r="G669" s="44"/>
    </row>
    <row r="670" spans="1:9" ht="14.4" customHeight="1">
      <c r="A670" s="271"/>
      <c r="B670" s="624" t="s">
        <v>132</v>
      </c>
      <c r="C670" s="207"/>
      <c r="D670" s="973" t="s">
        <v>1969</v>
      </c>
      <c r="E670" s="973"/>
      <c r="F670" s="973"/>
      <c r="G670" s="44"/>
    </row>
    <row r="671" spans="1:9">
      <c r="A671" s="271"/>
      <c r="B671" s="271"/>
      <c r="C671" s="207"/>
      <c r="D671" s="973"/>
      <c r="E671" s="973"/>
      <c r="F671" s="973"/>
      <c r="G671" s="44"/>
    </row>
    <row r="672" spans="1:9">
      <c r="A672" s="271"/>
      <c r="B672" s="271"/>
      <c r="C672" s="207"/>
      <c r="D672" s="973"/>
      <c r="E672" s="973"/>
      <c r="F672" s="973"/>
      <c r="G672" s="44"/>
    </row>
    <row r="673" spans="1:7">
      <c r="A673" s="271"/>
      <c r="B673" s="271"/>
      <c r="C673" s="207"/>
      <c r="D673" s="973"/>
      <c r="E673" s="973"/>
      <c r="F673" s="973"/>
      <c r="G673" s="44"/>
    </row>
    <row r="674" spans="1:7">
      <c r="A674" s="271"/>
      <c r="B674" s="271"/>
      <c r="C674" s="207"/>
      <c r="D674" s="973"/>
      <c r="E674" s="973"/>
      <c r="F674" s="973"/>
      <c r="G674" s="44"/>
    </row>
    <row r="675" spans="1:7">
      <c r="A675" s="271"/>
      <c r="B675" s="271"/>
      <c r="C675" s="207"/>
      <c r="D675" s="973"/>
      <c r="E675" s="973"/>
      <c r="F675" s="973"/>
      <c r="G675" s="44"/>
    </row>
    <row r="676" spans="1:7" hidden="1">
      <c r="A676" s="271"/>
      <c r="B676" s="271"/>
      <c r="C676" s="207"/>
      <c r="D676" s="375"/>
      <c r="F676" s="44"/>
      <c r="G676" s="44"/>
    </row>
    <row r="677" spans="1:7" hidden="1">
      <c r="A677" s="271"/>
      <c r="B677" s="624" t="s">
        <v>84</v>
      </c>
      <c r="C677" s="207"/>
      <c r="D677" s="1004" t="s">
        <v>1507</v>
      </c>
      <c r="E677" s="1004"/>
      <c r="F677" s="1004"/>
      <c r="G677" s="44"/>
    </row>
    <row r="678" spans="1:7" hidden="1">
      <c r="A678" s="271"/>
      <c r="B678" s="271"/>
      <c r="C678" s="207"/>
      <c r="D678" s="998" t="s">
        <v>2278</v>
      </c>
      <c r="E678" s="998"/>
      <c r="F678" s="998"/>
      <c r="G678" s="44"/>
    </row>
    <row r="679" spans="1:7" hidden="1">
      <c r="A679" s="271"/>
      <c r="B679" s="271"/>
      <c r="C679" s="207"/>
      <c r="D679" s="998"/>
      <c r="E679" s="998"/>
      <c r="F679" s="998"/>
      <c r="G679" s="44"/>
    </row>
    <row r="680" spans="1:7" hidden="1">
      <c r="A680" s="271"/>
      <c r="B680" s="271"/>
      <c r="C680" s="207"/>
      <c r="D680" s="998"/>
      <c r="E680" s="998"/>
      <c r="F680" s="998"/>
      <c r="G680" s="44"/>
    </row>
    <row r="681" spans="1:7" hidden="1">
      <c r="A681" s="271"/>
      <c r="B681" s="271"/>
      <c r="C681" s="207"/>
      <c r="D681" s="998"/>
      <c r="E681" s="998"/>
      <c r="F681" s="998"/>
      <c r="G681" s="44"/>
    </row>
    <row r="682" spans="1:7" hidden="1">
      <c r="A682" s="271"/>
      <c r="B682" s="271"/>
      <c r="C682" s="207"/>
      <c r="D682" s="998"/>
      <c r="E682" s="998"/>
      <c r="F682" s="998"/>
      <c r="G682" s="44"/>
    </row>
    <row r="683" spans="1:7" hidden="1">
      <c r="A683" s="271"/>
      <c r="B683" s="271"/>
      <c r="C683" s="207"/>
      <c r="D683" s="1022" t="s">
        <v>1968</v>
      </c>
      <c r="E683" s="1022"/>
      <c r="F683" s="1022"/>
      <c r="G683" s="44"/>
    </row>
    <row r="684" spans="1:7" ht="12.45">
      <c r="A684" s="44"/>
      <c r="B684" s="44"/>
      <c r="C684" s="207"/>
      <c r="D684" s="44"/>
      <c r="E684" s="44"/>
      <c r="F684" s="44"/>
      <c r="G684" s="44"/>
    </row>
    <row r="685" spans="1:7" ht="13.1">
      <c r="A685" s="1034" t="s">
        <v>1465</v>
      </c>
      <c r="B685" s="1034"/>
      <c r="C685" s="1034"/>
      <c r="D685" s="1034"/>
      <c r="E685" s="1034"/>
      <c r="F685" s="1034"/>
      <c r="G685" s="1034"/>
    </row>
    <row r="686" spans="1:7" ht="12.45">
      <c r="A686" s="44"/>
      <c r="B686" s="44"/>
      <c r="C686" s="207"/>
      <c r="D686" s="44"/>
      <c r="E686" s="44"/>
      <c r="F686" s="44"/>
      <c r="G686" s="44"/>
    </row>
    <row r="687" spans="1:7" ht="13.1">
      <c r="C687" s="190"/>
      <c r="D687" s="1001" t="s">
        <v>820</v>
      </c>
      <c r="E687" s="1001"/>
      <c r="F687" s="1001"/>
      <c r="G687" s="44"/>
    </row>
    <row r="688" spans="1:7" ht="13.1">
      <c r="A688" s="190"/>
      <c r="B688" s="190"/>
      <c r="C688" s="190"/>
      <c r="D688" s="1001" t="s">
        <v>912</v>
      </c>
      <c r="E688" s="1001"/>
      <c r="F688" s="1001"/>
      <c r="G688" s="44"/>
    </row>
    <row r="689" spans="1:6" ht="13.1">
      <c r="A689" s="191"/>
      <c r="B689" s="191"/>
      <c r="C689" s="191"/>
      <c r="D689" s="1000" t="s">
        <v>1594</v>
      </c>
      <c r="E689" s="1000"/>
      <c r="F689" s="1000"/>
    </row>
    <row r="690" spans="1:6" ht="14.25" customHeight="1">
      <c r="A690" s="191"/>
      <c r="B690" s="191"/>
      <c r="C690" s="191"/>
    </row>
    <row r="691" spans="1:6">
      <c r="A691" s="271"/>
      <c r="B691" s="624" t="s">
        <v>1440</v>
      </c>
      <c r="C691" s="191"/>
      <c r="D691" s="1000" t="s">
        <v>1163</v>
      </c>
      <c r="E691" s="1000"/>
      <c r="F691" s="1000"/>
    </row>
    <row r="692" spans="1:6" ht="13.1">
      <c r="A692" s="191"/>
      <c r="B692" s="191"/>
      <c r="C692" s="191"/>
      <c r="D692" s="1000" t="s">
        <v>1181</v>
      </c>
      <c r="E692" s="1000"/>
      <c r="F692" s="1000"/>
    </row>
    <row r="693" spans="1:6" ht="12.8" customHeight="1">
      <c r="A693" s="191"/>
      <c r="B693" s="191"/>
      <c r="C693" s="191"/>
      <c r="E693" s="947" t="s">
        <v>2191</v>
      </c>
      <c r="F693" s="15"/>
    </row>
    <row r="694" spans="1:6" ht="13.1">
      <c r="A694" s="191"/>
      <c r="B694" s="191"/>
      <c r="C694" s="191"/>
      <c r="E694" s="946" t="s">
        <v>2190</v>
      </c>
      <c r="F694" s="15"/>
    </row>
    <row r="695" spans="1:6" ht="13.1">
      <c r="A695" s="191"/>
      <c r="B695" s="191"/>
      <c r="C695" s="191"/>
      <c r="D695" s="212"/>
      <c r="E695" s="212"/>
      <c r="F695" s="212"/>
    </row>
    <row r="696" spans="1:6">
      <c r="A696" s="271"/>
      <c r="B696" s="624" t="s">
        <v>132</v>
      </c>
      <c r="C696" s="191"/>
      <c r="D696" s="980" t="s">
        <v>2279</v>
      </c>
      <c r="E696" s="980"/>
      <c r="F696" s="980"/>
    </row>
    <row r="697" spans="1:6" ht="13.1">
      <c r="A697" s="18"/>
      <c r="B697" s="18"/>
      <c r="C697" s="191"/>
      <c r="D697" s="980"/>
      <c r="E697" s="980"/>
      <c r="F697" s="980"/>
    </row>
    <row r="698" spans="1:6" ht="13.1">
      <c r="A698" s="191"/>
      <c r="B698" s="191"/>
      <c r="C698" s="191"/>
      <c r="D698" s="980"/>
      <c r="E698" s="980"/>
      <c r="F698" s="980"/>
    </row>
    <row r="699" spans="1:6" ht="13.1">
      <c r="A699" s="191"/>
      <c r="B699" s="191"/>
      <c r="C699" s="191"/>
    </row>
    <row r="700" spans="1:6">
      <c r="A700" s="271"/>
      <c r="B700" s="624" t="s">
        <v>132</v>
      </c>
      <c r="C700" s="191"/>
      <c r="D700" s="1000" t="s">
        <v>1222</v>
      </c>
      <c r="E700" s="1000"/>
      <c r="F700" s="1000"/>
    </row>
    <row r="701" spans="1:6">
      <c r="A701" s="271"/>
      <c r="B701" s="271"/>
      <c r="C701" s="191"/>
      <c r="D701" s="1000" t="s">
        <v>1181</v>
      </c>
      <c r="E701" s="1000"/>
      <c r="F701" s="1000"/>
    </row>
    <row r="702" spans="1:6" ht="13.1">
      <c r="A702" s="191"/>
      <c r="B702" s="191"/>
      <c r="C702" s="191"/>
      <c r="E702" s="1025" t="s">
        <v>2192</v>
      </c>
      <c r="F702" s="1025"/>
    </row>
    <row r="703" spans="1:6" ht="13.1">
      <c r="A703" s="191"/>
      <c r="B703" s="191"/>
      <c r="C703" s="191"/>
      <c r="D703" s="3"/>
    </row>
    <row r="704" spans="1:6">
      <c r="A704" s="271"/>
      <c r="B704" s="624" t="s">
        <v>132</v>
      </c>
      <c r="C704" s="191"/>
      <c r="D704" s="980" t="s">
        <v>1596</v>
      </c>
      <c r="E704" s="980"/>
      <c r="F704" s="980"/>
    </row>
    <row r="705" spans="1:6" ht="13.1">
      <c r="A705" s="191"/>
      <c r="B705" s="191"/>
      <c r="C705" s="191"/>
      <c r="D705" s="980"/>
      <c r="E705" s="980"/>
      <c r="F705" s="980"/>
    </row>
    <row r="706" spans="1:6" ht="13.1">
      <c r="A706" s="191"/>
      <c r="B706" s="191"/>
      <c r="C706" s="191"/>
      <c r="D706" s="980"/>
      <c r="E706" s="980"/>
      <c r="F706" s="980"/>
    </row>
    <row r="707" spans="1:6" ht="13.1">
      <c r="A707" s="191"/>
      <c r="B707" s="191"/>
      <c r="C707" s="191"/>
      <c r="D707" s="980"/>
      <c r="E707" s="980"/>
      <c r="F707" s="980"/>
    </row>
    <row r="708" spans="1:6" ht="13.1">
      <c r="A708" s="191"/>
      <c r="B708" s="191"/>
      <c r="C708" s="191"/>
      <c r="D708" s="980"/>
      <c r="E708" s="980"/>
      <c r="F708" s="980"/>
    </row>
    <row r="709" spans="1:6" ht="13.1">
      <c r="A709" s="191"/>
      <c r="B709" s="191"/>
      <c r="C709" s="191"/>
      <c r="D709" s="980"/>
      <c r="E709" s="980"/>
      <c r="F709" s="980"/>
    </row>
    <row r="710" spans="1:6" ht="13.1">
      <c r="A710" s="191"/>
      <c r="B710" s="191"/>
      <c r="C710" s="191"/>
      <c r="D710" s="980"/>
      <c r="E710" s="980"/>
      <c r="F710" s="980"/>
    </row>
    <row r="711" spans="1:6" ht="13.1">
      <c r="A711" s="191"/>
      <c r="B711" s="624" t="s">
        <v>132</v>
      </c>
      <c r="C711" s="191"/>
      <c r="D711" s="973" t="s">
        <v>1809</v>
      </c>
      <c r="E711" s="980"/>
      <c r="F711" s="980"/>
    </row>
    <row r="712" spans="1:6" ht="13.1">
      <c r="A712" s="191"/>
      <c r="B712" s="191"/>
      <c r="C712" s="191"/>
      <c r="D712" s="980"/>
      <c r="E712" s="980"/>
      <c r="F712" s="980"/>
    </row>
    <row r="713" spans="1:6" ht="13.1">
      <c r="A713" s="191"/>
      <c r="B713" s="191"/>
      <c r="C713" s="191"/>
    </row>
    <row r="714" spans="1:6" ht="14.4" customHeight="1">
      <c r="A714" s="271"/>
      <c r="B714" s="624" t="s">
        <v>132</v>
      </c>
      <c r="C714" s="191"/>
      <c r="D714" s="980" t="s">
        <v>1597</v>
      </c>
      <c r="E714" s="980"/>
      <c r="F714" s="980"/>
    </row>
    <row r="715" spans="1:6" ht="13.1">
      <c r="A715" s="191"/>
      <c r="B715" s="191"/>
      <c r="C715" s="191"/>
      <c r="D715" s="980"/>
      <c r="E715" s="980"/>
      <c r="F715" s="980"/>
    </row>
    <row r="716" spans="1:6" ht="13.1">
      <c r="A716" s="191"/>
      <c r="B716" s="191"/>
      <c r="C716" s="191"/>
      <c r="D716" s="980"/>
      <c r="E716" s="980"/>
      <c r="F716" s="980"/>
    </row>
    <row r="717" spans="1:6" ht="13.1">
      <c r="A717" s="191"/>
      <c r="B717" s="191"/>
      <c r="C717" s="191"/>
      <c r="D717" s="980"/>
      <c r="E717" s="980"/>
      <c r="F717" s="980"/>
    </row>
    <row r="718" spans="1:6" ht="13.1">
      <c r="A718" s="191"/>
      <c r="B718" s="191"/>
      <c r="C718" s="191"/>
      <c r="D718" s="980"/>
      <c r="E718" s="980"/>
      <c r="F718" s="980"/>
    </row>
    <row r="719" spans="1:6" ht="13.1">
      <c r="A719" s="191"/>
      <c r="B719" s="191"/>
      <c r="C719" s="191"/>
      <c r="D719" s="980"/>
      <c r="E719" s="980"/>
      <c r="F719" s="980"/>
    </row>
    <row r="720" spans="1:6" ht="13.1">
      <c r="A720" s="191"/>
      <c r="B720" s="191"/>
      <c r="C720" s="191"/>
      <c r="D720" s="980"/>
      <c r="E720" s="980"/>
      <c r="F720" s="980"/>
    </row>
    <row r="721" spans="1:9" ht="13.1">
      <c r="A721" s="191"/>
      <c r="B721" s="191"/>
      <c r="C721" s="191"/>
      <c r="D721" s="980"/>
      <c r="E721" s="980"/>
      <c r="F721" s="980"/>
    </row>
    <row r="722" spans="1:9" ht="13.1">
      <c r="A722" s="191"/>
      <c r="B722" s="191"/>
      <c r="C722" s="191"/>
      <c r="D722" s="980"/>
      <c r="E722" s="980"/>
      <c r="F722" s="980"/>
    </row>
    <row r="723" spans="1:9" ht="13.1">
      <c r="A723" s="191"/>
      <c r="B723" s="191"/>
      <c r="C723" s="191"/>
      <c r="D723" s="980"/>
      <c r="E723" s="980"/>
      <c r="F723" s="980"/>
    </row>
    <row r="724" spans="1:9" ht="13.1">
      <c r="A724" s="191"/>
      <c r="B724" s="191"/>
      <c r="C724" s="191"/>
      <c r="D724" s="980"/>
      <c r="E724" s="980"/>
      <c r="F724" s="980"/>
    </row>
    <row r="725" spans="1:9" ht="13.1">
      <c r="A725" s="191"/>
      <c r="B725" s="191"/>
      <c r="C725" s="191"/>
      <c r="D725" s="980"/>
      <c r="E725" s="980"/>
      <c r="F725" s="980"/>
    </row>
    <row r="726" spans="1:9" ht="13.1">
      <c r="A726" s="191"/>
      <c r="B726" s="191"/>
      <c r="C726" s="191"/>
      <c r="D726" s="980"/>
      <c r="E726" s="980"/>
      <c r="F726" s="980"/>
    </row>
    <row r="727" spans="1:9" ht="13.1">
      <c r="A727" s="191"/>
      <c r="B727" s="624" t="s">
        <v>132</v>
      </c>
      <c r="C727" s="191"/>
      <c r="D727" s="980" t="s">
        <v>1601</v>
      </c>
      <c r="E727" s="980"/>
      <c r="F727" s="980"/>
      <c r="H727" s="267"/>
      <c r="I727" s="267"/>
    </row>
    <row r="728" spans="1:9" ht="13.1">
      <c r="A728" s="191"/>
      <c r="B728" s="191"/>
      <c r="C728" s="191"/>
      <c r="D728" s="980"/>
      <c r="E728" s="980"/>
      <c r="F728" s="980"/>
      <c r="H728" s="267"/>
      <c r="I728" s="267"/>
    </row>
    <row r="729" spans="1:9" ht="13.1">
      <c r="A729" s="191"/>
      <c r="B729" s="191"/>
      <c r="C729" s="191"/>
      <c r="D729" s="24"/>
      <c r="E729" s="24"/>
      <c r="F729" s="24"/>
      <c r="H729" s="267"/>
      <c r="I729" s="267"/>
    </row>
    <row r="730" spans="1:9" ht="13.1">
      <c r="A730" s="191"/>
      <c r="B730" s="624" t="s">
        <v>132</v>
      </c>
      <c r="C730" s="191"/>
      <c r="D730" s="980" t="s">
        <v>1602</v>
      </c>
      <c r="E730" s="980"/>
      <c r="F730" s="980"/>
      <c r="H730" s="267"/>
      <c r="I730" s="267"/>
    </row>
    <row r="731" spans="1:9" ht="13.1">
      <c r="A731" s="191"/>
      <c r="B731" s="191"/>
      <c r="C731" s="191"/>
      <c r="D731" s="980"/>
      <c r="E731" s="980"/>
      <c r="F731" s="980"/>
      <c r="H731" s="267"/>
      <c r="I731" s="267"/>
    </row>
    <row r="732" spans="1:9" ht="13.1">
      <c r="A732" s="191"/>
      <c r="B732" s="191"/>
      <c r="C732" s="191"/>
      <c r="D732" s="980"/>
      <c r="E732" s="980"/>
      <c r="F732" s="980"/>
      <c r="H732" s="267"/>
      <c r="I732" s="267"/>
    </row>
    <row r="733" spans="1:9" ht="13.1">
      <c r="A733" s="191"/>
      <c r="B733" s="191"/>
      <c r="C733" s="191"/>
      <c r="D733" s="24"/>
      <c r="E733" s="24"/>
      <c r="F733" s="24"/>
      <c r="H733" s="267"/>
      <c r="I733" s="267"/>
    </row>
    <row r="734" spans="1:9" ht="14.4" customHeight="1">
      <c r="A734" s="271"/>
      <c r="B734" s="624" t="s">
        <v>132</v>
      </c>
      <c r="C734" s="191"/>
      <c r="D734" s="973" t="s">
        <v>2018</v>
      </c>
      <c r="E734" s="980"/>
      <c r="F734" s="980"/>
    </row>
    <row r="735" spans="1:9" ht="13.1">
      <c r="A735" s="191"/>
      <c r="B735" s="191"/>
      <c r="C735" s="191"/>
      <c r="D735" s="980"/>
      <c r="E735" s="980"/>
      <c r="F735" s="980"/>
    </row>
    <row r="736" spans="1:9" ht="13.1">
      <c r="A736" s="191"/>
      <c r="B736" s="191"/>
      <c r="C736" s="191"/>
      <c r="D736" s="980"/>
      <c r="E736" s="980"/>
      <c r="F736" s="980"/>
    </row>
    <row r="737" spans="1:9" ht="13.1">
      <c r="A737" s="191"/>
      <c r="B737" s="191"/>
      <c r="C737" s="191"/>
    </row>
    <row r="738" spans="1:9" ht="14.4" customHeight="1">
      <c r="A738" s="271"/>
      <c r="B738" s="624" t="s">
        <v>132</v>
      </c>
      <c r="C738" s="191"/>
      <c r="D738" s="980" t="s">
        <v>1598</v>
      </c>
      <c r="E738" s="980"/>
      <c r="F738" s="980"/>
    </row>
    <row r="739" spans="1:9" ht="13.1">
      <c r="A739" s="191"/>
      <c r="B739" s="191"/>
      <c r="C739" s="191"/>
      <c r="D739" s="980"/>
      <c r="E739" s="980"/>
      <c r="F739" s="980"/>
    </row>
    <row r="740" spans="1:9" ht="13.1">
      <c r="A740" s="191"/>
      <c r="B740" s="191"/>
      <c r="C740" s="191"/>
      <c r="D740" s="980"/>
      <c r="E740" s="980"/>
      <c r="F740" s="980"/>
    </row>
    <row r="741" spans="1:9" ht="13.1">
      <c r="A741" s="191"/>
      <c r="B741" s="191"/>
      <c r="C741" s="191"/>
      <c r="D741" s="212"/>
      <c r="H741" s="267"/>
      <c r="I741" s="267"/>
    </row>
    <row r="742" spans="1:9">
      <c r="A742" s="271"/>
      <c r="B742" s="624" t="s">
        <v>132</v>
      </c>
      <c r="C742" s="191"/>
      <c r="D742" s="980" t="s">
        <v>1600</v>
      </c>
      <c r="E742" s="980"/>
      <c r="F742" s="980"/>
    </row>
    <row r="743" spans="1:9" ht="13.1">
      <c r="A743" s="191"/>
      <c r="B743" s="191"/>
      <c r="C743" s="191"/>
      <c r="D743" s="980"/>
      <c r="E743" s="980"/>
      <c r="F743" s="980"/>
    </row>
    <row r="744" spans="1:9" ht="13.1">
      <c r="A744" s="191"/>
      <c r="B744" s="191"/>
      <c r="C744" s="191"/>
      <c r="D744" s="980"/>
      <c r="E744" s="980"/>
      <c r="F744" s="980"/>
    </row>
    <row r="745" spans="1:9" ht="13.1">
      <c r="A745" s="191"/>
      <c r="B745" s="191"/>
      <c r="C745" s="191"/>
      <c r="D745" s="980"/>
      <c r="E745" s="980"/>
      <c r="F745" s="980"/>
    </row>
    <row r="746" spans="1:9" ht="13.1">
      <c r="A746" s="191"/>
      <c r="B746" s="191"/>
      <c r="C746" s="191"/>
      <c r="D746" s="24"/>
      <c r="E746" s="24"/>
      <c r="F746" s="24"/>
    </row>
    <row r="747" spans="1:9">
      <c r="A747" s="271"/>
      <c r="B747" s="624" t="s">
        <v>132</v>
      </c>
      <c r="C747" s="191"/>
      <c r="D747" s="980" t="s">
        <v>2280</v>
      </c>
      <c r="E747" s="980"/>
      <c r="F747" s="980"/>
      <c r="H747" s="267"/>
      <c r="I747" s="267"/>
    </row>
    <row r="748" spans="1:9" ht="13.1">
      <c r="A748" s="191"/>
      <c r="B748" s="191"/>
      <c r="C748" s="191"/>
      <c r="D748" s="980"/>
      <c r="E748" s="980"/>
      <c r="F748" s="980"/>
      <c r="H748" s="267"/>
      <c r="I748" s="267"/>
    </row>
    <row r="749" spans="1:9" ht="13.1">
      <c r="A749" s="191"/>
      <c r="B749" s="191"/>
      <c r="C749" s="191"/>
      <c r="D749" s="980"/>
      <c r="E749" s="980"/>
      <c r="F749" s="980"/>
      <c r="H749" s="267"/>
      <c r="I749" s="267"/>
    </row>
    <row r="750" spans="1:9" ht="13.1">
      <c r="A750" s="191"/>
      <c r="B750" s="191"/>
      <c r="C750" s="191"/>
      <c r="D750" s="980"/>
      <c r="E750" s="980"/>
      <c r="F750" s="980"/>
      <c r="H750" s="267"/>
      <c r="I750" s="267"/>
    </row>
    <row r="751" spans="1:9" ht="13.1">
      <c r="A751" s="191"/>
      <c r="B751" s="191"/>
      <c r="C751" s="191"/>
      <c r="D751" s="980"/>
      <c r="E751" s="980"/>
      <c r="F751" s="980"/>
      <c r="H751" s="267"/>
      <c r="I751" s="267"/>
    </row>
    <row r="752" spans="1:9" ht="13.1">
      <c r="A752" s="191"/>
      <c r="B752" s="191"/>
      <c r="C752" s="191"/>
      <c r="D752" s="980"/>
      <c r="E752" s="980"/>
      <c r="F752" s="980"/>
      <c r="H752" s="267"/>
      <c r="I752" s="267"/>
    </row>
    <row r="753" spans="1:9" ht="13.1">
      <c r="A753" s="191"/>
      <c r="B753" s="191"/>
      <c r="C753" s="191"/>
      <c r="D753" s="980"/>
      <c r="E753" s="980"/>
      <c r="F753" s="980"/>
      <c r="H753" s="267"/>
      <c r="I753" s="267"/>
    </row>
    <row r="754" spans="1:9" ht="13.1">
      <c r="A754" s="191"/>
      <c r="B754" s="191"/>
      <c r="C754" s="191"/>
      <c r="D754" s="1024" t="s">
        <v>1599</v>
      </c>
      <c r="E754" s="1024"/>
      <c r="F754" s="1024"/>
      <c r="H754" s="267"/>
      <c r="I754" s="267"/>
    </row>
    <row r="755" spans="1:9" ht="13.1">
      <c r="A755" s="191"/>
      <c r="B755" s="191"/>
      <c r="C755" s="191"/>
      <c r="D755" s="575"/>
      <c r="H755" s="267"/>
      <c r="I755" s="267"/>
    </row>
    <row r="756" spans="1:9" ht="13.1">
      <c r="A756" s="1012" t="s">
        <v>1494</v>
      </c>
      <c r="B756" s="1012"/>
      <c r="C756" s="1012"/>
      <c r="D756" s="1012"/>
      <c r="E756" s="1012"/>
      <c r="F756" s="1012"/>
      <c r="G756" s="1012"/>
      <c r="H756" s="267"/>
      <c r="I756" s="267"/>
    </row>
    <row r="757" spans="1:9" ht="13.1">
      <c r="A757" s="191"/>
      <c r="B757" s="191"/>
      <c r="C757" s="191"/>
      <c r="D757" s="212"/>
      <c r="H757" s="267"/>
      <c r="I757" s="267"/>
    </row>
    <row r="758" spans="1:9" ht="13.1">
      <c r="C758" s="191"/>
      <c r="D758" s="1007" t="s">
        <v>1515</v>
      </c>
      <c r="E758" s="1007"/>
      <c r="F758" s="1007"/>
      <c r="H758" s="267"/>
      <c r="I758" s="267"/>
    </row>
    <row r="759" spans="1:9" ht="13.1">
      <c r="A759" s="190"/>
      <c r="B759" s="190"/>
      <c r="C759" s="190"/>
      <c r="D759" s="1010" t="s">
        <v>1518</v>
      </c>
      <c r="E759" s="1010"/>
      <c r="F759" s="1010"/>
      <c r="H759" s="267"/>
      <c r="I759" s="267"/>
    </row>
    <row r="760" spans="1:9" ht="13.1">
      <c r="A760" s="191"/>
      <c r="B760" s="191"/>
      <c r="C760" s="191"/>
      <c r="H760" s="267"/>
      <c r="I760" s="267"/>
    </row>
    <row r="761" spans="1:9" ht="14.25" customHeight="1">
      <c r="A761" s="271"/>
      <c r="B761" s="624" t="s">
        <v>1440</v>
      </c>
      <c r="D761" s="980" t="s">
        <v>1516</v>
      </c>
      <c r="E761" s="980"/>
      <c r="F761" s="980"/>
      <c r="H761" s="267"/>
      <c r="I761" s="267"/>
    </row>
    <row r="762" spans="1:9" ht="11.3" customHeight="1">
      <c r="D762" s="980"/>
      <c r="E762" s="980"/>
      <c r="F762" s="980"/>
      <c r="H762" s="267"/>
      <c r="I762" s="267"/>
    </row>
    <row r="763" spans="1:9" ht="12.45">
      <c r="D763" s="980"/>
      <c r="E763" s="980"/>
      <c r="F763" s="980"/>
      <c r="H763" s="267"/>
      <c r="I763" s="267"/>
    </row>
    <row r="764" spans="1:9" ht="12.45">
      <c r="D764" s="980"/>
      <c r="E764" s="980"/>
      <c r="F764" s="980"/>
      <c r="H764" s="267"/>
      <c r="I764" s="267"/>
    </row>
    <row r="765" spans="1:9" ht="12.45">
      <c r="D765" s="980"/>
      <c r="E765" s="980"/>
      <c r="F765" s="980"/>
      <c r="H765" s="267"/>
      <c r="I765" s="267"/>
    </row>
    <row r="766" spans="1:9" ht="17.2" customHeight="1">
      <c r="D766" s="980"/>
      <c r="E766" s="980"/>
      <c r="F766" s="980"/>
      <c r="H766" s="267"/>
      <c r="I766" s="267"/>
    </row>
    <row r="767" spans="1:9" ht="12.45">
      <c r="D767" s="44"/>
      <c r="E767" s="44"/>
      <c r="F767" s="44"/>
      <c r="H767" s="267"/>
      <c r="I767" s="267"/>
    </row>
    <row r="768" spans="1:9" ht="12.8" customHeight="1">
      <c r="B768" s="624" t="s">
        <v>132</v>
      </c>
      <c r="D768" s="1021" t="s">
        <v>1955</v>
      </c>
      <c r="E768" s="1021"/>
      <c r="F768" s="1021"/>
      <c r="H768" s="267"/>
      <c r="I768" s="267"/>
    </row>
    <row r="769" spans="1:9" ht="12.45">
      <c r="D769" s="1021"/>
      <c r="E769" s="1021"/>
      <c r="F769" s="1021"/>
      <c r="H769" s="267"/>
      <c r="I769" s="267"/>
    </row>
    <row r="770" spans="1:9" ht="12.45">
      <c r="D770" s="1021"/>
      <c r="E770" s="1021"/>
      <c r="F770" s="1021"/>
      <c r="H770" s="267"/>
      <c r="I770" s="267"/>
    </row>
    <row r="771" spans="1:9" ht="12.45">
      <c r="D771" s="1021"/>
      <c r="E771" s="1021"/>
      <c r="F771" s="1021"/>
      <c r="H771" s="267"/>
      <c r="I771" s="267"/>
    </row>
    <row r="772" spans="1:9" ht="12.45">
      <c r="D772" s="44"/>
      <c r="H772" s="267"/>
      <c r="I772" s="267"/>
    </row>
    <row r="773" spans="1:9" ht="12.45">
      <c r="B773" s="624" t="s">
        <v>132</v>
      </c>
      <c r="C773" s="445"/>
      <c r="D773" s="1023" t="s">
        <v>1956</v>
      </c>
      <c r="E773" s="998"/>
      <c r="F773" s="998"/>
      <c r="G773" s="376"/>
      <c r="H773" s="267"/>
      <c r="I773" s="267"/>
    </row>
    <row r="774" spans="1:9" ht="12.45">
      <c r="A774" s="445"/>
      <c r="B774" s="445"/>
      <c r="C774" s="445"/>
      <c r="D774" s="998"/>
      <c r="E774" s="998"/>
      <c r="F774" s="998"/>
      <c r="G774" s="376"/>
      <c r="H774" s="267"/>
      <c r="I774" s="267"/>
    </row>
    <row r="775" spans="1:9" ht="12.45">
      <c r="A775" s="445"/>
      <c r="B775" s="445"/>
      <c r="C775" s="445"/>
      <c r="D775" s="998"/>
      <c r="E775" s="998"/>
      <c r="F775" s="998"/>
      <c r="G775" s="376"/>
      <c r="H775" s="267"/>
      <c r="I775" s="267"/>
    </row>
    <row r="776" spans="1:9" ht="12.45">
      <c r="D776" s="44"/>
      <c r="E776" s="44"/>
      <c r="F776" s="44"/>
      <c r="H776" s="267"/>
      <c r="I776" s="267"/>
    </row>
    <row r="777" spans="1:9" ht="12.45">
      <c r="B777" s="624" t="s">
        <v>132</v>
      </c>
      <c r="D777" s="980" t="s">
        <v>1517</v>
      </c>
      <c r="E777" s="980"/>
      <c r="F777" s="980"/>
      <c r="H777" s="267"/>
      <c r="I777" s="267"/>
    </row>
    <row r="778" spans="1:9" ht="12.45">
      <c r="D778" s="980"/>
      <c r="E778" s="980"/>
      <c r="F778" s="980"/>
      <c r="H778" s="267"/>
      <c r="I778" s="267"/>
    </row>
    <row r="779" spans="1:9" ht="12.45">
      <c r="D779" s="24"/>
      <c r="E779" s="24"/>
      <c r="F779" s="24"/>
      <c r="H779" s="267"/>
      <c r="I779" s="267"/>
    </row>
    <row r="780" spans="1:9" ht="13.75" customHeight="1">
      <c r="B780" s="624" t="s">
        <v>132</v>
      </c>
      <c r="D780" s="973" t="s">
        <v>1832</v>
      </c>
      <c r="E780" s="980"/>
      <c r="F780" s="980"/>
      <c r="H780" s="267"/>
      <c r="I780" s="267"/>
    </row>
    <row r="781" spans="1:9" ht="12.45">
      <c r="D781" s="980"/>
      <c r="E781" s="980"/>
      <c r="F781" s="980"/>
      <c r="H781" s="267"/>
      <c r="I781" s="267"/>
    </row>
    <row r="782" spans="1:9" ht="12.45">
      <c r="D782" s="980"/>
      <c r="E782" s="980"/>
      <c r="F782" s="980"/>
      <c r="H782" s="267"/>
      <c r="I782" s="267"/>
    </row>
    <row r="783" spans="1:9" ht="12.45">
      <c r="D783" s="24"/>
      <c r="E783" s="24"/>
      <c r="F783" s="24"/>
      <c r="H783" s="267"/>
      <c r="I783" s="267"/>
    </row>
    <row r="784" spans="1:9" ht="11.95" customHeight="1">
      <c r="A784" s="1012" t="s">
        <v>1664</v>
      </c>
      <c r="B784" s="1012"/>
      <c r="C784" s="1012"/>
      <c r="D784" s="1012"/>
      <c r="E784" s="1012"/>
      <c r="F784" s="1012"/>
      <c r="G784" s="1012"/>
      <c r="H784" s="267"/>
      <c r="I784" s="267"/>
    </row>
    <row r="785" spans="1:9" ht="13.1">
      <c r="A785" s="63"/>
      <c r="B785" s="63"/>
      <c r="H785" s="267"/>
      <c r="I785" s="267"/>
    </row>
    <row r="786" spans="1:9" ht="13.75" customHeight="1">
      <c r="A786" s="63"/>
      <c r="B786" s="63"/>
      <c r="D786" s="1016" t="s">
        <v>1665</v>
      </c>
      <c r="E786" s="1016"/>
      <c r="F786" s="1016"/>
      <c r="H786" s="267"/>
      <c r="I786" s="267"/>
    </row>
    <row r="787" spans="1:9" ht="13.1">
      <c r="A787" s="63"/>
      <c r="B787" s="63"/>
      <c r="D787" s="1017" t="s">
        <v>1666</v>
      </c>
      <c r="E787" s="1017"/>
      <c r="F787" s="1017"/>
      <c r="H787" s="267"/>
      <c r="I787" s="267"/>
    </row>
    <row r="788" spans="1:9" ht="13.1">
      <c r="A788" s="63"/>
      <c r="B788" s="63"/>
      <c r="D788" s="431"/>
      <c r="E788" s="431"/>
      <c r="F788" s="431"/>
      <c r="H788" s="267"/>
      <c r="I788" s="267"/>
    </row>
    <row r="789" spans="1:9" ht="13.1">
      <c r="A789" s="63"/>
      <c r="B789" s="624" t="s">
        <v>1440</v>
      </c>
      <c r="D789" s="998" t="s">
        <v>1667</v>
      </c>
      <c r="E789" s="998"/>
      <c r="F789" s="998"/>
      <c r="H789" s="267"/>
      <c r="I789" s="267"/>
    </row>
    <row r="790" spans="1:9" ht="13.1">
      <c r="A790" s="63"/>
      <c r="B790" s="63"/>
      <c r="D790" s="998"/>
      <c r="E790" s="998"/>
      <c r="F790" s="998"/>
      <c r="H790" s="267"/>
      <c r="I790" s="267"/>
    </row>
    <row r="791" spans="1:9" ht="13.1">
      <c r="A791" s="191"/>
      <c r="B791" s="191"/>
      <c r="C791" s="191"/>
      <c r="D791" s="998"/>
      <c r="E791" s="998"/>
      <c r="F791" s="998"/>
      <c r="G791" s="44"/>
      <c r="H791" s="267"/>
      <c r="I791" s="267"/>
    </row>
    <row r="792" spans="1:9" ht="13.1">
      <c r="D792" s="192"/>
      <c r="H792" s="267"/>
      <c r="I792" s="267"/>
    </row>
    <row r="793" spans="1:9" ht="13.1">
      <c r="A793" s="190"/>
      <c r="B793" s="624" t="s">
        <v>132</v>
      </c>
      <c r="C793" s="190"/>
      <c r="D793" s="1023" t="s">
        <v>2348</v>
      </c>
      <c r="E793" s="998"/>
      <c r="F793" s="998"/>
      <c r="H793" s="267"/>
      <c r="I793" s="267"/>
    </row>
    <row r="794" spans="1:9" ht="13.1">
      <c r="A794" s="190"/>
      <c r="B794" s="190"/>
      <c r="C794" s="190"/>
      <c r="D794" s="998"/>
      <c r="E794" s="998"/>
      <c r="F794" s="998"/>
      <c r="H794" s="267"/>
      <c r="I794" s="267"/>
    </row>
    <row r="795" spans="1:9" ht="28" customHeight="1">
      <c r="A795" s="190"/>
      <c r="B795" s="190"/>
      <c r="C795" s="190"/>
      <c r="D795" s="998"/>
      <c r="E795" s="998"/>
      <c r="F795" s="998"/>
      <c r="H795" s="267"/>
      <c r="I795" s="267"/>
    </row>
    <row r="796" spans="1:9" ht="13.1">
      <c r="A796" s="191"/>
      <c r="B796" s="191"/>
      <c r="C796" s="191"/>
      <c r="E796" s="188"/>
      <c r="F796" s="188"/>
      <c r="G796" s="188"/>
      <c r="H796" s="267"/>
      <c r="I796" s="267"/>
    </row>
    <row r="797" spans="1:9" ht="14.4" customHeight="1">
      <c r="A797" s="271"/>
      <c r="B797" s="624" t="s">
        <v>132</v>
      </c>
      <c r="C797" s="207"/>
      <c r="D797" s="1023" t="s">
        <v>1773</v>
      </c>
      <c r="E797" s="1023"/>
      <c r="F797" s="1023"/>
      <c r="G797" s="188"/>
      <c r="H797" s="267"/>
      <c r="I797" s="267"/>
    </row>
    <row r="798" spans="1:9">
      <c r="A798" s="271"/>
      <c r="B798" s="271"/>
      <c r="C798" s="207"/>
      <c r="D798" s="1023"/>
      <c r="E798" s="1023"/>
      <c r="F798" s="1023"/>
      <c r="G798" s="188"/>
      <c r="H798" s="267"/>
      <c r="I798" s="267"/>
    </row>
    <row r="799" spans="1:9">
      <c r="A799" s="271"/>
      <c r="B799" s="271"/>
      <c r="C799" s="207"/>
      <c r="D799" s="1023"/>
      <c r="E799" s="1023"/>
      <c r="F799" s="1023"/>
      <c r="G799" s="188"/>
      <c r="H799" s="267"/>
      <c r="I799" s="267"/>
    </row>
    <row r="800" spans="1:9">
      <c r="A800" s="271"/>
      <c r="B800" s="271"/>
      <c r="C800" s="207"/>
      <c r="D800" s="44"/>
      <c r="G800" s="188"/>
      <c r="H800" s="267"/>
      <c r="I800" s="267"/>
    </row>
    <row r="801" spans="1:9" ht="14.25" customHeight="1">
      <c r="A801" s="271"/>
      <c r="B801" s="624" t="s">
        <v>132</v>
      </c>
      <c r="C801" s="207"/>
      <c r="D801" s="998" t="s">
        <v>1668</v>
      </c>
      <c r="E801" s="998"/>
      <c r="F801" s="998"/>
      <c r="G801" s="188"/>
      <c r="H801" s="267"/>
      <c r="I801" s="267"/>
    </row>
    <row r="802" spans="1:9">
      <c r="A802" s="271"/>
      <c r="B802" s="271"/>
      <c r="C802" s="207"/>
      <c r="D802" s="998"/>
      <c r="E802" s="998"/>
      <c r="F802" s="998"/>
      <c r="G802" s="188"/>
      <c r="H802" s="267"/>
      <c r="I802" s="267"/>
    </row>
    <row r="803" spans="1:9">
      <c r="A803" s="271"/>
      <c r="B803" s="271"/>
      <c r="C803" s="207"/>
      <c r="D803" s="998"/>
      <c r="E803" s="998"/>
      <c r="F803" s="998"/>
      <c r="G803" s="188"/>
      <c r="H803" s="267"/>
      <c r="I803" s="267"/>
    </row>
    <row r="804" spans="1:9">
      <c r="A804" s="271"/>
      <c r="B804" s="271"/>
      <c r="C804" s="207"/>
      <c r="D804" s="998"/>
      <c r="E804" s="998"/>
      <c r="F804" s="998"/>
      <c r="G804" s="188"/>
      <c r="H804" s="267"/>
      <c r="I804" s="267"/>
    </row>
    <row r="805" spans="1:9">
      <c r="A805" s="271"/>
      <c r="B805" s="271"/>
      <c r="C805" s="207"/>
      <c r="D805" s="998"/>
      <c r="E805" s="998"/>
      <c r="F805" s="998"/>
      <c r="G805" s="188"/>
      <c r="H805" s="267"/>
      <c r="I805" s="267"/>
    </row>
    <row r="806" spans="1:9">
      <c r="A806" s="271"/>
      <c r="B806" s="271"/>
      <c r="C806" s="207"/>
      <c r="D806" s="1023" t="s">
        <v>2110</v>
      </c>
      <c r="E806" s="1023"/>
      <c r="F806" s="1023"/>
      <c r="G806" s="188"/>
      <c r="H806" s="267"/>
      <c r="I806" s="267"/>
    </row>
    <row r="807" spans="1:9">
      <c r="A807" s="271"/>
      <c r="B807" s="271"/>
      <c r="C807" s="207"/>
      <c r="D807" s="1023"/>
      <c r="E807" s="1023"/>
      <c r="F807" s="1023"/>
      <c r="G807" s="188"/>
      <c r="H807" s="267"/>
      <c r="I807" s="267"/>
    </row>
    <row r="808" spans="1:9">
      <c r="A808" s="271"/>
      <c r="B808" s="271"/>
      <c r="C808" s="207"/>
      <c r="D808" s="1023"/>
      <c r="E808" s="1023"/>
      <c r="F808" s="1023"/>
      <c r="G808" s="188"/>
      <c r="H808" s="267"/>
      <c r="I808" s="267"/>
    </row>
    <row r="809" spans="1:9">
      <c r="A809" s="271"/>
      <c r="C809" s="207"/>
      <c r="D809" s="813"/>
      <c r="E809" s="813"/>
      <c r="F809" s="813"/>
      <c r="G809" s="188"/>
      <c r="H809" s="267"/>
      <c r="I809" s="267"/>
    </row>
    <row r="810" spans="1:9">
      <c r="A810" s="271"/>
      <c r="B810" s="624" t="s">
        <v>132</v>
      </c>
      <c r="C810" s="207"/>
      <c r="D810" s="998" t="s">
        <v>1670</v>
      </c>
      <c r="E810" s="998"/>
      <c r="F810" s="998"/>
      <c r="G810" s="188"/>
      <c r="H810" s="267"/>
      <c r="I810" s="267"/>
    </row>
    <row r="811" spans="1:9">
      <c r="A811" s="271"/>
      <c r="B811" s="271"/>
      <c r="C811" s="207"/>
      <c r="D811" s="998"/>
      <c r="E811" s="998"/>
      <c r="F811" s="998"/>
      <c r="G811" s="188"/>
      <c r="H811" s="267"/>
      <c r="I811" s="267"/>
    </row>
    <row r="812" spans="1:9">
      <c r="A812" s="271"/>
      <c r="B812" s="271"/>
      <c r="C812" s="207"/>
      <c r="D812" s="998"/>
      <c r="E812" s="998"/>
      <c r="F812" s="998"/>
      <c r="G812" s="188"/>
      <c r="H812" s="267"/>
      <c r="I812" s="267"/>
    </row>
    <row r="813" spans="1:9">
      <c r="A813" s="271"/>
      <c r="B813" s="271"/>
      <c r="C813" s="207"/>
      <c r="D813" s="998"/>
      <c r="E813" s="998"/>
      <c r="F813" s="998"/>
      <c r="G813" s="188"/>
      <c r="H813" s="267"/>
      <c r="I813" s="267"/>
    </row>
    <row r="814" spans="1:9">
      <c r="A814" s="271"/>
      <c r="B814" s="271"/>
      <c r="C814" s="207"/>
      <c r="D814" s="998"/>
      <c r="E814" s="998"/>
      <c r="F814" s="998"/>
      <c r="G814" s="188"/>
      <c r="H814" s="267"/>
      <c r="I814" s="267"/>
    </row>
    <row r="815" spans="1:9">
      <c r="A815" s="271"/>
      <c r="B815" s="271"/>
      <c r="C815" s="207"/>
      <c r="D815" s="998"/>
      <c r="E815" s="998"/>
      <c r="F815" s="998"/>
      <c r="G815" s="188"/>
      <c r="H815" s="267"/>
      <c r="I815" s="267"/>
    </row>
    <row r="816" spans="1:9">
      <c r="A816" s="271"/>
      <c r="B816" s="271"/>
      <c r="C816" s="207"/>
      <c r="D816" s="669"/>
      <c r="E816" s="669"/>
      <c r="F816" s="669"/>
      <c r="G816" s="188"/>
      <c r="H816" s="267"/>
      <c r="I816" s="267"/>
    </row>
    <row r="817" spans="1:9">
      <c r="A817" s="271"/>
      <c r="B817" s="624" t="s">
        <v>132</v>
      </c>
      <c r="C817" s="207"/>
      <c r="D817" s="1023" t="s">
        <v>1957</v>
      </c>
      <c r="E817" s="998"/>
      <c r="F817" s="998"/>
      <c r="G817" s="188"/>
      <c r="H817" s="267"/>
      <c r="I817" s="267"/>
    </row>
    <row r="818" spans="1:9">
      <c r="A818" s="271"/>
      <c r="B818" s="271"/>
      <c r="C818" s="207"/>
      <c r="D818" s="998"/>
      <c r="E818" s="998"/>
      <c r="F818" s="998"/>
      <c r="G818" s="188"/>
      <c r="H818" s="267"/>
      <c r="I818" s="267"/>
    </row>
    <row r="819" spans="1:9">
      <c r="A819" s="271"/>
      <c r="B819" s="271"/>
      <c r="C819" s="207"/>
      <c r="D819" s="998"/>
      <c r="E819" s="998"/>
      <c r="F819" s="998"/>
      <c r="G819" s="188"/>
      <c r="H819" s="267"/>
      <c r="I819" s="267"/>
    </row>
    <row r="820" spans="1:9">
      <c r="A820" s="271"/>
      <c r="B820" s="271"/>
      <c r="C820" s="207"/>
      <c r="D820" s="998"/>
      <c r="E820" s="998"/>
      <c r="F820" s="998"/>
      <c r="G820" s="188"/>
      <c r="H820" s="267"/>
      <c r="I820" s="267"/>
    </row>
    <row r="821" spans="1:9">
      <c r="A821" s="271"/>
      <c r="B821" s="271"/>
      <c r="C821" s="207"/>
      <c r="D821" s="998"/>
      <c r="E821" s="998"/>
      <c r="F821" s="998"/>
      <c r="G821" s="188"/>
      <c r="H821" s="267"/>
      <c r="I821" s="267"/>
    </row>
    <row r="822" spans="1:9">
      <c r="A822" s="271"/>
      <c r="B822" s="271"/>
      <c r="C822" s="207"/>
      <c r="D822" s="669"/>
      <c r="E822" s="669"/>
      <c r="F822" s="669"/>
      <c r="G822" s="188"/>
      <c r="H822" s="267"/>
      <c r="I822" s="267"/>
    </row>
    <row r="823" spans="1:9">
      <c r="A823" s="271"/>
      <c r="B823" s="624" t="s">
        <v>132</v>
      </c>
      <c r="C823" s="207"/>
      <c r="D823" s="998" t="s">
        <v>1669</v>
      </c>
      <c r="E823" s="998"/>
      <c r="F823" s="998"/>
      <c r="G823" s="188"/>
      <c r="H823" s="267"/>
      <c r="I823" s="267"/>
    </row>
    <row r="824" spans="1:9">
      <c r="A824" s="271"/>
      <c r="B824" s="271"/>
      <c r="C824" s="207"/>
      <c r="D824" s="998"/>
      <c r="E824" s="998"/>
      <c r="F824" s="998"/>
      <c r="G824" s="188"/>
      <c r="H824" s="267"/>
      <c r="I824" s="267"/>
    </row>
    <row r="825" spans="1:9">
      <c r="A825" s="271"/>
      <c r="B825" s="271"/>
      <c r="C825" s="207"/>
      <c r="D825" s="998"/>
      <c r="E825" s="998"/>
      <c r="F825" s="998"/>
      <c r="G825" s="188"/>
      <c r="H825" s="267"/>
      <c r="I825" s="267"/>
    </row>
    <row r="826" spans="1:9">
      <c r="A826" s="271"/>
      <c r="B826" s="271"/>
      <c r="C826" s="207"/>
      <c r="D826" s="998"/>
      <c r="E826" s="998"/>
      <c r="F826" s="998"/>
      <c r="G826" s="188"/>
      <c r="H826" s="267"/>
      <c r="I826" s="267"/>
    </row>
    <row r="827" spans="1:9">
      <c r="A827" s="271"/>
      <c r="B827" s="271"/>
      <c r="C827" s="207"/>
      <c r="D827" s="188"/>
      <c r="G827" s="188"/>
      <c r="H827" s="267"/>
      <c r="I827" s="267"/>
    </row>
    <row r="828" spans="1:9">
      <c r="A828" s="271"/>
      <c r="B828" s="624" t="s">
        <v>132</v>
      </c>
      <c r="C828" s="207"/>
      <c r="D828" s="1006" t="s">
        <v>1672</v>
      </c>
      <c r="E828" s="1006"/>
      <c r="F828" s="1006"/>
      <c r="G828" s="188"/>
      <c r="H828" s="267"/>
      <c r="I828" s="267"/>
    </row>
    <row r="829" spans="1:9">
      <c r="A829" s="271"/>
      <c r="B829" s="271"/>
      <c r="C829" s="207"/>
      <c r="D829" s="1006"/>
      <c r="E829" s="1006"/>
      <c r="F829" s="1006"/>
      <c r="G829" s="188"/>
      <c r="H829" s="267"/>
      <c r="I829" s="267"/>
    </row>
    <row r="830" spans="1:9" ht="13.1">
      <c r="A830" s="18"/>
      <c r="B830" s="18"/>
      <c r="C830" s="207"/>
      <c r="D830" s="1006"/>
      <c r="E830" s="1006"/>
      <c r="F830" s="1006"/>
      <c r="G830" s="188"/>
      <c r="H830" s="267"/>
      <c r="I830" s="267"/>
    </row>
    <row r="831" spans="1:9">
      <c r="A831" s="271"/>
      <c r="B831" s="18"/>
      <c r="C831" s="207"/>
      <c r="D831" s="1006"/>
      <c r="E831" s="1006"/>
      <c r="F831" s="1006"/>
      <c r="G831" s="188"/>
      <c r="H831" s="267"/>
      <c r="I831" s="267"/>
    </row>
    <row r="832" spans="1:9">
      <c r="A832" s="271"/>
      <c r="B832" s="18"/>
      <c r="C832" s="207"/>
      <c r="D832" s="1006"/>
      <c r="E832" s="1006"/>
      <c r="F832" s="1006"/>
      <c r="G832" s="188"/>
      <c r="H832" s="267"/>
      <c r="I832" s="267"/>
    </row>
    <row r="833" spans="1:9">
      <c r="A833" s="271"/>
      <c r="B833" s="18"/>
      <c r="C833" s="207"/>
      <c r="D833" s="1006"/>
      <c r="E833" s="1006"/>
      <c r="F833" s="1006"/>
      <c r="G833" s="188"/>
      <c r="H833" s="267"/>
      <c r="I833" s="267"/>
    </row>
    <row r="834" spans="1:9">
      <c r="A834" s="271"/>
      <c r="B834" s="18"/>
      <c r="C834" s="207"/>
      <c r="D834" s="668"/>
      <c r="E834" s="668"/>
      <c r="F834" s="668"/>
      <c r="G834" s="188"/>
      <c r="H834" s="267"/>
      <c r="I834" s="267"/>
    </row>
    <row r="835" spans="1:9">
      <c r="A835" s="271"/>
      <c r="B835" s="624" t="s">
        <v>132</v>
      </c>
      <c r="C835" s="207"/>
      <c r="D835" s="998" t="s">
        <v>1671</v>
      </c>
      <c r="E835" s="998"/>
      <c r="F835" s="998"/>
      <c r="G835" s="188"/>
      <c r="H835" s="267"/>
      <c r="I835" s="267"/>
    </row>
    <row r="836" spans="1:9">
      <c r="A836" s="271"/>
      <c r="B836" s="271"/>
      <c r="C836" s="207"/>
      <c r="D836" s="998"/>
      <c r="E836" s="998"/>
      <c r="F836" s="998"/>
      <c r="G836" s="188"/>
      <c r="H836" s="267"/>
      <c r="I836" s="267"/>
    </row>
    <row r="837" spans="1:9">
      <c r="A837" s="271"/>
      <c r="B837" s="271"/>
      <c r="C837" s="207"/>
      <c r="D837" s="188"/>
      <c r="G837" s="188"/>
      <c r="H837" s="267"/>
      <c r="I837" s="267"/>
    </row>
    <row r="838" spans="1:9">
      <c r="A838" s="271"/>
      <c r="B838" s="624" t="s">
        <v>132</v>
      </c>
      <c r="C838" s="207"/>
      <c r="D838" s="1006" t="s">
        <v>1673</v>
      </c>
      <c r="E838" s="1006"/>
      <c r="F838" s="1006"/>
      <c r="G838" s="188"/>
      <c r="H838" s="267"/>
      <c r="I838" s="267"/>
    </row>
    <row r="839" spans="1:9">
      <c r="A839" s="271"/>
      <c r="B839" s="271"/>
      <c r="C839" s="207"/>
      <c r="D839" s="1006"/>
      <c r="E839" s="1006"/>
      <c r="F839" s="1006"/>
      <c r="G839" s="188"/>
      <c r="H839" s="267"/>
      <c r="I839" s="267"/>
    </row>
    <row r="840" spans="1:9" ht="13.1">
      <c r="A840" s="18"/>
      <c r="B840" s="18"/>
      <c r="C840" s="207"/>
      <c r="D840" s="188"/>
      <c r="G840" s="188"/>
      <c r="H840" s="267"/>
      <c r="I840" s="267"/>
    </row>
    <row r="841" spans="1:9" ht="13.1">
      <c r="A841" s="1034" t="s">
        <v>1974</v>
      </c>
      <c r="B841" s="1034"/>
      <c r="C841" s="1034"/>
      <c r="D841" s="1034"/>
      <c r="E841" s="1034"/>
      <c r="F841" s="1034"/>
      <c r="G841" s="1034"/>
      <c r="H841" s="267"/>
      <c r="I841" s="267"/>
    </row>
    <row r="842" spans="1:9" ht="13.1">
      <c r="A842" s="190"/>
      <c r="B842" s="190"/>
      <c r="C842" s="207"/>
      <c r="D842" s="188"/>
      <c r="E842" s="188"/>
      <c r="F842" s="188"/>
      <c r="G842" s="188"/>
      <c r="H842" s="267"/>
      <c r="I842" s="267"/>
    </row>
    <row r="843" spans="1:9">
      <c r="A843" s="271"/>
      <c r="B843" s="271"/>
      <c r="D843" s="1007" t="s">
        <v>1587</v>
      </c>
      <c r="E843" s="1007"/>
      <c r="F843" s="1007"/>
      <c r="H843" s="267"/>
      <c r="I843" s="267"/>
    </row>
    <row r="844" spans="1:9">
      <c r="A844" s="271"/>
      <c r="B844" s="271"/>
      <c r="D844" s="973" t="s">
        <v>1971</v>
      </c>
      <c r="E844" s="973"/>
      <c r="F844" s="973"/>
      <c r="H844" s="267"/>
      <c r="I844" s="267"/>
    </row>
    <row r="845" spans="1:9">
      <c r="A845" s="271"/>
      <c r="B845" s="271"/>
      <c r="D845" s="24"/>
      <c r="E845" s="210"/>
      <c r="F845" s="210"/>
      <c r="H845" s="267"/>
      <c r="I845" s="267"/>
    </row>
    <row r="846" spans="1:9" ht="12.45">
      <c r="B846" s="624" t="s">
        <v>1440</v>
      </c>
      <c r="C846" s="207"/>
      <c r="D846" s="980" t="s">
        <v>1521</v>
      </c>
      <c r="E846" s="980"/>
      <c r="F846" s="980"/>
      <c r="H846" s="267"/>
      <c r="I846" s="267"/>
    </row>
    <row r="847" spans="1:9" ht="13.1">
      <c r="A847" s="18"/>
      <c r="B847" s="18"/>
      <c r="C847" s="207"/>
      <c r="D847" s="3" t="s">
        <v>1498</v>
      </c>
      <c r="E847" s="981" t="s">
        <v>2175</v>
      </c>
      <c r="F847" s="981"/>
      <c r="H847" s="267"/>
      <c r="I847" s="267"/>
    </row>
    <row r="848" spans="1:9" ht="13.1">
      <c r="A848" s="18"/>
      <c r="B848" s="18"/>
      <c r="C848" s="207"/>
      <c r="D848" s="213"/>
      <c r="H848" s="267"/>
      <c r="I848" s="267"/>
    </row>
    <row r="849" spans="1:9" ht="13.1">
      <c r="A849" s="18"/>
      <c r="B849" s="624" t="s">
        <v>132</v>
      </c>
      <c r="C849" s="207"/>
      <c r="D849" s="1026" t="s">
        <v>1753</v>
      </c>
      <c r="E849" s="1026"/>
      <c r="F849" s="1026"/>
      <c r="H849" s="267"/>
      <c r="I849" s="267"/>
    </row>
    <row r="850" spans="1:9" ht="13.1">
      <c r="A850" s="18"/>
      <c r="B850" s="18"/>
      <c r="C850" s="207"/>
      <c r="D850" s="1026"/>
      <c r="E850" s="1026"/>
      <c r="F850" s="1026"/>
      <c r="H850" s="267"/>
      <c r="I850" s="267"/>
    </row>
    <row r="851" spans="1:9" ht="13.1">
      <c r="A851" s="18"/>
      <c r="B851" s="18"/>
      <c r="C851" s="207"/>
      <c r="D851" s="1026"/>
      <c r="E851" s="1026"/>
      <c r="F851" s="1026"/>
      <c r="H851" s="267"/>
      <c r="I851" s="267"/>
    </row>
    <row r="852" spans="1:9" ht="13.1">
      <c r="A852" s="18"/>
      <c r="B852" s="18"/>
      <c r="C852" s="207"/>
      <c r="D852" s="1026"/>
      <c r="E852" s="1026"/>
      <c r="F852" s="1026"/>
      <c r="H852" s="267"/>
      <c r="I852" s="267"/>
    </row>
    <row r="853" spans="1:9" ht="13.1">
      <c r="A853" s="18"/>
      <c r="B853" s="18"/>
      <c r="C853" s="207"/>
      <c r="D853" s="1026"/>
      <c r="E853" s="1026"/>
      <c r="F853" s="1026"/>
      <c r="H853" s="267"/>
      <c r="I853" s="267"/>
    </row>
    <row r="854" spans="1:9" ht="13.1">
      <c r="A854" s="18"/>
      <c r="B854" s="18"/>
      <c r="C854" s="207"/>
      <c r="D854" s="1026"/>
      <c r="E854" s="1026"/>
      <c r="F854" s="1026"/>
      <c r="H854" s="267"/>
      <c r="I854" s="267"/>
    </row>
    <row r="855" spans="1:9" ht="13.1">
      <c r="A855" s="18"/>
      <c r="B855" s="18"/>
      <c r="C855" s="207"/>
      <c r="D855" s="1026"/>
      <c r="E855" s="1026"/>
      <c r="F855" s="1026"/>
      <c r="H855" s="267"/>
      <c r="I855" s="267"/>
    </row>
    <row r="856" spans="1:9" ht="13.1">
      <c r="A856" s="18"/>
      <c r="B856" s="18"/>
      <c r="C856" s="207"/>
      <c r="D856" s="1026"/>
      <c r="E856" s="1026"/>
      <c r="F856" s="1026"/>
      <c r="H856" s="267"/>
      <c r="I856" s="267"/>
    </row>
    <row r="857" spans="1:9" ht="13.1">
      <c r="A857" s="18"/>
      <c r="B857" s="18"/>
      <c r="C857" s="207"/>
      <c r="D857" s="1026"/>
      <c r="E857" s="1026"/>
      <c r="F857" s="1026"/>
      <c r="H857" s="267"/>
      <c r="I857" s="267"/>
    </row>
    <row r="858" spans="1:9" ht="13.1">
      <c r="A858" s="18"/>
      <c r="B858" s="18"/>
      <c r="C858" s="207"/>
      <c r="D858" s="213"/>
      <c r="H858" s="267"/>
      <c r="I858" s="267"/>
    </row>
    <row r="859" spans="1:9">
      <c r="A859" s="271"/>
      <c r="B859" s="624" t="s">
        <v>1440</v>
      </c>
      <c r="C859" s="207"/>
      <c r="D859" s="980" t="s">
        <v>1522</v>
      </c>
      <c r="E859" s="980"/>
      <c r="F859" s="980"/>
      <c r="H859" s="267"/>
      <c r="I859" s="267"/>
    </row>
    <row r="860" spans="1:9">
      <c r="A860" s="271"/>
      <c r="B860" s="271"/>
      <c r="C860" s="207"/>
      <c r="D860" s="980"/>
      <c r="E860" s="980"/>
      <c r="F860" s="980"/>
      <c r="H860" s="267"/>
      <c r="I860" s="267"/>
    </row>
    <row r="861" spans="1:9">
      <c r="A861" s="271"/>
      <c r="B861" s="271"/>
      <c r="C861" s="207"/>
      <c r="D861" s="980"/>
      <c r="E861" s="980"/>
      <c r="F861" s="980"/>
      <c r="H861" s="267"/>
      <c r="I861" s="267"/>
    </row>
    <row r="862" spans="1:9">
      <c r="A862" s="271"/>
      <c r="B862" s="271"/>
      <c r="C862" s="207"/>
      <c r="D862" s="44"/>
      <c r="H862" s="267"/>
      <c r="I862" s="267"/>
    </row>
    <row r="863" spans="1:9" ht="12.45">
      <c r="A863" s="430"/>
      <c r="B863" s="624" t="s">
        <v>132</v>
      </c>
      <c r="C863" s="207"/>
      <c r="D863" s="1007" t="s">
        <v>1523</v>
      </c>
      <c r="E863" s="1007"/>
      <c r="F863" s="1007"/>
      <c r="H863" s="267"/>
      <c r="I863" s="267"/>
    </row>
    <row r="864" spans="1:9" ht="12.45">
      <c r="B864" s="430"/>
      <c r="C864" s="207"/>
      <c r="D864" s="1007"/>
      <c r="E864" s="1007"/>
      <c r="F864" s="1007"/>
      <c r="H864" s="267"/>
      <c r="I864" s="267"/>
    </row>
    <row r="865" spans="1:9" ht="14.25" customHeight="1">
      <c r="A865" s="271"/>
      <c r="C865" s="207"/>
      <c r="D865" s="980" t="s">
        <v>2281</v>
      </c>
      <c r="E865" s="980"/>
      <c r="F865" s="980"/>
      <c r="H865" s="267"/>
      <c r="I865" s="267"/>
    </row>
    <row r="866" spans="1:9">
      <c r="A866" s="271"/>
      <c r="B866" s="271"/>
      <c r="C866" s="207"/>
      <c r="D866" s="980"/>
      <c r="E866" s="980"/>
      <c r="F866" s="980"/>
      <c r="H866" s="267"/>
      <c r="I866" s="267"/>
    </row>
    <row r="867" spans="1:9">
      <c r="A867" s="271"/>
      <c r="B867" s="271"/>
      <c r="C867" s="207"/>
      <c r="D867" s="980"/>
      <c r="E867" s="980"/>
      <c r="F867" s="980"/>
      <c r="H867" s="267"/>
      <c r="I867" s="267"/>
    </row>
    <row r="868" spans="1:9">
      <c r="A868" s="271"/>
      <c r="B868" s="271"/>
      <c r="C868" s="207"/>
      <c r="D868" s="980"/>
      <c r="E868" s="980"/>
      <c r="F868" s="980"/>
      <c r="H868" s="267"/>
      <c r="I868" s="267"/>
    </row>
    <row r="869" spans="1:9">
      <c r="A869" s="271"/>
      <c r="B869" s="271"/>
      <c r="C869" s="207"/>
      <c r="D869" s="980"/>
      <c r="E869" s="980"/>
      <c r="F869" s="980"/>
      <c r="H869" s="267"/>
      <c r="I869" s="267"/>
    </row>
    <row r="870" spans="1:9" ht="14.25" customHeight="1">
      <c r="A870" s="271"/>
      <c r="B870" s="271"/>
      <c r="C870" s="207"/>
      <c r="D870" s="980"/>
      <c r="E870" s="980"/>
      <c r="F870" s="980"/>
      <c r="H870" s="267"/>
      <c r="I870" s="267"/>
    </row>
    <row r="871" spans="1:9">
      <c r="A871" s="271"/>
      <c r="B871" s="271"/>
      <c r="C871" s="207"/>
      <c r="D871" s="44"/>
      <c r="H871" s="267"/>
      <c r="I871" s="267"/>
    </row>
    <row r="872" spans="1:9">
      <c r="A872" s="271"/>
      <c r="B872" s="624" t="s">
        <v>132</v>
      </c>
      <c r="C872" s="207"/>
      <c r="D872" s="980" t="s">
        <v>1223</v>
      </c>
      <c r="E872" s="980"/>
      <c r="F872" s="980"/>
      <c r="H872" s="267"/>
      <c r="I872" s="267"/>
    </row>
    <row r="873" spans="1:9">
      <c r="A873" s="271"/>
      <c r="B873" s="271"/>
      <c r="C873" s="207"/>
      <c r="D873" s="980" t="s">
        <v>1224</v>
      </c>
      <c r="E873" s="980"/>
      <c r="F873" s="980"/>
      <c r="H873" s="267"/>
      <c r="I873" s="267"/>
    </row>
    <row r="874" spans="1:9">
      <c r="A874" s="271"/>
      <c r="B874" s="271"/>
      <c r="C874" s="207"/>
      <c r="D874" s="3" t="s">
        <v>1497</v>
      </c>
      <c r="E874" s="981" t="s">
        <v>2177</v>
      </c>
      <c r="F874" s="981"/>
      <c r="H874" s="267"/>
      <c r="I874" s="267"/>
    </row>
    <row r="875" spans="1:9">
      <c r="A875" s="271"/>
      <c r="B875" s="271"/>
      <c r="C875" s="207"/>
      <c r="D875" s="44"/>
      <c r="H875" s="267"/>
      <c r="I875" s="267"/>
    </row>
    <row r="876" spans="1:9">
      <c r="A876" s="271"/>
      <c r="B876" s="624" t="s">
        <v>132</v>
      </c>
      <c r="C876" s="207"/>
      <c r="D876" s="980" t="s">
        <v>1524</v>
      </c>
      <c r="E876" s="980"/>
      <c r="F876" s="980"/>
      <c r="H876" s="267"/>
      <c r="I876" s="267"/>
    </row>
    <row r="877" spans="1:9">
      <c r="A877" s="271"/>
      <c r="B877" s="271"/>
      <c r="C877" s="207"/>
      <c r="D877" s="980"/>
      <c r="E877" s="980"/>
      <c r="F877" s="980"/>
      <c r="H877" s="267"/>
      <c r="I877" s="267"/>
    </row>
    <row r="878" spans="1:9">
      <c r="A878" s="271"/>
      <c r="B878" s="271"/>
      <c r="C878" s="207"/>
      <c r="D878" s="980"/>
      <c r="E878" s="980"/>
      <c r="F878" s="980"/>
      <c r="H878" s="267"/>
      <c r="I878" s="267"/>
    </row>
    <row r="879" spans="1:9">
      <c r="A879" s="271"/>
      <c r="B879" s="271"/>
      <c r="C879" s="207"/>
      <c r="D879" s="980"/>
      <c r="E879" s="980"/>
      <c r="F879" s="980"/>
      <c r="H879" s="267"/>
      <c r="I879" s="267"/>
    </row>
    <row r="880" spans="1:9" ht="13.1">
      <c r="A880" s="190"/>
      <c r="B880" s="190"/>
      <c r="C880" s="190"/>
      <c r="D880" s="44"/>
      <c r="H880" s="267"/>
      <c r="I880" s="267"/>
    </row>
    <row r="881" spans="1:9" ht="13.1">
      <c r="A881" s="272" t="s">
        <v>1466</v>
      </c>
      <c r="B881" s="272"/>
      <c r="C881" s="626"/>
      <c r="D881" s="626"/>
      <c r="E881" s="626"/>
      <c r="F881" s="626"/>
      <c r="G881" s="626"/>
      <c r="H881" s="267"/>
      <c r="I881" s="267"/>
    </row>
    <row r="882" spans="1:9" ht="13.1">
      <c r="A882" s="190"/>
      <c r="B882" s="190"/>
      <c r="C882" s="190"/>
      <c r="D882" s="212"/>
      <c r="H882" s="267"/>
      <c r="I882" s="267"/>
    </row>
    <row r="883" spans="1:9" ht="13.1">
      <c r="C883" s="191"/>
      <c r="D883" s="1001" t="s">
        <v>1586</v>
      </c>
      <c r="E883" s="1001"/>
      <c r="F883" s="1001"/>
      <c r="G883" s="188"/>
      <c r="H883" s="267"/>
      <c r="I883" s="267"/>
    </row>
    <row r="884" spans="1:9" ht="13.1">
      <c r="C884" s="191"/>
      <c r="D884" s="1014" t="s">
        <v>1972</v>
      </c>
      <c r="E884" s="1015"/>
      <c r="F884" s="1015"/>
      <c r="G884" s="188"/>
      <c r="H884" s="267"/>
      <c r="I884" s="267"/>
    </row>
    <row r="885" spans="1:9" ht="13.1">
      <c r="C885" s="191"/>
      <c r="D885" s="655"/>
      <c r="E885" s="655"/>
      <c r="F885" s="655"/>
      <c r="G885" s="188"/>
      <c r="H885" s="267"/>
      <c r="I885" s="267"/>
    </row>
    <row r="886" spans="1:9">
      <c r="A886" s="271"/>
      <c r="B886" s="624" t="s">
        <v>1440</v>
      </c>
      <c r="D886" s="1000" t="s">
        <v>1545</v>
      </c>
      <c r="E886" s="1000"/>
      <c r="F886" s="1000"/>
      <c r="G886" s="188"/>
      <c r="H886" s="267"/>
      <c r="I886" s="267"/>
    </row>
    <row r="887" spans="1:9" ht="13.1">
      <c r="D887" s="3" t="s">
        <v>1497</v>
      </c>
      <c r="E887" s="1013" t="s">
        <v>2177</v>
      </c>
      <c r="F887" s="1013"/>
      <c r="G887" s="188"/>
    </row>
    <row r="888" spans="1:9" ht="12.45">
      <c r="D888" s="44"/>
      <c r="E888" s="188"/>
      <c r="F888" s="188"/>
      <c r="G888" s="188"/>
      <c r="H888" s="267"/>
      <c r="I888" s="267"/>
    </row>
    <row r="889" spans="1:9">
      <c r="A889" s="271"/>
      <c r="B889" s="624" t="s">
        <v>1440</v>
      </c>
      <c r="D889" s="973" t="s">
        <v>1975</v>
      </c>
      <c r="E889" s="1043"/>
      <c r="F889" s="1043"/>
    </row>
    <row r="890" spans="1:9" ht="12.6" customHeight="1">
      <c r="D890" s="1043"/>
      <c r="E890" s="1043"/>
      <c r="F890" s="1043"/>
    </row>
    <row r="891" spans="1:9">
      <c r="A891" s="271"/>
      <c r="B891" s="271"/>
      <c r="D891" s="44"/>
      <c r="E891" s="188"/>
      <c r="F891" s="188"/>
      <c r="G891" s="188"/>
      <c r="H891" s="267"/>
      <c r="I891" s="267"/>
    </row>
    <row r="892" spans="1:9" ht="12.45">
      <c r="B892" s="624" t="s">
        <v>132</v>
      </c>
      <c r="D892" s="1009" t="s">
        <v>1755</v>
      </c>
      <c r="E892" s="1009"/>
      <c r="F892" s="1009"/>
      <c r="G892" s="188"/>
      <c r="H892" s="267"/>
      <c r="I892" s="267"/>
    </row>
    <row r="893" spans="1:9" ht="29.45" customHeight="1">
      <c r="B893" s="580"/>
      <c r="D893" s="1009"/>
      <c r="E893" s="1009"/>
      <c r="F893" s="1009"/>
      <c r="G893" s="188"/>
      <c r="H893" s="267"/>
      <c r="I893" s="267"/>
    </row>
    <row r="894" spans="1:9">
      <c r="A894" s="271"/>
      <c r="B894"/>
      <c r="D894" s="980" t="s">
        <v>2281</v>
      </c>
      <c r="E894" s="980"/>
      <c r="F894" s="980"/>
      <c r="G894" s="188"/>
      <c r="H894" s="267"/>
      <c r="I894" s="267"/>
    </row>
    <row r="895" spans="1:9">
      <c r="A895" s="271"/>
      <c r="B895" s="271"/>
      <c r="D895" s="980"/>
      <c r="E895" s="980"/>
      <c r="F895" s="980"/>
      <c r="G895" s="188"/>
      <c r="H895" s="267"/>
      <c r="I895" s="267"/>
    </row>
    <row r="896" spans="1:9">
      <c r="A896" s="271"/>
      <c r="B896" s="271"/>
      <c r="D896" s="980"/>
      <c r="E896" s="980"/>
      <c r="F896" s="980"/>
      <c r="G896" s="188"/>
      <c r="H896" s="267"/>
      <c r="I896" s="267"/>
    </row>
    <row r="897" spans="1:9">
      <c r="A897" s="271"/>
      <c r="B897" s="271"/>
      <c r="D897" s="980"/>
      <c r="E897" s="980"/>
      <c r="F897" s="980"/>
      <c r="G897" s="188"/>
      <c r="H897" s="267"/>
      <c r="I897" s="267"/>
    </row>
    <row r="898" spans="1:9">
      <c r="A898" s="271"/>
      <c r="B898" s="271"/>
      <c r="D898" s="980"/>
      <c r="E898" s="980"/>
      <c r="F898" s="980"/>
      <c r="G898" s="188"/>
      <c r="H898" s="267"/>
      <c r="I898" s="267"/>
    </row>
    <row r="899" spans="1:9">
      <c r="A899" s="271"/>
      <c r="B899" s="271"/>
      <c r="D899" s="980"/>
      <c r="E899" s="980"/>
      <c r="F899" s="980"/>
      <c r="G899" s="188"/>
      <c r="H899" s="267"/>
      <c r="I899" s="267"/>
    </row>
    <row r="900" spans="1:9">
      <c r="A900" s="271"/>
      <c r="B900" s="271"/>
      <c r="D900" s="44"/>
      <c r="E900" s="188"/>
      <c r="F900" s="188"/>
      <c r="G900" s="188"/>
      <c r="H900" s="267"/>
      <c r="I900" s="267"/>
    </row>
    <row r="901" spans="1:9">
      <c r="A901" s="271"/>
      <c r="B901" s="624" t="s">
        <v>132</v>
      </c>
      <c r="D901" s="1010" t="s">
        <v>1223</v>
      </c>
      <c r="E901" s="1010"/>
      <c r="F901" s="1010"/>
      <c r="G901" s="188"/>
      <c r="H901" s="267"/>
      <c r="I901" s="267"/>
    </row>
    <row r="902" spans="1:9">
      <c r="A902" s="271"/>
      <c r="B902" s="271"/>
      <c r="D902" s="1010" t="s">
        <v>1224</v>
      </c>
      <c r="E902" s="1010"/>
      <c r="F902" s="1010"/>
      <c r="G902" s="188"/>
      <c r="H902" s="267"/>
      <c r="I902" s="267"/>
    </row>
    <row r="903" spans="1:9">
      <c r="A903" s="271"/>
      <c r="B903" s="271"/>
      <c r="D903" s="3" t="s">
        <v>1546</v>
      </c>
      <c r="E903" s="1011" t="s">
        <v>2177</v>
      </c>
      <c r="F903" s="1011"/>
      <c r="G903" s="188"/>
      <c r="H903" s="267"/>
      <c r="I903" s="267"/>
    </row>
    <row r="904" spans="1:9">
      <c r="A904" s="271"/>
      <c r="B904" s="271"/>
      <c r="D904" s="44"/>
      <c r="E904" s="188"/>
      <c r="F904" s="188"/>
      <c r="G904" s="188"/>
      <c r="H904" s="267"/>
      <c r="I904" s="267"/>
    </row>
    <row r="905" spans="1:9">
      <c r="A905" s="271"/>
      <c r="B905" s="624" t="s">
        <v>132</v>
      </c>
      <c r="D905" s="980" t="s">
        <v>1524</v>
      </c>
      <c r="E905" s="980"/>
      <c r="F905" s="980"/>
      <c r="G905" s="188"/>
      <c r="H905" s="267"/>
      <c r="I905" s="267"/>
    </row>
    <row r="906" spans="1:9">
      <c r="A906" s="271"/>
      <c r="B906" s="271"/>
      <c r="D906" s="980"/>
      <c r="E906" s="980"/>
      <c r="F906" s="980"/>
      <c r="G906" s="188"/>
      <c r="H906" s="267"/>
      <c r="I906" s="267"/>
    </row>
    <row r="907" spans="1:9">
      <c r="A907" s="271"/>
      <c r="B907" s="271"/>
      <c r="D907" s="980"/>
      <c r="E907" s="980"/>
      <c r="F907" s="980"/>
      <c r="G907" s="188"/>
      <c r="H907" s="267"/>
      <c r="I907" s="267"/>
    </row>
    <row r="908" spans="1:9">
      <c r="A908" s="271"/>
      <c r="B908" s="271"/>
      <c r="D908" s="980"/>
      <c r="E908" s="980"/>
      <c r="F908" s="980"/>
      <c r="G908" s="188"/>
      <c r="H908" s="267"/>
      <c r="I908" s="267"/>
    </row>
    <row r="909" spans="1:9" ht="12.45">
      <c r="A909" s="44"/>
      <c r="B909" s="44"/>
      <c r="C909" s="207"/>
      <c r="D909" s="188"/>
      <c r="E909" s="188"/>
      <c r="F909" s="188"/>
      <c r="G909" s="188"/>
      <c r="H909" s="267"/>
      <c r="I909" s="267"/>
    </row>
    <row r="910" spans="1:9" ht="13.1">
      <c r="A910" s="1034" t="s">
        <v>1467</v>
      </c>
      <c r="B910" s="1034"/>
      <c r="C910" s="1034"/>
      <c r="D910" s="1034"/>
      <c r="E910" s="1034"/>
      <c r="F910" s="1034"/>
      <c r="G910" s="1034"/>
      <c r="H910" s="267"/>
      <c r="I910" s="267"/>
    </row>
    <row r="911" spans="1:9" ht="12.45">
      <c r="A911" s="44"/>
      <c r="B911" s="44"/>
      <c r="C911" s="207"/>
      <c r="D911" s="188"/>
      <c r="E911" s="188"/>
      <c r="F911" s="188"/>
      <c r="G911" s="188"/>
      <c r="H911" s="267"/>
      <c r="I911" s="267"/>
    </row>
    <row r="912" spans="1:9" ht="13.1">
      <c r="C912" s="207"/>
      <c r="D912" s="1004" t="s">
        <v>1708</v>
      </c>
      <c r="E912" s="1004"/>
      <c r="F912" s="1004"/>
      <c r="G912" s="188"/>
      <c r="H912" s="267"/>
      <c r="I912" s="267"/>
    </row>
    <row r="913" spans="1:9" ht="13.1">
      <c r="A913" s="190"/>
      <c r="B913" s="190"/>
      <c r="C913" s="190"/>
      <c r="D913" s="1000" t="s">
        <v>1544</v>
      </c>
      <c r="E913" s="1000"/>
      <c r="F913" s="1000"/>
      <c r="G913" s="188"/>
      <c r="H913" s="267"/>
      <c r="I913" s="267"/>
    </row>
    <row r="914" spans="1:9" ht="13.1">
      <c r="A914" s="190"/>
      <c r="B914" s="190"/>
      <c r="C914" s="190"/>
      <c r="F914" s="188"/>
      <c r="G914" s="188"/>
      <c r="H914" s="267"/>
      <c r="I914" s="267"/>
    </row>
    <row r="915" spans="1:9" ht="13.75" customHeight="1">
      <c r="A915" s="190"/>
      <c r="B915" s="624" t="s">
        <v>132</v>
      </c>
      <c r="C915" s="190"/>
      <c r="D915" s="1007" t="s">
        <v>1718</v>
      </c>
      <c r="E915" s="1007"/>
      <c r="F915" s="1007"/>
      <c r="G915" s="188"/>
      <c r="H915" s="267"/>
      <c r="I915" s="267"/>
    </row>
    <row r="916" spans="1:9" ht="13.1">
      <c r="A916" s="190"/>
      <c r="B916" s="190"/>
      <c r="C916" s="190"/>
      <c r="D916" s="1007"/>
      <c r="E916" s="1007"/>
      <c r="F916" s="1007"/>
      <c r="G916" s="188"/>
      <c r="H916" s="267"/>
      <c r="I916" s="267"/>
    </row>
    <row r="917" spans="1:9" ht="13.1">
      <c r="A917" s="190"/>
      <c r="B917" s="190"/>
      <c r="C917" s="190"/>
      <c r="D917" s="1007"/>
      <c r="E917" s="1007"/>
      <c r="F917" s="1007"/>
      <c r="G917" s="188"/>
      <c r="H917" s="267"/>
      <c r="I917" s="267"/>
    </row>
    <row r="918" spans="1:9" ht="13.1">
      <c r="A918" s="190"/>
      <c r="B918" s="190"/>
      <c r="C918" s="190"/>
      <c r="D918" s="1007"/>
      <c r="E918" s="1007"/>
      <c r="F918" s="1007"/>
      <c r="G918" s="188"/>
      <c r="H918" s="267"/>
      <c r="I918" s="267"/>
    </row>
    <row r="919" spans="1:9" ht="13.1">
      <c r="A919" s="190"/>
      <c r="B919" s="190"/>
      <c r="C919" s="190"/>
      <c r="D919" s="1007"/>
      <c r="E919" s="1007"/>
      <c r="F919" s="1007"/>
      <c r="G919" s="188"/>
      <c r="H919" s="267"/>
      <c r="I919" s="267"/>
    </row>
    <row r="920" spans="1:9" ht="13.1">
      <c r="A920" s="191"/>
      <c r="B920" s="191"/>
      <c r="C920" s="191"/>
      <c r="F920" s="188"/>
      <c r="G920" s="188"/>
      <c r="H920" s="267"/>
      <c r="I920" s="267"/>
    </row>
    <row r="921" spans="1:9" ht="14.25" customHeight="1">
      <c r="A921" s="271"/>
      <c r="B921" s="624" t="s">
        <v>1440</v>
      </c>
      <c r="C921" s="191"/>
      <c r="D921" s="981" t="s">
        <v>1805</v>
      </c>
      <c r="E921" s="981"/>
      <c r="F921" s="981"/>
      <c r="G921" s="188"/>
      <c r="H921" s="267"/>
      <c r="I921" s="267"/>
    </row>
    <row r="922" spans="1:9" ht="14.25" customHeight="1">
      <c r="A922" s="271"/>
      <c r="B922" s="271"/>
      <c r="C922" s="191"/>
      <c r="D922" s="981"/>
      <c r="E922" s="981"/>
      <c r="F922" s="981"/>
      <c r="G922" s="188"/>
      <c r="H922" s="267"/>
      <c r="I922" s="267"/>
    </row>
    <row r="923" spans="1:9" ht="14.25" customHeight="1">
      <c r="A923" s="271"/>
      <c r="B923" s="271"/>
      <c r="C923" s="191"/>
      <c r="D923" s="981"/>
      <c r="E923" s="981"/>
      <c r="F923" s="981"/>
      <c r="G923" s="188"/>
      <c r="H923" s="267"/>
      <c r="I923" s="267"/>
    </row>
    <row r="924" spans="1:9" ht="14.25" customHeight="1">
      <c r="A924" s="271"/>
      <c r="B924" s="271"/>
      <c r="C924" s="191"/>
      <c r="D924" s="981"/>
      <c r="E924" s="981"/>
      <c r="F924" s="981"/>
      <c r="G924" s="188"/>
      <c r="H924" s="267"/>
      <c r="I924" s="267"/>
    </row>
    <row r="925" spans="1:9" ht="14.25" customHeight="1">
      <c r="A925" s="191"/>
      <c r="B925" s="191"/>
      <c r="C925" s="191"/>
      <c r="D925" s="981"/>
      <c r="E925" s="981"/>
      <c r="F925" s="981"/>
      <c r="G925" s="188"/>
      <c r="H925" s="267"/>
      <c r="I925" s="267"/>
    </row>
    <row r="926" spans="1:9" ht="14.25" customHeight="1">
      <c r="A926" s="191"/>
      <c r="B926" s="19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3"/>
      <c r="F928" s="188"/>
      <c r="G928" s="188"/>
      <c r="H928" s="267"/>
      <c r="I928" s="267"/>
    </row>
    <row r="929" spans="1:9" s="324" customFormat="1" ht="14.25" customHeight="1">
      <c r="A929" s="359"/>
      <c r="B929" s="624" t="s">
        <v>1440</v>
      </c>
      <c r="C929" s="360"/>
      <c r="D929" s="981" t="s">
        <v>1806</v>
      </c>
      <c r="E929" s="981"/>
      <c r="F929" s="981"/>
      <c r="G929" s="362"/>
      <c r="H929" s="363"/>
      <c r="I929" s="363"/>
    </row>
    <row r="930" spans="1:9" s="324" customFormat="1" ht="14.25" customHeight="1">
      <c r="A930" s="359"/>
      <c r="B930" s="359"/>
      <c r="C930" s="360"/>
      <c r="D930" s="981"/>
      <c r="E930" s="981"/>
      <c r="F930" s="981"/>
      <c r="G930" s="362"/>
      <c r="H930" s="363"/>
      <c r="I930" s="363"/>
    </row>
    <row r="931" spans="1:9" s="324" customFormat="1" ht="14.25" customHeight="1">
      <c r="A931" s="359"/>
      <c r="B931" s="359"/>
      <c r="C931" s="360"/>
      <c r="D931" s="981"/>
      <c r="E931" s="981"/>
      <c r="F931" s="981"/>
      <c r="G931" s="362"/>
      <c r="H931" s="363"/>
      <c r="I931" s="363"/>
    </row>
    <row r="932" spans="1:9" s="324" customFormat="1" ht="14.25" customHeight="1">
      <c r="A932" s="359"/>
      <c r="B932" s="359"/>
      <c r="C932" s="360"/>
      <c r="D932" s="981"/>
      <c r="E932" s="981"/>
      <c r="F932" s="981"/>
      <c r="G932" s="362"/>
      <c r="H932" s="363"/>
      <c r="I932" s="363"/>
    </row>
    <row r="933" spans="1:9" s="324" customFormat="1" ht="14.25" customHeight="1">
      <c r="A933" s="359"/>
      <c r="B933" s="359"/>
      <c r="C933" s="360"/>
      <c r="D933" s="981"/>
      <c r="E933" s="981"/>
      <c r="F933" s="981"/>
      <c r="G933" s="362"/>
      <c r="H933" s="363"/>
      <c r="I933" s="363"/>
    </row>
    <row r="934" spans="1:9" s="324" customFormat="1">
      <c r="A934" s="359"/>
      <c r="B934" s="359"/>
      <c r="C934" s="360"/>
      <c r="D934" s="981"/>
      <c r="E934" s="981"/>
      <c r="F934" s="981"/>
      <c r="G934" s="362"/>
      <c r="H934" s="363"/>
      <c r="I934" s="363"/>
    </row>
    <row r="935" spans="1:9" s="324" customFormat="1" ht="14.25" customHeight="1">
      <c r="A935" s="359"/>
      <c r="B935" s="359"/>
      <c r="C935" s="360"/>
      <c r="D935" s="981"/>
      <c r="E935" s="981"/>
      <c r="F935" s="981"/>
      <c r="G935" s="362"/>
      <c r="H935" s="363"/>
      <c r="I935" s="363"/>
    </row>
    <row r="936" spans="1:9" s="324" customFormat="1" ht="14.25" customHeight="1">
      <c r="A936" s="359"/>
      <c r="B936" s="359"/>
      <c r="C936" s="360"/>
      <c r="D936" s="981"/>
      <c r="E936" s="981"/>
      <c r="F936" s="981"/>
      <c r="G936" s="362"/>
      <c r="H936" s="363"/>
      <c r="I936" s="363"/>
    </row>
    <row r="937" spans="1:9" s="324" customFormat="1" ht="14.25" customHeight="1">
      <c r="A937" s="359"/>
      <c r="B937" s="359"/>
      <c r="C937" s="360"/>
      <c r="D937" s="981"/>
      <c r="E937" s="981"/>
      <c r="F937" s="981"/>
      <c r="G937" s="362"/>
      <c r="H937" s="363"/>
      <c r="I937" s="363"/>
    </row>
    <row r="938" spans="1:9" ht="14.25" customHeight="1">
      <c r="A938" s="191"/>
      <c r="B938" s="191"/>
      <c r="C938" s="191"/>
      <c r="D938" s="3"/>
      <c r="F938" s="188"/>
      <c r="G938" s="188"/>
      <c r="H938" s="267"/>
      <c r="I938" s="267"/>
    </row>
    <row r="939" spans="1:9" ht="14.25" customHeight="1">
      <c r="A939" s="271"/>
      <c r="B939" s="624" t="s">
        <v>1440</v>
      </c>
      <c r="C939" s="191"/>
      <c r="D939" s="1008" t="s">
        <v>1719</v>
      </c>
      <c r="E939" s="1008"/>
      <c r="F939" s="1008"/>
      <c r="G939" s="188"/>
      <c r="H939" s="267"/>
      <c r="I939" s="267"/>
    </row>
    <row r="940" spans="1:9" ht="14.25" customHeight="1">
      <c r="A940" s="271"/>
      <c r="B940" s="271"/>
      <c r="C940" s="191"/>
      <c r="D940" s="1008"/>
      <c r="E940" s="1008"/>
      <c r="F940" s="1008"/>
      <c r="G940" s="188"/>
      <c r="H940" s="267"/>
      <c r="I940" s="267"/>
    </row>
    <row r="941" spans="1:9" ht="14.25" customHeight="1">
      <c r="A941" s="271"/>
      <c r="B941" s="271"/>
      <c r="C941" s="191"/>
      <c r="D941" s="1008"/>
      <c r="E941" s="1008"/>
      <c r="F941" s="1008"/>
      <c r="G941" s="188"/>
      <c r="H941" s="267"/>
      <c r="I941" s="267"/>
    </row>
    <row r="942" spans="1:9" ht="14.25" customHeight="1">
      <c r="A942" s="271"/>
      <c r="B942" s="271"/>
      <c r="C942" s="191"/>
      <c r="D942" s="1008"/>
      <c r="E942" s="1008"/>
      <c r="F942" s="1008"/>
      <c r="G942" s="188"/>
      <c r="H942" s="267"/>
      <c r="I942" s="267"/>
    </row>
    <row r="943" spans="1:9" ht="14.25" customHeight="1">
      <c r="A943" s="271"/>
      <c r="B943" s="271"/>
      <c r="C943" s="191"/>
      <c r="D943" s="1008"/>
      <c r="E943" s="1008"/>
      <c r="F943" s="1008"/>
      <c r="G943" s="188"/>
      <c r="H943" s="267"/>
      <c r="I943" s="267"/>
    </row>
    <row r="944" spans="1:9" ht="14.25" customHeight="1">
      <c r="A944" s="271"/>
      <c r="B944" s="271"/>
      <c r="C944" s="191"/>
      <c r="D944" s="1008"/>
      <c r="E944" s="1008"/>
      <c r="F944" s="1008"/>
      <c r="G944" s="188"/>
      <c r="H944" s="267"/>
      <c r="I944" s="267"/>
    </row>
    <row r="945" spans="1:9" ht="14.25" customHeight="1">
      <c r="A945" s="271"/>
      <c r="B945" s="271"/>
      <c r="C945" s="191"/>
      <c r="D945" s="1008"/>
      <c r="E945" s="1008"/>
      <c r="F945" s="1008"/>
      <c r="G945" s="188"/>
      <c r="H945" s="267"/>
      <c r="I945" s="267"/>
    </row>
    <row r="946" spans="1:9" ht="14.25" customHeight="1">
      <c r="A946" s="271"/>
      <c r="B946" s="271"/>
      <c r="C946" s="191"/>
      <c r="D946" s="377"/>
      <c r="F946" s="188"/>
      <c r="G946" s="188"/>
      <c r="H946" s="267"/>
      <c r="I946" s="267"/>
    </row>
    <row r="947" spans="1:9" s="460" customFormat="1">
      <c r="A947" s="271"/>
      <c r="B947" s="624" t="s">
        <v>132</v>
      </c>
      <c r="C947" s="191"/>
      <c r="D947" s="981" t="s">
        <v>1720</v>
      </c>
      <c r="E947" s="981"/>
      <c r="F947" s="981"/>
      <c r="G947" s="188"/>
    </row>
    <row r="948" spans="1:9" s="460" customFormat="1">
      <c r="A948" s="271"/>
      <c r="B948" s="271"/>
      <c r="C948" s="191"/>
      <c r="D948" s="981"/>
      <c r="E948" s="981"/>
      <c r="F948" s="981"/>
      <c r="G948" s="188"/>
    </row>
    <row r="949" spans="1:9" s="460" customFormat="1">
      <c r="A949" s="271"/>
      <c r="B949" s="271"/>
      <c r="C949" s="191"/>
      <c r="D949" s="981"/>
      <c r="E949" s="981"/>
      <c r="F949" s="981"/>
      <c r="G949" s="188"/>
    </row>
    <row r="950" spans="1:9" s="460" customFormat="1">
      <c r="A950" s="271"/>
      <c r="B950" s="271"/>
      <c r="C950" s="191"/>
      <c r="D950" s="981"/>
      <c r="E950" s="981"/>
      <c r="F950" s="981"/>
      <c r="G950" s="188"/>
    </row>
    <row r="951" spans="1:9" s="460" customFormat="1">
      <c r="A951" s="271"/>
      <c r="B951" s="271"/>
      <c r="C951" s="191"/>
      <c r="D951" s="3"/>
      <c r="E951" s="5"/>
      <c r="F951" s="188"/>
      <c r="G951" s="188"/>
    </row>
    <row r="952" spans="1:9" ht="14.25" customHeight="1">
      <c r="A952" s="18"/>
      <c r="B952" s="18"/>
      <c r="C952" s="207"/>
      <c r="D952" s="980" t="s">
        <v>1721</v>
      </c>
      <c r="E952" s="980"/>
      <c r="F952" s="980"/>
      <c r="G952" s="188"/>
      <c r="H952" s="267"/>
      <c r="I952" s="267"/>
    </row>
    <row r="953" spans="1:9" ht="14.25" customHeight="1">
      <c r="A953" s="207"/>
      <c r="B953" s="207"/>
      <c r="C953" s="207"/>
      <c r="D953" s="980"/>
      <c r="E953" s="980"/>
      <c r="F953" s="980"/>
      <c r="G953" s="188"/>
      <c r="H953" s="267"/>
      <c r="I953" s="267"/>
    </row>
    <row r="954" spans="1:9" ht="14.25" customHeight="1">
      <c r="A954" s="207"/>
      <c r="B954" s="207"/>
      <c r="C954" s="207"/>
      <c r="D954" s="3"/>
      <c r="E954" s="188"/>
      <c r="F954" s="188"/>
      <c r="G954" s="188"/>
      <c r="H954" s="267"/>
      <c r="I954" s="267"/>
    </row>
    <row r="955" spans="1:9">
      <c r="A955" s="271"/>
      <c r="B955" s="624" t="s">
        <v>1440</v>
      </c>
      <c r="D955" s="980" t="s">
        <v>1722</v>
      </c>
      <c r="E955" s="980"/>
      <c r="F955" s="980"/>
    </row>
    <row r="956" spans="1:9" ht="12.45">
      <c r="D956" s="980"/>
      <c r="E956" s="980"/>
      <c r="F956" s="980"/>
    </row>
    <row r="957" spans="1:9" ht="14.25" customHeight="1">
      <c r="A957" s="207"/>
      <c r="B957" s="207"/>
      <c r="C957" s="207"/>
      <c r="D957" s="3"/>
      <c r="E957" s="188"/>
      <c r="F957" s="188"/>
      <c r="G957" s="188"/>
      <c r="H957" s="267"/>
      <c r="I957" s="267"/>
    </row>
    <row r="958" spans="1:9" ht="14.25" customHeight="1">
      <c r="A958" s="191"/>
      <c r="B958" s="191"/>
      <c r="C958" s="191"/>
      <c r="D958" s="1004" t="s">
        <v>1711</v>
      </c>
      <c r="E958" s="1004"/>
      <c r="F958" s="1004"/>
      <c r="G958" s="188"/>
      <c r="H958" s="267"/>
      <c r="I958" s="267"/>
    </row>
    <row r="959" spans="1:9" ht="14.25" customHeight="1">
      <c r="A959" s="191"/>
      <c r="B959" s="191"/>
      <c r="C959" s="191"/>
      <c r="D959" s="192"/>
      <c r="F959" s="188"/>
      <c r="G959" s="188"/>
      <c r="H959" s="267"/>
      <c r="I959" s="267"/>
    </row>
    <row r="960" spans="1:9" ht="14.4" customHeight="1">
      <c r="A960" s="271"/>
      <c r="B960" s="624" t="s">
        <v>132</v>
      </c>
      <c r="C960" s="207"/>
      <c r="D960" s="1003" t="s">
        <v>1710</v>
      </c>
      <c r="E960" s="1003"/>
      <c r="F960" s="1003"/>
      <c r="G960" s="188"/>
      <c r="H960" s="267"/>
      <c r="I960" s="267"/>
    </row>
    <row r="961" spans="1:9" ht="12.45">
      <c r="A961" s="207"/>
      <c r="B961" s="207"/>
      <c r="C961" s="207"/>
      <c r="D961" s="1003"/>
      <c r="E961" s="1003"/>
      <c r="F961" s="1003"/>
      <c r="G961" s="188"/>
      <c r="H961" s="267"/>
      <c r="I961" s="267"/>
    </row>
    <row r="962" spans="1:9" ht="12.45">
      <c r="A962" s="207"/>
      <c r="B962" s="207"/>
      <c r="C962" s="207"/>
      <c r="D962" s="1003"/>
      <c r="E962" s="1003"/>
      <c r="F962" s="1003"/>
      <c r="G962" s="188"/>
      <c r="H962" s="267"/>
      <c r="I962" s="267"/>
    </row>
    <row r="963" spans="1:9" ht="12.45">
      <c r="A963" s="207"/>
      <c r="B963" s="207"/>
      <c r="C963" s="207"/>
      <c r="D963" s="1003"/>
      <c r="E963" s="1003"/>
      <c r="F963" s="1003"/>
      <c r="G963" s="188"/>
      <c r="H963" s="267"/>
      <c r="I963" s="267"/>
    </row>
    <row r="964" spans="1:9" ht="12.45">
      <c r="A964" s="207"/>
      <c r="B964" s="207"/>
      <c r="C964" s="207"/>
      <c r="D964" s="1003"/>
      <c r="E964" s="1003"/>
      <c r="F964" s="1003"/>
      <c r="G964" s="188"/>
      <c r="H964" s="267"/>
      <c r="I964" s="267"/>
    </row>
    <row r="965" spans="1:9" ht="12.45">
      <c r="A965" s="207"/>
      <c r="B965" s="207"/>
      <c r="C965" s="207"/>
      <c r="D965" s="1003"/>
      <c r="E965" s="1003"/>
      <c r="F965" s="1003"/>
      <c r="G965" s="188"/>
      <c r="H965" s="267"/>
      <c r="I965" s="267"/>
    </row>
    <row r="966" spans="1:9" ht="12.45">
      <c r="A966" s="207"/>
      <c r="B966" s="207"/>
      <c r="C966" s="207"/>
      <c r="D966" s="628"/>
      <c r="E966" s="628"/>
      <c r="F966" s="628"/>
      <c r="G966" s="188"/>
      <c r="H966" s="267"/>
      <c r="I966" s="267"/>
    </row>
    <row r="967" spans="1:9" ht="14.4" customHeight="1">
      <c r="A967" s="271"/>
      <c r="B967" s="624" t="s">
        <v>132</v>
      </c>
      <c r="C967" s="207"/>
      <c r="D967" s="1003" t="s">
        <v>1709</v>
      </c>
      <c r="E967" s="1003"/>
      <c r="F967" s="1003"/>
      <c r="G967" s="188"/>
      <c r="H967" s="267"/>
      <c r="I967" s="267"/>
    </row>
    <row r="968" spans="1:9" ht="12.45">
      <c r="A968" s="207"/>
      <c r="B968" s="207"/>
      <c r="C968" s="207"/>
      <c r="D968" s="1003"/>
      <c r="E968" s="1003"/>
      <c r="F968" s="1003"/>
      <c r="G968" s="188"/>
      <c r="H968" s="267"/>
      <c r="I968" s="267"/>
    </row>
    <row r="969" spans="1:9" ht="12.45">
      <c r="A969" s="207"/>
      <c r="B969" s="207"/>
      <c r="C969" s="207"/>
      <c r="D969" s="1003"/>
      <c r="E969" s="1003"/>
      <c r="F969" s="1003"/>
      <c r="G969" s="188"/>
      <c r="H969" s="267"/>
      <c r="I969" s="267"/>
    </row>
    <row r="970" spans="1:9" ht="12.45">
      <c r="A970" s="207"/>
      <c r="B970" s="207"/>
      <c r="C970" s="207"/>
      <c r="D970" s="1003"/>
      <c r="E970" s="1003"/>
      <c r="F970" s="1003"/>
      <c r="G970" s="188"/>
      <c r="H970" s="267"/>
      <c r="I970" s="267"/>
    </row>
    <row r="971" spans="1:9" ht="12.45">
      <c r="A971" s="207"/>
      <c r="B971" s="207"/>
      <c r="C971" s="207"/>
      <c r="D971" s="1003"/>
      <c r="E971" s="1003"/>
      <c r="F971" s="1003"/>
      <c r="G971" s="188"/>
      <c r="H971" s="267"/>
      <c r="I971" s="267"/>
    </row>
    <row r="972" spans="1:9" ht="12.45">
      <c r="A972" s="207"/>
      <c r="B972" s="207"/>
      <c r="C972" s="207"/>
      <c r="D972" s="375"/>
      <c r="E972" s="188"/>
      <c r="F972" s="188"/>
      <c r="G972" s="188"/>
      <c r="H972" s="267"/>
      <c r="I972" s="267"/>
    </row>
    <row r="973" spans="1:9">
      <c r="A973" s="271"/>
      <c r="B973" s="624" t="s">
        <v>132</v>
      </c>
      <c r="C973" s="207"/>
      <c r="D973" s="1003" t="s">
        <v>1712</v>
      </c>
      <c r="E973" s="1003"/>
      <c r="F973" s="1003"/>
      <c r="G973" s="188"/>
      <c r="H973" s="267"/>
      <c r="I973" s="267"/>
    </row>
    <row r="974" spans="1:9" ht="12.45">
      <c r="A974" s="207"/>
      <c r="B974" s="207"/>
      <c r="C974" s="207"/>
      <c r="D974" s="1003"/>
      <c r="E974" s="1003"/>
      <c r="F974" s="1003"/>
      <c r="G974" s="188"/>
      <c r="H974" s="267"/>
      <c r="I974" s="267"/>
    </row>
    <row r="975" spans="1:9" ht="12.45">
      <c r="A975" s="207"/>
      <c r="B975" s="207"/>
      <c r="C975" s="207"/>
      <c r="D975" s="1003"/>
      <c r="E975" s="1003"/>
      <c r="F975" s="1003"/>
      <c r="G975" s="188"/>
      <c r="H975" s="267"/>
      <c r="I975" s="267"/>
    </row>
    <row r="976" spans="1:9" ht="12.45">
      <c r="A976" s="207"/>
      <c r="B976" s="207"/>
      <c r="C976" s="207"/>
      <c r="D976" s="1003"/>
      <c r="E976" s="1003"/>
      <c r="F976" s="1003"/>
      <c r="G976" s="188"/>
      <c r="H976" s="267"/>
      <c r="I976" s="267"/>
    </row>
    <row r="977" spans="1:9" ht="12.45">
      <c r="A977" s="207"/>
      <c r="B977" s="207"/>
      <c r="C977" s="207"/>
      <c r="D977" s="1003"/>
      <c r="E977" s="1003"/>
      <c r="F977" s="1003"/>
      <c r="G977" s="188"/>
      <c r="H977" s="267"/>
      <c r="I977" s="267"/>
    </row>
    <row r="978" spans="1:9" ht="12.45">
      <c r="A978" s="207"/>
      <c r="B978" s="207"/>
      <c r="C978" s="207"/>
      <c r="D978" s="375"/>
      <c r="E978" s="188"/>
      <c r="F978" s="188"/>
      <c r="G978" s="188"/>
      <c r="H978" s="267"/>
      <c r="I978" s="267"/>
    </row>
    <row r="979" spans="1:9" ht="14.4" customHeight="1">
      <c r="A979" s="271"/>
      <c r="B979" s="624" t="s">
        <v>132</v>
      </c>
      <c r="C979" s="207"/>
      <c r="D979" s="1003" t="s">
        <v>1713</v>
      </c>
      <c r="E979" s="1003"/>
      <c r="F979" s="1003"/>
      <c r="G979" s="188"/>
      <c r="H979" s="267"/>
      <c r="I979" s="267"/>
    </row>
    <row r="980" spans="1:9" ht="12.45">
      <c r="A980" s="207"/>
      <c r="B980" s="207"/>
      <c r="C980" s="207"/>
      <c r="D980" s="1003"/>
      <c r="E980" s="1003"/>
      <c r="F980" s="1003"/>
      <c r="G980" s="188"/>
      <c r="H980" s="267"/>
      <c r="I980" s="267"/>
    </row>
    <row r="981" spans="1:9" ht="12.45">
      <c r="A981" s="207"/>
      <c r="B981" s="207"/>
      <c r="C981" s="207"/>
      <c r="D981" s="1003"/>
      <c r="E981" s="1003"/>
      <c r="F981" s="1003"/>
      <c r="G981" s="188"/>
      <c r="H981" s="267"/>
      <c r="I981" s="267"/>
    </row>
    <row r="982" spans="1:9" ht="12.45">
      <c r="A982" s="207"/>
      <c r="B982" s="207"/>
      <c r="C982" s="207"/>
      <c r="D982" s="628"/>
      <c r="E982" s="628"/>
      <c r="F982" s="628"/>
      <c r="G982" s="188"/>
      <c r="H982" s="267"/>
      <c r="I982" s="267"/>
    </row>
    <row r="983" spans="1:9">
      <c r="A983" s="271"/>
      <c r="B983" s="624" t="s">
        <v>1440</v>
      </c>
      <c r="C983" s="207"/>
      <c r="D983" s="1003" t="s">
        <v>1714</v>
      </c>
      <c r="E983" s="1003"/>
      <c r="F983" s="1003"/>
      <c r="G983" s="188"/>
      <c r="H983" s="267"/>
      <c r="I983" s="267"/>
    </row>
    <row r="984" spans="1:9" ht="12.45">
      <c r="A984" s="207"/>
      <c r="B984" s="207"/>
      <c r="C984" s="207"/>
      <c r="D984" s="1003"/>
      <c r="E984" s="1003"/>
      <c r="F984" s="1003"/>
      <c r="G984" s="188"/>
      <c r="H984" s="267"/>
      <c r="I984" s="267"/>
    </row>
    <row r="985" spans="1:9" ht="12.45">
      <c r="A985" s="207"/>
      <c r="B985" s="207"/>
      <c r="C985" s="207"/>
      <c r="D985" s="375"/>
      <c r="E985" s="188"/>
      <c r="F985" s="188"/>
      <c r="G985" s="188"/>
      <c r="H985" s="267"/>
      <c r="I985" s="267"/>
    </row>
    <row r="986" spans="1:9" ht="12.45">
      <c r="A986" s="207"/>
      <c r="B986" s="624" t="s">
        <v>132</v>
      </c>
      <c r="C986" s="207"/>
      <c r="D986" s="980" t="s">
        <v>1715</v>
      </c>
      <c r="E986" s="980"/>
      <c r="F986" s="980"/>
      <c r="G986" s="188"/>
      <c r="H986" s="267"/>
      <c r="I986" s="267"/>
    </row>
    <row r="987" spans="1:9" ht="12.45">
      <c r="A987" s="207"/>
      <c r="B987" s="207"/>
      <c r="C987" s="207"/>
      <c r="D987" s="980"/>
      <c r="E987" s="980"/>
      <c r="F987" s="980"/>
      <c r="G987" s="188"/>
      <c r="H987" s="267"/>
      <c r="I987" s="267"/>
    </row>
    <row r="988" spans="1:9" ht="12.45">
      <c r="A988" s="207"/>
      <c r="B988" s="207"/>
      <c r="C988" s="207"/>
      <c r="D988" s="188"/>
      <c r="E988" s="188"/>
      <c r="F988" s="188"/>
      <c r="G988" s="188"/>
      <c r="H988" s="267"/>
      <c r="I988" s="267"/>
    </row>
    <row r="989" spans="1:9" ht="12.45">
      <c r="A989" s="207"/>
      <c r="B989" s="624" t="s">
        <v>132</v>
      </c>
      <c r="C989" s="207"/>
      <c r="D989" s="1005" t="s">
        <v>1849</v>
      </c>
      <c r="E989" s="1006"/>
      <c r="F989" s="1006"/>
      <c r="G989" s="188"/>
      <c r="H989" s="267"/>
      <c r="I989" s="267"/>
    </row>
    <row r="990" spans="1:9" ht="12.45">
      <c r="A990" s="207"/>
      <c r="B990" s="207"/>
      <c r="C990" s="207"/>
      <c r="D990" s="1005"/>
      <c r="E990" s="1006"/>
      <c r="F990" s="1006"/>
      <c r="G990" s="188"/>
      <c r="H990" s="267"/>
      <c r="I990" s="267"/>
    </row>
    <row r="991" spans="1:9" ht="12.45">
      <c r="A991" s="207"/>
      <c r="B991" s="207"/>
      <c r="C991" s="207"/>
      <c r="D991" s="1005"/>
      <c r="E991" s="1006"/>
      <c r="F991" s="1006"/>
      <c r="G991" s="188"/>
      <c r="H991" s="267"/>
      <c r="I991" s="267"/>
    </row>
    <row r="992" spans="1:9" ht="12.45">
      <c r="A992" s="207"/>
      <c r="B992" s="207"/>
      <c r="C992" s="207"/>
      <c r="D992" s="1006"/>
      <c r="E992" s="1006"/>
      <c r="F992" s="1006"/>
      <c r="G992" s="188"/>
      <c r="H992" s="267"/>
      <c r="I992" s="267"/>
    </row>
    <row r="993" spans="1:9" ht="12.45">
      <c r="A993" s="207"/>
      <c r="B993" s="207"/>
      <c r="C993" s="207"/>
      <c r="D993" s="44"/>
      <c r="E993" s="188"/>
      <c r="F993" s="188"/>
      <c r="G993" s="188"/>
      <c r="H993" s="267"/>
      <c r="I993" s="267"/>
    </row>
    <row r="994" spans="1:9" ht="12.45">
      <c r="A994" s="207"/>
      <c r="B994" s="624" t="s">
        <v>132</v>
      </c>
      <c r="C994" s="207"/>
      <c r="D994" s="1000" t="s">
        <v>2282</v>
      </c>
      <c r="E994" s="1000"/>
      <c r="F994" s="1000"/>
      <c r="G994" s="188"/>
      <c r="H994" s="267"/>
      <c r="I994" s="267"/>
    </row>
    <row r="995" spans="1:9" ht="12.45">
      <c r="A995" s="207"/>
      <c r="B995" s="207"/>
      <c r="C995" s="207"/>
      <c r="D995" s="44"/>
      <c r="E995" s="188"/>
      <c r="F995" s="188"/>
      <c r="G995" s="188"/>
      <c r="H995" s="267"/>
      <c r="I995" s="267"/>
    </row>
    <row r="996" spans="1:9" ht="12.45">
      <c r="A996" s="207"/>
      <c r="B996" s="624" t="s">
        <v>132</v>
      </c>
      <c r="C996" s="207"/>
      <c r="D996" s="1000" t="s">
        <v>2283</v>
      </c>
      <c r="E996" s="1000"/>
      <c r="F996" s="1000"/>
      <c r="G996" s="188"/>
      <c r="H996" s="267"/>
      <c r="I996" s="267"/>
    </row>
    <row r="997" spans="1:9" ht="12.8" customHeight="1">
      <c r="A997" s="207"/>
      <c r="B997" s="207"/>
      <c r="C997" s="207"/>
      <c r="D997" s="188"/>
      <c r="E997" s="188"/>
      <c r="F997" s="188"/>
      <c r="G997" s="188"/>
      <c r="H997" s="267"/>
      <c r="I997" s="267"/>
    </row>
    <row r="998" spans="1:9" ht="13.1">
      <c r="A998" s="207"/>
      <c r="C998" s="207"/>
      <c r="D998" s="1001" t="s">
        <v>1547</v>
      </c>
      <c r="E998" s="1001"/>
      <c r="F998" s="1001"/>
      <c r="G998" s="188"/>
      <c r="H998" s="267"/>
      <c r="I998" s="267"/>
    </row>
    <row r="999" spans="1:9" ht="13.1">
      <c r="A999" s="207"/>
      <c r="C999" s="207"/>
      <c r="D999" s="192"/>
      <c r="E999" s="188"/>
      <c r="F999" s="188"/>
      <c r="G999" s="188"/>
      <c r="H999" s="267"/>
      <c r="I999" s="267"/>
    </row>
    <row r="1000" spans="1:9">
      <c r="A1000" s="271"/>
      <c r="B1000" s="624" t="s">
        <v>1440</v>
      </c>
      <c r="C1000" s="207"/>
      <c r="D1000" s="980" t="s">
        <v>1716</v>
      </c>
      <c r="E1000" s="980"/>
      <c r="F1000" s="980"/>
      <c r="G1000" s="188"/>
      <c r="H1000" s="267"/>
      <c r="I1000" s="267"/>
    </row>
    <row r="1001" spans="1:9" ht="12.45">
      <c r="A1001" s="207"/>
      <c r="B1001" s="207"/>
      <c r="C1001" s="207"/>
      <c r="D1001" s="980"/>
      <c r="E1001" s="980"/>
      <c r="F1001" s="980"/>
      <c r="G1001" s="188"/>
      <c r="H1001" s="267"/>
      <c r="I1001" s="267"/>
    </row>
    <row r="1002" spans="1:9" ht="12.45">
      <c r="A1002" s="207"/>
      <c r="B1002" s="207"/>
      <c r="C1002" s="207"/>
      <c r="D1002" s="980"/>
      <c r="E1002" s="980"/>
      <c r="F1002" s="980"/>
      <c r="G1002" s="188"/>
      <c r="H1002" s="267"/>
      <c r="I1002" s="267"/>
    </row>
    <row r="1003" spans="1:9" ht="12.45">
      <c r="A1003" s="207"/>
      <c r="B1003" s="207"/>
      <c r="C1003" s="207"/>
      <c r="D1003" s="980"/>
      <c r="E1003" s="980"/>
      <c r="F1003" s="980"/>
      <c r="G1003" s="188"/>
      <c r="H1003" s="267"/>
      <c r="I1003" s="267"/>
    </row>
    <row r="1004" spans="1:9" ht="12.45">
      <c r="A1004" s="207"/>
      <c r="B1004" s="207"/>
      <c r="C1004" s="207"/>
      <c r="D1004" s="980"/>
      <c r="E1004" s="980"/>
      <c r="F1004" s="980"/>
      <c r="G1004" s="188"/>
      <c r="H1004" s="267"/>
      <c r="I1004" s="267"/>
    </row>
    <row r="1005" spans="1:9" ht="12.45">
      <c r="A1005" s="207"/>
      <c r="B1005" s="207"/>
      <c r="C1005" s="207"/>
      <c r="G1005" s="188"/>
      <c r="H1005" s="267"/>
      <c r="I1005" s="267"/>
    </row>
    <row r="1006" spans="1:9">
      <c r="A1006" s="271"/>
      <c r="B1006" s="624" t="s">
        <v>132</v>
      </c>
      <c r="C1006" s="207"/>
      <c r="D1006" s="980" t="s">
        <v>1717</v>
      </c>
      <c r="E1006" s="980"/>
      <c r="F1006" s="980"/>
      <c r="G1006" s="188"/>
      <c r="H1006" s="267"/>
      <c r="I1006" s="267"/>
    </row>
    <row r="1007" spans="1:9" ht="12.45">
      <c r="A1007" s="207"/>
      <c r="B1007" s="207"/>
      <c r="C1007" s="207"/>
      <c r="D1007" s="980"/>
      <c r="E1007" s="980"/>
      <c r="F1007" s="980"/>
      <c r="G1007" s="188"/>
      <c r="H1007" s="267"/>
      <c r="I1007" s="267"/>
    </row>
    <row r="1008" spans="1:9" ht="12.45">
      <c r="A1008" s="207"/>
      <c r="B1008" s="207"/>
      <c r="C1008" s="207"/>
      <c r="D1008" s="980"/>
      <c r="E1008" s="980"/>
      <c r="F1008" s="980"/>
      <c r="G1008" s="188"/>
      <c r="H1008" s="267"/>
      <c r="I1008" s="267"/>
    </row>
    <row r="1009" spans="1:9" ht="12.45">
      <c r="A1009" s="207"/>
      <c r="B1009" s="207"/>
      <c r="C1009" s="207"/>
      <c r="D1009" s="980"/>
      <c r="E1009" s="980"/>
      <c r="F1009" s="980"/>
      <c r="G1009" s="188"/>
      <c r="H1009" s="267"/>
      <c r="I1009" s="267"/>
    </row>
    <row r="1010" spans="1:9" ht="12.45">
      <c r="A1010" s="207"/>
      <c r="B1010" s="207"/>
      <c r="C1010" s="207"/>
      <c r="D1010" s="980"/>
      <c r="E1010" s="980"/>
      <c r="F1010" s="980"/>
      <c r="G1010" s="188"/>
      <c r="H1010" s="267"/>
      <c r="I1010" s="267"/>
    </row>
    <row r="1011" spans="1:9" ht="12.45">
      <c r="A1011" s="207"/>
      <c r="B1011" s="207"/>
      <c r="C1011" s="207"/>
      <c r="D1011" s="188"/>
      <c r="E1011" s="188"/>
      <c r="F1011" s="188"/>
      <c r="G1011" s="188"/>
      <c r="H1011" s="267"/>
      <c r="I1011" s="267"/>
    </row>
    <row r="1012" spans="1:9" ht="13.1">
      <c r="A1012" s="207"/>
      <c r="B1012" s="207"/>
      <c r="C1012" s="207"/>
      <c r="D1012" s="1001" t="s">
        <v>1548</v>
      </c>
      <c r="E1012" s="1001"/>
      <c r="F1012" s="1001"/>
      <c r="G1012" s="188"/>
      <c r="H1012" s="267"/>
      <c r="I1012" s="267"/>
    </row>
    <row r="1013" spans="1:9" ht="13.1">
      <c r="A1013" s="207"/>
      <c r="B1013" s="207"/>
      <c r="C1013" s="207"/>
      <c r="D1013" s="192"/>
      <c r="E1013" s="188"/>
      <c r="F1013" s="188"/>
      <c r="G1013" s="188"/>
      <c r="H1013" s="267"/>
      <c r="I1013" s="267"/>
    </row>
    <row r="1014" spans="1:9">
      <c r="A1014" s="271"/>
      <c r="B1014" s="624" t="s">
        <v>1440</v>
      </c>
      <c r="C1014" s="207"/>
      <c r="D1014" s="980" t="s">
        <v>1723</v>
      </c>
      <c r="E1014" s="980"/>
      <c r="F1014" s="980"/>
      <c r="G1014" s="188"/>
      <c r="H1014" s="267"/>
      <c r="I1014" s="267"/>
    </row>
    <row r="1015" spans="1:9" ht="12.45">
      <c r="A1015" s="207"/>
      <c r="B1015" s="207"/>
      <c r="C1015" s="207"/>
      <c r="D1015" s="980"/>
      <c r="E1015" s="980"/>
      <c r="F1015" s="980"/>
      <c r="G1015" s="188"/>
      <c r="H1015" s="267"/>
      <c r="I1015" s="267"/>
    </row>
    <row r="1016" spans="1:9" ht="12.45">
      <c r="A1016" s="207"/>
      <c r="B1016" s="207"/>
      <c r="C1016" s="207"/>
      <c r="D1016" s="980"/>
      <c r="E1016" s="980"/>
      <c r="F1016" s="980"/>
      <c r="G1016" s="188"/>
      <c r="H1016" s="267"/>
      <c r="I1016" s="267"/>
    </row>
    <row r="1017" spans="1:9" ht="12.45">
      <c r="A1017" s="207"/>
      <c r="B1017" s="207"/>
      <c r="C1017" s="207"/>
      <c r="G1017" s="188"/>
      <c r="H1017" s="267"/>
      <c r="I1017" s="267"/>
    </row>
    <row r="1018" spans="1:9">
      <c r="A1018" s="271"/>
      <c r="B1018" s="624" t="s">
        <v>132</v>
      </c>
      <c r="C1018" s="207"/>
      <c r="D1018" s="980" t="s">
        <v>1724</v>
      </c>
      <c r="E1018" s="980"/>
      <c r="F1018" s="980"/>
      <c r="G1018" s="188"/>
      <c r="H1018" s="267"/>
      <c r="I1018" s="267"/>
    </row>
    <row r="1019" spans="1:9" ht="12.45">
      <c r="A1019" s="207"/>
      <c r="B1019" s="207"/>
      <c r="C1019" s="207"/>
      <c r="D1019" s="980"/>
      <c r="E1019" s="980"/>
      <c r="F1019" s="980"/>
      <c r="G1019" s="188"/>
      <c r="H1019" s="267"/>
      <c r="I1019" s="267"/>
    </row>
    <row r="1020" spans="1:9" ht="12.45">
      <c r="A1020" s="207"/>
      <c r="B1020" s="207"/>
      <c r="C1020" s="207"/>
      <c r="D1020" s="980"/>
      <c r="E1020" s="980"/>
      <c r="F1020" s="980"/>
      <c r="G1020" s="188"/>
      <c r="H1020" s="267"/>
      <c r="I1020" s="267"/>
    </row>
    <row r="1021" spans="1:9" ht="12.45">
      <c r="A1021" s="207"/>
      <c r="B1021" s="207"/>
      <c r="C1021" s="207"/>
      <c r="D1021" s="44"/>
      <c r="E1021" s="188"/>
      <c r="F1021" s="188"/>
      <c r="G1021" s="188"/>
      <c r="H1021" s="267"/>
      <c r="I1021" s="267"/>
    </row>
    <row r="1022" spans="1:9" ht="13.1">
      <c r="A1022" s="207"/>
      <c r="B1022" s="207"/>
      <c r="C1022" s="207"/>
      <c r="D1022" s="1001" t="s">
        <v>1549</v>
      </c>
      <c r="E1022" s="1001"/>
      <c r="F1022" s="1001"/>
      <c r="G1022" s="188"/>
      <c r="H1022" s="267"/>
      <c r="I1022" s="267"/>
    </row>
    <row r="1023" spans="1:9" ht="13.1">
      <c r="A1023" s="207"/>
      <c r="B1023" s="207"/>
      <c r="C1023" s="207"/>
      <c r="D1023" s="192"/>
      <c r="E1023" s="188"/>
      <c r="F1023" s="188"/>
      <c r="G1023" s="188"/>
      <c r="H1023" s="267"/>
      <c r="I1023" s="267"/>
    </row>
    <row r="1024" spans="1:9" ht="14.25" customHeight="1">
      <c r="A1024" s="271"/>
      <c r="B1024" s="624" t="s">
        <v>1440</v>
      </c>
      <c r="C1024" s="207"/>
      <c r="D1024" s="980" t="s">
        <v>1726</v>
      </c>
      <c r="E1024" s="980"/>
      <c r="F1024" s="980"/>
      <c r="G1024" s="24"/>
      <c r="H1024" s="209"/>
      <c r="I1024" s="209"/>
    </row>
    <row r="1025" spans="1:9" ht="12.45">
      <c r="A1025" s="207"/>
      <c r="B1025" s="207"/>
      <c r="C1025" s="207"/>
      <c r="D1025" s="980"/>
      <c r="E1025" s="980"/>
      <c r="F1025" s="980"/>
      <c r="G1025" s="24"/>
      <c r="H1025" s="209"/>
      <c r="I1025" s="209"/>
    </row>
    <row r="1026" spans="1:9" ht="12.45">
      <c r="A1026" s="207"/>
      <c r="B1026" s="207"/>
      <c r="C1026" s="207"/>
      <c r="D1026" s="980"/>
      <c r="E1026" s="980"/>
      <c r="F1026" s="980"/>
      <c r="G1026" s="24"/>
      <c r="H1026" s="209"/>
      <c r="I1026" s="209"/>
    </row>
    <row r="1027" spans="1:9" ht="11.95" customHeight="1">
      <c r="A1027" s="207"/>
      <c r="B1027" s="207"/>
      <c r="C1027" s="207"/>
      <c r="D1027" s="209"/>
      <c r="E1027" s="209"/>
      <c r="F1027" s="209"/>
      <c r="G1027" s="209"/>
      <c r="H1027" s="209"/>
      <c r="I1027" s="209"/>
    </row>
    <row r="1028" spans="1:9" ht="12.8" customHeight="1">
      <c r="A1028" s="207"/>
      <c r="B1028" s="624" t="s">
        <v>132</v>
      </c>
      <c r="C1028" s="207"/>
      <c r="D1028" s="980" t="s">
        <v>1725</v>
      </c>
      <c r="E1028" s="980"/>
      <c r="F1028" s="980"/>
      <c r="G1028" s="209"/>
      <c r="H1028" s="267"/>
      <c r="I1028" s="267"/>
    </row>
    <row r="1029" spans="1:9" ht="12.45">
      <c r="A1029" s="207"/>
      <c r="B1029" s="207"/>
      <c r="C1029" s="207"/>
      <c r="D1029" s="980"/>
      <c r="E1029" s="980"/>
      <c r="F1029" s="980"/>
      <c r="G1029" s="209"/>
      <c r="H1029" s="267"/>
      <c r="I1029" s="267"/>
    </row>
    <row r="1030" spans="1:9" ht="12.45">
      <c r="A1030" s="207"/>
      <c r="B1030" s="207"/>
      <c r="C1030" s="207"/>
      <c r="D1030" s="980"/>
      <c r="E1030" s="980"/>
      <c r="F1030" s="980"/>
      <c r="G1030" s="209"/>
      <c r="H1030" s="267"/>
      <c r="I1030" s="267"/>
    </row>
    <row r="1031" spans="1:9" ht="11.95" customHeight="1">
      <c r="A1031" s="207"/>
      <c r="B1031" s="207"/>
      <c r="C1031" s="207"/>
      <c r="D1031" s="44"/>
      <c r="E1031" s="188"/>
      <c r="F1031" s="188"/>
      <c r="G1031" s="188"/>
      <c r="H1031" s="267"/>
      <c r="I1031" s="267"/>
    </row>
    <row r="1032" spans="1:9" ht="12.8" customHeight="1">
      <c r="A1032" s="207"/>
      <c r="B1032" s="624" t="s">
        <v>132</v>
      </c>
      <c r="C1032" s="207"/>
      <c r="D1032" s="978" t="s">
        <v>1727</v>
      </c>
      <c r="E1032" s="978"/>
      <c r="F1032" s="978"/>
      <c r="G1032" s="208"/>
      <c r="H1032" s="267"/>
      <c r="I1032" s="267"/>
    </row>
    <row r="1033" spans="1:9" ht="12.45">
      <c r="A1033" s="207"/>
      <c r="B1033" s="207"/>
      <c r="C1033" s="207"/>
      <c r="D1033" s="978"/>
      <c r="E1033" s="978"/>
      <c r="F1033" s="978"/>
      <c r="G1033" s="208"/>
      <c r="H1033" s="267"/>
      <c r="I1033" s="267"/>
    </row>
    <row r="1034" spans="1:9" ht="12.45">
      <c r="A1034" s="207"/>
      <c r="B1034" s="207"/>
      <c r="C1034" s="207"/>
      <c r="D1034" s="978"/>
      <c r="E1034" s="978"/>
      <c r="F1034" s="978"/>
      <c r="G1034" s="208"/>
      <c r="H1034" s="267"/>
      <c r="I1034" s="267"/>
    </row>
    <row r="1035" spans="1:9" ht="11.95" customHeight="1">
      <c r="A1035" s="207"/>
      <c r="B1035" s="207"/>
      <c r="C1035" s="207"/>
      <c r="D1035" s="188"/>
      <c r="E1035" s="188"/>
      <c r="F1035" s="188"/>
      <c r="G1035" s="188"/>
      <c r="H1035" s="267"/>
      <c r="I1035" s="267"/>
    </row>
    <row r="1036" spans="1:9" ht="12.8" customHeight="1">
      <c r="A1036" s="207"/>
      <c r="B1036" s="624" t="s">
        <v>132</v>
      </c>
      <c r="C1036" s="207"/>
      <c r="D1036" s="980" t="s">
        <v>1728</v>
      </c>
      <c r="E1036" s="980"/>
      <c r="F1036" s="980"/>
      <c r="G1036" s="208"/>
      <c r="H1036" s="208"/>
      <c r="I1036" s="208"/>
    </row>
    <row r="1037" spans="1:9" ht="12.45">
      <c r="A1037" s="207"/>
      <c r="B1037" s="207"/>
      <c r="C1037" s="207"/>
      <c r="D1037" s="980"/>
      <c r="E1037" s="980"/>
      <c r="F1037" s="980"/>
      <c r="G1037" s="208"/>
      <c r="H1037" s="208"/>
      <c r="I1037" s="208"/>
    </row>
    <row r="1038" spans="1:9" ht="12.45">
      <c r="A1038" s="207"/>
      <c r="B1038" s="207"/>
      <c r="C1038" s="207"/>
      <c r="D1038" s="980"/>
      <c r="E1038" s="980"/>
      <c r="F1038" s="980"/>
      <c r="G1038" s="208"/>
      <c r="H1038" s="208"/>
      <c r="I1038" s="208"/>
    </row>
    <row r="1039" spans="1:9">
      <c r="A1039" s="271"/>
      <c r="B1039" s="271"/>
      <c r="C1039" s="207"/>
      <c r="D1039" s="44"/>
      <c r="E1039" s="188"/>
      <c r="F1039" s="188"/>
      <c r="G1039" s="188"/>
      <c r="H1039" s="267"/>
      <c r="I1039" s="267"/>
    </row>
    <row r="1040" spans="1:9" ht="12.8" customHeight="1">
      <c r="A1040" s="207"/>
      <c r="B1040" s="624" t="s">
        <v>132</v>
      </c>
      <c r="C1040" s="207"/>
      <c r="D1040" s="980" t="s">
        <v>1729</v>
      </c>
      <c r="E1040" s="980"/>
      <c r="F1040" s="980"/>
      <c r="G1040" s="208"/>
      <c r="H1040" s="208"/>
      <c r="I1040" s="208"/>
    </row>
    <row r="1041" spans="1:9" ht="12.45">
      <c r="A1041" s="207"/>
      <c r="B1041" s="207"/>
      <c r="C1041" s="207"/>
      <c r="D1041" s="980"/>
      <c r="E1041" s="980"/>
      <c r="F1041" s="980"/>
      <c r="G1041" s="208"/>
      <c r="H1041" s="208"/>
      <c r="I1041" s="208"/>
    </row>
    <row r="1042" spans="1:9" ht="12.45">
      <c r="A1042" s="207"/>
      <c r="B1042" s="207"/>
      <c r="C1042" s="207"/>
      <c r="D1042" s="980"/>
      <c r="E1042" s="980"/>
      <c r="F1042" s="980"/>
      <c r="G1042" s="208"/>
      <c r="H1042" s="208"/>
      <c r="I1042" s="208"/>
    </row>
    <row r="1043" spans="1:9" ht="12.45">
      <c r="A1043" s="207"/>
      <c r="B1043" s="207"/>
      <c r="C1043" s="207"/>
      <c r="D1043" s="44"/>
      <c r="E1043" s="188"/>
      <c r="F1043" s="188"/>
      <c r="G1043" s="188"/>
      <c r="H1043" s="267"/>
      <c r="I1043" s="267"/>
    </row>
    <row r="1044" spans="1:9" ht="12.8" customHeight="1">
      <c r="A1044" s="207"/>
      <c r="B1044" s="624" t="s">
        <v>132</v>
      </c>
      <c r="C1044" s="207"/>
      <c r="D1044" s="980" t="s">
        <v>1550</v>
      </c>
      <c r="E1044" s="980"/>
      <c r="F1044" s="980"/>
      <c r="G1044" s="24"/>
      <c r="H1044" s="267"/>
      <c r="I1044" s="267"/>
    </row>
    <row r="1045" spans="1:9" ht="12.45">
      <c r="A1045" s="207"/>
      <c r="B1045" s="207"/>
      <c r="C1045" s="207"/>
      <c r="D1045" s="980"/>
      <c r="E1045" s="980"/>
      <c r="F1045" s="980"/>
      <c r="G1045" s="24"/>
      <c r="H1045" s="267"/>
      <c r="I1045" s="267"/>
    </row>
    <row r="1046" spans="1:9" ht="12.45">
      <c r="A1046" s="207"/>
      <c r="B1046" s="207"/>
      <c r="C1046" s="207"/>
      <c r="D1046" s="980"/>
      <c r="E1046" s="980"/>
      <c r="F1046" s="980"/>
      <c r="G1046" s="24"/>
      <c r="H1046" s="267"/>
      <c r="I1046" s="267"/>
    </row>
    <row r="1047" spans="1:9" ht="12.45">
      <c r="A1047" s="207"/>
      <c r="B1047" s="207"/>
      <c r="C1047" s="207"/>
      <c r="D1047" s="24"/>
      <c r="E1047" s="24"/>
      <c r="F1047" s="24"/>
      <c r="G1047" s="24"/>
      <c r="H1047" s="267"/>
      <c r="I1047" s="267"/>
    </row>
    <row r="1048" spans="1:9" ht="12.8" customHeight="1">
      <c r="A1048" s="207"/>
      <c r="B1048" s="624" t="s">
        <v>132</v>
      </c>
      <c r="C1048" s="207"/>
      <c r="D1048" s="980" t="s">
        <v>1551</v>
      </c>
      <c r="E1048" s="980"/>
      <c r="F1048" s="980"/>
      <c r="G1048" s="24"/>
      <c r="H1048" s="267"/>
      <c r="I1048" s="267"/>
    </row>
    <row r="1049" spans="1:9" ht="12.45">
      <c r="A1049" s="207"/>
      <c r="B1049" s="207"/>
      <c r="C1049" s="207"/>
      <c r="D1049" s="980"/>
      <c r="E1049" s="980"/>
      <c r="F1049" s="980"/>
      <c r="G1049" s="24"/>
      <c r="H1049" s="267"/>
      <c r="I1049" s="267"/>
    </row>
    <row r="1050" spans="1:9" ht="12.45">
      <c r="A1050" s="207"/>
      <c r="B1050" s="207"/>
      <c r="C1050" s="207"/>
      <c r="D1050" s="980"/>
      <c r="E1050" s="980"/>
      <c r="F1050" s="980"/>
      <c r="G1050" s="24"/>
      <c r="H1050" s="267"/>
      <c r="I1050" s="267"/>
    </row>
    <row r="1051" spans="1:9" ht="12.45">
      <c r="A1051" s="207"/>
      <c r="B1051" s="207"/>
      <c r="C1051" s="207"/>
      <c r="D1051" s="302"/>
      <c r="E1051" s="302"/>
      <c r="F1051" s="302"/>
      <c r="G1051" s="302"/>
      <c r="H1051" s="267"/>
      <c r="I1051" s="267"/>
    </row>
    <row r="1052" spans="1:9" ht="12.8" customHeight="1">
      <c r="A1052" s="207"/>
      <c r="B1052" s="624" t="s">
        <v>1440</v>
      </c>
      <c r="C1052" s="207"/>
      <c r="D1052" s="1042" t="s">
        <v>1172</v>
      </c>
      <c r="E1052" s="1042"/>
      <c r="F1052" s="1042"/>
      <c r="G1052" s="623"/>
      <c r="H1052" s="267"/>
      <c r="I1052" s="267"/>
    </row>
    <row r="1053" spans="1:9" ht="12.45">
      <c r="A1053" s="207"/>
      <c r="B1053" s="207"/>
      <c r="C1053" s="207"/>
      <c r="D1053" s="1042"/>
      <c r="E1053" s="1042"/>
      <c r="F1053" s="1042"/>
      <c r="G1053" s="623"/>
      <c r="H1053" s="267"/>
      <c r="I1053" s="267"/>
    </row>
    <row r="1054" spans="1:9" ht="12.45">
      <c r="A1054" s="207"/>
      <c r="B1054" s="207"/>
      <c r="C1054" s="207"/>
      <c r="D1054" s="1042"/>
      <c r="E1054" s="1042"/>
      <c r="F1054" s="1042"/>
      <c r="G1054" s="623"/>
      <c r="H1054" s="267"/>
      <c r="I1054" s="267"/>
    </row>
    <row r="1055" spans="1:9" ht="12.45">
      <c r="A1055" s="207"/>
      <c r="B1055" s="207"/>
      <c r="C1055" s="207"/>
      <c r="D1055" s="1042"/>
      <c r="E1055" s="1042"/>
      <c r="F1055" s="1042"/>
      <c r="G1055" s="623"/>
      <c r="H1055" s="267"/>
      <c r="I1055" s="267"/>
    </row>
    <row r="1056" spans="1:9" ht="12.45">
      <c r="A1056" s="207"/>
      <c r="B1056" s="207"/>
      <c r="C1056" s="207"/>
      <c r="D1056" s="1042"/>
      <c r="E1056" s="1042"/>
      <c r="F1056" s="1042"/>
      <c r="G1056" s="623"/>
      <c r="H1056" s="267"/>
      <c r="I1056" s="267"/>
    </row>
    <row r="1057" spans="1:9" ht="12.45">
      <c r="A1057" s="207"/>
      <c r="B1057" s="207"/>
      <c r="C1057" s="207"/>
      <c r="D1057" s="1042"/>
      <c r="E1057" s="1042"/>
      <c r="F1057" s="1042"/>
      <c r="G1057" s="623"/>
      <c r="H1057" s="267"/>
      <c r="I1057" s="267"/>
    </row>
    <row r="1058" spans="1:9" ht="12.45">
      <c r="A1058" s="207"/>
      <c r="B1058" s="207"/>
      <c r="C1058" s="207"/>
      <c r="D1058" s="1042"/>
      <c r="E1058" s="1042"/>
      <c r="F1058" s="1042"/>
      <c r="G1058" s="623"/>
      <c r="H1058" s="267"/>
      <c r="I1058" s="267"/>
    </row>
    <row r="1059" spans="1:9" ht="12.45">
      <c r="A1059" s="207"/>
      <c r="B1059" s="207"/>
      <c r="C1059" s="207"/>
      <c r="D1059" s="1042"/>
      <c r="E1059" s="1042"/>
      <c r="F1059" s="1042"/>
      <c r="G1059" s="623"/>
      <c r="H1059" s="267"/>
      <c r="I1059" s="267"/>
    </row>
    <row r="1060" spans="1:9" ht="12.45">
      <c r="A1060" s="207"/>
      <c r="B1060" s="207"/>
      <c r="C1060" s="207"/>
      <c r="D1060" s="1042"/>
      <c r="E1060" s="1042"/>
      <c r="F1060" s="1042"/>
      <c r="G1060" s="623"/>
      <c r="H1060" s="267"/>
      <c r="I1060" s="267"/>
    </row>
    <row r="1061" spans="1:9" ht="12.45">
      <c r="A1061" s="207"/>
      <c r="B1061" s="207"/>
      <c r="C1061" s="207"/>
      <c r="D1061" s="1042"/>
      <c r="E1061" s="1042"/>
      <c r="F1061" s="1042"/>
      <c r="G1061" s="623"/>
      <c r="H1061" s="267"/>
      <c r="I1061" s="267"/>
    </row>
    <row r="1062" spans="1:9" ht="27.65" customHeight="1">
      <c r="A1062" s="207"/>
      <c r="B1062" s="207"/>
      <c r="C1062" s="207"/>
      <c r="D1062" s="1042"/>
      <c r="E1062" s="1042"/>
      <c r="F1062" s="1042"/>
      <c r="G1062" s="623"/>
      <c r="H1062" s="267"/>
      <c r="I1062" s="267"/>
    </row>
    <row r="1063" spans="1:9" ht="12.45">
      <c r="A1063" s="207"/>
      <c r="B1063" s="207"/>
      <c r="C1063" s="207"/>
      <c r="D1063" s="429"/>
      <c r="E1063" s="429"/>
      <c r="F1063" s="429"/>
      <c r="G1063" s="429"/>
      <c r="H1063" s="267"/>
      <c r="I1063" s="267"/>
    </row>
    <row r="1064" spans="1:9" ht="12.8" customHeight="1">
      <c r="A1064" s="207"/>
      <c r="B1064" s="207"/>
      <c r="C1064" s="207"/>
      <c r="D1064" s="1001" t="s">
        <v>1552</v>
      </c>
      <c r="E1064" s="1001"/>
      <c r="F1064" s="1001"/>
      <c r="G1064" s="429"/>
      <c r="H1064" s="267"/>
      <c r="I1064" s="267"/>
    </row>
    <row r="1065" spans="1:9" ht="12.8" customHeight="1">
      <c r="A1065" s="207"/>
      <c r="B1065" s="207"/>
      <c r="C1065" s="207"/>
      <c r="D1065" s="192"/>
      <c r="E1065" s="429"/>
      <c r="F1065" s="429"/>
      <c r="G1065" s="429"/>
      <c r="H1065" s="267"/>
      <c r="I1065" s="267"/>
    </row>
    <row r="1066" spans="1:9">
      <c r="A1066" s="271"/>
      <c r="B1066" s="624" t="s">
        <v>1440</v>
      </c>
      <c r="C1066" s="207"/>
      <c r="D1066" s="973" t="s">
        <v>2335</v>
      </c>
      <c r="E1066" s="980"/>
      <c r="F1066" s="980"/>
      <c r="G1066" s="188"/>
      <c r="H1066" s="267"/>
      <c r="I1066" s="267"/>
    </row>
    <row r="1067" spans="1:9" ht="12.45">
      <c r="A1067" s="207"/>
      <c r="B1067" s="207"/>
      <c r="C1067" s="207"/>
      <c r="D1067" s="980"/>
      <c r="E1067" s="980"/>
      <c r="F1067" s="980"/>
      <c r="G1067" s="188"/>
      <c r="H1067" s="267"/>
      <c r="I1067" s="267"/>
    </row>
    <row r="1068" spans="1:9" ht="12.45">
      <c r="A1068" s="207"/>
      <c r="B1068" s="207"/>
      <c r="C1068" s="207"/>
      <c r="D1068" s="980"/>
      <c r="E1068" s="980"/>
      <c r="F1068" s="980"/>
      <c r="G1068" s="188"/>
      <c r="H1068" s="267"/>
      <c r="I1068" s="267"/>
    </row>
    <row r="1069" spans="1:9" ht="12.45">
      <c r="A1069" s="207"/>
      <c r="B1069" s="207"/>
      <c r="C1069" s="207"/>
      <c r="D1069" s="980"/>
      <c r="E1069" s="980"/>
      <c r="F1069" s="980"/>
      <c r="G1069" s="188"/>
      <c r="H1069" s="267"/>
      <c r="I1069" s="267"/>
    </row>
    <row r="1070" spans="1:9" ht="12.45">
      <c r="A1070" s="207"/>
      <c r="B1070" s="207"/>
      <c r="C1070" s="207"/>
      <c r="D1070" s="188"/>
      <c r="E1070" s="188"/>
      <c r="F1070" s="188"/>
      <c r="G1070" s="188"/>
      <c r="H1070" s="267"/>
      <c r="I1070" s="267"/>
    </row>
    <row r="1071" spans="1:9">
      <c r="A1071" s="271"/>
      <c r="B1071" s="624" t="s">
        <v>132</v>
      </c>
      <c r="C1071" s="207"/>
      <c r="D1071" s="973" t="s">
        <v>2336</v>
      </c>
      <c r="E1071" s="980"/>
      <c r="F1071" s="980"/>
      <c r="G1071" s="188"/>
      <c r="H1071" s="267"/>
      <c r="I1071" s="267"/>
    </row>
    <row r="1072" spans="1:9" ht="12.45">
      <c r="A1072" s="207"/>
      <c r="B1072" s="207"/>
      <c r="C1072" s="207"/>
      <c r="D1072" s="980"/>
      <c r="E1072" s="980"/>
      <c r="F1072" s="980"/>
      <c r="G1072" s="188"/>
      <c r="H1072" s="267"/>
      <c r="I1072" s="267"/>
    </row>
    <row r="1073" spans="1:9" ht="12.45">
      <c r="A1073" s="207"/>
      <c r="B1073" s="207"/>
      <c r="C1073" s="207"/>
      <c r="D1073" s="980"/>
      <c r="E1073" s="980"/>
      <c r="F1073" s="980"/>
      <c r="G1073" s="188"/>
      <c r="H1073" s="267"/>
      <c r="I1073" s="267"/>
    </row>
    <row r="1074" spans="1:9" ht="12.45">
      <c r="A1074" s="207"/>
      <c r="B1074" s="207"/>
      <c r="C1074" s="207"/>
      <c r="D1074" s="980"/>
      <c r="E1074" s="980"/>
      <c r="F1074" s="980"/>
      <c r="G1074" s="188"/>
      <c r="H1074" s="267"/>
      <c r="I1074" s="267"/>
    </row>
    <row r="1075" spans="1:9" ht="12.45">
      <c r="A1075" s="207"/>
      <c r="B1075" s="207"/>
      <c r="C1075" s="207"/>
      <c r="D1075" s="188"/>
      <c r="E1075" s="188"/>
      <c r="F1075" s="188"/>
      <c r="G1075" s="188"/>
    </row>
    <row r="1076" spans="1:9" ht="12.45">
      <c r="A1076" s="207"/>
      <c r="B1076" s="624" t="s">
        <v>132</v>
      </c>
      <c r="C1076" s="207"/>
      <c r="D1076" s="1006" t="s">
        <v>1730</v>
      </c>
      <c r="E1076" s="1006"/>
      <c r="F1076" s="1006"/>
      <c r="G1076" s="188"/>
    </row>
    <row r="1077" spans="1:9" ht="12.45">
      <c r="A1077" s="207"/>
      <c r="B1077" s="207"/>
      <c r="C1077" s="207"/>
      <c r="D1077" s="1006"/>
      <c r="E1077" s="1006"/>
      <c r="F1077" s="1006"/>
      <c r="G1077" s="188"/>
    </row>
    <row r="1078" spans="1:9" ht="12.45">
      <c r="A1078" s="207"/>
      <c r="B1078" s="207"/>
      <c r="C1078" s="207"/>
      <c r="D1078" s="1006"/>
      <c r="E1078" s="1006"/>
      <c r="F1078" s="1006"/>
      <c r="G1078" s="188"/>
    </row>
    <row r="1079" spans="1:9" ht="12.45">
      <c r="A1079" s="207"/>
      <c r="B1079" s="207"/>
      <c r="C1079" s="207"/>
      <c r="D1079" s="188"/>
      <c r="E1079" s="188"/>
      <c r="F1079" s="188"/>
      <c r="G1079" s="188"/>
    </row>
    <row r="1080" spans="1:9">
      <c r="A1080" s="271"/>
      <c r="B1080" s="624" t="s">
        <v>132</v>
      </c>
      <c r="C1080" s="440"/>
      <c r="D1080" s="1036" t="s">
        <v>2284</v>
      </c>
      <c r="E1080" s="1036"/>
      <c r="F1080" s="1036"/>
      <c r="G1080" s="461"/>
    </row>
    <row r="1081" spans="1:9" ht="12.45">
      <c r="A1081" s="440"/>
      <c r="B1081" s="440"/>
      <c r="C1081" s="440"/>
      <c r="D1081" s="1036"/>
      <c r="E1081" s="1036"/>
      <c r="F1081" s="1036"/>
      <c r="G1081" s="461"/>
    </row>
    <row r="1082" spans="1:9" ht="12.45">
      <c r="A1082" s="440"/>
      <c r="B1082" s="440"/>
      <c r="C1082" s="440"/>
      <c r="D1082" s="1036"/>
      <c r="E1082" s="1036"/>
      <c r="F1082" s="1036"/>
      <c r="G1082" s="461"/>
    </row>
    <row r="1083" spans="1:9" ht="12.45">
      <c r="A1083" s="207"/>
      <c r="B1083" s="207"/>
      <c r="C1083" s="207"/>
      <c r="D1083" s="188"/>
      <c r="E1083" s="188"/>
      <c r="F1083" s="188"/>
      <c r="G1083" s="188"/>
    </row>
    <row r="1084" spans="1:9" ht="13.1">
      <c r="C1084" s="207"/>
      <c r="D1084" s="1001" t="s">
        <v>1553</v>
      </c>
      <c r="E1084" s="1001"/>
      <c r="F1084" s="1001"/>
      <c r="G1084" s="188"/>
    </row>
    <row r="1085" spans="1:9" ht="13.1">
      <c r="C1085" s="207"/>
      <c r="D1085" s="192"/>
      <c r="E1085" s="188"/>
      <c r="F1085" s="188"/>
      <c r="G1085" s="188"/>
    </row>
    <row r="1086" spans="1:9" ht="12.45">
      <c r="A1086" s="207"/>
      <c r="B1086" s="624" t="s">
        <v>132</v>
      </c>
      <c r="C1086" s="207"/>
      <c r="D1086" s="980" t="s">
        <v>1731</v>
      </c>
      <c r="E1086" s="980"/>
      <c r="F1086" s="980"/>
      <c r="G1086" s="188"/>
    </row>
    <row r="1087" spans="1:9" ht="12.45">
      <c r="A1087" s="207"/>
      <c r="B1087" s="207"/>
      <c r="C1087" s="207"/>
      <c r="D1087" s="980"/>
      <c r="E1087" s="980"/>
      <c r="F1087" s="980"/>
      <c r="G1087" s="188"/>
    </row>
    <row r="1088" spans="1:9" ht="12.45">
      <c r="A1088" s="207"/>
      <c r="B1088" s="207"/>
      <c r="C1088" s="207"/>
      <c r="D1088" s="980"/>
      <c r="E1088" s="980"/>
      <c r="F1088" s="980"/>
      <c r="G1088" s="188"/>
    </row>
    <row r="1089" spans="1:7" ht="12.45">
      <c r="A1089" s="207"/>
      <c r="B1089" s="207"/>
      <c r="C1089" s="207"/>
      <c r="D1089" s="188"/>
      <c r="E1089" s="188"/>
      <c r="F1089" s="188"/>
      <c r="G1089" s="188"/>
    </row>
    <row r="1090" spans="1:7">
      <c r="A1090" s="271"/>
      <c r="B1090" s="624" t="s">
        <v>132</v>
      </c>
      <c r="C1090" s="207"/>
      <c r="D1090" s="980" t="s">
        <v>1732</v>
      </c>
      <c r="E1090" s="980"/>
      <c r="F1090" s="980"/>
      <c r="G1090" s="188"/>
    </row>
    <row r="1091" spans="1:7" ht="12.45">
      <c r="A1091" s="207"/>
      <c r="B1091" s="207"/>
      <c r="C1091" s="207"/>
      <c r="D1091" s="980"/>
      <c r="E1091" s="980"/>
      <c r="F1091" s="980"/>
      <c r="G1091" s="188"/>
    </row>
    <row r="1092" spans="1:7" ht="12.45">
      <c r="A1092" s="207"/>
      <c r="B1092" s="207"/>
      <c r="C1092" s="207"/>
      <c r="D1092" s="980"/>
      <c r="E1092" s="980"/>
      <c r="F1092" s="980"/>
      <c r="G1092" s="188"/>
    </row>
    <row r="1093" spans="1:7" ht="12.45">
      <c r="A1093" s="207"/>
      <c r="B1093" s="207"/>
      <c r="C1093" s="207"/>
      <c r="D1093" s="188"/>
      <c r="E1093" s="188"/>
      <c r="F1093" s="188"/>
      <c r="G1093" s="188"/>
    </row>
    <row r="1094" spans="1:7" ht="13.1">
      <c r="A1094" s="207"/>
      <c r="B1094" s="207"/>
      <c r="C1094" s="207"/>
      <c r="D1094" s="1001" t="s">
        <v>1164</v>
      </c>
      <c r="E1094" s="1001"/>
      <c r="F1094" s="1001"/>
      <c r="G1094" s="188"/>
    </row>
    <row r="1095" spans="1:7" ht="12.45">
      <c r="A1095" s="207"/>
      <c r="B1095" s="207"/>
      <c r="C1095" s="207"/>
      <c r="D1095" s="1000" t="s">
        <v>1554</v>
      </c>
      <c r="E1095" s="1000"/>
      <c r="F1095" s="1000"/>
      <c r="G1095" s="188"/>
    </row>
    <row r="1096" spans="1:7" ht="12.45">
      <c r="A1096" s="207"/>
      <c r="B1096" s="207"/>
      <c r="C1096" s="207"/>
      <c r="D1096" s="430"/>
      <c r="E1096" s="188"/>
      <c r="F1096" s="188"/>
      <c r="G1096" s="188"/>
    </row>
    <row r="1097" spans="1:7">
      <c r="A1097" s="271"/>
      <c r="B1097" s="624" t="s">
        <v>132</v>
      </c>
      <c r="C1097" s="207"/>
      <c r="D1097" s="980" t="s">
        <v>1733</v>
      </c>
      <c r="E1097" s="980"/>
      <c r="F1097" s="980"/>
      <c r="G1097" s="188"/>
    </row>
    <row r="1098" spans="1:7" ht="12.45">
      <c r="A1098" s="207"/>
      <c r="B1098" s="207"/>
      <c r="C1098" s="207"/>
      <c r="D1098" s="980"/>
      <c r="E1098" s="980"/>
      <c r="F1098" s="980"/>
      <c r="G1098" s="188"/>
    </row>
    <row r="1099" spans="1:7" ht="12.45">
      <c r="A1099" s="207"/>
      <c r="B1099" s="207"/>
      <c r="C1099" s="207"/>
      <c r="D1099" s="188"/>
      <c r="E1099" s="188"/>
      <c r="F1099" s="188"/>
      <c r="G1099" s="188"/>
    </row>
    <row r="1100" spans="1:7">
      <c r="A1100" s="271"/>
      <c r="B1100" s="624" t="s">
        <v>132</v>
      </c>
      <c r="C1100" s="207"/>
      <c r="D1100" s="980" t="s">
        <v>1734</v>
      </c>
      <c r="E1100" s="980"/>
      <c r="F1100" s="980"/>
      <c r="G1100" s="188"/>
    </row>
    <row r="1101" spans="1:7" ht="12.45">
      <c r="A1101" s="207"/>
      <c r="B1101" s="207"/>
      <c r="C1101" s="207"/>
      <c r="D1101" s="980"/>
      <c r="E1101" s="980"/>
      <c r="F1101" s="980"/>
      <c r="G1101" s="188"/>
    </row>
    <row r="1102" spans="1:7" ht="12.45">
      <c r="A1102" s="207"/>
      <c r="B1102" s="207"/>
      <c r="C1102" s="207"/>
      <c r="E1102" s="188"/>
      <c r="F1102" s="188"/>
      <c r="G1102" s="188"/>
    </row>
    <row r="1103" spans="1:7" ht="13.1">
      <c r="A1103" s="207"/>
      <c r="B1103" s="207"/>
      <c r="C1103" s="207"/>
      <c r="D1103" s="1001" t="s">
        <v>1555</v>
      </c>
      <c r="E1103" s="1001"/>
      <c r="F1103" s="1001"/>
      <c r="G1103" s="188"/>
    </row>
    <row r="1104" spans="1:7" ht="13.1">
      <c r="A1104" s="207"/>
      <c r="B1104" s="207"/>
      <c r="C1104" s="207"/>
      <c r="D1104" s="192"/>
      <c r="E1104" s="188"/>
      <c r="F1104" s="188"/>
      <c r="G1104" s="188"/>
    </row>
    <row r="1105" spans="1:7">
      <c r="A1105" s="271"/>
      <c r="B1105" s="624" t="s">
        <v>132</v>
      </c>
      <c r="C1105" s="207"/>
      <c r="D1105" s="980" t="s">
        <v>1735</v>
      </c>
      <c r="E1105" s="980"/>
      <c r="F1105" s="980"/>
      <c r="G1105" s="188"/>
    </row>
    <row r="1106" spans="1:7" ht="12.45">
      <c r="A1106" s="207"/>
      <c r="B1106" s="207"/>
      <c r="C1106" s="207"/>
      <c r="D1106" s="980"/>
      <c r="E1106" s="980"/>
      <c r="F1106" s="980"/>
      <c r="G1106" s="188"/>
    </row>
    <row r="1107" spans="1:7" ht="12.45">
      <c r="A1107" s="207"/>
      <c r="B1107" s="207"/>
      <c r="C1107" s="207"/>
      <c r="D1107" s="980"/>
      <c r="E1107" s="980"/>
      <c r="F1107" s="980"/>
      <c r="G1107" s="188"/>
    </row>
    <row r="1108" spans="1:7" ht="12.45">
      <c r="A1108" s="207"/>
      <c r="B1108" s="207"/>
      <c r="C1108" s="207"/>
      <c r="D1108" s="980"/>
      <c r="E1108" s="980"/>
      <c r="F1108" s="980"/>
      <c r="G1108" s="188"/>
    </row>
    <row r="1109" spans="1:7" ht="12.45">
      <c r="A1109" s="207"/>
      <c r="B1109" s="207"/>
      <c r="C1109" s="207"/>
      <c r="D1109" s="980"/>
      <c r="E1109" s="980"/>
      <c r="F1109" s="980"/>
      <c r="G1109" s="188"/>
    </row>
    <row r="1110" spans="1:7" ht="12.45">
      <c r="A1110" s="207"/>
      <c r="B1110" s="207"/>
      <c r="C1110" s="207"/>
      <c r="D1110" s="980"/>
      <c r="E1110" s="980"/>
      <c r="F1110" s="980"/>
      <c r="G1110" s="188"/>
    </row>
    <row r="1111" spans="1:7" ht="12.45">
      <c r="A1111" s="207"/>
      <c r="B1111" s="207"/>
      <c r="C1111" s="207"/>
      <c r="D1111" s="980"/>
      <c r="E1111" s="980"/>
      <c r="F1111" s="980"/>
      <c r="G1111" s="188"/>
    </row>
    <row r="1112" spans="1:7" ht="12.45">
      <c r="A1112" s="207"/>
      <c r="B1112" s="207"/>
      <c r="C1112" s="207"/>
      <c r="D1112" s="188"/>
      <c r="E1112" s="188"/>
      <c r="F1112" s="188"/>
      <c r="G1112" s="188"/>
    </row>
    <row r="1113" spans="1:7">
      <c r="A1113" s="271"/>
      <c r="B1113" s="624" t="s">
        <v>132</v>
      </c>
      <c r="C1113" s="207"/>
      <c r="D1113" s="980" t="s">
        <v>1736</v>
      </c>
      <c r="E1113" s="980"/>
      <c r="F1113" s="980"/>
      <c r="G1113" s="188"/>
    </row>
    <row r="1114" spans="1:7" ht="12.45">
      <c r="A1114" s="207"/>
      <c r="B1114" s="207"/>
      <c r="C1114" s="207"/>
      <c r="D1114" s="980"/>
      <c r="E1114" s="980"/>
      <c r="F1114" s="980"/>
      <c r="G1114" s="188"/>
    </row>
    <row r="1115" spans="1:7" ht="12.45">
      <c r="A1115" s="207"/>
      <c r="B1115" s="207"/>
      <c r="C1115" s="207"/>
      <c r="D1115" s="980"/>
      <c r="E1115" s="980"/>
      <c r="F1115" s="980"/>
      <c r="G1115" s="188"/>
    </row>
    <row r="1116" spans="1:7" ht="12.45">
      <c r="A1116" s="207"/>
      <c r="B1116" s="207"/>
      <c r="C1116" s="207"/>
      <c r="D1116" s="980"/>
      <c r="E1116" s="980"/>
      <c r="F1116" s="980"/>
      <c r="G1116" s="188"/>
    </row>
    <row r="1117" spans="1:7" ht="12.45">
      <c r="A1117" s="207"/>
      <c r="B1117" s="207"/>
      <c r="C1117" s="207"/>
      <c r="D1117" s="980"/>
      <c r="E1117" s="980"/>
      <c r="F1117" s="980"/>
      <c r="G1117" s="188"/>
    </row>
    <row r="1118" spans="1:7" ht="12.45">
      <c r="A1118" s="207"/>
      <c r="B1118" s="207"/>
      <c r="C1118" s="207"/>
      <c r="D1118" s="980"/>
      <c r="E1118" s="980"/>
      <c r="F1118" s="980"/>
      <c r="G1118" s="188"/>
    </row>
    <row r="1119" spans="1:7" ht="12.45">
      <c r="A1119" s="207"/>
      <c r="B1119" s="207"/>
      <c r="C1119" s="207"/>
      <c r="D1119" s="980"/>
      <c r="E1119" s="980"/>
      <c r="F1119" s="980"/>
      <c r="G1119" s="188"/>
    </row>
    <row r="1120" spans="1:7" ht="12.45">
      <c r="A1120" s="207"/>
      <c r="B1120" s="207"/>
      <c r="C1120" s="207"/>
      <c r="D1120" s="24"/>
      <c r="E1120" s="24"/>
      <c r="F1120" s="24"/>
      <c r="G1120" s="188"/>
    </row>
    <row r="1121" spans="1:7" ht="12.45" customHeight="1">
      <c r="A1121" s="207"/>
      <c r="B1121" s="624" t="s">
        <v>132</v>
      </c>
      <c r="C1121" s="207"/>
      <c r="D1121" s="1005" t="s">
        <v>1850</v>
      </c>
      <c r="E1121" s="1006"/>
      <c r="F1121" s="1006"/>
      <c r="G1121" s="188"/>
    </row>
    <row r="1122" spans="1:7" ht="12.45" customHeight="1">
      <c r="A1122" s="207"/>
      <c r="B1122" s="207"/>
      <c r="C1122" s="207"/>
      <c r="D1122" s="1006"/>
      <c r="E1122" s="1006"/>
      <c r="F1122" s="1006"/>
      <c r="G1122" s="188"/>
    </row>
    <row r="1123" spans="1:7" ht="12.45">
      <c r="A1123" s="207"/>
      <c r="B1123" s="207"/>
      <c r="C1123" s="207"/>
      <c r="D1123" s="1006"/>
      <c r="E1123" s="1006"/>
      <c r="F1123" s="1006"/>
      <c r="G1123" s="188"/>
    </row>
    <row r="1124" spans="1:7" ht="12.45">
      <c r="A1124" s="207"/>
      <c r="B1124" s="207"/>
      <c r="C1124" s="207"/>
      <c r="D1124" s="668"/>
      <c r="E1124" s="668"/>
      <c r="F1124" s="668"/>
      <c r="G1124" s="188"/>
    </row>
    <row r="1125" spans="1:7" ht="13.1">
      <c r="D1125" s="1001" t="s">
        <v>1556</v>
      </c>
      <c r="E1125" s="1001"/>
      <c r="F1125" s="1001"/>
    </row>
    <row r="1126" spans="1:7" ht="13.1">
      <c r="D1126" s="192"/>
    </row>
    <row r="1127" spans="1:7">
      <c r="A1127" s="271"/>
      <c r="B1127" s="624" t="s">
        <v>1440</v>
      </c>
      <c r="D1127" s="980" t="s">
        <v>1737</v>
      </c>
      <c r="E1127" s="980"/>
      <c r="F1127" s="980"/>
    </row>
    <row r="1128" spans="1:7" ht="12.45">
      <c r="D1128" s="980"/>
      <c r="E1128" s="980"/>
      <c r="F1128" s="980"/>
    </row>
    <row r="1129" spans="1:7" ht="12.45"/>
    <row r="1130" spans="1:7">
      <c r="A1130" s="271"/>
      <c r="B1130" s="624" t="s">
        <v>132</v>
      </c>
      <c r="D1130" s="980" t="s">
        <v>1738</v>
      </c>
      <c r="E1130" s="980"/>
      <c r="F1130" s="980"/>
    </row>
    <row r="1131" spans="1:7" ht="12.45">
      <c r="D1131" s="980"/>
      <c r="E1131" s="980"/>
      <c r="F1131" s="980"/>
    </row>
    <row r="1132" spans="1:7" ht="12.45"/>
    <row r="1133" spans="1:7" ht="13.1">
      <c r="D1133" s="1001" t="s">
        <v>1557</v>
      </c>
      <c r="E1133" s="1001"/>
      <c r="F1133" s="1001"/>
    </row>
    <row r="1134" spans="1:7" ht="13.1">
      <c r="D1134" s="192"/>
    </row>
    <row r="1135" spans="1:7">
      <c r="A1135" s="271"/>
      <c r="B1135" s="624" t="s">
        <v>132</v>
      </c>
      <c r="D1135" s="1000" t="s">
        <v>1739</v>
      </c>
      <c r="E1135" s="1000"/>
      <c r="F1135" s="1000"/>
    </row>
    <row r="1136" spans="1:7" ht="12.45"/>
    <row r="1137" spans="1:7">
      <c r="A1137" s="271"/>
      <c r="B1137" s="624" t="s">
        <v>132</v>
      </c>
      <c r="D1137" s="980" t="s">
        <v>1740</v>
      </c>
      <c r="E1137" s="980"/>
      <c r="F1137" s="980"/>
    </row>
    <row r="1138" spans="1:7">
      <c r="A1138" s="271"/>
      <c r="B1138" s="271"/>
      <c r="D1138" s="980"/>
      <c r="E1138" s="980"/>
      <c r="F1138" s="980"/>
    </row>
    <row r="1139" spans="1:7">
      <c r="A1139" s="271"/>
      <c r="B1139" s="271"/>
      <c r="D1139" s="24"/>
      <c r="E1139" s="24"/>
      <c r="F1139" s="24"/>
      <c r="G1139"/>
    </row>
    <row r="1140" spans="1:7" ht="13.1">
      <c r="D1140" s="1001" t="s">
        <v>1750</v>
      </c>
      <c r="E1140" s="1001"/>
      <c r="F1140" s="1001"/>
      <c r="G1140"/>
    </row>
    <row r="1141" spans="1:7" ht="13.1">
      <c r="D1141" s="192"/>
      <c r="G1141"/>
    </row>
    <row r="1142" spans="1:7" ht="14.4" customHeight="1">
      <c r="A1142" s="271"/>
      <c r="B1142" s="624" t="s">
        <v>1440</v>
      </c>
      <c r="D1142" s="973" t="s">
        <v>2337</v>
      </c>
      <c r="E1142" s="980"/>
      <c r="F1142" s="980"/>
      <c r="G1142"/>
    </row>
    <row r="1143" spans="1:7">
      <c r="A1143" s="271"/>
      <c r="B1143" s="271"/>
      <c r="D1143" s="980"/>
      <c r="E1143" s="980"/>
      <c r="F1143" s="980"/>
      <c r="G1143"/>
    </row>
    <row r="1144" spans="1:7">
      <c r="A1144" s="271"/>
      <c r="B1144" s="271"/>
      <c r="D1144" s="980"/>
      <c r="E1144" s="980"/>
      <c r="F1144" s="980"/>
      <c r="G1144"/>
    </row>
    <row r="1145" spans="1:7">
      <c r="A1145" s="271"/>
      <c r="B1145" s="271"/>
      <c r="D1145" s="980"/>
      <c r="E1145" s="980"/>
      <c r="F1145" s="980"/>
      <c r="G1145"/>
    </row>
    <row r="1146" spans="1:7">
      <c r="A1146" s="271"/>
      <c r="B1146" s="271"/>
      <c r="D1146" s="980"/>
      <c r="E1146" s="980"/>
      <c r="F1146" s="980"/>
      <c r="G1146"/>
    </row>
    <row r="1147" spans="1:7">
      <c r="A1147" s="271"/>
      <c r="B1147" s="271"/>
      <c r="D1147" s="980"/>
      <c r="E1147" s="980"/>
      <c r="F1147" s="980"/>
      <c r="G1147"/>
    </row>
    <row r="1148" spans="1:7">
      <c r="A1148" s="271"/>
      <c r="B1148" s="271"/>
      <c r="D1148" s="980"/>
      <c r="E1148" s="980"/>
      <c r="F1148" s="980"/>
      <c r="G1148"/>
    </row>
    <row r="1149" spans="1:7">
      <c r="A1149" s="271"/>
      <c r="B1149" s="271"/>
      <c r="D1149" s="980"/>
      <c r="E1149" s="980"/>
      <c r="F1149" s="980"/>
      <c r="G1149"/>
    </row>
    <row r="1150" spans="1:7">
      <c r="A1150" s="271"/>
      <c r="B1150" s="271"/>
      <c r="D1150" s="980"/>
      <c r="E1150" s="980"/>
      <c r="F1150" s="980"/>
      <c r="G1150"/>
    </row>
    <row r="1151" spans="1:7">
      <c r="A1151" s="271"/>
      <c r="B1151" s="271"/>
      <c r="D1151" s="980"/>
      <c r="E1151" s="980"/>
      <c r="F1151" s="980"/>
      <c r="G1151"/>
    </row>
    <row r="1152" spans="1:7">
      <c r="A1152" s="271"/>
      <c r="B1152" s="271"/>
      <c r="D1152" s="980"/>
      <c r="E1152" s="980"/>
      <c r="F1152" s="980"/>
      <c r="G1152"/>
    </row>
    <row r="1153" spans="1:7">
      <c r="A1153" s="271"/>
      <c r="B1153" s="271"/>
      <c r="D1153" s="980"/>
      <c r="E1153" s="980"/>
      <c r="F1153" s="980"/>
      <c r="G1153"/>
    </row>
    <row r="1154" spans="1:7">
      <c r="A1154" s="271"/>
      <c r="B1154" s="271"/>
      <c r="D1154" s="980"/>
      <c r="E1154" s="980"/>
      <c r="F1154" s="980"/>
      <c r="G1154"/>
    </row>
    <row r="1155" spans="1:7" ht="38.299999999999997" customHeight="1">
      <c r="A1155" s="271"/>
      <c r="B1155" s="271"/>
      <c r="D1155" s="980"/>
      <c r="E1155" s="980"/>
      <c r="F1155" s="980"/>
    </row>
    <row r="1156" spans="1:7" ht="12.45"/>
    <row r="1157" spans="1:7" ht="13.1">
      <c r="A1157" s="1034" t="s">
        <v>1468</v>
      </c>
      <c r="B1157" s="1034"/>
      <c r="C1157" s="1034"/>
      <c r="D1157" s="1034"/>
      <c r="E1157" s="1034"/>
      <c r="F1157" s="1034"/>
      <c r="G1157" s="1034"/>
    </row>
    <row r="1158" spans="1:7" ht="12.45">
      <c r="A1158" s="44"/>
      <c r="B1158" s="44"/>
    </row>
    <row r="1159" spans="1:7" ht="13.1">
      <c r="C1159" s="207"/>
      <c r="D1159" s="1001" t="s">
        <v>1741</v>
      </c>
      <c r="E1159" s="1001"/>
      <c r="F1159" s="1001"/>
    </row>
    <row r="1160" spans="1:7" ht="13.1">
      <c r="A1160" s="190"/>
      <c r="B1160" s="190"/>
      <c r="C1160" s="190"/>
      <c r="D1160" s="1002" t="s">
        <v>1561</v>
      </c>
      <c r="E1160" s="1000"/>
      <c r="F1160" s="1000"/>
    </row>
    <row r="1161" spans="1:7" ht="13.1">
      <c r="A1161" s="190"/>
      <c r="B1161" s="190"/>
      <c r="C1161" s="190"/>
      <c r="F1161" s="188"/>
      <c r="G1161"/>
    </row>
    <row r="1162" spans="1:7" ht="13.75" customHeight="1">
      <c r="B1162" s="624" t="s">
        <v>1440</v>
      </c>
      <c r="D1162" s="1055" t="s">
        <v>2194</v>
      </c>
      <c r="E1162" s="1055"/>
      <c r="F1162" s="1055"/>
      <c r="G1162"/>
    </row>
    <row r="1163" spans="1:7" ht="12.45">
      <c r="D1163" s="1055"/>
      <c r="E1163" s="1055"/>
      <c r="F1163" s="1055"/>
      <c r="G1163"/>
    </row>
    <row r="1164" spans="1:7" ht="13.1">
      <c r="D1164" s="15"/>
      <c r="E1164" s="947" t="s">
        <v>2195</v>
      </c>
      <c r="F1164" s="15"/>
      <c r="G1164"/>
    </row>
    <row r="1165" spans="1:7" ht="13.1">
      <c r="D1165" s="15"/>
      <c r="E1165" s="15"/>
      <c r="F1165" s="15"/>
      <c r="G1165"/>
    </row>
    <row r="1166" spans="1:7" ht="12.45">
      <c r="D1166" s="997" t="s">
        <v>2193</v>
      </c>
      <c r="E1166" s="997"/>
      <c r="F1166" s="997"/>
      <c r="G1166"/>
    </row>
    <row r="1167" spans="1:7" ht="13.1">
      <c r="A1167" s="191"/>
      <c r="B1167" s="191"/>
      <c r="C1167" s="191"/>
      <c r="D1167" s="997"/>
      <c r="E1167" s="997"/>
      <c r="F1167" s="997"/>
      <c r="G1167"/>
    </row>
    <row r="1168" spans="1:7" ht="14.4" customHeight="1">
      <c r="A1168" s="191"/>
      <c r="B1168" s="191"/>
      <c r="C1168" s="191"/>
      <c r="D1168" s="997"/>
      <c r="E1168" s="997"/>
      <c r="F1168" s="997"/>
      <c r="G1168"/>
    </row>
    <row r="1169" spans="1:7" ht="13.1">
      <c r="A1169" s="191"/>
      <c r="B1169" s="191"/>
      <c r="C1169" s="191"/>
      <c r="D1169" s="106"/>
      <c r="E1169" s="106"/>
      <c r="F1169" s="106"/>
      <c r="G1169"/>
    </row>
    <row r="1170" spans="1:7" ht="13.1">
      <c r="A1170" s="191"/>
      <c r="B1170" s="624" t="s">
        <v>132</v>
      </c>
      <c r="C1170" s="191"/>
      <c r="D1170" s="980" t="s">
        <v>1751</v>
      </c>
      <c r="E1170" s="980"/>
      <c r="F1170" s="980"/>
      <c r="G1170"/>
    </row>
    <row r="1171" spans="1:7" ht="13.1">
      <c r="A1171" s="191"/>
      <c r="B1171" s="191"/>
      <c r="C1171" s="191"/>
      <c r="D1171" s="980"/>
      <c r="E1171" s="980"/>
      <c r="F1171" s="980"/>
      <c r="G1171"/>
    </row>
    <row r="1172" spans="1:7" ht="13.1">
      <c r="A1172" s="191"/>
      <c r="B1172" s="191"/>
      <c r="C1172" s="191"/>
      <c r="D1172" s="980"/>
      <c r="E1172" s="980"/>
      <c r="F1172" s="980"/>
      <c r="G1172"/>
    </row>
    <row r="1173" spans="1:7" ht="13.1">
      <c r="A1173" s="191"/>
      <c r="B1173" s="191"/>
      <c r="C1173" s="191"/>
      <c r="D1173" s="980"/>
      <c r="E1173" s="980"/>
      <c r="F1173" s="980"/>
      <c r="G1173"/>
    </row>
    <row r="1174" spans="1:7" ht="13.1">
      <c r="A1174" s="191"/>
      <c r="B1174" s="191"/>
      <c r="C1174" s="191"/>
      <c r="D1174" s="24"/>
      <c r="E1174" s="24"/>
      <c r="F1174" s="24"/>
      <c r="G1174"/>
    </row>
    <row r="1175" spans="1:7" ht="13.1">
      <c r="A1175" s="191"/>
      <c r="B1175" s="624" t="s">
        <v>132</v>
      </c>
      <c r="C1175" s="191"/>
      <c r="D1175" s="973" t="s">
        <v>1833</v>
      </c>
      <c r="E1175" s="980"/>
      <c r="F1175" s="980"/>
      <c r="G1175"/>
    </row>
    <row r="1176" spans="1:7" ht="13.1">
      <c r="A1176" s="191"/>
      <c r="B1176" s="191"/>
      <c r="C1176" s="191"/>
      <c r="D1176" s="980"/>
      <c r="E1176" s="980"/>
      <c r="F1176" s="980"/>
      <c r="G1176"/>
    </row>
    <row r="1177" spans="1:7" ht="13.1">
      <c r="A1177" s="191"/>
      <c r="B1177" s="191"/>
      <c r="C1177" s="191"/>
      <c r="D1177" s="24"/>
      <c r="E1177" s="24"/>
      <c r="F1177" s="24"/>
      <c r="G1177"/>
    </row>
    <row r="1178" spans="1:7">
      <c r="A1178" s="271"/>
      <c r="B1178" s="624" t="s">
        <v>132</v>
      </c>
      <c r="D1178" s="1000" t="s">
        <v>1742</v>
      </c>
      <c r="E1178" s="1000"/>
      <c r="F1178" s="1000"/>
      <c r="G1178"/>
    </row>
    <row r="1179" spans="1:7" ht="12.45">
      <c r="G1179"/>
    </row>
    <row r="1180" spans="1:7">
      <c r="A1180" s="271"/>
      <c r="B1180" s="624" t="s">
        <v>132</v>
      </c>
      <c r="D1180" s="1000" t="s">
        <v>1743</v>
      </c>
      <c r="E1180" s="1000"/>
      <c r="F1180" s="1000"/>
      <c r="G1180"/>
    </row>
    <row r="1181" spans="1:7" ht="12.45">
      <c r="D1181" s="44"/>
      <c r="G1181"/>
    </row>
    <row r="1182" spans="1:7">
      <c r="A1182" s="271"/>
      <c r="B1182" s="624" t="s">
        <v>1440</v>
      </c>
      <c r="D1182" s="1000" t="s">
        <v>1744</v>
      </c>
      <c r="E1182" s="1000"/>
      <c r="F1182" s="1000"/>
      <c r="G1182"/>
    </row>
    <row r="1183" spans="1:7" ht="12.45">
      <c r="D1183" s="44"/>
      <c r="G1183"/>
    </row>
    <row r="1184" spans="1:7">
      <c r="A1184" s="271"/>
      <c r="B1184" s="624" t="s">
        <v>132</v>
      </c>
      <c r="D1184" s="980" t="s">
        <v>1745</v>
      </c>
      <c r="E1184" s="980"/>
      <c r="F1184" s="980"/>
      <c r="G1184"/>
    </row>
    <row r="1185" spans="1:7">
      <c r="A1185" s="271"/>
      <c r="B1185" s="271"/>
      <c r="D1185" s="980"/>
      <c r="E1185" s="980"/>
      <c r="F1185" s="980"/>
      <c r="G1185"/>
    </row>
    <row r="1186" spans="1:7">
      <c r="A1186" s="271"/>
      <c r="B1186" s="271"/>
      <c r="D1186" s="44"/>
    </row>
    <row r="1187" spans="1:7" s="460" customFormat="1">
      <c r="A1187" s="289"/>
      <c r="B1187" s="624" t="s">
        <v>132</v>
      </c>
      <c r="C1187" s="290"/>
      <c r="D1187" s="998" t="s">
        <v>1746</v>
      </c>
      <c r="E1187" s="998"/>
      <c r="F1187" s="998"/>
      <c r="G1187" s="292"/>
    </row>
    <row r="1188" spans="1:7" s="460" customFormat="1" ht="12.45">
      <c r="A1188" s="290"/>
      <c r="B1188" s="290"/>
      <c r="C1188" s="290"/>
      <c r="D1188" s="998"/>
      <c r="E1188" s="998"/>
      <c r="F1188" s="998"/>
      <c r="G1188" s="292"/>
    </row>
    <row r="1189" spans="1:7" s="460" customFormat="1" ht="12.45">
      <c r="A1189" s="290"/>
      <c r="B1189" s="290"/>
      <c r="C1189" s="290"/>
      <c r="D1189" s="291"/>
      <c r="E1189" s="292"/>
      <c r="F1189" s="292"/>
      <c r="G1189" s="292"/>
    </row>
    <row r="1190" spans="1:7" s="460" customFormat="1">
      <c r="A1190" s="289"/>
      <c r="B1190" s="624" t="s">
        <v>1440</v>
      </c>
      <c r="C1190" s="290"/>
      <c r="D1190" s="999" t="s">
        <v>1747</v>
      </c>
      <c r="E1190" s="999"/>
      <c r="F1190" s="999"/>
      <c r="G1190" s="292"/>
    </row>
    <row r="1191" spans="1:7" s="460" customFormat="1" ht="12.45">
      <c r="A1191" s="290"/>
      <c r="B1191" s="290"/>
      <c r="C1191" s="290"/>
      <c r="D1191" s="291"/>
      <c r="E1191" s="292"/>
      <c r="F1191" s="292"/>
      <c r="G1191" s="292"/>
    </row>
    <row r="1192" spans="1:7">
      <c r="A1192" s="271"/>
      <c r="B1192" s="624" t="s">
        <v>132</v>
      </c>
      <c r="D1192" s="1000" t="s">
        <v>1748</v>
      </c>
      <c r="E1192" s="1000"/>
      <c r="F1192" s="1000"/>
    </row>
    <row r="1193" spans="1:7">
      <c r="A1193" s="271"/>
      <c r="B1193" s="271"/>
      <c r="D1193" s="44"/>
    </row>
    <row r="1194" spans="1:7">
      <c r="A1194" s="271"/>
      <c r="B1194" s="624" t="s">
        <v>132</v>
      </c>
      <c r="D1194" s="980" t="s">
        <v>1749</v>
      </c>
      <c r="E1194" s="980"/>
      <c r="F1194" s="980"/>
    </row>
    <row r="1195" spans="1:7">
      <c r="A1195" s="271"/>
      <c r="B1195" s="271"/>
      <c r="D1195" s="980"/>
      <c r="E1195" s="980"/>
      <c r="F1195" s="980"/>
    </row>
    <row r="1196" spans="1:7" ht="12.45"/>
    <row r="1197" spans="1:7" ht="13.1">
      <c r="A1197" s="1034" t="s">
        <v>2111</v>
      </c>
      <c r="B1197" s="1034"/>
      <c r="C1197" s="1034"/>
      <c r="D1197" s="1034"/>
      <c r="E1197" s="1034"/>
      <c r="F1197" s="1034"/>
      <c r="G1197" s="1034"/>
    </row>
    <row r="1198" spans="1:7" ht="12.45"/>
    <row r="1199" spans="1:7" ht="13.1">
      <c r="A1199" s="1034" t="s">
        <v>1469</v>
      </c>
      <c r="B1199" s="1034"/>
      <c r="C1199" s="1034"/>
      <c r="D1199" s="1034"/>
      <c r="E1199" s="1034"/>
      <c r="F1199" s="1034"/>
      <c r="G1199" s="1034"/>
    </row>
    <row r="1200" spans="1:7" ht="12.45"/>
    <row r="1201" spans="1:7" ht="13.1">
      <c r="D1201" s="1004" t="s">
        <v>1581</v>
      </c>
      <c r="E1201" s="1004"/>
      <c r="F1201" s="1004"/>
    </row>
    <row r="1202" spans="1:7" ht="12.45">
      <c r="D1202" s="1039" t="s">
        <v>2012</v>
      </c>
      <c r="E1202" s="1039"/>
      <c r="F1202" s="1039"/>
    </row>
    <row r="1203" spans="1:7" ht="13.1">
      <c r="A1203" s="190"/>
      <c r="B1203" s="190"/>
      <c r="C1203" s="190"/>
    </row>
    <row r="1204" spans="1:7">
      <c r="A1204" s="271"/>
      <c r="B1204" s="271"/>
      <c r="C1204" s="191"/>
      <c r="D1204" s="1004" t="s">
        <v>1582</v>
      </c>
      <c r="E1204" s="1004"/>
      <c r="F1204" s="1004"/>
    </row>
    <row r="1205" spans="1:7" ht="12.45">
      <c r="B1205" s="624" t="s">
        <v>1440</v>
      </c>
      <c r="D1205" s="999" t="s">
        <v>1583</v>
      </c>
      <c r="E1205" s="999"/>
      <c r="F1205" s="999"/>
    </row>
    <row r="1206" spans="1:7" ht="12.45">
      <c r="D1206" s="1039" t="s">
        <v>2013</v>
      </c>
      <c r="E1206" s="1039"/>
      <c r="F1206" s="1039"/>
    </row>
    <row r="1207" spans="1:7" ht="12.45">
      <c r="G1207"/>
    </row>
    <row r="1208" spans="1:7" ht="12.8" customHeight="1">
      <c r="B1208" s="624" t="s">
        <v>132</v>
      </c>
      <c r="D1208" s="1023" t="s">
        <v>1914</v>
      </c>
      <c r="E1208" s="1023"/>
      <c r="F1208" s="1023"/>
      <c r="G1208"/>
    </row>
    <row r="1209" spans="1:7" ht="12.45">
      <c r="D1209" s="1023"/>
      <c r="E1209" s="1023"/>
      <c r="F1209" s="1023"/>
      <c r="G1209"/>
    </row>
    <row r="1210" spans="1:7" ht="12.45">
      <c r="G1210"/>
    </row>
    <row r="1211" spans="1:7" ht="12.8" customHeight="1"/>
    <row r="1212" spans="1:7" ht="13.1">
      <c r="A1212" s="1034" t="s">
        <v>1471</v>
      </c>
      <c r="B1212" s="1034"/>
      <c r="C1212" s="1034"/>
      <c r="D1212" s="1034"/>
      <c r="E1212" s="1034"/>
      <c r="F1212" s="1034"/>
      <c r="G1212" s="1034"/>
    </row>
    <row r="1213" spans="1:7" ht="12.45">
      <c r="A1213" s="44"/>
      <c r="B1213" s="44"/>
    </row>
    <row r="1214" spans="1:7" ht="12.8" customHeight="1">
      <c r="A1214" s="44"/>
      <c r="B1214" s="44"/>
      <c r="D1214" s="1001" t="s">
        <v>1470</v>
      </c>
      <c r="E1214" s="1001"/>
      <c r="F1214" s="1001"/>
    </row>
    <row r="1215" spans="1:7" ht="12.8" customHeight="1">
      <c r="A1215" s="44"/>
      <c r="B1215" s="44"/>
      <c r="D1215" s="1000" t="s">
        <v>1477</v>
      </c>
      <c r="E1215" s="1000"/>
      <c r="F1215" s="1000"/>
    </row>
    <row r="1216" spans="1:7" ht="12.8" customHeight="1">
      <c r="A1216" s="44"/>
      <c r="B1216" s="44"/>
    </row>
    <row r="1217" spans="1:7">
      <c r="A1217" s="271"/>
      <c r="B1217" s="624" t="s">
        <v>132</v>
      </c>
      <c r="D1217" s="1010" t="s">
        <v>1058</v>
      </c>
      <c r="E1217" s="1010"/>
      <c r="F1217" s="1010"/>
    </row>
    <row r="1218" spans="1:7" ht="12.45">
      <c r="D1218" s="1000" t="s">
        <v>1181</v>
      </c>
      <c r="E1218" s="1000"/>
      <c r="F1218" s="1000"/>
    </row>
    <row r="1219" spans="1:7" ht="13.1">
      <c r="E1219" s="1025" t="s">
        <v>2196</v>
      </c>
      <c r="F1219" s="1025"/>
    </row>
    <row r="1220" spans="1:7" ht="13.1">
      <c r="D1220" s="3"/>
    </row>
    <row r="1221" spans="1:7" ht="12.45">
      <c r="D1221" s="1038" t="s">
        <v>1326</v>
      </c>
      <c r="E1221" s="1038"/>
      <c r="F1221" s="1038"/>
    </row>
    <row r="1222" spans="1:7" ht="12.45">
      <c r="B1222" s="624" t="s">
        <v>132</v>
      </c>
      <c r="D1222" s="973" t="s">
        <v>2197</v>
      </c>
      <c r="E1222" s="980"/>
      <c r="F1222" s="980"/>
      <c r="G1222"/>
    </row>
    <row r="1223" spans="1:7" ht="12.45">
      <c r="D1223" s="980"/>
      <c r="E1223" s="980"/>
      <c r="F1223" s="980"/>
      <c r="G1223"/>
    </row>
    <row r="1224" spans="1:7" ht="12.45">
      <c r="D1224" s="516" t="s">
        <v>1329</v>
      </c>
      <c r="E1224"/>
      <c r="F1224"/>
      <c r="G1224"/>
    </row>
    <row r="1225" spans="1:7" ht="13.75" customHeight="1">
      <c r="D1225" s="973" t="s">
        <v>2198</v>
      </c>
      <c r="E1225" s="980"/>
      <c r="F1225" s="980"/>
      <c r="G1225"/>
    </row>
    <row r="1226" spans="1:7" ht="12.45">
      <c r="D1226" s="980"/>
      <c r="E1226" s="980"/>
      <c r="F1226" s="980"/>
      <c r="G1226"/>
    </row>
    <row r="1227" spans="1:7" ht="12.45">
      <c r="D1227" s="980"/>
      <c r="E1227" s="980"/>
      <c r="F1227" s="980"/>
      <c r="G1227"/>
    </row>
    <row r="1228" spans="1:7" ht="12.45">
      <c r="D1228" s="980"/>
      <c r="E1228" s="980"/>
      <c r="F1228" s="980"/>
      <c r="G1228"/>
    </row>
    <row r="1229" spans="1:7" ht="13.1">
      <c r="D1229" s="1025" t="s">
        <v>1061</v>
      </c>
      <c r="E1229" s="1025"/>
      <c r="F1229" s="1025"/>
      <c r="G1229"/>
    </row>
    <row r="1230" spans="1:7" ht="12.45">
      <c r="B1230" s="624" t="s">
        <v>132</v>
      </c>
      <c r="D1230" s="1010" t="s">
        <v>1327</v>
      </c>
      <c r="E1230" s="1010"/>
      <c r="F1230" s="1010"/>
      <c r="G1230"/>
    </row>
    <row r="1231" spans="1:7" ht="12.45">
      <c r="E1231"/>
      <c r="F1231"/>
      <c r="G1231"/>
    </row>
    <row r="1232" spans="1:7" ht="13.1">
      <c r="D1232" s="1040" t="s">
        <v>1328</v>
      </c>
      <c r="E1232" s="1040"/>
      <c r="F1232" s="1040"/>
      <c r="G1232"/>
    </row>
    <row r="1233" spans="1:7" ht="13.1">
      <c r="D1233" s="3" t="s">
        <v>1059</v>
      </c>
      <c r="E1233"/>
      <c r="F1233"/>
      <c r="G1233"/>
    </row>
    <row r="1234" spans="1:7" ht="14.4" customHeight="1">
      <c r="A1234" s="271"/>
      <c r="B1234" s="624" t="s">
        <v>132</v>
      </c>
      <c r="D1234" s="980" t="s">
        <v>1584</v>
      </c>
      <c r="E1234" s="980"/>
      <c r="F1234" s="980"/>
      <c r="G1234"/>
    </row>
    <row r="1235" spans="1:7">
      <c r="A1235" s="271"/>
      <c r="B1235" s="271"/>
      <c r="D1235" s="980"/>
      <c r="E1235" s="980"/>
      <c r="F1235" s="980"/>
      <c r="G1235"/>
    </row>
    <row r="1236" spans="1:7">
      <c r="A1236" s="271"/>
      <c r="B1236" s="271"/>
      <c r="D1236" s="980"/>
      <c r="E1236" s="980"/>
      <c r="F1236" s="980"/>
      <c r="G1236"/>
    </row>
    <row r="1237" spans="1:7">
      <c r="A1237" s="271"/>
      <c r="B1237" s="271"/>
      <c r="E1237"/>
      <c r="F1237"/>
      <c r="G1237"/>
    </row>
    <row r="1238" spans="1:7">
      <c r="A1238" s="271"/>
      <c r="B1238" s="271"/>
      <c r="D1238" s="430" t="s">
        <v>1179</v>
      </c>
      <c r="E1238" s="430"/>
      <c r="F1238" s="430"/>
    </row>
    <row r="1239" spans="1:7">
      <c r="A1239" s="271"/>
      <c r="B1239" s="624" t="s">
        <v>132</v>
      </c>
      <c r="D1239" s="980" t="s">
        <v>1585</v>
      </c>
      <c r="E1239" s="980"/>
      <c r="F1239" s="980"/>
    </row>
    <row r="1240" spans="1:7">
      <c r="A1240" s="271"/>
      <c r="B1240" s="271"/>
      <c r="D1240" s="980"/>
      <c r="E1240" s="980"/>
      <c r="F1240" s="980"/>
    </row>
    <row r="1241" spans="1:7">
      <c r="A1241" s="271"/>
      <c r="B1241" s="271"/>
      <c r="D1241" s="980"/>
      <c r="E1241" s="980"/>
      <c r="F1241" s="980"/>
    </row>
    <row r="1242" spans="1:7">
      <c r="A1242" s="271"/>
      <c r="B1242" s="271"/>
      <c r="D1242" s="980"/>
      <c r="E1242" s="980"/>
      <c r="F1242" s="980"/>
    </row>
    <row r="1243" spans="1:7">
      <c r="A1243" s="271"/>
      <c r="B1243" s="271"/>
      <c r="D1243" s="980"/>
      <c r="E1243" s="980"/>
      <c r="F1243" s="980"/>
    </row>
    <row r="1244" spans="1:7" ht="12.8" customHeight="1">
      <c r="A1244" s="44"/>
      <c r="B1244" s="44"/>
    </row>
    <row r="1245" spans="1:7" ht="13.1">
      <c r="A1245" s="1034" t="s">
        <v>1505</v>
      </c>
      <c r="B1245" s="1034"/>
      <c r="C1245" s="1034"/>
      <c r="D1245" s="1034"/>
      <c r="E1245" s="1034"/>
      <c r="F1245" s="1034"/>
      <c r="G1245" s="1034"/>
    </row>
    <row r="1246" spans="1:7" ht="12.45">
      <c r="A1246" s="44"/>
      <c r="B1246" s="44"/>
    </row>
    <row r="1247" spans="1:7" ht="13.1">
      <c r="A1247" s="44"/>
      <c r="B1247" s="44"/>
      <c r="D1247" s="1030" t="s">
        <v>1506</v>
      </c>
      <c r="E1247" s="1030"/>
      <c r="F1247" s="1030"/>
    </row>
    <row r="1248" spans="1:7" ht="12.45">
      <c r="A1248" s="268"/>
      <c r="B1248" s="268"/>
      <c r="C1248" s="268"/>
      <c r="D1248" s="1010" t="s">
        <v>1519</v>
      </c>
      <c r="E1248" s="1010"/>
      <c r="F1248" s="1010"/>
      <c r="G1248" s="269"/>
    </row>
    <row r="1249" spans="1:7" ht="10.5" customHeight="1"/>
    <row r="1250" spans="1:7">
      <c r="A1250" s="271"/>
      <c r="B1250" s="624" t="s">
        <v>132</v>
      </c>
      <c r="D1250" s="1010" t="s">
        <v>1182</v>
      </c>
      <c r="E1250" s="1010"/>
      <c r="F1250" s="1010"/>
    </row>
    <row r="1251" spans="1:7" ht="13.1">
      <c r="E1251" s="1025" t="s">
        <v>2199</v>
      </c>
      <c r="F1251" s="1025"/>
    </row>
    <row r="1252" spans="1:7" ht="13.1">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adGMsnt+adrofUh181Uwxq2z2QXzCqgBKaKF+2/oC9io/tA/1MPOAK9/XtftjX5XbhpBEngWeDBvOljb83tccQ==" saltValue="d80ow8TmddKjdXVNSpWMjQ=="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570" workbookViewId="0">
      <selection activeCell="J583" sqref="J583"/>
    </sheetView>
  </sheetViews>
  <sheetFormatPr defaultColWidth="0" defaultRowHeight="12.95" customHeight="1" zeroHeight="1"/>
  <cols>
    <col min="1" max="32" width="2.625" customWidth="1"/>
    <col min="33" max="33" width="3.125" customWidth="1"/>
    <col min="34" max="34" width="2.625" customWidth="1"/>
    <col min="35" max="35" width="3" customWidth="1"/>
    <col min="36" max="38" width="2.625" customWidth="1"/>
    <col min="39" max="39" width="2.75" customWidth="1"/>
    <col min="40" max="40" width="3" customWidth="1"/>
    <col min="41" max="41" width="2.75" customWidth="1"/>
    <col min="42" max="45" width="2.375" customWidth="1"/>
    <col min="46" max="46" width="2.875" customWidth="1"/>
    <col min="47" max="16383" width="9.125" hidden="1"/>
    <col min="16384" max="16384" width="0.25" hidden="1"/>
  </cols>
  <sheetData>
    <row r="1" spans="1:45" ht="12.95" customHeight="1">
      <c r="J1" s="183"/>
      <c r="AS1" s="939">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80" t="s">
        <v>830</v>
      </c>
      <c r="B9" s="1380"/>
      <c r="C9" s="1380"/>
      <c r="D9" s="1380"/>
      <c r="E9" s="1380"/>
      <c r="F9" s="1380"/>
      <c r="G9" s="1380"/>
      <c r="H9" s="1380"/>
      <c r="I9" s="1380"/>
      <c r="J9" s="1380"/>
      <c r="K9" s="1380"/>
      <c r="L9" s="1380"/>
      <c r="M9" s="1380"/>
      <c r="N9" s="1380"/>
      <c r="O9" s="1380"/>
      <c r="P9" s="1380"/>
      <c r="Q9" s="1380"/>
      <c r="R9" s="1380"/>
      <c r="S9" s="1380"/>
      <c r="T9" s="1380"/>
      <c r="U9" s="1380"/>
      <c r="V9" s="1380"/>
      <c r="W9" s="1380"/>
      <c r="X9" s="1380"/>
      <c r="Y9" s="1380"/>
      <c r="Z9" s="1380"/>
      <c r="AA9" s="1380"/>
      <c r="AB9" s="1380"/>
      <c r="AC9" s="1380"/>
      <c r="AD9" s="1380"/>
      <c r="AE9" s="1380"/>
      <c r="AF9" s="1380"/>
      <c r="AG9" s="1380"/>
      <c r="AH9" s="1380"/>
      <c r="AI9" s="1380"/>
      <c r="AJ9" s="1380"/>
      <c r="AK9" s="1380"/>
      <c r="AL9" s="1380"/>
    </row>
    <row r="10" spans="1:45" ht="12.95" customHeight="1">
      <c r="A10" s="1382" t="s">
        <v>2356</v>
      </c>
      <c r="B10" s="1382"/>
      <c r="C10" s="1382"/>
      <c r="D10" s="1382"/>
      <c r="E10" s="1382"/>
      <c r="F10" s="1382"/>
      <c r="G10" s="1382"/>
      <c r="H10" s="1382"/>
      <c r="I10" s="1382"/>
      <c r="J10" s="1382"/>
      <c r="K10" s="1382"/>
      <c r="L10" s="1382"/>
      <c r="M10" s="1382"/>
      <c r="N10" s="1382"/>
      <c r="O10" s="1382"/>
      <c r="P10" s="1382"/>
      <c r="Q10" s="1382"/>
      <c r="R10" s="1382"/>
      <c r="S10" s="1382"/>
      <c r="T10" s="1382"/>
      <c r="U10" s="1382"/>
      <c r="V10" s="1382"/>
      <c r="W10" s="1382"/>
      <c r="X10" s="1382"/>
      <c r="Y10" s="1382"/>
      <c r="Z10" s="1382"/>
      <c r="AA10" s="1382"/>
      <c r="AB10" s="1382"/>
      <c r="AC10" s="1382"/>
      <c r="AD10" s="1382"/>
      <c r="AE10" s="1382"/>
      <c r="AF10" s="1382"/>
      <c r="AG10" s="1382"/>
      <c r="AH10" s="1382"/>
      <c r="AI10" s="1382"/>
      <c r="AJ10" s="1382"/>
      <c r="AK10" s="1382"/>
      <c r="AL10" s="1382"/>
    </row>
    <row r="11" spans="1:45" s="267" customFormat="1" ht="12.95" customHeight="1">
      <c r="A11" s="1385" t="s">
        <v>2339</v>
      </c>
      <c r="B11" s="1386"/>
      <c r="C11" s="1386"/>
      <c r="D11" s="1386"/>
      <c r="E11" s="1386"/>
      <c r="F11" s="1386"/>
      <c r="G11" s="1386"/>
      <c r="H11" s="1386"/>
      <c r="I11" s="1386"/>
      <c r="J11" s="1386"/>
      <c r="K11" s="1386"/>
      <c r="L11" s="1386"/>
      <c r="M11" s="1386"/>
      <c r="N11" s="1386"/>
      <c r="O11" s="1386"/>
      <c r="P11" s="1386"/>
      <c r="Q11" s="1386"/>
      <c r="R11" s="1386"/>
      <c r="S11" s="1386"/>
      <c r="T11" s="1386"/>
      <c r="U11" s="1386"/>
      <c r="V11" s="1386"/>
      <c r="W11" s="1386"/>
      <c r="X11" s="1386"/>
      <c r="Y11" s="1386"/>
      <c r="Z11" s="1386"/>
      <c r="AA11" s="1386"/>
      <c r="AB11" s="1386"/>
      <c r="AC11" s="1386"/>
      <c r="AD11" s="1386"/>
      <c r="AE11" s="1386"/>
      <c r="AF11" s="1386"/>
      <c r="AG11" s="1386"/>
      <c r="AH11" s="1386"/>
      <c r="AI11" s="1386"/>
      <c r="AJ11" s="1386"/>
      <c r="AK11" s="1386"/>
      <c r="AL11" s="1386"/>
    </row>
    <row r="12" spans="1:45" ht="12.95" customHeight="1">
      <c r="A12" s="983" t="s">
        <v>1965</v>
      </c>
      <c r="B12" s="983"/>
      <c r="C12" s="98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c r="AL12" s="983"/>
    </row>
    <row r="13" spans="1:45" ht="12.95" customHeight="1" thickBot="1">
      <c r="A13" s="985"/>
      <c r="B13" s="985"/>
      <c r="C13" s="985"/>
      <c r="D13" s="985"/>
      <c r="E13" s="985"/>
      <c r="F13" s="985"/>
      <c r="G13" s="985"/>
      <c r="H13" s="985"/>
      <c r="I13" s="985"/>
      <c r="J13" s="985"/>
      <c r="K13" s="985"/>
      <c r="L13" s="985"/>
      <c r="M13" s="985"/>
      <c r="N13" s="985"/>
      <c r="O13" s="985"/>
      <c r="P13" s="985"/>
      <c r="Q13" s="985"/>
      <c r="R13" s="985"/>
      <c r="S13" s="985"/>
      <c r="T13" s="985"/>
      <c r="U13" s="985"/>
      <c r="V13" s="985"/>
      <c r="W13" s="985"/>
      <c r="X13" s="985"/>
      <c r="Y13" s="985"/>
      <c r="Z13" s="985"/>
      <c r="AA13" s="985"/>
      <c r="AB13" s="985"/>
      <c r="AC13" s="985"/>
      <c r="AD13" s="985"/>
      <c r="AE13" s="985"/>
      <c r="AF13" s="985"/>
      <c r="AG13" s="985"/>
      <c r="AH13" s="985"/>
      <c r="AI13" s="985"/>
      <c r="AJ13" s="985"/>
      <c r="AK13" s="985"/>
      <c r="AL13" s="985"/>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587</v>
      </c>
      <c r="C15" s="5"/>
      <c r="D15" s="5"/>
      <c r="E15" s="5"/>
      <c r="F15" s="5"/>
      <c r="G15" s="5"/>
      <c r="H15" s="1383" t="s">
        <v>2359</v>
      </c>
      <c r="I15" s="1383"/>
      <c r="J15" s="1383"/>
      <c r="K15" s="1383"/>
      <c r="L15" s="1383"/>
      <c r="M15" s="1383"/>
      <c r="N15" s="1383"/>
      <c r="O15" s="1383"/>
      <c r="P15" s="1383"/>
      <c r="Q15" s="1383"/>
      <c r="R15" s="1383"/>
      <c r="S15" s="1383"/>
      <c r="T15" s="1383"/>
      <c r="U15" s="1383"/>
      <c r="V15" s="1383"/>
      <c r="W15" s="1383"/>
      <c r="X15" s="1383"/>
      <c r="Y15" s="1383"/>
      <c r="Z15" s="1383"/>
      <c r="AA15" s="1383"/>
      <c r="AB15" s="1383"/>
      <c r="AC15" s="1383"/>
      <c r="AD15" s="1383"/>
      <c r="AE15" s="1383"/>
      <c r="AF15" s="1383"/>
      <c r="AG15" s="1383"/>
      <c r="AH15" s="1383"/>
      <c r="AI15" s="1383"/>
      <c r="AJ15" s="1383"/>
    </row>
    <row r="16" spans="1:45" ht="12.95" customHeight="1"/>
    <row r="17" spans="1:40" ht="12.95" customHeight="1">
      <c r="A17" s="63" t="s">
        <v>831</v>
      </c>
      <c r="C17" s="5"/>
      <c r="D17" s="5"/>
      <c r="E17" s="5"/>
      <c r="F17" s="5"/>
      <c r="G17" s="5"/>
      <c r="H17" s="1368" t="s">
        <v>2360</v>
      </c>
      <c r="I17" s="1384"/>
      <c r="J17" s="1384"/>
      <c r="K17" s="1384"/>
      <c r="L17" s="1384"/>
      <c r="M17" s="1384"/>
      <c r="N17" s="1384"/>
      <c r="O17" s="1384"/>
      <c r="P17" s="1384"/>
      <c r="Q17" s="1384"/>
      <c r="R17" s="1384"/>
      <c r="S17" s="1384"/>
      <c r="T17" s="1384"/>
      <c r="U17" s="1384"/>
      <c r="V17" s="1384"/>
      <c r="W17" s="1384"/>
      <c r="X17" s="1384"/>
      <c r="Y17" s="1384"/>
      <c r="Z17" s="1384"/>
      <c r="AA17" s="1384"/>
      <c r="AB17" s="1384"/>
      <c r="AC17" s="1384"/>
      <c r="AD17" s="1384"/>
      <c r="AE17" s="1384"/>
      <c r="AF17" s="1384"/>
      <c r="AG17" s="1384"/>
      <c r="AH17" s="1384"/>
      <c r="AI17" s="1384"/>
      <c r="AJ17" s="1384"/>
    </row>
    <row r="18" spans="1:40" ht="12.95" customHeight="1"/>
    <row r="19" spans="1:40" ht="12.95" customHeight="1">
      <c r="A19" s="992" t="s">
        <v>1148</v>
      </c>
      <c r="B19" s="992"/>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992"/>
      <c r="AB19" s="992"/>
      <c r="AC19" s="992"/>
      <c r="AD19" s="992"/>
      <c r="AE19" s="992"/>
      <c r="AF19" s="992"/>
      <c r="AG19" s="992"/>
      <c r="AH19" s="992"/>
      <c r="AI19" s="992"/>
      <c r="AJ19" s="992"/>
      <c r="AK19" s="992"/>
      <c r="AL19" s="992"/>
    </row>
    <row r="20" spans="1:40" ht="12.95" customHeight="1">
      <c r="A20" s="1388" t="s">
        <v>1405</v>
      </c>
      <c r="B20" s="1388"/>
      <c r="C20" s="1388"/>
      <c r="D20" s="1388"/>
      <c r="E20" s="1388"/>
      <c r="F20" s="1388"/>
      <c r="G20" s="1388"/>
      <c r="H20" s="1388"/>
      <c r="I20" s="1388"/>
      <c r="J20" s="1388"/>
      <c r="K20" s="1388"/>
      <c r="L20" s="1388"/>
      <c r="M20" s="1388"/>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c r="AL20" s="1388"/>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2210</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91">
        <f>ROUND('Basis &amp; Credits'!AB55,0)</f>
        <v>2230536</v>
      </c>
      <c r="N25" s="1391"/>
      <c r="O25" s="1391"/>
      <c r="P25" s="1391"/>
      <c r="Q25" s="1391"/>
      <c r="R25" s="5" t="s">
        <v>885</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91">
        <f>'Basis &amp; Credits'!AB76</f>
        <v>2039992</v>
      </c>
      <c r="N27" s="1391"/>
      <c r="O27" s="1391"/>
      <c r="P27" s="1391"/>
      <c r="Q27" s="1391"/>
      <c r="R27" s="5" t="s">
        <v>1404</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2211</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1413</v>
      </c>
      <c r="C33" s="102"/>
      <c r="D33" s="102"/>
      <c r="E33" s="102"/>
      <c r="F33" s="102"/>
      <c r="G33" s="102"/>
      <c r="H33" s="102"/>
      <c r="I33" s="102"/>
      <c r="J33" s="102"/>
      <c r="K33" s="102"/>
      <c r="L33" s="102"/>
      <c r="M33" s="102"/>
      <c r="N33" s="102"/>
      <c r="O33" s="1225" t="s">
        <v>116</v>
      </c>
      <c r="P33" s="1225"/>
      <c r="Q33" s="102" t="s">
        <v>1414</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1977</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1415</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1980</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1978</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1979</v>
      </c>
      <c r="AM38" s="19"/>
    </row>
    <row r="39" spans="1:39" ht="12.95" customHeight="1">
      <c r="AM39" s="19"/>
    </row>
    <row r="40" spans="1:39" ht="12.95" customHeight="1">
      <c r="A40" s="102" t="s">
        <v>2212</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2213</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2214</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2215</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2216</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1406</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1226</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2217</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1259</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2358</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1228</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1227</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2218</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2219</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2220</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1412</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1411</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314</v>
      </c>
      <c r="AM87" s="19"/>
    </row>
    <row r="88" spans="1:39" ht="12.95" customHeight="1">
      <c r="A88" s="102" t="s">
        <v>315</v>
      </c>
      <c r="AM88" s="19"/>
    </row>
    <row r="89" spans="1:39" ht="12.95" customHeight="1">
      <c r="A89" s="102" t="s">
        <v>2221</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2222</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2223</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2224</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2225</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1942</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1943</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1944</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1945</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1407</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2226</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1947</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1946</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1408</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2227</v>
      </c>
    </row>
    <row r="117" spans="1:39" ht="12.95" customHeight="1">
      <c r="A117" s="102" t="s">
        <v>1409</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1410</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2228</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940</v>
      </c>
    </row>
    <row r="125" spans="1:39" ht="12.95" customHeight="1">
      <c r="A125" s="102" t="s">
        <v>1082</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440</v>
      </c>
      <c r="E128" s="41"/>
      <c r="F128" s="41"/>
      <c r="G128" s="1266"/>
      <c r="H128" s="1266"/>
      <c r="I128" s="41" t="s">
        <v>441</v>
      </c>
      <c r="J128" s="41"/>
      <c r="L128" s="1387"/>
      <c r="M128" s="1387"/>
      <c r="N128" s="1387"/>
      <c r="O128" s="41" t="s">
        <v>2357</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2.95" customHeight="1">
      <c r="A130" s="41"/>
      <c r="B130" s="41"/>
      <c r="C130" s="1387"/>
      <c r="D130" s="1387"/>
      <c r="E130" s="1387"/>
      <c r="F130" s="1387"/>
      <c r="G130" s="1387"/>
      <c r="H130" s="1387"/>
      <c r="I130" s="1387"/>
      <c r="J130" s="1387"/>
      <c r="K130" s="1387"/>
      <c r="L130" s="310" t="s">
        <v>442</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68" t="s">
        <v>2361</v>
      </c>
      <c r="Z131" s="1384"/>
      <c r="AA131" s="1384"/>
      <c r="AB131" s="1384"/>
      <c r="AC131" s="1384"/>
      <c r="AD131" s="1384"/>
      <c r="AE131" s="1384"/>
      <c r="AF131" s="1384"/>
      <c r="AG131" s="1384"/>
      <c r="AH131" s="1384"/>
      <c r="AI131" s="1384"/>
      <c r="AJ131" s="1384"/>
      <c r="AK131" s="1384"/>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68" t="s">
        <v>2362</v>
      </c>
      <c r="Z134" s="1384"/>
      <c r="AA134" s="1384"/>
      <c r="AB134" s="1384"/>
      <c r="AC134" s="1384"/>
      <c r="AD134" s="1384"/>
      <c r="AE134" s="1384"/>
      <c r="AF134" s="1384"/>
      <c r="AG134" s="1384"/>
      <c r="AH134" s="1384"/>
      <c r="AI134" s="1384"/>
      <c r="AJ134" s="1384"/>
      <c r="AK134" s="1384"/>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2.95" customHeight="1">
      <c r="A136" s="503"/>
      <c r="B136" s="5"/>
      <c r="AL136" s="503"/>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692</v>
      </c>
      <c r="O156" s="1368" t="s">
        <v>2363</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84</v>
      </c>
    </row>
    <row r="157" spans="1:72" ht="12.95" customHeight="1">
      <c r="D157" s="340" t="s">
        <v>574</v>
      </c>
      <c r="O157" s="1485" t="s">
        <v>2364</v>
      </c>
      <c r="P157" s="1233"/>
      <c r="Q157" s="1233"/>
      <c r="R157" s="1233"/>
      <c r="S157" s="1233"/>
      <c r="T157" s="1233"/>
      <c r="U157" s="1233"/>
      <c r="V157" s="1233"/>
      <c r="W157" s="1233"/>
      <c r="X157" s="1233"/>
      <c r="Y157" s="1233"/>
      <c r="Z157" s="1233"/>
      <c r="AA157" s="1233"/>
      <c r="AB157" s="1233"/>
      <c r="AC157" s="1233"/>
      <c r="AD157" s="1233"/>
      <c r="AE157" s="1233"/>
      <c r="AF157" s="1233"/>
      <c r="AG157" s="1233"/>
      <c r="AH157" s="1233"/>
      <c r="AI157" t="s">
        <v>745</v>
      </c>
      <c r="BN157" s="30" t="s">
        <v>451</v>
      </c>
      <c r="BT157" t="s">
        <v>31</v>
      </c>
    </row>
    <row r="158" spans="1:72" ht="12.95" customHeight="1">
      <c r="D158" s="12" t="s">
        <v>575</v>
      </c>
      <c r="F158" s="12"/>
      <c r="G158" s="12"/>
      <c r="H158" s="12"/>
      <c r="I158" s="12"/>
      <c r="J158" s="12"/>
      <c r="K158" s="12"/>
      <c r="L158" s="12"/>
      <c r="M158" s="12"/>
      <c r="N158" s="12"/>
      <c r="O158" s="1490" t="s">
        <v>576</v>
      </c>
      <c r="P158" s="1490"/>
      <c r="Q158" s="1490"/>
      <c r="R158" s="1490"/>
      <c r="S158" s="1490"/>
      <c r="T158" s="1490"/>
      <c r="U158" s="1490"/>
      <c r="V158" s="1490"/>
      <c r="W158" s="1490"/>
      <c r="X158" s="1490"/>
      <c r="Y158" s="1490"/>
      <c r="Z158" s="1490"/>
      <c r="AA158" s="1490"/>
      <c r="AB158" s="1490"/>
      <c r="AC158" s="1490"/>
      <c r="AD158" s="1490"/>
      <c r="AE158" s="1490"/>
      <c r="AF158" s="1490"/>
      <c r="AG158" s="1490"/>
      <c r="AH158" s="1490"/>
      <c r="BN158" s="30" t="s">
        <v>452</v>
      </c>
      <c r="BT158" t="s">
        <v>32</v>
      </c>
    </row>
    <row r="159" spans="1:72" ht="12.95" customHeight="1">
      <c r="D159" t="s">
        <v>683</v>
      </c>
      <c r="O159" s="1223" t="s">
        <v>2365</v>
      </c>
      <c r="P159" s="1223"/>
      <c r="Q159" s="1223"/>
      <c r="R159" s="1223"/>
      <c r="S159" s="1223"/>
      <c r="T159" s="1223"/>
      <c r="U159" s="1223"/>
      <c r="V159" s="1223"/>
      <c r="W159" s="1223"/>
      <c r="X159" s="1223"/>
      <c r="Y159" s="1223"/>
      <c r="Z159" s="1223"/>
      <c r="AA159" s="1223"/>
      <c r="AB159" s="1223"/>
      <c r="AC159" s="1223"/>
      <c r="AD159" s="1223"/>
      <c r="AE159" s="1223"/>
      <c r="AF159" s="1223"/>
      <c r="AG159" s="1223"/>
      <c r="AH159" s="1223"/>
      <c r="BN159" s="30" t="s">
        <v>78</v>
      </c>
      <c r="BT159" t="s">
        <v>413</v>
      </c>
    </row>
    <row r="160" spans="1:72" ht="12.95" customHeight="1">
      <c r="D160" t="s">
        <v>684</v>
      </c>
      <c r="O160" s="1368" t="s">
        <v>2366</v>
      </c>
      <c r="P160" s="1384"/>
      <c r="Q160" s="1384"/>
      <c r="R160" s="1384"/>
      <c r="S160" s="1384"/>
      <c r="T160" s="1384"/>
      <c r="U160" s="1384"/>
      <c r="V160" s="1384"/>
      <c r="W160" s="1384"/>
      <c r="X160" s="1384"/>
      <c r="Y160" s="12"/>
      <c r="Z160" s="12"/>
      <c r="AA160" s="12"/>
      <c r="AB160" s="12"/>
      <c r="AC160" s="12"/>
      <c r="AD160" s="12"/>
      <c r="AE160" s="12"/>
      <c r="AF160" s="12"/>
      <c r="BN160" s="30" t="s">
        <v>80</v>
      </c>
      <c r="BT160" t="s">
        <v>414</v>
      </c>
    </row>
    <row r="161" spans="1:72" ht="12.95" customHeight="1">
      <c r="D161" t="s">
        <v>685</v>
      </c>
      <c r="O161" s="1496">
        <v>95301</v>
      </c>
      <c r="P161" s="1496"/>
      <c r="Q161" s="1496"/>
      <c r="R161" s="1496"/>
      <c r="S161" s="13"/>
      <c r="T161" s="13"/>
      <c r="U161" s="13"/>
      <c r="V161" s="13"/>
      <c r="W161" s="13"/>
      <c r="X161" s="13"/>
      <c r="Y161" s="13"/>
      <c r="Z161" s="13"/>
      <c r="AA161" s="13"/>
      <c r="AB161" s="13"/>
      <c r="AC161" s="13"/>
      <c r="AD161" s="13"/>
      <c r="AE161" s="13"/>
      <c r="AF161" s="13"/>
      <c r="BJ161" t="s">
        <v>511</v>
      </c>
      <c r="BN161" s="30" t="s">
        <v>81</v>
      </c>
      <c r="BT161" t="s">
        <v>415</v>
      </c>
    </row>
    <row r="162" spans="1:72" ht="12.95" customHeight="1">
      <c r="D162" t="s">
        <v>686</v>
      </c>
      <c r="O162" s="1489" t="s">
        <v>2367</v>
      </c>
      <c r="P162" s="1489"/>
      <c r="Q162" s="1489"/>
      <c r="R162" s="1489"/>
      <c r="S162" s="1489"/>
      <c r="T162" s="1489"/>
      <c r="V162" s="179" t="s">
        <v>12</v>
      </c>
      <c r="W162" s="1497"/>
      <c r="X162" s="1497"/>
      <c r="Y162" s="14"/>
      <c r="Z162" s="14"/>
      <c r="AA162" s="14"/>
      <c r="AB162" s="14"/>
      <c r="AC162" s="14"/>
      <c r="AD162" s="14"/>
      <c r="AE162" s="14"/>
      <c r="AF162" s="14"/>
      <c r="BJ162" t="s">
        <v>116</v>
      </c>
      <c r="BN162" s="30" t="s">
        <v>82</v>
      </c>
      <c r="BT162" t="s">
        <v>416</v>
      </c>
    </row>
    <row r="163" spans="1:72" ht="12.95" customHeight="1">
      <c r="D163" t="s">
        <v>687</v>
      </c>
      <c r="O163" s="1489"/>
      <c r="P163" s="1489"/>
      <c r="Q163" s="1489"/>
      <c r="R163" s="1489"/>
      <c r="S163" s="1489"/>
      <c r="T163" s="1489"/>
      <c r="U163" s="14"/>
      <c r="V163" s="14"/>
      <c r="W163" s="14"/>
      <c r="X163" s="14"/>
      <c r="Y163" s="14"/>
      <c r="Z163" s="14"/>
      <c r="AA163" s="14"/>
      <c r="AB163" s="14"/>
      <c r="AC163" s="14"/>
      <c r="AD163" s="14"/>
      <c r="AE163" s="14"/>
      <c r="AF163" s="14"/>
      <c r="BN163" s="30" t="s">
        <v>505</v>
      </c>
      <c r="BT163" t="s">
        <v>417</v>
      </c>
    </row>
    <row r="164" spans="1:72" ht="12.95" customHeight="1">
      <c r="D164" t="s">
        <v>688</v>
      </c>
      <c r="O164" s="1488" t="s">
        <v>2368</v>
      </c>
      <c r="P164" s="1488"/>
      <c r="Q164" s="1488"/>
      <c r="R164" s="1488"/>
      <c r="S164" s="1488"/>
      <c r="T164" s="1488"/>
      <c r="U164" s="1488"/>
      <c r="V164" s="1488"/>
      <c r="W164" s="1488"/>
      <c r="X164" s="1488"/>
      <c r="Y164" s="1488"/>
      <c r="Z164" s="1488"/>
      <c r="AA164" s="1488"/>
      <c r="AB164" s="1488"/>
      <c r="AC164" s="1488"/>
      <c r="AD164" s="1488"/>
      <c r="AE164" s="1488"/>
      <c r="AF164" s="1488"/>
      <c r="AG164" s="1488"/>
      <c r="AH164" s="1488"/>
      <c r="BN164" s="30" t="s">
        <v>506</v>
      </c>
      <c r="BT164" t="s">
        <v>418</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2.95" customHeight="1">
      <c r="C166" s="34" t="s">
        <v>745</v>
      </c>
      <c r="D166" t="s">
        <v>2202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2.95" customHeight="1">
      <c r="C167" s="34"/>
      <c r="D167" s="1495" t="s">
        <v>2019</v>
      </c>
      <c r="E167" s="1495"/>
      <c r="F167" s="1495"/>
      <c r="G167" s="1495"/>
      <c r="H167" s="1495"/>
      <c r="I167" s="1495"/>
      <c r="J167" s="1495"/>
      <c r="K167" s="1495"/>
      <c r="L167" s="1495"/>
      <c r="M167" s="1495"/>
      <c r="N167" s="1495"/>
      <c r="O167" s="1495"/>
      <c r="P167" s="1495"/>
      <c r="Q167" s="1495"/>
      <c r="R167" s="1495"/>
      <c r="S167" s="1495"/>
      <c r="T167" s="1495"/>
      <c r="U167" s="1495"/>
      <c r="V167" s="1495"/>
      <c r="W167" s="1495"/>
      <c r="X167" s="1495"/>
      <c r="Y167" s="1495"/>
      <c r="Z167" s="263"/>
      <c r="AA167" s="261"/>
      <c r="AB167" s="261"/>
      <c r="AC167" s="261"/>
      <c r="AD167" s="261"/>
      <c r="AE167" s="261"/>
      <c r="AF167" s="261"/>
      <c r="AG167" s="261"/>
      <c r="AH167" s="261"/>
      <c r="BN167" s="30" t="s">
        <v>512</v>
      </c>
      <c r="BT167" t="s">
        <v>421</v>
      </c>
    </row>
    <row r="168" spans="1:72" ht="12.95" customHeight="1">
      <c r="BN168" s="30" t="s">
        <v>513</v>
      </c>
      <c r="BT168" t="s">
        <v>422</v>
      </c>
    </row>
    <row r="169" spans="1:72" ht="12.95" customHeight="1">
      <c r="A169" s="1394" t="s">
        <v>404</v>
      </c>
      <c r="B169" s="1394"/>
      <c r="C169" s="1394"/>
      <c r="D169" s="1394"/>
      <c r="E169" s="1394"/>
      <c r="F169" s="1394"/>
      <c r="G169" s="1394"/>
      <c r="H169" s="1394"/>
      <c r="I169" s="1394"/>
      <c r="J169" s="1394"/>
      <c r="K169" s="1394"/>
      <c r="L169" s="1394"/>
      <c r="M169" s="1394"/>
      <c r="N169" s="1394"/>
      <c r="O169" s="1394"/>
      <c r="P169" s="1394"/>
      <c r="Q169" s="1394"/>
      <c r="R169" s="1394"/>
      <c r="S169" s="1394"/>
      <c r="T169" s="1394"/>
      <c r="U169" s="1394"/>
      <c r="V169" s="1394"/>
      <c r="W169" s="1394"/>
      <c r="X169" s="1394"/>
      <c r="Y169" s="1394"/>
      <c r="Z169" s="1394"/>
      <c r="AA169" s="1394"/>
      <c r="AB169" s="1394"/>
      <c r="AC169" s="1394"/>
      <c r="AD169" s="1394"/>
      <c r="AE169" s="1394"/>
      <c r="AF169" s="1394"/>
      <c r="AG169" s="1394"/>
      <c r="AH169" s="1394"/>
      <c r="AI169" s="1394"/>
      <c r="AJ169" s="1394"/>
      <c r="AK169" s="1394"/>
      <c r="AL169" s="1394"/>
      <c r="BN169" s="30" t="s">
        <v>515</v>
      </c>
      <c r="BT169" t="s">
        <v>423</v>
      </c>
    </row>
    <row r="170" spans="1:72" ht="12.95" customHeight="1" thickBot="1">
      <c r="A170" s="1395"/>
      <c r="B170" s="1395"/>
      <c r="C170" s="1395"/>
      <c r="D170" s="1395"/>
      <c r="E170" s="1395"/>
      <c r="F170" s="1395"/>
      <c r="G170" s="1395"/>
      <c r="H170" s="1395"/>
      <c r="I170" s="1395"/>
      <c r="J170" s="1395"/>
      <c r="K170" s="1395"/>
      <c r="L170" s="1395"/>
      <c r="M170" s="1395"/>
      <c r="N170" s="1395"/>
      <c r="O170" s="1395"/>
      <c r="P170" s="1395"/>
      <c r="Q170" s="1395"/>
      <c r="R170" s="1395"/>
      <c r="S170" s="1395"/>
      <c r="T170" s="1395"/>
      <c r="U170" s="1395"/>
      <c r="V170" s="1395"/>
      <c r="W170" s="1395"/>
      <c r="X170" s="1395"/>
      <c r="Y170" s="1395"/>
      <c r="Z170" s="1395"/>
      <c r="AA170" s="1395"/>
      <c r="AB170" s="1395"/>
      <c r="AC170" s="1395"/>
      <c r="AD170" s="1395"/>
      <c r="AE170" s="1395"/>
      <c r="AF170" s="1395"/>
      <c r="AG170" s="1395"/>
      <c r="AH170" s="1395"/>
      <c r="AI170" s="1395"/>
      <c r="AJ170" s="1395"/>
      <c r="AK170" s="1395"/>
      <c r="AL170" s="1395"/>
      <c r="BN170" s="30" t="s">
        <v>516</v>
      </c>
      <c r="BT170" t="s">
        <v>424</v>
      </c>
    </row>
    <row r="171" spans="1:72" ht="12.95" customHeight="1" thickTop="1">
      <c r="BN171" s="30" t="s">
        <v>517</v>
      </c>
      <c r="BT171" t="s">
        <v>425</v>
      </c>
    </row>
    <row r="172" spans="1:72" ht="12.95" customHeight="1">
      <c r="A172" s="3" t="s">
        <v>689</v>
      </c>
      <c r="C172" s="3" t="s">
        <v>690</v>
      </c>
      <c r="BN172" s="30" t="s">
        <v>519</v>
      </c>
      <c r="BT172" t="s">
        <v>426</v>
      </c>
    </row>
    <row r="173" spans="1:72" ht="12.95" customHeight="1">
      <c r="C173" s="31"/>
      <c r="D173" t="s">
        <v>466</v>
      </c>
      <c r="J173" s="1369" t="s">
        <v>536</v>
      </c>
      <c r="K173" s="1369"/>
      <c r="L173" s="1369"/>
      <c r="M173" s="1369"/>
      <c r="N173" s="1369"/>
      <c r="O173" s="1369"/>
      <c r="P173" s="1369"/>
      <c r="Q173" s="1369"/>
      <c r="R173" s="1369"/>
      <c r="S173" s="1369"/>
      <c r="U173" s="32"/>
      <c r="X173" s="32"/>
      <c r="BN173" s="30" t="s">
        <v>520</v>
      </c>
      <c r="BT173" t="s">
        <v>427</v>
      </c>
    </row>
    <row r="174" spans="1:72" ht="12.95" customHeight="1">
      <c r="C174" s="31"/>
      <c r="D174" t="s">
        <v>467</v>
      </c>
      <c r="U174" s="1225" t="s">
        <v>511</v>
      </c>
      <c r="V174" s="1225"/>
      <c r="BN174" s="30" t="s">
        <v>630</v>
      </c>
      <c r="BT174" t="s">
        <v>428</v>
      </c>
    </row>
    <row r="175" spans="1:72" ht="12.95" customHeight="1">
      <c r="C175" s="12"/>
      <c r="D175" s="33"/>
      <c r="E175" t="s">
        <v>245</v>
      </c>
      <c r="O175" s="34"/>
      <c r="P175" t="s">
        <v>2229</v>
      </c>
      <c r="T175" s="34" t="s">
        <v>246</v>
      </c>
      <c r="U175" s="1254"/>
      <c r="V175" s="1254"/>
      <c r="W175" s="1" t="s">
        <v>247</v>
      </c>
      <c r="X175" s="1491"/>
      <c r="Y175" s="1491"/>
      <c r="BN175" s="30" t="s">
        <v>631</v>
      </c>
      <c r="BT175" t="s">
        <v>429</v>
      </c>
    </row>
    <row r="176" spans="1:72" ht="12.95" customHeight="1">
      <c r="C176" s="31"/>
      <c r="D176" t="s">
        <v>294</v>
      </c>
      <c r="U176" s="1225"/>
      <c r="V176" s="1225"/>
      <c r="BN176" s="30" t="s">
        <v>633</v>
      </c>
      <c r="BT176" t="s">
        <v>430</v>
      </c>
    </row>
    <row r="177" spans="1:72" ht="12.95" customHeight="1">
      <c r="C177" s="31"/>
      <c r="D177" s="365" t="s">
        <v>1285</v>
      </c>
      <c r="BN177" s="30" t="s">
        <v>634</v>
      </c>
      <c r="BT177" t="s">
        <v>431</v>
      </c>
    </row>
    <row r="178" spans="1:72" ht="12.95" customHeight="1">
      <c r="C178" s="31"/>
      <c r="E178" s="365" t="s">
        <v>2229</v>
      </c>
      <c r="F178" s="365"/>
      <c r="G178" s="365"/>
      <c r="I178" s="960" t="s">
        <v>246</v>
      </c>
      <c r="J178" s="1396"/>
      <c r="K178" s="1396"/>
      <c r="L178" s="374" t="s">
        <v>247</v>
      </c>
      <c r="M178" s="1397"/>
      <c r="N178" s="1397"/>
      <c r="O178" s="365"/>
      <c r="P178" s="365"/>
      <c r="Q178" s="365"/>
      <c r="R178" s="365"/>
      <c r="U178" s="365" t="s">
        <v>1286</v>
      </c>
      <c r="V178" s="365"/>
      <c r="W178" s="365"/>
      <c r="X178" s="365"/>
      <c r="Y178" s="365"/>
      <c r="Z178" s="365"/>
      <c r="AA178" s="365"/>
      <c r="AB178" s="365"/>
      <c r="AD178" s="1398"/>
      <c r="AE178" s="1398"/>
      <c r="AF178" s="1398"/>
      <c r="AG178" s="1398"/>
      <c r="AH178" s="1398"/>
      <c r="BN178" s="30" t="s">
        <v>635</v>
      </c>
      <c r="BT178" t="s">
        <v>432</v>
      </c>
    </row>
    <row r="179" spans="1:72" ht="12.95" customHeight="1">
      <c r="C179" s="31"/>
      <c r="BN179" s="30" t="s">
        <v>636</v>
      </c>
      <c r="BT179" t="s">
        <v>433</v>
      </c>
    </row>
    <row r="180" spans="1:72" ht="12.95" customHeight="1">
      <c r="C180" s="12"/>
      <c r="D180" t="s">
        <v>2230</v>
      </c>
      <c r="O180" s="365"/>
      <c r="P180" s="365"/>
      <c r="Q180" s="365"/>
      <c r="R180" s="365"/>
      <c r="Y180" s="1225"/>
      <c r="Z180" s="1460"/>
      <c r="BN180" s="30" t="s">
        <v>638</v>
      </c>
      <c r="BT180" t="s">
        <v>434</v>
      </c>
    </row>
    <row r="181" spans="1:72" ht="12.95" customHeight="1">
      <c r="C181" s="12"/>
      <c r="D181" s="35"/>
      <c r="E181" s="365" t="s">
        <v>1284</v>
      </c>
      <c r="R181" s="365"/>
      <c r="BN181" s="30" t="s">
        <v>639</v>
      </c>
      <c r="BT181" t="s">
        <v>435</v>
      </c>
    </row>
    <row r="182" spans="1:72" ht="12.95" customHeight="1">
      <c r="C182" s="12"/>
      <c r="D182" s="35"/>
      <c r="BN182" s="30" t="s">
        <v>640</v>
      </c>
      <c r="BT182" t="s">
        <v>436</v>
      </c>
    </row>
    <row r="183" spans="1:72" ht="12.95" customHeight="1">
      <c r="A183" s="3" t="s">
        <v>8</v>
      </c>
      <c r="C183" s="3" t="s">
        <v>9</v>
      </c>
      <c r="BN183" s="30" t="s">
        <v>603</v>
      </c>
      <c r="BT183" t="s">
        <v>437</v>
      </c>
    </row>
    <row r="184" spans="1:72" ht="12.95" customHeight="1">
      <c r="C184" s="29"/>
      <c r="D184" t="s">
        <v>10</v>
      </c>
      <c r="I184" s="1184" t="str">
        <f>H17</f>
        <v>Waterstone I</v>
      </c>
      <c r="J184" s="1184"/>
      <c r="K184" s="1184"/>
      <c r="L184" s="1184"/>
      <c r="M184" s="1184"/>
      <c r="N184" s="1184"/>
      <c r="O184" s="1184"/>
      <c r="P184" s="1184"/>
      <c r="Q184" s="1184"/>
      <c r="R184" s="1184"/>
      <c r="S184" s="1184"/>
      <c r="T184" s="1184"/>
      <c r="U184" s="1184"/>
      <c r="V184" s="1184"/>
      <c r="W184" s="1184"/>
      <c r="X184" s="1184"/>
      <c r="Y184" s="1184"/>
      <c r="Z184" s="1184"/>
      <c r="AA184" s="1184"/>
      <c r="AB184" s="1184"/>
      <c r="AC184" s="1184"/>
      <c r="AD184" s="1184"/>
      <c r="AE184" s="1184"/>
      <c r="BC184" t="s">
        <v>128</v>
      </c>
      <c r="BN184" s="30" t="s">
        <v>605</v>
      </c>
      <c r="BT184" t="s">
        <v>438</v>
      </c>
    </row>
    <row r="185" spans="1:72" ht="12.95" customHeight="1">
      <c r="C185" s="29"/>
      <c r="D185" t="s">
        <v>458</v>
      </c>
      <c r="I185" s="1224" t="s">
        <v>2451</v>
      </c>
      <c r="J185" s="1224"/>
      <c r="K185" s="1224"/>
      <c r="L185" s="1224"/>
      <c r="M185" s="1224"/>
      <c r="N185" s="1224"/>
      <c r="O185" s="1224"/>
      <c r="P185" s="1224"/>
      <c r="Q185" s="1224"/>
      <c r="R185" s="1224"/>
      <c r="S185" s="1224"/>
      <c r="T185" s="1224"/>
      <c r="U185" s="1224"/>
      <c r="V185" s="1224"/>
      <c r="W185" s="1224"/>
      <c r="X185" s="1224"/>
      <c r="Y185" s="1224"/>
      <c r="Z185" s="1224"/>
      <c r="AA185" s="1224"/>
      <c r="AB185" s="1224"/>
      <c r="AC185" s="1224"/>
      <c r="AD185" s="1224"/>
      <c r="AE185" s="1224"/>
      <c r="BC185" s="41" t="s">
        <v>129</v>
      </c>
      <c r="BN185" s="30" t="s">
        <v>606</v>
      </c>
      <c r="BT185" t="s">
        <v>880</v>
      </c>
    </row>
    <row r="186" spans="1:72" ht="12.95" customHeight="1">
      <c r="C186" s="29"/>
      <c r="E186" t="s">
        <v>66</v>
      </c>
      <c r="BN186" s="30" t="s">
        <v>607</v>
      </c>
      <c r="BT186" t="s">
        <v>881</v>
      </c>
    </row>
    <row r="187" spans="1:72" ht="12.95" customHeight="1">
      <c r="C187" s="29"/>
      <c r="E187" s="1373" t="s">
        <v>2451</v>
      </c>
      <c r="F187" s="1373"/>
      <c r="G187" s="1373"/>
      <c r="H187" s="1373"/>
      <c r="I187" s="1373"/>
      <c r="J187" s="1373"/>
      <c r="K187" s="1373"/>
      <c r="L187" s="1373"/>
      <c r="M187" s="1373"/>
      <c r="N187" s="1373"/>
      <c r="O187" s="1373"/>
      <c r="P187" s="1373"/>
      <c r="Q187" s="1373"/>
      <c r="R187" s="1373"/>
      <c r="S187" s="1373"/>
      <c r="T187" s="1373"/>
      <c r="U187" s="1373"/>
      <c r="V187" s="1373"/>
      <c r="W187" s="1373"/>
      <c r="X187" s="1373"/>
      <c r="Y187" s="1373"/>
      <c r="Z187" s="1373"/>
      <c r="AA187" s="1373"/>
      <c r="AB187" s="1373"/>
      <c r="AC187" s="1373"/>
      <c r="AD187" s="1373"/>
      <c r="AE187" s="1373"/>
      <c r="BN187" s="30" t="s">
        <v>608</v>
      </c>
      <c r="BT187" t="s">
        <v>882</v>
      </c>
    </row>
    <row r="188" spans="1:72" ht="12.95" customHeight="1">
      <c r="C188" s="29"/>
      <c r="E188" s="1374"/>
      <c r="F188" s="1374"/>
      <c r="G188" s="1374"/>
      <c r="H188" s="1374"/>
      <c r="I188" s="1374"/>
      <c r="J188" s="1374"/>
      <c r="K188" s="1374"/>
      <c r="L188" s="1374"/>
      <c r="M188" s="1374"/>
      <c r="N188" s="1374"/>
      <c r="O188" s="1374"/>
      <c r="P188" s="1374"/>
      <c r="Q188" s="1374"/>
      <c r="R188" s="1374"/>
      <c r="S188" s="1374"/>
      <c r="T188" s="1374"/>
      <c r="U188" s="1374"/>
      <c r="V188" s="1374"/>
      <c r="W188" s="1374"/>
      <c r="X188" s="1374"/>
      <c r="Y188" s="1374"/>
      <c r="Z188" s="1374"/>
      <c r="AA188" s="1374"/>
      <c r="AB188" s="1374"/>
      <c r="AC188" s="1374"/>
      <c r="AD188" s="1374"/>
      <c r="AE188" s="1374"/>
      <c r="BN188" s="30" t="s">
        <v>610</v>
      </c>
      <c r="BT188" t="s">
        <v>883</v>
      </c>
    </row>
    <row r="189" spans="1:72" ht="12.95" customHeight="1">
      <c r="C189" s="29"/>
      <c r="D189" t="s">
        <v>459</v>
      </c>
      <c r="I189" s="1223" t="s">
        <v>2366</v>
      </c>
      <c r="J189" s="1223"/>
      <c r="K189" s="1223"/>
      <c r="L189" s="1223"/>
      <c r="M189" s="1223"/>
      <c r="N189" s="1223"/>
      <c r="O189" s="1223"/>
      <c r="P189" s="1223"/>
      <c r="Q189" t="s">
        <v>461</v>
      </c>
      <c r="T189" s="1223" t="s">
        <v>434</v>
      </c>
      <c r="U189" s="1223"/>
      <c r="V189" s="1223"/>
      <c r="W189" s="1223"/>
      <c r="X189" s="1223"/>
      <c r="Y189" s="1223"/>
      <c r="Z189" s="1223"/>
      <c r="AA189" s="1223"/>
      <c r="AB189" s="1223"/>
      <c r="AC189" s="1223"/>
      <c r="AD189" s="1223"/>
      <c r="AE189" s="1223"/>
      <c r="BC189" t="s">
        <v>84</v>
      </c>
      <c r="BH189" s="41" t="s">
        <v>132</v>
      </c>
      <c r="BN189" s="30" t="s">
        <v>611</v>
      </c>
      <c r="BT189" t="s">
        <v>117</v>
      </c>
    </row>
    <row r="190" spans="1:72" ht="12.95" customHeight="1">
      <c r="C190" s="29"/>
      <c r="D190" t="s">
        <v>462</v>
      </c>
      <c r="I190" s="1224">
        <v>95301</v>
      </c>
      <c r="J190" s="1224"/>
      <c r="K190" s="1224"/>
      <c r="L190" s="1224"/>
      <c r="M190" s="1224"/>
      <c r="N190" s="1224"/>
      <c r="O190" t="s">
        <v>464</v>
      </c>
      <c r="T190" s="1486">
        <v>6.03</v>
      </c>
      <c r="U190" s="1486"/>
      <c r="V190" s="1486"/>
      <c r="W190" s="1486"/>
      <c r="X190" s="1486"/>
      <c r="Y190" s="1486"/>
      <c r="Z190" s="1486"/>
      <c r="AA190" s="1486"/>
      <c r="AB190" s="1486"/>
      <c r="AC190" s="1486"/>
      <c r="AD190" s="1486"/>
      <c r="AE190" s="1486"/>
      <c r="BC190" t="s">
        <v>699</v>
      </c>
      <c r="BH190" t="s">
        <v>699</v>
      </c>
      <c r="BN190" s="30" t="s">
        <v>450</v>
      </c>
      <c r="BT190" t="s">
        <v>118</v>
      </c>
    </row>
    <row r="191" spans="1:72" ht="12.95" customHeight="1">
      <c r="C191" s="29"/>
      <c r="D191" t="s">
        <v>89</v>
      </c>
      <c r="N191" s="1373" t="s">
        <v>2369</v>
      </c>
      <c r="O191" s="1373"/>
      <c r="P191" s="1373"/>
      <c r="Q191" s="1373"/>
      <c r="R191" s="1373"/>
      <c r="S191" s="1373"/>
      <c r="T191" s="1373"/>
      <c r="U191" s="1373"/>
      <c r="V191" s="1373"/>
      <c r="W191" s="1373"/>
      <c r="X191" s="1373"/>
      <c r="Y191" s="1373"/>
      <c r="Z191" s="1373"/>
      <c r="AA191" s="1373"/>
      <c r="AB191" s="1373"/>
      <c r="AC191" s="1373"/>
      <c r="AD191" s="1373"/>
      <c r="AE191" s="1373"/>
      <c r="BC191" t="s">
        <v>1488</v>
      </c>
      <c r="BH191" t="s">
        <v>1488</v>
      </c>
      <c r="BN191" s="30" t="s">
        <v>613</v>
      </c>
      <c r="BT191" t="s">
        <v>119</v>
      </c>
    </row>
    <row r="192" spans="1:72" ht="12.95" customHeight="1">
      <c r="C192" s="29"/>
      <c r="M192" s="49"/>
      <c r="N192" s="1374"/>
      <c r="O192" s="1374"/>
      <c r="P192" s="1374"/>
      <c r="Q192" s="1374"/>
      <c r="R192" s="1374"/>
      <c r="S192" s="1374"/>
      <c r="T192" s="1374"/>
      <c r="U192" s="1374"/>
      <c r="V192" s="1374"/>
      <c r="W192" s="1374"/>
      <c r="X192" s="1374"/>
      <c r="Y192" s="1374"/>
      <c r="Z192" s="1374"/>
      <c r="AA192" s="1374"/>
      <c r="AB192" s="1374"/>
      <c r="AC192" s="1374"/>
      <c r="AD192" s="1374"/>
      <c r="AE192" s="1374"/>
      <c r="BC192" t="s">
        <v>700</v>
      </c>
      <c r="BH192" s="5" t="s">
        <v>1495</v>
      </c>
      <c r="BN192" s="30" t="s">
        <v>614</v>
      </c>
      <c r="BT192" t="s">
        <v>120</v>
      </c>
    </row>
    <row r="193" spans="1:73" ht="12.95" customHeight="1">
      <c r="C193" s="29"/>
      <c r="D193" t="s">
        <v>465</v>
      </c>
      <c r="T193" s="1225" t="s">
        <v>511</v>
      </c>
      <c r="U193" s="1225"/>
      <c r="W193" s="41" t="s">
        <v>1982</v>
      </c>
      <c r="AA193" s="1493" t="s">
        <v>2370</v>
      </c>
      <c r="AB193" s="1493"/>
      <c r="AC193" s="1493"/>
      <c r="BC193" t="s">
        <v>595</v>
      </c>
      <c r="BH193" s="5" t="s">
        <v>1496</v>
      </c>
      <c r="BN193" s="30" t="s">
        <v>615</v>
      </c>
      <c r="BT193" t="s">
        <v>121</v>
      </c>
    </row>
    <row r="194" spans="1:73" ht="12.95" customHeight="1">
      <c r="C194" s="29"/>
      <c r="D194" t="s">
        <v>126</v>
      </c>
      <c r="T194" s="1143" t="s">
        <v>511</v>
      </c>
      <c r="U194" s="1143"/>
      <c r="W194" t="s">
        <v>67</v>
      </c>
      <c r="AI194" s="1225" t="s">
        <v>511</v>
      </c>
      <c r="AJ194" s="1225"/>
      <c r="AX194" s="5" t="s">
        <v>132</v>
      </c>
      <c r="BC194" t="s">
        <v>651</v>
      </c>
      <c r="BN194" s="30" t="s">
        <v>790</v>
      </c>
      <c r="BT194" t="s">
        <v>122</v>
      </c>
    </row>
    <row r="195" spans="1:73" ht="12.95" customHeight="1">
      <c r="C195" s="29"/>
      <c r="D195" s="41" t="s">
        <v>1811</v>
      </c>
      <c r="T195" s="1143" t="s">
        <v>511</v>
      </c>
      <c r="U195" s="1143"/>
      <c r="X195" s="817" t="s">
        <v>2231</v>
      </c>
      <c r="AX195" s="5" t="s">
        <v>1198</v>
      </c>
      <c r="BN195" s="30" t="s">
        <v>791</v>
      </c>
      <c r="BT195" t="s">
        <v>123</v>
      </c>
    </row>
    <row r="196" spans="1:73" ht="12.95" customHeight="1">
      <c r="C196" s="29"/>
      <c r="D196" s="5" t="s">
        <v>1203</v>
      </c>
      <c r="T196" s="1143" t="s">
        <v>511</v>
      </c>
      <c r="U196" s="1143"/>
      <c r="AK196" s="1492"/>
      <c r="AL196" s="1492"/>
      <c r="AX196" s="41" t="s">
        <v>2330</v>
      </c>
      <c r="BN196" s="30" t="s">
        <v>792</v>
      </c>
      <c r="BT196" t="s">
        <v>124</v>
      </c>
    </row>
    <row r="197" spans="1:73" ht="12.95" customHeight="1">
      <c r="C197" s="29"/>
      <c r="D197" s="41" t="s">
        <v>1983</v>
      </c>
      <c r="T197" s="1225" t="s">
        <v>511</v>
      </c>
      <c r="U197" s="1225"/>
      <c r="AX197" s="5" t="s">
        <v>1199</v>
      </c>
      <c r="BC197" t="s">
        <v>84</v>
      </c>
      <c r="BN197" s="30" t="s">
        <v>793</v>
      </c>
      <c r="BT197" t="s">
        <v>125</v>
      </c>
    </row>
    <row r="198" spans="1:73" ht="12.95" customHeight="1">
      <c r="C198" s="29"/>
      <c r="D198" s="41" t="s">
        <v>2011</v>
      </c>
      <c r="W198" s="1365" t="s">
        <v>511</v>
      </c>
      <c r="X198" s="1225"/>
      <c r="AX198" s="5" t="s">
        <v>1200</v>
      </c>
      <c r="BC198" t="s">
        <v>1150</v>
      </c>
      <c r="BN198" s="30" t="s">
        <v>794</v>
      </c>
      <c r="BT198" t="s">
        <v>844</v>
      </c>
    </row>
    <row r="199" spans="1:73" ht="12.95" customHeight="1">
      <c r="C199" s="29"/>
      <c r="L199" s="310"/>
      <c r="M199" s="310"/>
      <c r="N199" s="310"/>
      <c r="O199" s="310"/>
      <c r="P199" s="310"/>
      <c r="Q199" s="942" t="s">
        <v>2232</v>
      </c>
      <c r="R199" s="1368" t="s">
        <v>2119</v>
      </c>
      <c r="S199" s="1368"/>
      <c r="T199" s="1368"/>
      <c r="U199" s="1368"/>
      <c r="V199" s="1368"/>
      <c r="W199" s="1368"/>
      <c r="X199" s="1368"/>
      <c r="Y199" s="1368"/>
      <c r="Z199" s="1368"/>
      <c r="AA199" s="1368"/>
      <c r="AB199" s="1368"/>
      <c r="AH199" s="1"/>
      <c r="AI199" s="1"/>
      <c r="AX199" s="5" t="s">
        <v>1201</v>
      </c>
      <c r="BC199" s="5" t="s">
        <v>1151</v>
      </c>
      <c r="BN199" s="30" t="s">
        <v>795</v>
      </c>
      <c r="BO199" s="39"/>
      <c r="BP199" s="40"/>
      <c r="BQ199" s="40"/>
      <c r="BR199" s="40"/>
      <c r="BS199" s="40"/>
      <c r="BT199" s="40" t="s">
        <v>845</v>
      </c>
    </row>
    <row r="200" spans="1:73" ht="12.95" customHeight="1">
      <c r="C200" s="29"/>
      <c r="D200" t="s">
        <v>591</v>
      </c>
      <c r="AH200" s="1"/>
      <c r="AI200" s="1"/>
      <c r="AX200" s="41" t="s">
        <v>2158</v>
      </c>
      <c r="BC200" s="41" t="s">
        <v>2159</v>
      </c>
      <c r="BN200" s="266" t="s">
        <v>694</v>
      </c>
      <c r="BO200" s="21"/>
      <c r="BP200" s="40"/>
      <c r="BQ200" s="40"/>
      <c r="BR200" s="40"/>
      <c r="BS200" s="40"/>
      <c r="BT200" s="40" t="s">
        <v>846</v>
      </c>
    </row>
    <row r="201" spans="1:73" ht="12.95" customHeight="1">
      <c r="C201" s="29"/>
      <c r="G201" s="915" t="s">
        <v>2125</v>
      </c>
      <c r="AX201" s="5" t="s">
        <v>1202</v>
      </c>
      <c r="BC201" t="s">
        <v>902</v>
      </c>
      <c r="BN201" s="30" t="s">
        <v>695</v>
      </c>
      <c r="BO201" s="21"/>
      <c r="BP201" s="40"/>
      <c r="BQ201" s="40"/>
      <c r="BR201" s="40"/>
      <c r="BS201" s="40"/>
      <c r="BT201" s="40" t="s">
        <v>847</v>
      </c>
    </row>
    <row r="202" spans="1:73" ht="12.95" customHeight="1">
      <c r="A202" s="3" t="s">
        <v>127</v>
      </c>
      <c r="C202" s="3" t="s">
        <v>1197</v>
      </c>
      <c r="AX202" s="5" t="s">
        <v>595</v>
      </c>
      <c r="BC202" t="s">
        <v>1503</v>
      </c>
      <c r="BN202" s="30" t="s">
        <v>696</v>
      </c>
      <c r="BT202" s="40" t="s">
        <v>848</v>
      </c>
      <c r="BU202" s="21"/>
    </row>
    <row r="203" spans="1:73" ht="12.95" customHeight="1">
      <c r="D203" s="1184" t="str">
        <f>IF(AND(M25&gt;0,M27&gt;0),"Federal and State","Federal Only")</f>
        <v>Federal and State</v>
      </c>
      <c r="E203" s="1184"/>
      <c r="F203" s="1184"/>
      <c r="G203" s="1184"/>
      <c r="H203" s="1184"/>
      <c r="I203" s="1184"/>
      <c r="J203" s="1184"/>
      <c r="K203" s="1184"/>
      <c r="L203" s="1184"/>
      <c r="M203" s="1184"/>
      <c r="P203" s="1381">
        <f>M25</f>
        <v>2230536</v>
      </c>
      <c r="Q203" s="1381"/>
      <c r="R203" s="1381"/>
      <c r="S203" s="1381"/>
      <c r="T203" s="1381"/>
      <c r="U203" s="1381"/>
      <c r="W203" s="1381">
        <f>M27</f>
        <v>2039992</v>
      </c>
      <c r="X203" s="1381"/>
      <c r="Y203" s="1381"/>
      <c r="Z203" s="1381"/>
      <c r="AA203" s="1381"/>
      <c r="AB203" s="1381"/>
      <c r="AV203" t="s">
        <v>132</v>
      </c>
      <c r="AX203" s="5" t="s">
        <v>700</v>
      </c>
      <c r="BC203" t="s">
        <v>1501</v>
      </c>
      <c r="BN203" s="30" t="s">
        <v>697</v>
      </c>
      <c r="BT203" s="40" t="s">
        <v>849</v>
      </c>
      <c r="BU203" s="21"/>
    </row>
    <row r="204" spans="1:73" ht="12.95" customHeight="1">
      <c r="C204" s="29"/>
      <c r="P204" s="1393" t="s">
        <v>186</v>
      </c>
      <c r="Q204" s="1393"/>
      <c r="R204" s="1393"/>
      <c r="S204" s="1393"/>
      <c r="T204" s="1393"/>
      <c r="U204" s="1393"/>
      <c r="V204" s="36"/>
      <c r="W204" s="1393" t="s">
        <v>187</v>
      </c>
      <c r="X204" s="1393"/>
      <c r="Y204" s="1393"/>
      <c r="Z204" s="1393"/>
      <c r="AA204" s="1393"/>
      <c r="AB204" s="1393"/>
      <c r="AV204" t="s">
        <v>116</v>
      </c>
      <c r="AX204" s="5" t="s">
        <v>1439</v>
      </c>
      <c r="BC204" t="s">
        <v>901</v>
      </c>
      <c r="BN204" s="30" t="s">
        <v>698</v>
      </c>
      <c r="BT204" s="40" t="s">
        <v>850</v>
      </c>
      <c r="BU204" s="21"/>
    </row>
    <row r="205" spans="1:73" ht="12.95" customHeight="1" thickBot="1">
      <c r="D205" s="478" t="s">
        <v>188</v>
      </c>
      <c r="E205" s="37"/>
      <c r="F205" s="37"/>
      <c r="G205" s="37"/>
      <c r="H205" s="37"/>
      <c r="I205" s="37"/>
      <c r="J205" s="37"/>
      <c r="K205" s="37"/>
      <c r="L205" s="37"/>
      <c r="M205" s="37"/>
      <c r="N205" s="37"/>
      <c r="O205" s="37"/>
      <c r="P205" s="37"/>
      <c r="AV205" t="s">
        <v>511</v>
      </c>
      <c r="BC205" t="s">
        <v>147</v>
      </c>
      <c r="BN205" s="30" t="s">
        <v>941</v>
      </c>
      <c r="BT205" s="40" t="s">
        <v>886</v>
      </c>
    </row>
    <row r="206" spans="1:73" ht="12.95" customHeight="1">
      <c r="X206" s="820"/>
      <c r="Y206" s="821"/>
      <c r="Z206" s="821"/>
      <c r="AA206" s="821"/>
      <c r="AB206" s="821"/>
      <c r="AC206" s="821"/>
      <c r="AD206" s="821"/>
      <c r="AE206" s="821"/>
      <c r="AF206" s="821"/>
      <c r="AG206" s="821"/>
      <c r="AH206" s="821"/>
      <c r="AI206" s="821"/>
      <c r="AJ206" s="821"/>
      <c r="AK206" s="822"/>
      <c r="AX206" t="s">
        <v>84</v>
      </c>
      <c r="BC206" s="180" t="s">
        <v>1504</v>
      </c>
      <c r="BN206" s="30" t="s">
        <v>942</v>
      </c>
      <c r="BT206" s="40" t="s">
        <v>851</v>
      </c>
    </row>
    <row r="207" spans="1:73" ht="12.95" customHeight="1">
      <c r="A207" s="3" t="s">
        <v>130</v>
      </c>
      <c r="C207" s="3" t="s">
        <v>843</v>
      </c>
      <c r="X207" s="823"/>
      <c r="Y207" s="934"/>
      <c r="Z207" s="824"/>
      <c r="AA207" s="824"/>
      <c r="AB207" s="824"/>
      <c r="AC207" s="824"/>
      <c r="AD207" s="824"/>
      <c r="AE207" s="824"/>
      <c r="AF207" s="824"/>
      <c r="AG207" s="824"/>
      <c r="AH207" s="824"/>
      <c r="AI207" s="824"/>
      <c r="AJ207" s="824"/>
      <c r="AK207" s="825"/>
      <c r="AX207" t="s">
        <v>2119</v>
      </c>
      <c r="BC207" t="s">
        <v>1834</v>
      </c>
      <c r="BN207" s="30" t="s">
        <v>1</v>
      </c>
      <c r="BT207" s="40" t="s">
        <v>852</v>
      </c>
    </row>
    <row r="208" spans="1:73" ht="12.95" customHeight="1">
      <c r="C208" s="29"/>
      <c r="D208" s="1384" t="s">
        <v>2452</v>
      </c>
      <c r="E208" s="1384"/>
      <c r="F208" s="1384"/>
      <c r="G208" s="1384"/>
      <c r="H208" s="1384"/>
      <c r="I208" s="1384"/>
      <c r="J208" s="1384"/>
      <c r="K208" s="1384"/>
      <c r="L208" s="1384"/>
      <c r="M208" s="1384"/>
      <c r="X208" s="823"/>
      <c r="Y208" s="935"/>
      <c r="Z208" s="824"/>
      <c r="AA208" s="824"/>
      <c r="AB208" s="824"/>
      <c r="AC208" s="824"/>
      <c r="AD208" s="824"/>
      <c r="AE208" s="824"/>
      <c r="AF208" s="824"/>
      <c r="AG208" s="824"/>
      <c r="AH208" s="824"/>
      <c r="AI208" s="824"/>
      <c r="AJ208" s="824"/>
      <c r="AK208" s="825"/>
      <c r="AX208" t="s">
        <v>2120</v>
      </c>
      <c r="BC208" t="s">
        <v>1502</v>
      </c>
      <c r="BN208" s="30" t="s">
        <v>2</v>
      </c>
      <c r="BT208" s="40" t="s">
        <v>853</v>
      </c>
    </row>
    <row r="209" spans="1:72" ht="12.95" customHeight="1">
      <c r="C209" s="12"/>
      <c r="X209" s="823"/>
      <c r="Y209" s="935"/>
      <c r="Z209" s="824"/>
      <c r="AA209" s="824"/>
      <c r="AB209" s="824"/>
      <c r="AC209" s="824"/>
      <c r="AD209" s="824"/>
      <c r="AE209" s="824"/>
      <c r="AF209" s="824"/>
      <c r="AG209" s="824"/>
      <c r="AH209" s="824"/>
      <c r="AI209" s="824"/>
      <c r="AJ209" s="824"/>
      <c r="AK209" s="825"/>
      <c r="AX209" t="s">
        <v>2121</v>
      </c>
      <c r="BC209" t="s">
        <v>79</v>
      </c>
      <c r="BN209" s="30" t="s">
        <v>3</v>
      </c>
      <c r="BT209" s="40" t="s">
        <v>854</v>
      </c>
    </row>
    <row r="210" spans="1:72" ht="12.95" customHeight="1">
      <c r="A210" s="3" t="s">
        <v>131</v>
      </c>
      <c r="C210" s="3" t="s">
        <v>1196</v>
      </c>
      <c r="X210" s="823"/>
      <c r="Y210" s="935"/>
      <c r="Z210" s="824"/>
      <c r="AA210" s="824"/>
      <c r="AB210" s="824"/>
      <c r="AC210" s="824"/>
      <c r="AD210" s="824"/>
      <c r="AE210" s="824"/>
      <c r="AF210" s="824"/>
      <c r="AG210" s="824"/>
      <c r="AH210" s="824"/>
      <c r="AI210" s="824"/>
      <c r="AJ210" s="824"/>
      <c r="AK210" s="825"/>
      <c r="AX210" t="s">
        <v>2122</v>
      </c>
      <c r="BN210" s="30" t="s">
        <v>4</v>
      </c>
      <c r="BT210" s="40" t="s">
        <v>855</v>
      </c>
    </row>
    <row r="211" spans="1:72" ht="12.95" customHeight="1">
      <c r="C211" s="29"/>
      <c r="D211" s="1384" t="s">
        <v>1199</v>
      </c>
      <c r="E211" s="1384"/>
      <c r="F211" s="1384"/>
      <c r="G211" s="1384"/>
      <c r="H211" s="1384"/>
      <c r="I211" s="1384"/>
      <c r="J211" s="1384"/>
      <c r="K211" s="1384"/>
      <c r="L211" s="1384"/>
      <c r="M211" s="1384"/>
      <c r="N211" s="1384"/>
      <c r="O211" s="1384"/>
      <c r="P211" s="1384"/>
      <c r="X211" s="823"/>
      <c r="Y211" s="1487" t="s">
        <v>511</v>
      </c>
      <c r="Z211" s="1487"/>
      <c r="AA211" s="824"/>
      <c r="AB211" s="824"/>
      <c r="AC211" s="824"/>
      <c r="AD211" s="824"/>
      <c r="AE211" s="824"/>
      <c r="AF211" s="824"/>
      <c r="AG211" s="824"/>
      <c r="AH211" s="824"/>
      <c r="AI211" s="824"/>
      <c r="AJ211" s="824"/>
      <c r="AK211" s="825"/>
      <c r="AX211" t="s">
        <v>2123</v>
      </c>
      <c r="BN211" s="30" t="s">
        <v>21</v>
      </c>
      <c r="BT211" s="40" t="s">
        <v>22</v>
      </c>
    </row>
    <row r="212" spans="1:72" ht="12.95" customHeight="1" thickBot="1">
      <c r="X212" s="828"/>
      <c r="Y212" s="826"/>
      <c r="Z212" s="826"/>
      <c r="AA212" s="826"/>
      <c r="AB212" s="826"/>
      <c r="AC212" s="826"/>
      <c r="AD212" s="826"/>
      <c r="AE212" s="826"/>
      <c r="AF212" s="826"/>
      <c r="AG212" s="826"/>
      <c r="AH212" s="826"/>
      <c r="AI212" s="826"/>
      <c r="AJ212" s="826"/>
      <c r="AK212" s="827"/>
      <c r="AX212" t="s">
        <v>2124</v>
      </c>
      <c r="BC212" t="s">
        <v>84</v>
      </c>
      <c r="BN212" s="30" t="s">
        <v>5</v>
      </c>
      <c r="BT212" s="40" t="s">
        <v>856</v>
      </c>
    </row>
    <row r="213" spans="1:72" ht="12.95" customHeight="1">
      <c r="A213" s="3" t="s">
        <v>133</v>
      </c>
      <c r="C213" s="3" t="s">
        <v>1489</v>
      </c>
      <c r="AX213" s="41" t="s">
        <v>2126</v>
      </c>
      <c r="BC213" t="s">
        <v>662</v>
      </c>
      <c r="BN213" s="30" t="s">
        <v>6</v>
      </c>
      <c r="BT213" s="40" t="s">
        <v>857</v>
      </c>
    </row>
    <row r="214" spans="1:72" ht="12.95" customHeight="1">
      <c r="C214" s="29"/>
      <c r="D214" s="1384" t="s">
        <v>699</v>
      </c>
      <c r="E214" s="1384"/>
      <c r="F214" s="1384"/>
      <c r="G214" s="1384"/>
      <c r="H214" s="1384"/>
      <c r="I214" s="1384"/>
      <c r="J214" s="1384"/>
      <c r="K214" s="1384"/>
      <c r="L214" s="1384"/>
      <c r="M214" s="1384"/>
      <c r="N214" s="1384"/>
      <c r="O214" s="1384"/>
      <c r="P214" s="1384"/>
      <c r="Q214" s="1384"/>
      <c r="R214" s="1384"/>
      <c r="S214" s="1384"/>
      <c r="T214" s="1384"/>
      <c r="U214" s="1384"/>
      <c r="V214" s="1384"/>
      <c r="W214" s="1384"/>
      <c r="X214" s="1384"/>
      <c r="Y214" s="1384"/>
      <c r="Z214" s="1384"/>
      <c r="BC214" t="s">
        <v>666</v>
      </c>
      <c r="BN214" s="30" t="s">
        <v>472</v>
      </c>
      <c r="BT214" s="40" t="s">
        <v>858</v>
      </c>
    </row>
    <row r="215" spans="1:72" ht="12.95" customHeight="1">
      <c r="D215" s="35"/>
      <c r="E215" s="41" t="s">
        <v>2208</v>
      </c>
      <c r="AC215" s="1494"/>
      <c r="AD215" s="1494"/>
      <c r="AF215" s="1399">
        <f>IFERROR(AC215/AG433,"")</f>
        <v>0</v>
      </c>
      <c r="AG215" s="1399"/>
      <c r="BC215" t="s">
        <v>663</v>
      </c>
    </row>
    <row r="216" spans="1:72" ht="12.95" customHeight="1">
      <c r="D216" s="35"/>
      <c r="E216" s="958" t="s">
        <v>1499</v>
      </c>
      <c r="BC216" t="s">
        <v>780</v>
      </c>
    </row>
    <row r="217" spans="1:72" ht="12.95" customHeight="1">
      <c r="E217" s="1390" t="s">
        <v>132</v>
      </c>
      <c r="F217" s="1390"/>
      <c r="G217" s="1390"/>
      <c r="H217" s="1390"/>
      <c r="I217" s="1390"/>
      <c r="J217" s="1390"/>
      <c r="K217" s="1390"/>
      <c r="L217" s="1390"/>
      <c r="M217" s="1390"/>
      <c r="N217" s="1390"/>
      <c r="O217" s="1390"/>
      <c r="P217" s="1390"/>
      <c r="Q217" s="1390"/>
      <c r="R217" s="1390"/>
      <c r="S217" s="1390"/>
      <c r="T217" s="1390"/>
      <c r="U217" s="1390"/>
      <c r="V217" s="1390"/>
      <c r="W217" s="1390"/>
      <c r="X217" s="1390"/>
      <c r="Y217" s="1390"/>
      <c r="Z217" s="1390"/>
      <c r="AA217" s="49"/>
      <c r="AB217" s="49"/>
      <c r="AC217" s="49"/>
      <c r="AD217" s="49"/>
      <c r="AE217" s="49"/>
      <c r="AF217" s="49"/>
      <c r="BC217" t="s">
        <v>664</v>
      </c>
    </row>
    <row r="218" spans="1:72" ht="12.95" customHeight="1">
      <c r="E218" s="41" t="s">
        <v>2059</v>
      </c>
      <c r="AA218" s="49"/>
      <c r="AC218" s="1291"/>
      <c r="AD218" s="1291"/>
      <c r="AE218" s="1291"/>
      <c r="AF218" s="1291"/>
      <c r="AG218" s="1291"/>
      <c r="AH218" s="1291"/>
      <c r="AI218" s="1291"/>
      <c r="AJ218" s="1291"/>
      <c r="AK218" s="1291"/>
      <c r="AL218" s="1291"/>
      <c r="AM218" s="1291"/>
      <c r="BC218" t="s">
        <v>665</v>
      </c>
      <c r="BI218" s="39"/>
    </row>
    <row r="219" spans="1:72" ht="12.95" customHeight="1">
      <c r="E219" s="41" t="s">
        <v>2060</v>
      </c>
      <c r="AA219" s="49"/>
      <c r="AC219" s="1291"/>
      <c r="AD219" s="1291"/>
      <c r="AE219" s="1291"/>
      <c r="AF219" s="1291"/>
      <c r="AG219" s="1291"/>
      <c r="AH219" s="1291"/>
      <c r="AI219" s="1291"/>
      <c r="AJ219" s="1291"/>
      <c r="AK219" s="1291"/>
      <c r="AL219" s="1291"/>
      <c r="AM219" s="1291"/>
      <c r="BC219" t="s">
        <v>523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2.95" customHeight="1">
      <c r="A221" s="3" t="s">
        <v>392</v>
      </c>
      <c r="C221" s="3" t="s">
        <v>1835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68" t="s">
        <v>2159</v>
      </c>
      <c r="E223" s="1368"/>
      <c r="F223" s="1368"/>
      <c r="G223" s="1368"/>
      <c r="H223" s="1368"/>
      <c r="I223" s="1368"/>
      <c r="J223" s="1368"/>
      <c r="K223" s="1368"/>
      <c r="L223" s="1368"/>
      <c r="M223" s="1368"/>
      <c r="N223" s="1368"/>
      <c r="O223" s="1368"/>
      <c r="P223" s="1368"/>
      <c r="Q223" s="1368"/>
      <c r="R223" s="1368"/>
      <c r="S223" s="1368"/>
      <c r="T223" s="1368"/>
      <c r="U223" s="1368"/>
      <c r="V223" s="1368"/>
      <c r="W223" s="1368"/>
      <c r="X223" s="1368"/>
      <c r="Y223" s="1368"/>
      <c r="Z223" s="1368"/>
      <c r="AA223" s="1368"/>
      <c r="AB223" s="1368"/>
      <c r="AC223" s="1368"/>
      <c r="AD223" s="1368"/>
      <c r="AE223" s="1368"/>
      <c r="AF223" s="1368"/>
      <c r="AG223" s="1368"/>
      <c r="AH223" s="1368"/>
      <c r="AI223" s="1368"/>
      <c r="AJ223" s="21"/>
      <c r="AK223" s="21"/>
      <c r="AL223" s="21"/>
    </row>
    <row r="224" spans="1:72" ht="12.95" customHeight="1">
      <c r="AJ224" s="5"/>
    </row>
    <row r="225" spans="1:59" ht="12.95" customHeight="1">
      <c r="D225" t="s">
        <v>588</v>
      </c>
      <c r="O225" s="1225">
        <v>13</v>
      </c>
      <c r="P225" s="1225"/>
    </row>
    <row r="226" spans="1:59" ht="12.95" customHeight="1">
      <c r="D226" t="s">
        <v>589</v>
      </c>
      <c r="O226" s="1225">
        <v>27</v>
      </c>
      <c r="P226" s="1225"/>
      <c r="BB226" s="5" t="s">
        <v>674</v>
      </c>
      <c r="BG226" s="414">
        <f>IF(AND(AND($M$251="for profit",$M$259="for profit",$M$267="nonprofit")),2,0)</f>
        <v>0</v>
      </c>
    </row>
    <row r="227" spans="1:59" ht="12.95" customHeight="1">
      <c r="D227" t="s">
        <v>590</v>
      </c>
      <c r="O227" s="1225">
        <v>14</v>
      </c>
      <c r="P227" s="1225"/>
      <c r="BB227" s="5" t="s">
        <v>674</v>
      </c>
      <c r="BG227" s="414">
        <f>IF(AND(AND($M$251="for profit",$M$259="nonprofit",$M$267="for profit")),2,0)</f>
        <v>0</v>
      </c>
    </row>
    <row r="228" spans="1:59" ht="12.95" customHeight="1">
      <c r="D228" t="s">
        <v>591</v>
      </c>
      <c r="BB228" t="s">
        <v>674</v>
      </c>
      <c r="BG228" s="414">
        <f>IF(AND(AND($M$251="nonprofit",$M$259="for profit",$M$267="for profit")),2,0)</f>
        <v>0</v>
      </c>
    </row>
    <row r="229" spans="1:59" ht="12.95" customHeight="1">
      <c r="D229" s="364" t="s">
        <v>1229</v>
      </c>
      <c r="U229" s="364" t="s">
        <v>1230</v>
      </c>
      <c r="BB229" t="s">
        <v>674</v>
      </c>
      <c r="BG229" s="414">
        <f>IF(AND(AND($M$251="for profit",$M$259="nonprofit",$M$267="(select one)")),2,0)</f>
        <v>0</v>
      </c>
    </row>
    <row r="230" spans="1:59" ht="12.95" customHeight="1">
      <c r="BB230" t="s">
        <v>674</v>
      </c>
      <c r="BG230" s="415">
        <f>IF(AND(AND($M$251="nonprofit",$M$259="for profit",$M$267="(select one)")),2,0)</f>
        <v>0</v>
      </c>
    </row>
    <row r="231" spans="1:59" ht="12.95" customHeight="1">
      <c r="A231" s="1394" t="s">
        <v>524</v>
      </c>
      <c r="B231" s="1394"/>
      <c r="C231" s="1394"/>
      <c r="D231" s="1394"/>
      <c r="E231" s="1394"/>
      <c r="F231" s="1394"/>
      <c r="G231" s="1394"/>
      <c r="H231" s="1394"/>
      <c r="I231" s="1394"/>
      <c r="J231" s="1394"/>
      <c r="K231" s="1394"/>
      <c r="L231" s="1394"/>
      <c r="M231" s="1394"/>
      <c r="N231" s="1394"/>
      <c r="O231" s="1394"/>
      <c r="P231" s="1394"/>
      <c r="Q231" s="1394"/>
      <c r="R231" s="1394"/>
      <c r="S231" s="1394"/>
      <c r="T231" s="1394"/>
      <c r="U231" s="1394"/>
      <c r="V231" s="1394"/>
      <c r="W231" s="1394"/>
      <c r="X231" s="1394"/>
      <c r="Y231" s="1394"/>
      <c r="Z231" s="1394"/>
      <c r="AA231" s="1394"/>
      <c r="AB231" s="1394"/>
      <c r="AC231" s="1394"/>
      <c r="AD231" s="1394"/>
      <c r="AE231" s="1394"/>
      <c r="AF231" s="1394"/>
      <c r="AG231" s="1394"/>
      <c r="AH231" s="1394"/>
      <c r="AI231" s="1394"/>
      <c r="AJ231" s="1394"/>
      <c r="AK231" s="1394"/>
      <c r="AL231" s="1394"/>
    </row>
    <row r="232" spans="1:59" ht="12.95" customHeight="1" thickBot="1">
      <c r="A232" s="1395"/>
      <c r="B232" s="1395"/>
      <c r="C232" s="1395"/>
      <c r="D232" s="1395"/>
      <c r="E232" s="1395"/>
      <c r="F232" s="1395"/>
      <c r="G232" s="1395"/>
      <c r="H232" s="1395"/>
      <c r="I232" s="1395"/>
      <c r="J232" s="1395"/>
      <c r="K232" s="1395"/>
      <c r="L232" s="1395"/>
      <c r="M232" s="1395"/>
      <c r="N232" s="1395"/>
      <c r="O232" s="1395"/>
      <c r="P232" s="1395"/>
      <c r="Q232" s="1395"/>
      <c r="R232" s="1395"/>
      <c r="S232" s="1395"/>
      <c r="T232" s="1395"/>
      <c r="U232" s="1395"/>
      <c r="V232" s="1395"/>
      <c r="W232" s="1395"/>
      <c r="X232" s="1395"/>
      <c r="Y232" s="1395"/>
      <c r="Z232" s="1395"/>
      <c r="AA232" s="1395"/>
      <c r="AB232" s="1395"/>
      <c r="AC232" s="1395"/>
      <c r="AD232" s="1395"/>
      <c r="AE232" s="1395"/>
      <c r="AF232" s="1395"/>
      <c r="AG232" s="1395"/>
      <c r="AH232" s="1395"/>
      <c r="AI232" s="1395"/>
      <c r="AJ232" s="1395"/>
      <c r="AK232" s="1395"/>
      <c r="AL232" s="1395"/>
      <c r="BB232" s="3" t="s">
        <v>674</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2.95"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2.95" customHeight="1">
      <c r="D235" s="5" t="s">
        <v>396</v>
      </c>
      <c r="E235" s="5"/>
      <c r="F235" s="5"/>
      <c r="G235" s="5"/>
      <c r="H235" s="5"/>
      <c r="I235" s="5"/>
      <c r="J235" s="5"/>
      <c r="K235" s="5"/>
      <c r="M235" s="1392" t="str">
        <f>H15</f>
        <v>Pacific Southwest Community Development Corporation</v>
      </c>
      <c r="N235" s="1392"/>
      <c r="O235" s="1392"/>
      <c r="P235" s="1392"/>
      <c r="Q235" s="1392"/>
      <c r="R235" s="1392"/>
      <c r="S235" s="1392"/>
      <c r="T235" s="1392"/>
      <c r="U235" s="1392"/>
      <c r="V235" s="1392"/>
      <c r="W235" s="1392"/>
      <c r="X235" s="1392"/>
      <c r="Y235" s="1392"/>
      <c r="Z235" s="1392"/>
      <c r="AA235" s="1392"/>
      <c r="AB235" s="1392"/>
      <c r="AC235" s="1392"/>
      <c r="AD235" s="1392"/>
      <c r="AE235" s="1392"/>
      <c r="AF235" s="1392"/>
      <c r="AG235" s="1392"/>
      <c r="AH235" s="1392"/>
      <c r="AI235" s="1392"/>
      <c r="AJ235" s="1392"/>
      <c r="AK235" s="1392"/>
      <c r="BB235" s="3"/>
      <c r="BG235" s="5"/>
    </row>
    <row r="236" spans="1:59" ht="12.95" customHeight="1">
      <c r="D236" s="5" t="s">
        <v>397</v>
      </c>
      <c r="E236" s="5"/>
      <c r="F236" s="5"/>
      <c r="G236" s="5"/>
      <c r="H236" s="5"/>
      <c r="I236" s="5"/>
      <c r="J236" s="5"/>
      <c r="K236" s="5"/>
      <c r="M236" s="1368" t="s">
        <v>2371</v>
      </c>
      <c r="N236" s="1384"/>
      <c r="O236" s="1384"/>
      <c r="P236" s="1384"/>
      <c r="Q236" s="1384"/>
      <c r="R236" s="1384"/>
      <c r="S236" s="1384"/>
      <c r="T236" s="1384"/>
      <c r="U236" s="1384"/>
      <c r="V236" s="1384"/>
      <c r="W236" s="1384"/>
      <c r="X236" s="1384"/>
      <c r="Y236" s="1384"/>
      <c r="Z236" s="1384"/>
      <c r="AA236" s="1384"/>
      <c r="AB236" s="1384"/>
      <c r="AC236" s="1384"/>
      <c r="AD236" s="1384"/>
      <c r="AE236" s="1384"/>
      <c r="AM236" s="41"/>
      <c r="AN236" s="41"/>
      <c r="BB236" t="s">
        <v>673</v>
      </c>
      <c r="BG236" s="414">
        <f>IF(AND(AND($M$251="nonprofit",$M$259="nonprofit",$M$267="nonprofit")),1,0)</f>
        <v>0</v>
      </c>
    </row>
    <row r="237" spans="1:59" ht="12.95" customHeight="1">
      <c r="D237" s="5" t="s">
        <v>459</v>
      </c>
      <c r="E237" s="5"/>
      <c r="M237" s="1368" t="s">
        <v>121</v>
      </c>
      <c r="N237" s="1384"/>
      <c r="O237" s="1384"/>
      <c r="P237" s="1384"/>
      <c r="Q237" s="1384"/>
      <c r="R237" s="1384"/>
      <c r="S237" s="1384"/>
      <c r="T237" s="1384"/>
      <c r="V237" s="42" t="s">
        <v>398</v>
      </c>
      <c r="W237" s="1485" t="s">
        <v>2372</v>
      </c>
      <c r="X237" s="1233"/>
      <c r="Y237" s="5" t="s">
        <v>462</v>
      </c>
      <c r="AC237" s="1384">
        <v>92127</v>
      </c>
      <c r="AD237" s="1384"/>
      <c r="AE237" s="1384"/>
      <c r="AN237" s="41"/>
      <c r="BB237" t="s">
        <v>673</v>
      </c>
      <c r="BG237" s="414">
        <f>IF(AND(AND($M$251="nonprofit",$M$259="nonprofit",$M$267="(select one)")),1,0)</f>
        <v>0</v>
      </c>
    </row>
    <row r="238" spans="1:59" ht="12.95" customHeight="1">
      <c r="D238" s="5" t="s">
        <v>399</v>
      </c>
      <c r="E238" s="5"/>
      <c r="F238" s="5"/>
      <c r="G238" s="5"/>
      <c r="H238" s="5"/>
      <c r="I238" s="5"/>
      <c r="J238" s="5"/>
      <c r="K238" s="28"/>
      <c r="M238" s="1368" t="s">
        <v>2361</v>
      </c>
      <c r="N238" s="1384"/>
      <c r="O238" s="1384"/>
      <c r="P238" s="1384"/>
      <c r="Q238" s="1384"/>
      <c r="R238" s="1384"/>
      <c r="S238" s="1384"/>
      <c r="T238" s="1384"/>
      <c r="U238" s="1384"/>
      <c r="V238" s="1384"/>
      <c r="W238" s="1384"/>
      <c r="X238" s="1384"/>
      <c r="Y238" s="1384"/>
      <c r="Z238" s="1384"/>
      <c r="AA238" s="1384"/>
      <c r="AB238" s="1384"/>
      <c r="AC238" s="1384"/>
      <c r="AD238" s="1384"/>
      <c r="AE238" s="1384"/>
      <c r="AI238" s="5"/>
      <c r="AJ238" s="5"/>
      <c r="AK238" s="5"/>
      <c r="AL238" s="5"/>
      <c r="AN238" s="41"/>
      <c r="BB238" t="s">
        <v>673</v>
      </c>
      <c r="BG238" s="414">
        <f>IF(AND(AND($M$251="nonprofit",$M$259="(select one)",$M$267="(select one)")),1,0)</f>
        <v>1</v>
      </c>
    </row>
    <row r="239" spans="1:59" ht="12.95" customHeight="1">
      <c r="D239" s="5" t="s">
        <v>400</v>
      </c>
      <c r="E239" s="5"/>
      <c r="F239" s="5"/>
      <c r="M239" s="1234" t="s">
        <v>2373</v>
      </c>
      <c r="N239" s="1226"/>
      <c r="O239" s="1226"/>
      <c r="P239" s="1226"/>
      <c r="Q239" s="1226"/>
      <c r="R239" s="1226"/>
      <c r="S239" s="5" t="s">
        <v>859</v>
      </c>
      <c r="T239" s="5"/>
      <c r="U239" s="1233"/>
      <c r="V239" s="1233"/>
      <c r="W239" s="1233"/>
      <c r="X239" s="5" t="s">
        <v>401</v>
      </c>
      <c r="Z239" s="1226"/>
      <c r="AA239" s="1226"/>
      <c r="AB239" s="1226"/>
      <c r="AC239" s="1226"/>
      <c r="AD239" s="1226"/>
      <c r="AE239" s="1226"/>
      <c r="AM239" s="41"/>
      <c r="AN239" s="41"/>
      <c r="BB239" t="s">
        <v>1054</v>
      </c>
      <c r="BG239" s="414">
        <f>IF(AND(AND($M$251="for profit",$M$259="for profit",$M$267="for profit")),3,0)</f>
        <v>0</v>
      </c>
    </row>
    <row r="240" spans="1:59" ht="12.95" customHeight="1">
      <c r="D240" s="5" t="s">
        <v>402</v>
      </c>
      <c r="E240" s="5"/>
      <c r="F240" s="5"/>
      <c r="M240" s="1488" t="s">
        <v>2374</v>
      </c>
      <c r="N240" s="1488"/>
      <c r="O240" s="1488"/>
      <c r="P240" s="1488"/>
      <c r="Q240" s="1488"/>
      <c r="R240" s="1488"/>
      <c r="S240" s="1488"/>
      <c r="T240" s="1488"/>
      <c r="U240" s="1488"/>
      <c r="V240" s="1488"/>
      <c r="W240" s="1488"/>
      <c r="X240" s="1488"/>
      <c r="Y240" s="1488"/>
      <c r="Z240" s="1488"/>
      <c r="AA240" s="1488"/>
      <c r="AB240" s="1488"/>
      <c r="AC240" s="1488"/>
      <c r="AD240" s="1488"/>
      <c r="AE240" s="1488"/>
      <c r="AF240" s="5"/>
      <c r="AG240" s="5"/>
      <c r="AH240" s="5"/>
      <c r="AI240" s="5"/>
      <c r="AJ240" s="5"/>
      <c r="AK240" s="5"/>
      <c r="AL240" s="5"/>
      <c r="AN240" s="41"/>
      <c r="AO240" s="41"/>
      <c r="BB240" t="s">
        <v>1054</v>
      </c>
      <c r="BG240" s="415">
        <f>IF(AND(AND($M$251="for profit",$M$259="for profit",$M$267="(select one)")),3,0)</f>
        <v>0</v>
      </c>
    </row>
    <row r="241" spans="1:67" ht="12.95" customHeight="1">
      <c r="A241" s="3" t="s">
        <v>8</v>
      </c>
      <c r="C241" s="3" t="s">
        <v>661</v>
      </c>
      <c r="M241" s="1224" t="s">
        <v>523</v>
      </c>
      <c r="N241" s="1224"/>
      <c r="O241" s="1224"/>
      <c r="P241" s="1224"/>
      <c r="Q241" s="1224"/>
      <c r="R241" s="1224"/>
      <c r="S241" s="1224"/>
      <c r="T241" s="1224"/>
      <c r="U241" s="5" t="s">
        <v>1192</v>
      </c>
      <c r="AA241" s="1389"/>
      <c r="AB241" s="1389"/>
      <c r="AC241" s="1389"/>
      <c r="AD241" s="1389"/>
      <c r="AE241" s="1389"/>
      <c r="AF241" s="1389"/>
      <c r="AG241" s="1389"/>
      <c r="AH241" s="1389"/>
      <c r="AI241" s="1389"/>
      <c r="AJ241" s="1389"/>
      <c r="AK241" s="1389"/>
      <c r="AL241" s="41"/>
      <c r="AM241" s="5"/>
      <c r="AN241" s="41"/>
      <c r="AO241" s="41"/>
      <c r="BB241" t="s">
        <v>1054</v>
      </c>
      <c r="BG241" s="415">
        <f>IF(AND(AND($M$251="for profit",$M$259="(select one)",$M$267="(select one)")),3,0)</f>
        <v>0</v>
      </c>
    </row>
    <row r="242" spans="1:67" ht="12.95" customHeight="1">
      <c r="D242" t="s">
        <v>667</v>
      </c>
      <c r="M242" s="1368"/>
      <c r="N242" s="1223"/>
      <c r="O242" s="1223"/>
      <c r="P242" s="1223"/>
      <c r="Q242" s="1223"/>
      <c r="R242" s="1223"/>
      <c r="S242" s="1223"/>
      <c r="T242" s="1223"/>
      <c r="U242" s="1223"/>
      <c r="V242" s="1223"/>
      <c r="W242" s="1223"/>
      <c r="X242" s="1223"/>
      <c r="Y242" s="1223"/>
      <c r="Z242" s="1223"/>
      <c r="AA242" s="1223"/>
      <c r="AB242" s="1223"/>
      <c r="AC242" s="1223"/>
      <c r="AD242" s="1223"/>
      <c r="AE242" s="1223"/>
      <c r="AF242" s="959" t="str">
        <f>IF(AND(M241="other",M242=""),"!","")</f>
        <v/>
      </c>
      <c r="AG242" s="959"/>
      <c r="AH242" s="5"/>
      <c r="AI242" s="5"/>
      <c r="AJ242" s="5"/>
      <c r="AK242" s="41"/>
      <c r="AL242" s="41"/>
    </row>
    <row r="243" spans="1:67" ht="12.95" customHeight="1">
      <c r="D243" s="5"/>
      <c r="AM243" s="5"/>
    </row>
    <row r="244" spans="1:67" ht="12.95" customHeight="1">
      <c r="A244" s="3" t="s">
        <v>127</v>
      </c>
      <c r="C244" s="3" t="s">
        <v>669</v>
      </c>
      <c r="D244" s="5"/>
      <c r="L244" s="12"/>
      <c r="M244" s="12"/>
      <c r="N244" s="12"/>
      <c r="AN244" s="41"/>
      <c r="BB244" t="s">
        <v>84</v>
      </c>
      <c r="BH244">
        <v>1</v>
      </c>
      <c r="BI244" t="s">
        <v>670</v>
      </c>
    </row>
    <row r="245" spans="1:67" ht="12.95" customHeight="1">
      <c r="A245" s="28"/>
      <c r="C245" s="62" t="s">
        <v>1535</v>
      </c>
      <c r="D245" s="5" t="s">
        <v>668</v>
      </c>
      <c r="E245" s="5"/>
      <c r="F245" s="5"/>
      <c r="G245" s="5"/>
      <c r="H245" s="5"/>
      <c r="I245" s="5"/>
      <c r="J245" s="5"/>
      <c r="K245" s="5"/>
      <c r="L245" s="5"/>
      <c r="M245" s="1383" t="s">
        <v>2359</v>
      </c>
      <c r="N245" s="1383"/>
      <c r="O245" s="1383"/>
      <c r="P245" s="1383"/>
      <c r="Q245" s="1383"/>
      <c r="R245" s="1383"/>
      <c r="S245" s="1383"/>
      <c r="T245" s="1383"/>
      <c r="U245" s="1383"/>
      <c r="V245" s="1383"/>
      <c r="W245" s="1383"/>
      <c r="X245" s="1383"/>
      <c r="Y245" s="1383"/>
      <c r="Z245" s="1383"/>
      <c r="AA245" s="1383"/>
      <c r="AB245" s="1383"/>
      <c r="AC245" s="1383"/>
      <c r="AD245" s="1383"/>
      <c r="AE245" s="1383"/>
      <c r="AF245" s="1484" t="s">
        <v>2376</v>
      </c>
      <c r="AG245" s="1484"/>
      <c r="AH245" s="1484"/>
      <c r="AI245" s="1484"/>
      <c r="AJ245" s="1484"/>
      <c r="AK245" s="1484"/>
      <c r="AM245" s="5"/>
      <c r="AN245" s="41"/>
      <c r="BB245" s="5" t="s">
        <v>934</v>
      </c>
      <c r="BH245">
        <v>2</v>
      </c>
      <c r="BI245" t="s">
        <v>780</v>
      </c>
      <c r="BO245" s="416" t="str">
        <f>VLOOKUP(AZ260,BH244:BI246,2,FALSE)</f>
        <v>Nonprofit</v>
      </c>
    </row>
    <row r="246" spans="1:67" ht="12.95" customHeight="1">
      <c r="A246" s="28"/>
      <c r="B246" s="5"/>
      <c r="C246" s="5"/>
      <c r="D246" s="5" t="s">
        <v>397</v>
      </c>
      <c r="E246" s="5"/>
      <c r="F246" s="5"/>
      <c r="G246" s="5"/>
      <c r="H246" s="5"/>
      <c r="I246" s="5"/>
      <c r="J246" s="5"/>
      <c r="K246" s="5"/>
      <c r="L246" s="5"/>
      <c r="M246" s="1384" t="s">
        <v>2371</v>
      </c>
      <c r="N246" s="1384"/>
      <c r="O246" s="1384"/>
      <c r="P246" s="1384"/>
      <c r="Q246" s="1384"/>
      <c r="R246" s="1384"/>
      <c r="S246" s="1384"/>
      <c r="T246" s="1384"/>
      <c r="U246" s="1384"/>
      <c r="V246" s="1384"/>
      <c r="W246" s="1384"/>
      <c r="X246" s="1384"/>
      <c r="Y246" s="1384"/>
      <c r="Z246" s="1384"/>
      <c r="AA246" s="1384"/>
      <c r="AB246" s="1384"/>
      <c r="AC246" s="1384"/>
      <c r="AD246" s="1384"/>
      <c r="AE246" s="1384"/>
      <c r="AL246" s="5"/>
      <c r="AN246" s="41"/>
      <c r="BB246" s="5" t="s">
        <v>483</v>
      </c>
      <c r="BH246">
        <v>3</v>
      </c>
      <c r="BI246" t="s">
        <v>672</v>
      </c>
    </row>
    <row r="247" spans="1:67" ht="12.95" customHeight="1">
      <c r="A247" s="28"/>
      <c r="B247" s="5"/>
      <c r="C247" s="5"/>
      <c r="D247" s="5" t="s">
        <v>459</v>
      </c>
      <c r="E247" s="5"/>
      <c r="M247" s="1384" t="s">
        <v>121</v>
      </c>
      <c r="N247" s="1384"/>
      <c r="O247" s="1384"/>
      <c r="P247" s="1384"/>
      <c r="Q247" s="1384"/>
      <c r="R247" s="1384"/>
      <c r="S247" s="1384"/>
      <c r="T247" s="1384"/>
      <c r="V247" s="42" t="s">
        <v>398</v>
      </c>
      <c r="W247" s="1485" t="s">
        <v>2372</v>
      </c>
      <c r="X247" s="1233"/>
      <c r="Y247" s="5" t="s">
        <v>462</v>
      </c>
      <c r="AC247" s="1384">
        <v>92127</v>
      </c>
      <c r="AD247" s="1384"/>
      <c r="AE247" s="1384"/>
      <c r="AN247" s="41"/>
    </row>
    <row r="248" spans="1:67" ht="12.95" customHeight="1">
      <c r="A248" s="28"/>
      <c r="B248" s="5"/>
      <c r="C248" s="5"/>
      <c r="D248" s="5" t="s">
        <v>399</v>
      </c>
      <c r="E248" s="5"/>
      <c r="F248" s="5"/>
      <c r="G248" s="5"/>
      <c r="H248" s="5"/>
      <c r="I248" s="5"/>
      <c r="J248" s="5"/>
      <c r="K248" s="5"/>
      <c r="L248" s="28"/>
      <c r="M248" s="1384" t="s">
        <v>2361</v>
      </c>
      <c r="N248" s="1384"/>
      <c r="O248" s="1384"/>
      <c r="P248" s="1384"/>
      <c r="Q248" s="1384"/>
      <c r="R248" s="1384"/>
      <c r="S248" s="1384"/>
      <c r="T248" s="1384"/>
      <c r="U248" s="1384"/>
      <c r="V248" s="1384"/>
      <c r="W248" s="1384"/>
      <c r="X248" s="1384"/>
      <c r="Y248" s="1384"/>
      <c r="Z248" s="1384"/>
      <c r="AA248" s="1384"/>
      <c r="AB248" s="1384"/>
      <c r="AC248" s="1384"/>
      <c r="AD248" s="1384"/>
      <c r="AE248" s="1384"/>
      <c r="AJ248" s="5"/>
      <c r="AK248" s="5"/>
      <c r="AL248" s="5"/>
      <c r="AN248" s="41"/>
    </row>
    <row r="249" spans="1:67" ht="12.95" customHeight="1">
      <c r="A249" s="28"/>
      <c r="B249" s="5"/>
      <c r="C249" s="5"/>
      <c r="D249" s="5" t="s">
        <v>400</v>
      </c>
      <c r="E249" s="5"/>
      <c r="F249" s="5"/>
      <c r="M249" s="1226" t="s">
        <v>2373</v>
      </c>
      <c r="N249" s="1226"/>
      <c r="O249" s="1226"/>
      <c r="P249" s="1226"/>
      <c r="Q249" s="1226"/>
      <c r="R249" s="1226"/>
      <c r="S249" s="5" t="s">
        <v>859</v>
      </c>
      <c r="T249" s="5"/>
      <c r="U249" s="1233"/>
      <c r="V249" s="1233"/>
      <c r="W249" s="1233"/>
      <c r="X249" s="5" t="s">
        <v>401</v>
      </c>
      <c r="Z249" s="1226"/>
      <c r="AA249" s="1226"/>
      <c r="AB249" s="1226"/>
      <c r="AC249" s="1226"/>
      <c r="AD249" s="1226"/>
      <c r="AE249" s="1226"/>
      <c r="AM249" s="5"/>
      <c r="AN249" s="41"/>
    </row>
    <row r="250" spans="1:67" ht="12.95" customHeight="1">
      <c r="A250" s="28"/>
      <c r="B250" s="5"/>
      <c r="C250" s="5"/>
      <c r="D250" s="5" t="s">
        <v>402</v>
      </c>
      <c r="E250" s="5"/>
      <c r="F250" s="5"/>
      <c r="M250" s="1488" t="s">
        <v>2374</v>
      </c>
      <c r="N250" s="1488"/>
      <c r="O250" s="1488"/>
      <c r="P250" s="1488"/>
      <c r="Q250" s="1488"/>
      <c r="R250" s="1488"/>
      <c r="S250" s="1488"/>
      <c r="T250" s="1488"/>
      <c r="U250" s="1488"/>
      <c r="V250" s="1488"/>
      <c r="W250" s="1488"/>
      <c r="X250" s="1488"/>
      <c r="Y250" s="1488"/>
      <c r="Z250" s="1488"/>
      <c r="AA250" s="1488"/>
      <c r="AB250" s="1488"/>
      <c r="AC250" s="1488"/>
      <c r="AD250" s="1488"/>
      <c r="AE250" s="1488"/>
      <c r="AG250" s="5"/>
      <c r="AH250" s="5"/>
      <c r="AI250" s="5"/>
      <c r="AJ250" s="5"/>
      <c r="AK250" s="5"/>
      <c r="AL250" s="5"/>
    </row>
    <row r="251" spans="1:67" ht="12.95" customHeight="1">
      <c r="A251" s="18"/>
      <c r="B251" s="5"/>
      <c r="C251" s="62"/>
      <c r="D251" s="5" t="s">
        <v>671</v>
      </c>
      <c r="E251" s="5"/>
      <c r="F251" s="5"/>
      <c r="G251" s="5"/>
      <c r="H251" s="5"/>
      <c r="I251" s="5"/>
      <c r="J251" s="5"/>
      <c r="K251" s="5"/>
      <c r="L251" s="5"/>
      <c r="M251" s="1224" t="s">
        <v>670</v>
      </c>
      <c r="N251" s="1224"/>
      <c r="O251" s="1224"/>
      <c r="P251" s="1224"/>
      <c r="Q251" s="1224"/>
      <c r="R251" s="1224"/>
      <c r="S251" s="1224"/>
      <c r="T251" s="1224"/>
      <c r="U251" s="5" t="s">
        <v>1192</v>
      </c>
      <c r="AA251" s="1389"/>
      <c r="AB251" s="1389"/>
      <c r="AC251" s="1389"/>
      <c r="AD251" s="1389"/>
      <c r="AE251" s="1389"/>
      <c r="AF251" s="1389"/>
      <c r="AG251" s="1389"/>
      <c r="AH251" s="1389"/>
      <c r="AI251" s="1389"/>
      <c r="AJ251" s="1389"/>
      <c r="AK251" s="1389"/>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1536</v>
      </c>
      <c r="D253" s="5" t="s">
        <v>1264</v>
      </c>
      <c r="E253" s="5"/>
      <c r="F253" s="5"/>
      <c r="G253" s="5"/>
      <c r="H253" s="5"/>
      <c r="I253" s="5"/>
      <c r="J253" s="5"/>
      <c r="K253" s="5"/>
      <c r="L253" s="5"/>
      <c r="M253" s="1383"/>
      <c r="N253" s="1383"/>
      <c r="O253" s="1383"/>
      <c r="P253" s="1383"/>
      <c r="Q253" s="1383"/>
      <c r="R253" s="1383"/>
      <c r="S253" s="1383"/>
      <c r="T253" s="1383"/>
      <c r="U253" s="1383"/>
      <c r="V253" s="1383"/>
      <c r="W253" s="1383"/>
      <c r="X253" s="1383"/>
      <c r="Y253" s="1383"/>
      <c r="Z253" s="1383"/>
      <c r="AA253" s="1383"/>
      <c r="AB253" s="1383"/>
      <c r="AC253" s="1383"/>
      <c r="AD253" s="1383"/>
      <c r="AE253" s="1383"/>
      <c r="AF253" s="1484" t="s">
        <v>84</v>
      </c>
      <c r="AG253" s="1484"/>
      <c r="AH253" s="1484"/>
      <c r="AI253" s="1484"/>
      <c r="AJ253" s="1484"/>
      <c r="AK253" s="1484"/>
      <c r="AM253" s="5"/>
    </row>
    <row r="254" spans="1:67" ht="12.95" customHeight="1">
      <c r="A254" s="28"/>
      <c r="B254" s="5"/>
      <c r="C254" s="5"/>
      <c r="D254" s="5" t="s">
        <v>397</v>
      </c>
      <c r="E254" s="5"/>
      <c r="F254" s="5"/>
      <c r="G254" s="5"/>
      <c r="H254" s="5"/>
      <c r="I254" s="5"/>
      <c r="J254" s="5"/>
      <c r="K254" s="5"/>
      <c r="L254" s="5"/>
      <c r="M254" s="1384"/>
      <c r="N254" s="1384"/>
      <c r="O254" s="1384"/>
      <c r="P254" s="1384"/>
      <c r="Q254" s="1384"/>
      <c r="R254" s="1384"/>
      <c r="S254" s="1384"/>
      <c r="T254" s="1384"/>
      <c r="U254" s="1384"/>
      <c r="V254" s="1384"/>
      <c r="W254" s="1384"/>
      <c r="X254" s="1384"/>
      <c r="Y254" s="1384"/>
      <c r="Z254" s="1384"/>
      <c r="AA254" s="1384"/>
      <c r="AB254" s="1384"/>
      <c r="AC254" s="1384"/>
      <c r="AD254" s="1384"/>
      <c r="AE254" s="1384"/>
      <c r="AL254" s="5"/>
    </row>
    <row r="255" spans="1:67" ht="12.95" customHeight="1">
      <c r="A255" s="28"/>
      <c r="B255" s="5"/>
      <c r="C255" s="5"/>
      <c r="D255" s="5" t="s">
        <v>459</v>
      </c>
      <c r="E255" s="5"/>
      <c r="M255" s="1384"/>
      <c r="N255" s="1384"/>
      <c r="O255" s="1384"/>
      <c r="P255" s="1384"/>
      <c r="Q255" s="1384"/>
      <c r="R255" s="1384"/>
      <c r="S255" s="1384"/>
      <c r="T255" s="1384"/>
      <c r="V255" s="42" t="s">
        <v>398</v>
      </c>
      <c r="W255" s="1233"/>
      <c r="X255" s="1233"/>
      <c r="Y255" s="5" t="s">
        <v>462</v>
      </c>
      <c r="AC255" s="1384"/>
      <c r="AD255" s="1384"/>
      <c r="AE255" s="1384"/>
    </row>
    <row r="256" spans="1:67" ht="12.95" customHeight="1">
      <c r="A256" s="28"/>
      <c r="B256" s="5"/>
      <c r="C256" s="5"/>
      <c r="D256" s="5" t="s">
        <v>399</v>
      </c>
      <c r="E256" s="5"/>
      <c r="F256" s="5"/>
      <c r="G256" s="5"/>
      <c r="H256" s="5"/>
      <c r="I256" s="5"/>
      <c r="J256" s="5"/>
      <c r="K256" s="5"/>
      <c r="L256" s="28"/>
      <c r="M256" s="1384"/>
      <c r="N256" s="1384"/>
      <c r="O256" s="1384"/>
      <c r="P256" s="1384"/>
      <c r="Q256" s="1384"/>
      <c r="R256" s="1384"/>
      <c r="S256" s="1384"/>
      <c r="T256" s="1384"/>
      <c r="U256" s="1384"/>
      <c r="V256" s="1384"/>
      <c r="W256" s="1384"/>
      <c r="X256" s="1384"/>
      <c r="Y256" s="1384"/>
      <c r="Z256" s="1384"/>
      <c r="AA256" s="1384"/>
      <c r="AB256" s="1384"/>
      <c r="AC256" s="1384"/>
      <c r="AD256" s="1384"/>
      <c r="AE256" s="1384"/>
      <c r="AJ256" s="5"/>
      <c r="AK256" s="5"/>
      <c r="AL256" s="5"/>
    </row>
    <row r="257" spans="1:53" ht="12.95" customHeight="1">
      <c r="A257" s="28"/>
      <c r="B257" s="5"/>
      <c r="C257" s="5"/>
      <c r="D257" s="5" t="s">
        <v>400</v>
      </c>
      <c r="E257" s="5"/>
      <c r="F257" s="5"/>
      <c r="M257" s="1226"/>
      <c r="N257" s="1226"/>
      <c r="O257" s="1226"/>
      <c r="P257" s="1226"/>
      <c r="Q257" s="1226"/>
      <c r="R257" s="1226"/>
      <c r="S257" s="5" t="s">
        <v>859</v>
      </c>
      <c r="T257" s="5"/>
      <c r="U257" s="1233"/>
      <c r="V257" s="1233"/>
      <c r="W257" s="1233"/>
      <c r="X257" s="5" t="s">
        <v>401</v>
      </c>
      <c r="Z257" s="1226"/>
      <c r="AA257" s="1226"/>
      <c r="AB257" s="1226"/>
      <c r="AC257" s="1226"/>
      <c r="AD257" s="1226"/>
      <c r="AE257" s="1226"/>
      <c r="BA257" s="43"/>
    </row>
    <row r="258" spans="1:53" ht="12.95" customHeight="1">
      <c r="A258" s="28"/>
      <c r="B258" s="5"/>
      <c r="C258" s="5"/>
      <c r="D258" s="5" t="s">
        <v>402</v>
      </c>
      <c r="E258" s="5"/>
      <c r="F258" s="5"/>
      <c r="M258" s="1488"/>
      <c r="N258" s="1488"/>
      <c r="O258" s="1488"/>
      <c r="P258" s="1488"/>
      <c r="Q258" s="1488"/>
      <c r="R258" s="1488"/>
      <c r="S258" s="1488"/>
      <c r="T258" s="1488"/>
      <c r="U258" s="1488"/>
      <c r="V258" s="1488"/>
      <c r="W258" s="1488"/>
      <c r="X258" s="1488"/>
      <c r="Y258" s="1488"/>
      <c r="Z258" s="1488"/>
      <c r="AA258" s="1488"/>
      <c r="AB258" s="1488"/>
      <c r="AC258" s="1488"/>
      <c r="AD258" s="1488"/>
      <c r="AE258" s="1488"/>
      <c r="AG258" s="5"/>
      <c r="AH258" s="5"/>
      <c r="AI258" s="5"/>
      <c r="AJ258" s="5"/>
      <c r="AK258" s="5"/>
      <c r="AL258" s="5"/>
    </row>
    <row r="259" spans="1:53" ht="12.95" customHeight="1">
      <c r="A259" s="18"/>
      <c r="B259" s="5"/>
      <c r="C259" s="62"/>
      <c r="D259" s="5" t="s">
        <v>671</v>
      </c>
      <c r="E259" s="5"/>
      <c r="F259" s="5"/>
      <c r="G259" s="5"/>
      <c r="H259" s="5"/>
      <c r="I259" s="5"/>
      <c r="J259" s="5"/>
      <c r="K259" s="5"/>
      <c r="L259" s="5"/>
      <c r="M259" s="1224" t="s">
        <v>84</v>
      </c>
      <c r="N259" s="1224"/>
      <c r="O259" s="1224"/>
      <c r="P259" s="1224"/>
      <c r="Q259" s="1224"/>
      <c r="R259" s="1224"/>
      <c r="S259" s="1224"/>
      <c r="T259" s="1224"/>
      <c r="U259" s="5" t="s">
        <v>1192</v>
      </c>
      <c r="AA259" s="1389"/>
      <c r="AB259" s="1389"/>
      <c r="AC259" s="1389"/>
      <c r="AD259" s="1389"/>
      <c r="AE259" s="1389"/>
      <c r="AF259" s="1389"/>
      <c r="AG259" s="1389"/>
      <c r="AH259" s="1389"/>
      <c r="AI259" s="1389"/>
      <c r="AJ259" s="1389"/>
      <c r="AK259" s="1389"/>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1981</v>
      </c>
      <c r="D261" s="5" t="s">
        <v>668</v>
      </c>
      <c r="E261" s="5"/>
      <c r="F261" s="5"/>
      <c r="G261" s="5"/>
      <c r="H261" s="5"/>
      <c r="I261" s="5"/>
      <c r="J261" s="5"/>
      <c r="K261" s="5"/>
      <c r="L261" s="5"/>
      <c r="M261" s="1484"/>
      <c r="N261" s="1484"/>
      <c r="O261" s="1484"/>
      <c r="P261" s="1484"/>
      <c r="Q261" s="1484"/>
      <c r="R261" s="1484"/>
      <c r="S261" s="1484"/>
      <c r="T261" s="1484"/>
      <c r="U261" s="1484"/>
      <c r="V261" s="1484"/>
      <c r="W261" s="1484"/>
      <c r="X261" s="1484"/>
      <c r="Y261" s="1484"/>
      <c r="Z261" s="1484"/>
      <c r="AA261" s="1484"/>
      <c r="AB261" s="1484"/>
      <c r="AC261" s="1484"/>
      <c r="AD261" s="1484"/>
      <c r="AE261" s="1484"/>
      <c r="AF261" s="1484" t="s">
        <v>84</v>
      </c>
      <c r="AG261" s="1484"/>
      <c r="AH261" s="1484"/>
      <c r="AI261" s="1484"/>
      <c r="AJ261" s="1484"/>
      <c r="AK261" s="1484"/>
      <c r="AL261" s="41"/>
    </row>
    <row r="262" spans="1:53" ht="12.95" customHeight="1">
      <c r="A262" s="18"/>
      <c r="B262" s="5"/>
      <c r="C262" s="5"/>
      <c r="D262" s="5" t="s">
        <v>397</v>
      </c>
      <c r="E262" s="5"/>
      <c r="F262" s="5"/>
      <c r="G262" s="5"/>
      <c r="H262" s="5"/>
      <c r="I262" s="5"/>
      <c r="J262" s="5"/>
      <c r="K262" s="5"/>
      <c r="L262" s="5"/>
      <c r="M262" s="1384"/>
      <c r="N262" s="1384"/>
      <c r="O262" s="1384"/>
      <c r="P262" s="1384"/>
      <c r="Q262" s="1384"/>
      <c r="R262" s="1384"/>
      <c r="S262" s="1384"/>
      <c r="T262" s="1384"/>
      <c r="U262" s="1384"/>
      <c r="V262" s="1384"/>
      <c r="W262" s="1384"/>
      <c r="X262" s="1384"/>
      <c r="Y262" s="1384"/>
      <c r="Z262" s="1384"/>
      <c r="AA262" s="1384"/>
      <c r="AB262" s="1384"/>
      <c r="AC262" s="1384"/>
      <c r="AD262" s="1384"/>
      <c r="AE262" s="1384"/>
      <c r="AL262" s="41"/>
      <c r="BA262" s="43"/>
    </row>
    <row r="263" spans="1:53" ht="12.95" customHeight="1">
      <c r="A263" s="18"/>
      <c r="B263" s="5"/>
      <c r="C263" s="5"/>
      <c r="D263" s="5" t="s">
        <v>459</v>
      </c>
      <c r="E263" s="5"/>
      <c r="M263" s="1384"/>
      <c r="N263" s="1384"/>
      <c r="O263" s="1384"/>
      <c r="P263" s="1384"/>
      <c r="Q263" s="1384"/>
      <c r="R263" s="1384"/>
      <c r="S263" s="1384"/>
      <c r="T263" s="1384"/>
      <c r="V263" s="42" t="s">
        <v>398</v>
      </c>
      <c r="W263" s="1233"/>
      <c r="X263" s="1233"/>
      <c r="Y263" s="5" t="s">
        <v>462</v>
      </c>
      <c r="AC263" s="1384"/>
      <c r="AD263" s="1384"/>
      <c r="AE263" s="1384"/>
      <c r="AL263" s="41"/>
      <c r="BA263" s="43"/>
    </row>
    <row r="264" spans="1:53" ht="12.95" customHeight="1">
      <c r="A264" s="18"/>
      <c r="B264" s="5"/>
      <c r="C264" s="5"/>
      <c r="D264" s="5" t="s">
        <v>399</v>
      </c>
      <c r="E264" s="5"/>
      <c r="F264" s="5"/>
      <c r="G264" s="5"/>
      <c r="H264" s="5"/>
      <c r="I264" s="5"/>
      <c r="J264" s="5"/>
      <c r="K264" s="5"/>
      <c r="L264" s="28"/>
      <c r="M264" s="1384"/>
      <c r="N264" s="1384"/>
      <c r="O264" s="1384"/>
      <c r="P264" s="1384"/>
      <c r="Q264" s="1384"/>
      <c r="R264" s="1384"/>
      <c r="S264" s="1384"/>
      <c r="T264" s="1384"/>
      <c r="U264" s="1384"/>
      <c r="V264" s="1384"/>
      <c r="W264" s="1384"/>
      <c r="X264" s="1384"/>
      <c r="Y264" s="1384"/>
      <c r="Z264" s="1384"/>
      <c r="AA264" s="1384"/>
      <c r="AB264" s="1384"/>
      <c r="AC264" s="1384"/>
      <c r="AD264" s="1384"/>
      <c r="AE264" s="1384"/>
      <c r="AJ264" s="5"/>
      <c r="AK264" s="5"/>
      <c r="AL264" s="41"/>
      <c r="BA264" s="43"/>
    </row>
    <row r="265" spans="1:53" ht="12.95" customHeight="1">
      <c r="A265" s="18"/>
      <c r="B265" s="5"/>
      <c r="C265" s="5"/>
      <c r="D265" s="5" t="s">
        <v>400</v>
      </c>
      <c r="E265" s="5"/>
      <c r="F265" s="5"/>
      <c r="M265" s="1226"/>
      <c r="N265" s="1226"/>
      <c r="O265" s="1226"/>
      <c r="P265" s="1226"/>
      <c r="Q265" s="1226"/>
      <c r="R265" s="1226"/>
      <c r="S265" s="5" t="s">
        <v>859</v>
      </c>
      <c r="T265" s="5"/>
      <c r="U265" s="1233"/>
      <c r="V265" s="1233"/>
      <c r="W265" s="1233"/>
      <c r="X265" s="5" t="s">
        <v>401</v>
      </c>
      <c r="Z265" s="1226"/>
      <c r="AA265" s="1226"/>
      <c r="AB265" s="1226"/>
      <c r="AC265" s="1226"/>
      <c r="AD265" s="1226"/>
      <c r="AE265" s="1226"/>
      <c r="AL265" s="41"/>
      <c r="BA265" s="43"/>
    </row>
    <row r="266" spans="1:53" ht="12.95" customHeight="1">
      <c r="A266" s="18"/>
      <c r="B266" s="5"/>
      <c r="C266" s="5"/>
      <c r="D266" s="5" t="s">
        <v>402</v>
      </c>
      <c r="E266" s="5"/>
      <c r="F266" s="5"/>
      <c r="M266" s="1488"/>
      <c r="N266" s="1488"/>
      <c r="O266" s="1488"/>
      <c r="P266" s="1488"/>
      <c r="Q266" s="1488"/>
      <c r="R266" s="1488"/>
      <c r="S266" s="1488"/>
      <c r="T266" s="1488"/>
      <c r="U266" s="1488"/>
      <c r="V266" s="1488"/>
      <c r="W266" s="1488"/>
      <c r="X266" s="1488"/>
      <c r="Y266" s="1488"/>
      <c r="Z266" s="1488"/>
      <c r="AA266" s="1488"/>
      <c r="AB266" s="1488"/>
      <c r="AC266" s="1488"/>
      <c r="AD266" s="1488"/>
      <c r="AE266" s="1488"/>
      <c r="AG266" s="5"/>
      <c r="AH266" s="5"/>
      <c r="AI266" s="5"/>
      <c r="AJ266" s="5"/>
      <c r="AK266" s="5"/>
      <c r="AL266" s="41"/>
      <c r="BA266" s="43"/>
    </row>
    <row r="267" spans="1:53" ht="12.95" customHeight="1">
      <c r="A267" s="18"/>
      <c r="B267" s="5"/>
      <c r="C267" s="62"/>
      <c r="D267" s="5" t="s">
        <v>671</v>
      </c>
      <c r="E267" s="5"/>
      <c r="F267" s="5"/>
      <c r="G267" s="5"/>
      <c r="H267" s="5"/>
      <c r="I267" s="5"/>
      <c r="J267" s="5"/>
      <c r="K267" s="5"/>
      <c r="L267" s="5"/>
      <c r="M267" s="1224" t="s">
        <v>84</v>
      </c>
      <c r="N267" s="1224"/>
      <c r="O267" s="1224"/>
      <c r="P267" s="1224"/>
      <c r="Q267" s="1224"/>
      <c r="R267" s="1224"/>
      <c r="S267" s="1224"/>
      <c r="T267" s="1224"/>
      <c r="U267" s="5" t="s">
        <v>1192</v>
      </c>
      <c r="AA267" s="1389"/>
      <c r="AB267" s="1389"/>
      <c r="AC267" s="1389"/>
      <c r="AD267" s="1389"/>
      <c r="AE267" s="1389"/>
      <c r="AF267" s="1389"/>
      <c r="AG267" s="1389"/>
      <c r="AH267" s="1389"/>
      <c r="AI267" s="1389"/>
      <c r="AJ267" s="1389"/>
      <c r="AK267" s="1389"/>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282</v>
      </c>
      <c r="D269" s="5"/>
      <c r="E269" s="5"/>
      <c r="F269" s="5"/>
      <c r="G269" s="5"/>
      <c r="H269" s="5"/>
      <c r="I269" s="5"/>
      <c r="J269" s="5"/>
      <c r="K269" s="5"/>
      <c r="L269" s="5"/>
      <c r="M269" s="44"/>
      <c r="N269" s="44"/>
      <c r="O269" s="44"/>
      <c r="P269" s="44"/>
      <c r="Q269" s="44"/>
      <c r="T269" s="1552" t="str">
        <f>BO245</f>
        <v>Nonprofit</v>
      </c>
      <c r="U269" s="1552"/>
      <c r="V269" s="1552"/>
      <c r="W269" s="1552"/>
      <c r="X269" s="1552"/>
      <c r="Z269" s="488" t="s">
        <v>1265</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9" t="s">
        <v>1262</v>
      </c>
      <c r="AF270" s="5"/>
      <c r="AG270" s="5"/>
      <c r="AH270" s="5"/>
      <c r="AI270" s="5"/>
      <c r="AJ270" s="5"/>
      <c r="AL270" s="71"/>
      <c r="BA270" s="43"/>
    </row>
    <row r="271" spans="1:53" ht="12.9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1263</v>
      </c>
      <c r="AA271" s="54"/>
      <c r="AB271" s="54"/>
      <c r="AC271" s="54"/>
      <c r="AD271" s="193"/>
      <c r="AE271" s="193"/>
      <c r="AF271" s="193"/>
      <c r="AG271" s="193"/>
      <c r="AH271" s="193"/>
      <c r="AI271" s="193"/>
      <c r="AJ271" s="193"/>
      <c r="AK271" s="414"/>
      <c r="AL271" s="491"/>
    </row>
    <row r="272" spans="1:53" ht="12.95" customHeight="1">
      <c r="A272" s="5"/>
      <c r="B272" s="45">
        <v>0</v>
      </c>
      <c r="D272" s="1384" t="s">
        <v>934</v>
      </c>
      <c r="E272" s="1384"/>
      <c r="F272" s="1384"/>
      <c r="G272" s="1384"/>
      <c r="H272" s="1384"/>
      <c r="J272" t="s">
        <v>933</v>
      </c>
      <c r="X272" s="1498"/>
      <c r="Y272" s="1498"/>
      <c r="Z272" s="1498"/>
      <c r="AA272" s="1498"/>
      <c r="AB272" s="1498"/>
      <c r="AC272" s="1498"/>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283</v>
      </c>
      <c r="E276" s="5"/>
      <c r="F276" s="5"/>
      <c r="G276" s="5"/>
      <c r="H276" s="5"/>
      <c r="I276" s="5"/>
      <c r="J276" s="5"/>
      <c r="K276" s="5"/>
      <c r="L276" s="1383" t="s">
        <v>2377</v>
      </c>
      <c r="M276" s="1484"/>
      <c r="N276" s="1484"/>
      <c r="O276" s="1484"/>
      <c r="P276" s="1484"/>
      <c r="Q276" s="1484"/>
      <c r="R276" s="1484"/>
      <c r="S276" s="1484"/>
      <c r="T276" s="1484"/>
      <c r="U276" s="1484"/>
      <c r="V276" s="1484"/>
      <c r="W276" s="1484"/>
      <c r="X276" s="1484"/>
      <c r="Y276" s="1484"/>
      <c r="Z276" s="1484"/>
      <c r="AA276" s="1484"/>
      <c r="AB276" s="1484"/>
      <c r="AC276" s="1484"/>
      <c r="AD276" s="1484"/>
      <c r="AE276" s="1484"/>
      <c r="AF276" s="1484"/>
      <c r="AG276" s="1484"/>
      <c r="AH276" s="1484"/>
      <c r="AI276" s="1484"/>
      <c r="AJ276" s="1484"/>
      <c r="AK276" s="41"/>
      <c r="AL276" s="41"/>
      <c r="BA276" s="43"/>
    </row>
    <row r="277" spans="1:53" ht="12.95" customHeight="1">
      <c r="D277" s="5" t="s">
        <v>397</v>
      </c>
      <c r="E277" s="5"/>
      <c r="F277" s="5"/>
      <c r="G277" s="5"/>
      <c r="H277" s="5"/>
      <c r="I277" s="5"/>
      <c r="J277" s="5"/>
      <c r="K277" s="5"/>
      <c r="L277" s="1368" t="s">
        <v>2378</v>
      </c>
      <c r="M277" s="1384"/>
      <c r="N277" s="1384"/>
      <c r="O277" s="1384"/>
      <c r="P277" s="1384"/>
      <c r="Q277" s="1384"/>
      <c r="R277" s="1384"/>
      <c r="S277" s="1384"/>
      <c r="T277" s="1384"/>
      <c r="U277" s="1384"/>
      <c r="V277" s="1384"/>
      <c r="W277" s="1384"/>
      <c r="X277" s="1384"/>
      <c r="Y277" s="1384"/>
      <c r="Z277" s="1384"/>
      <c r="AA277" s="1384"/>
      <c r="AB277" s="1384"/>
      <c r="AC277" s="1384"/>
      <c r="AD277" s="1384"/>
      <c r="AK277" s="41"/>
      <c r="AL277" s="41"/>
      <c r="BA277" s="43"/>
    </row>
    <row r="278" spans="1:53" ht="12.95" customHeight="1">
      <c r="D278" s="5" t="s">
        <v>459</v>
      </c>
      <c r="E278" s="5"/>
      <c r="L278" s="1368" t="s">
        <v>121</v>
      </c>
      <c r="M278" s="1384"/>
      <c r="N278" s="1384"/>
      <c r="O278" s="1384"/>
      <c r="P278" s="1384"/>
      <c r="Q278" s="1384"/>
      <c r="R278" s="1384"/>
      <c r="S278" s="1384"/>
      <c r="U278" s="42" t="s">
        <v>398</v>
      </c>
      <c r="V278" s="1485" t="s">
        <v>2372</v>
      </c>
      <c r="W278" s="1233"/>
      <c r="X278" s="5" t="s">
        <v>462</v>
      </c>
      <c r="AB278" s="1384">
        <v>92123</v>
      </c>
      <c r="AC278" s="1384"/>
      <c r="AD278" s="1384"/>
      <c r="AK278" s="41"/>
      <c r="AL278" s="41"/>
      <c r="BA278" s="43"/>
    </row>
    <row r="279" spans="1:53" ht="12.95" customHeight="1">
      <c r="D279" s="5" t="s">
        <v>399</v>
      </c>
      <c r="E279" s="5"/>
      <c r="F279" s="5"/>
      <c r="G279" s="5"/>
      <c r="H279" s="5"/>
      <c r="I279" s="5"/>
      <c r="J279" s="5"/>
      <c r="K279" s="28"/>
      <c r="L279" s="1368" t="s">
        <v>2511</v>
      </c>
      <c r="M279" s="1384"/>
      <c r="N279" s="1384"/>
      <c r="O279" s="1384"/>
      <c r="P279" s="1384"/>
      <c r="Q279" s="1384"/>
      <c r="R279" s="1384"/>
      <c r="S279" s="1384"/>
      <c r="T279" s="1384"/>
      <c r="U279" s="1384"/>
      <c r="V279" s="1384"/>
      <c r="W279" s="1384"/>
      <c r="X279" s="1384"/>
      <c r="Y279" s="1384"/>
      <c r="Z279" s="1384"/>
      <c r="AA279" s="1384"/>
      <c r="AB279" s="1384"/>
      <c r="AC279" s="1384"/>
      <c r="AD279" s="1384"/>
      <c r="AI279" s="5"/>
      <c r="AJ279" s="5"/>
      <c r="AK279" s="41"/>
      <c r="AL279" s="41"/>
      <c r="BA279" s="43"/>
    </row>
    <row r="280" spans="1:53" ht="12.95" customHeight="1">
      <c r="D280" s="5" t="s">
        <v>400</v>
      </c>
      <c r="E280" s="5"/>
      <c r="F280" s="5"/>
      <c r="L280" s="1234" t="s">
        <v>2514</v>
      </c>
      <c r="M280" s="1226"/>
      <c r="N280" s="1226"/>
      <c r="O280" s="1226"/>
      <c r="P280" s="1226"/>
      <c r="Q280" s="1226"/>
      <c r="R280" s="5" t="s">
        <v>859</v>
      </c>
      <c r="S280" s="5"/>
      <c r="T280" s="1233"/>
      <c r="U280" s="1233"/>
      <c r="V280" s="1233"/>
      <c r="W280" s="5" t="s">
        <v>401</v>
      </c>
      <c r="Y280" s="1226"/>
      <c r="Z280" s="1226"/>
      <c r="AA280" s="1226"/>
      <c r="AB280" s="1226"/>
      <c r="AC280" s="1226"/>
      <c r="AD280" s="1226"/>
      <c r="BA280" s="43"/>
    </row>
    <row r="281" spans="1:53" ht="12.95" customHeight="1">
      <c r="D281" s="5" t="s">
        <v>402</v>
      </c>
      <c r="E281" s="5"/>
      <c r="F281" s="5"/>
      <c r="L281" s="1488" t="s">
        <v>2513</v>
      </c>
      <c r="M281" s="1488"/>
      <c r="N281" s="1488"/>
      <c r="O281" s="1488"/>
      <c r="P281" s="1488"/>
      <c r="Q281" s="1488"/>
      <c r="R281" s="1488"/>
      <c r="S281" s="1488"/>
      <c r="T281" s="1488"/>
      <c r="U281" s="1488"/>
      <c r="V281" s="1488"/>
      <c r="W281" s="1488"/>
      <c r="X281" s="1488"/>
      <c r="Y281" s="1488"/>
      <c r="Z281" s="1488"/>
      <c r="AA281" s="1488"/>
      <c r="AB281" s="1488"/>
      <c r="AC281" s="1488"/>
      <c r="AD281" s="1488"/>
      <c r="AF281" s="5"/>
      <c r="AG281" s="5"/>
      <c r="AH281" s="5"/>
      <c r="AI281" s="5"/>
      <c r="AJ281" s="5"/>
      <c r="BA281" s="43"/>
    </row>
    <row r="282" spans="1:53" ht="12.95" customHeight="1">
      <c r="D282" s="41" t="s">
        <v>197</v>
      </c>
      <c r="E282" s="41"/>
      <c r="F282" s="41"/>
      <c r="G282" s="41"/>
      <c r="H282" s="41"/>
      <c r="I282" s="41"/>
      <c r="L282" s="1485" t="s">
        <v>2512</v>
      </c>
      <c r="M282" s="1485"/>
      <c r="N282" s="1485"/>
      <c r="O282" s="1485"/>
      <c r="P282" s="1485"/>
      <c r="Q282" s="1485"/>
      <c r="R282" s="1485"/>
      <c r="S282" s="1485"/>
      <c r="T282" s="1485"/>
      <c r="U282" s="1485"/>
      <c r="V282" s="1485"/>
      <c r="W282" s="1485"/>
      <c r="X282" s="1485"/>
      <c r="Y282" s="1485"/>
      <c r="Z282" s="1485"/>
      <c r="AA282" s="1485"/>
      <c r="AB282" s="1485"/>
      <c r="AC282" s="1485"/>
      <c r="AD282" s="1485"/>
      <c r="AK282" s="41"/>
      <c r="AL282" s="41"/>
      <c r="BA282" s="43"/>
    </row>
    <row r="283" spans="1:53" ht="12.95" customHeight="1">
      <c r="L283" s="4" t="s">
        <v>198</v>
      </c>
      <c r="BA283" s="43"/>
    </row>
    <row r="284" spans="1:53" ht="12.95" customHeight="1">
      <c r="A284" s="1394" t="s">
        <v>525</v>
      </c>
      <c r="B284" s="1394"/>
      <c r="C284" s="1394"/>
      <c r="D284" s="1394"/>
      <c r="E284" s="1394"/>
      <c r="F284" s="1394"/>
      <c r="G284" s="1394"/>
      <c r="H284" s="1394"/>
      <c r="I284" s="1394"/>
      <c r="J284" s="1394"/>
      <c r="K284" s="1394"/>
      <c r="L284" s="1394"/>
      <c r="M284" s="1394"/>
      <c r="N284" s="1394"/>
      <c r="O284" s="1394"/>
      <c r="P284" s="1394"/>
      <c r="Q284" s="1394"/>
      <c r="R284" s="1394"/>
      <c r="S284" s="1394"/>
      <c r="T284" s="1394"/>
      <c r="U284" s="1394"/>
      <c r="V284" s="1394"/>
      <c r="W284" s="1394"/>
      <c r="X284" s="1394"/>
      <c r="Y284" s="1394"/>
      <c r="Z284" s="1394"/>
      <c r="AA284" s="1394"/>
      <c r="AB284" s="1394"/>
      <c r="AC284" s="1394"/>
      <c r="AD284" s="1394"/>
      <c r="AE284" s="1394"/>
      <c r="AF284" s="1394"/>
      <c r="AG284" s="1394"/>
      <c r="AH284" s="1394"/>
      <c r="AI284" s="1394"/>
      <c r="AJ284" s="1394"/>
      <c r="AK284" s="1394"/>
      <c r="AL284" s="1394"/>
      <c r="BA284" s="43"/>
    </row>
    <row r="285" spans="1:53" ht="12.95" customHeight="1" thickBot="1">
      <c r="A285" s="1395"/>
      <c r="B285" s="1395"/>
      <c r="C285" s="1395"/>
      <c r="D285" s="1395"/>
      <c r="E285" s="1395"/>
      <c r="F285" s="1395"/>
      <c r="G285" s="1395"/>
      <c r="H285" s="1395"/>
      <c r="I285" s="1395"/>
      <c r="J285" s="1395"/>
      <c r="K285" s="1395"/>
      <c r="L285" s="1395"/>
      <c r="M285" s="1395"/>
      <c r="N285" s="1395"/>
      <c r="O285" s="1395"/>
      <c r="P285" s="1395"/>
      <c r="Q285" s="1395"/>
      <c r="R285" s="1395"/>
      <c r="S285" s="1395"/>
      <c r="T285" s="1395"/>
      <c r="U285" s="1395"/>
      <c r="V285" s="1395"/>
      <c r="W285" s="1395"/>
      <c r="X285" s="1395"/>
      <c r="Y285" s="1395"/>
      <c r="Z285" s="1395"/>
      <c r="AA285" s="1395"/>
      <c r="AB285" s="1395"/>
      <c r="AC285" s="1395"/>
      <c r="AD285" s="1395"/>
      <c r="AE285" s="1395"/>
      <c r="AF285" s="1395"/>
      <c r="AG285" s="1395"/>
      <c r="AH285" s="1395"/>
      <c r="AI285" s="1395"/>
      <c r="AJ285" s="1395"/>
      <c r="AK285" s="1395"/>
      <c r="AL285" s="1395"/>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223" t="s">
        <v>2377</v>
      </c>
      <c r="I289" s="1223"/>
      <c r="J289" s="1223"/>
      <c r="K289" s="1223"/>
      <c r="L289" s="1223"/>
      <c r="M289" s="1223"/>
      <c r="N289" s="1223"/>
      <c r="O289" s="1223"/>
      <c r="P289" s="1223"/>
      <c r="Q289" s="1223"/>
      <c r="R289" s="1223"/>
      <c r="T289" s="41" t="s">
        <v>781</v>
      </c>
      <c r="V289" s="41"/>
      <c r="W289" s="41"/>
      <c r="X289" s="41"/>
      <c r="Y289" s="41"/>
      <c r="AA289" s="1223" t="s">
        <v>2402</v>
      </c>
      <c r="AB289" s="1223"/>
      <c r="AC289" s="1223"/>
      <c r="AD289" s="1223"/>
      <c r="AE289" s="1223"/>
      <c r="AF289" s="1223"/>
      <c r="AG289" s="1223"/>
      <c r="AH289" s="1223"/>
      <c r="AI289" s="1223"/>
      <c r="AJ289" s="1223"/>
      <c r="AK289" s="1223"/>
      <c r="BA289" s="43"/>
    </row>
    <row r="290" spans="2:53" ht="12.95" customHeight="1">
      <c r="B290" s="41" t="s">
        <v>735</v>
      </c>
      <c r="C290" s="41"/>
      <c r="D290" s="41"/>
      <c r="E290" s="41"/>
      <c r="F290" s="41"/>
      <c r="H290" s="1224" t="s">
        <v>2378</v>
      </c>
      <c r="I290" s="1224"/>
      <c r="J290" s="1224"/>
      <c r="K290" s="1224"/>
      <c r="L290" s="1224"/>
      <c r="M290" s="1224"/>
      <c r="N290" s="1224"/>
      <c r="O290" s="1224"/>
      <c r="P290" s="1224"/>
      <c r="Q290" s="1224"/>
      <c r="R290" s="1224"/>
      <c r="T290" s="41" t="s">
        <v>735</v>
      </c>
      <c r="V290" s="41"/>
      <c r="W290" s="41"/>
      <c r="X290" s="41"/>
      <c r="Y290" s="41"/>
      <c r="AA290" s="1224" t="s">
        <v>2403</v>
      </c>
      <c r="AB290" s="1224"/>
      <c r="AC290" s="1224"/>
      <c r="AD290" s="1224"/>
      <c r="AE290" s="1224"/>
      <c r="AF290" s="1224"/>
      <c r="AG290" s="1224"/>
      <c r="AH290" s="1224"/>
      <c r="AI290" s="1224"/>
      <c r="AJ290" s="1224"/>
      <c r="AK290" s="1224"/>
      <c r="BA290" s="43"/>
    </row>
    <row r="291" spans="2:53" ht="12.95" customHeight="1">
      <c r="B291" s="41" t="s">
        <v>737</v>
      </c>
      <c r="C291" s="41"/>
      <c r="D291" s="41"/>
      <c r="E291" s="41"/>
      <c r="F291" s="41"/>
      <c r="H291" s="1224" t="s">
        <v>2379</v>
      </c>
      <c r="I291" s="1224"/>
      <c r="J291" s="1224"/>
      <c r="K291" s="1224"/>
      <c r="L291" s="1224"/>
      <c r="M291" s="1224"/>
      <c r="N291" s="1224"/>
      <c r="O291" s="1224"/>
      <c r="P291" s="1224"/>
      <c r="Q291" s="1224"/>
      <c r="R291" s="1224"/>
      <c r="T291" s="41" t="s">
        <v>736</v>
      </c>
      <c r="V291" s="41"/>
      <c r="W291" s="41"/>
      <c r="X291" s="41"/>
      <c r="Y291" s="41"/>
      <c r="AA291" s="1224" t="s">
        <v>2404</v>
      </c>
      <c r="AB291" s="1224"/>
      <c r="AC291" s="1224"/>
      <c r="AD291" s="1224"/>
      <c r="AE291" s="1224"/>
      <c r="AF291" s="1224"/>
      <c r="AG291" s="1224"/>
      <c r="AH291" s="1224"/>
      <c r="AI291" s="1224"/>
      <c r="AJ291" s="1224"/>
      <c r="AK291" s="1224"/>
      <c r="BA291" s="43"/>
    </row>
    <row r="292" spans="2:53" ht="12.95" customHeight="1">
      <c r="B292" s="41" t="s">
        <v>399</v>
      </c>
      <c r="C292" s="41"/>
      <c r="D292" s="41"/>
      <c r="E292" s="41"/>
      <c r="F292" s="41"/>
      <c r="H292" s="1224" t="s">
        <v>2380</v>
      </c>
      <c r="I292" s="1224"/>
      <c r="J292" s="1224"/>
      <c r="K292" s="1224"/>
      <c r="L292" s="1224"/>
      <c r="M292" s="1224"/>
      <c r="N292" s="1224"/>
      <c r="O292" s="1224"/>
      <c r="P292" s="1224"/>
      <c r="Q292" s="1224"/>
      <c r="R292" s="1224"/>
      <c r="T292" s="41" t="s">
        <v>399</v>
      </c>
      <c r="V292" s="41"/>
      <c r="W292" s="41"/>
      <c r="X292" s="41"/>
      <c r="Y292" s="41"/>
      <c r="AA292" s="1224" t="s">
        <v>2405</v>
      </c>
      <c r="AB292" s="1224"/>
      <c r="AC292" s="1224"/>
      <c r="AD292" s="1224"/>
      <c r="AE292" s="1224"/>
      <c r="AF292" s="1224"/>
      <c r="AG292" s="1224"/>
      <c r="AH292" s="1224"/>
      <c r="AI292" s="1224"/>
      <c r="AJ292" s="1224"/>
      <c r="AK292" s="1224"/>
      <c r="BA292" s="43"/>
    </row>
    <row r="293" spans="2:53" ht="12.95" customHeight="1">
      <c r="B293" s="41" t="s">
        <v>400</v>
      </c>
      <c r="C293" s="41"/>
      <c r="D293" s="41"/>
      <c r="E293" s="41"/>
      <c r="F293" s="41"/>
      <c r="G293" s="41"/>
      <c r="H293" s="1389" t="s">
        <v>2381</v>
      </c>
      <c r="I293" s="1389"/>
      <c r="J293" s="1389"/>
      <c r="K293" s="1389"/>
      <c r="L293" s="1389"/>
      <c r="M293" s="1389"/>
      <c r="N293" s="5" t="s">
        <v>859</v>
      </c>
      <c r="O293" s="5"/>
      <c r="P293" s="1384"/>
      <c r="Q293" s="1384"/>
      <c r="R293" s="1384"/>
      <c r="S293" s="41"/>
      <c r="T293" s="41" t="s">
        <v>400</v>
      </c>
      <c r="V293" s="41"/>
      <c r="W293" s="41"/>
      <c r="X293" s="41"/>
      <c r="Y293" s="41"/>
      <c r="AA293" s="1483" t="s">
        <v>2406</v>
      </c>
      <c r="AB293" s="1389"/>
      <c r="AC293" s="1389"/>
      <c r="AD293" s="1389"/>
      <c r="AE293" s="1389"/>
      <c r="AF293" s="1389"/>
      <c r="AG293" s="5" t="s">
        <v>859</v>
      </c>
      <c r="AH293" s="5"/>
      <c r="AI293" s="1384"/>
      <c r="AJ293" s="1384"/>
      <c r="AK293" s="1384"/>
      <c r="BA293" s="43"/>
    </row>
    <row r="294" spans="2:53" ht="12.95" customHeight="1">
      <c r="B294" s="41" t="s">
        <v>401</v>
      </c>
      <c r="C294" s="41"/>
      <c r="D294" s="41"/>
      <c r="E294" s="41"/>
      <c r="F294" s="41"/>
      <c r="G294" s="41"/>
      <c r="H294" s="1226" t="s">
        <v>2382</v>
      </c>
      <c r="I294" s="1226"/>
      <c r="J294" s="1226"/>
      <c r="K294" s="1226"/>
      <c r="L294" s="1226"/>
      <c r="M294" s="1226"/>
      <c r="N294" s="5"/>
      <c r="O294" s="5"/>
      <c r="P294" s="44"/>
      <c r="Q294" s="44"/>
      <c r="R294" s="44"/>
      <c r="S294" s="41"/>
      <c r="T294" s="41" t="s">
        <v>401</v>
      </c>
      <c r="V294" s="41"/>
      <c r="W294" s="41"/>
      <c r="X294" s="41"/>
      <c r="Y294" s="41"/>
      <c r="AA294" s="1234" t="s">
        <v>132</v>
      </c>
      <c r="AB294" s="1226"/>
      <c r="AC294" s="1226"/>
      <c r="AD294" s="1226"/>
      <c r="AE294" s="1226"/>
      <c r="AF294" s="1226"/>
      <c r="AG294" s="5"/>
      <c r="AH294" s="5"/>
      <c r="AI294" s="44"/>
      <c r="AJ294" s="44"/>
      <c r="AK294" s="44"/>
      <c r="BA294" s="43"/>
    </row>
    <row r="295" spans="2:53" ht="12.95" customHeight="1">
      <c r="B295" s="41" t="s">
        <v>738</v>
      </c>
      <c r="C295" s="41"/>
      <c r="D295" s="41"/>
      <c r="E295" s="41"/>
      <c r="F295" s="41"/>
      <c r="G295" s="41"/>
      <c r="H295" s="1224" t="s">
        <v>2383</v>
      </c>
      <c r="I295" s="1224"/>
      <c r="J295" s="1224"/>
      <c r="K295" s="1224"/>
      <c r="L295" s="1224"/>
      <c r="M295" s="1224"/>
      <c r="N295" s="1223"/>
      <c r="O295" s="1223"/>
      <c r="P295" s="1223"/>
      <c r="Q295" s="1223"/>
      <c r="R295" s="1223"/>
      <c r="S295" s="41"/>
      <c r="T295" s="41" t="s">
        <v>738</v>
      </c>
      <c r="V295" s="41"/>
      <c r="W295" s="41"/>
      <c r="X295" s="41"/>
      <c r="Y295" s="41"/>
      <c r="AA295" s="1224" t="s">
        <v>2407</v>
      </c>
      <c r="AB295" s="1224"/>
      <c r="AC295" s="1224"/>
      <c r="AD295" s="1224"/>
      <c r="AE295" s="1224"/>
      <c r="AF295" s="1224"/>
      <c r="AG295" s="1223"/>
      <c r="AH295" s="1223"/>
      <c r="AI295" s="1223"/>
      <c r="AJ295" s="1223"/>
      <c r="AK295" s="1223"/>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468</v>
      </c>
      <c r="C297" s="41"/>
      <c r="D297" s="41"/>
      <c r="E297" s="41"/>
      <c r="F297" s="41"/>
      <c r="H297" s="1223" t="s">
        <v>2453</v>
      </c>
      <c r="I297" s="1223"/>
      <c r="J297" s="1223"/>
      <c r="K297" s="1223"/>
      <c r="L297" s="1223"/>
      <c r="M297" s="1223"/>
      <c r="N297" s="1223"/>
      <c r="O297" s="1223"/>
      <c r="P297" s="1223"/>
      <c r="Q297" s="1223"/>
      <c r="R297" s="1223"/>
      <c r="T297" s="41" t="s">
        <v>39</v>
      </c>
      <c r="V297" s="41"/>
      <c r="W297" s="41"/>
      <c r="X297" s="41"/>
      <c r="Y297" s="41"/>
      <c r="AA297" s="1223" t="s">
        <v>2384</v>
      </c>
      <c r="AB297" s="1223"/>
      <c r="AC297" s="1223"/>
      <c r="AD297" s="1223"/>
      <c r="AE297" s="1223"/>
      <c r="AF297" s="1223"/>
      <c r="AG297" s="1223"/>
      <c r="AH297" s="1223"/>
      <c r="AI297" s="1223"/>
      <c r="AJ297" s="1223"/>
      <c r="AK297" s="1223"/>
      <c r="BA297" s="43"/>
    </row>
    <row r="298" spans="2:53" ht="12.95" customHeight="1">
      <c r="B298" s="41" t="s">
        <v>735</v>
      </c>
      <c r="C298" s="41"/>
      <c r="D298" s="41"/>
      <c r="E298" s="41"/>
      <c r="F298" s="41"/>
      <c r="H298" s="1224" t="s">
        <v>2454</v>
      </c>
      <c r="I298" s="1224"/>
      <c r="J298" s="1224"/>
      <c r="K298" s="1224"/>
      <c r="L298" s="1224"/>
      <c r="M298" s="1224"/>
      <c r="N298" s="1224"/>
      <c r="O298" s="1224"/>
      <c r="P298" s="1224"/>
      <c r="Q298" s="1224"/>
      <c r="R298" s="1224"/>
      <c r="T298" s="41" t="s">
        <v>735</v>
      </c>
      <c r="V298" s="41"/>
      <c r="W298" s="41"/>
      <c r="X298" s="41"/>
      <c r="Y298" s="41"/>
      <c r="AA298" s="1224" t="s">
        <v>2378</v>
      </c>
      <c r="AB298" s="1224"/>
      <c r="AC298" s="1224"/>
      <c r="AD298" s="1224"/>
      <c r="AE298" s="1224"/>
      <c r="AF298" s="1224"/>
      <c r="AG298" s="1224"/>
      <c r="AH298" s="1224"/>
      <c r="AI298" s="1224"/>
      <c r="AJ298" s="1224"/>
      <c r="AK298" s="1224"/>
      <c r="BA298" s="43"/>
    </row>
    <row r="299" spans="2:53" ht="12.95" customHeight="1">
      <c r="B299" s="41" t="s">
        <v>737</v>
      </c>
      <c r="C299" s="41"/>
      <c r="D299" s="41"/>
      <c r="E299" s="41"/>
      <c r="F299" s="41"/>
      <c r="H299" s="1224" t="s">
        <v>2455</v>
      </c>
      <c r="I299" s="1224"/>
      <c r="J299" s="1224"/>
      <c r="K299" s="1224"/>
      <c r="L299" s="1224"/>
      <c r="M299" s="1224"/>
      <c r="N299" s="1224"/>
      <c r="O299" s="1224"/>
      <c r="P299" s="1224"/>
      <c r="Q299" s="1224"/>
      <c r="R299" s="1224"/>
      <c r="T299" s="41" t="s">
        <v>736</v>
      </c>
      <c r="V299" s="41"/>
      <c r="W299" s="41"/>
      <c r="X299" s="41"/>
      <c r="Y299" s="41"/>
      <c r="AA299" s="1224" t="s">
        <v>2379</v>
      </c>
      <c r="AB299" s="1224"/>
      <c r="AC299" s="1224"/>
      <c r="AD299" s="1224"/>
      <c r="AE299" s="1224"/>
      <c r="AF299" s="1224"/>
      <c r="AG299" s="1224"/>
      <c r="AH299" s="1224"/>
      <c r="AI299" s="1224"/>
      <c r="AJ299" s="1224"/>
      <c r="AK299" s="1224"/>
      <c r="BA299" s="43"/>
    </row>
    <row r="300" spans="2:53" ht="12.95" customHeight="1">
      <c r="B300" s="41" t="s">
        <v>399</v>
      </c>
      <c r="C300" s="41"/>
      <c r="D300" s="41"/>
      <c r="E300" s="41"/>
      <c r="F300" s="41"/>
      <c r="H300" s="1224" t="s">
        <v>2456</v>
      </c>
      <c r="I300" s="1224"/>
      <c r="J300" s="1224"/>
      <c r="K300" s="1224"/>
      <c r="L300" s="1224"/>
      <c r="M300" s="1224"/>
      <c r="N300" s="1224"/>
      <c r="O300" s="1224"/>
      <c r="P300" s="1224"/>
      <c r="Q300" s="1224"/>
      <c r="R300" s="1224"/>
      <c r="T300" s="41" t="s">
        <v>399</v>
      </c>
      <c r="V300" s="41"/>
      <c r="W300" s="41"/>
      <c r="X300" s="41"/>
      <c r="Y300" s="41"/>
      <c r="AA300" s="1224" t="s">
        <v>2515</v>
      </c>
      <c r="AB300" s="1224"/>
      <c r="AC300" s="1224"/>
      <c r="AD300" s="1224"/>
      <c r="AE300" s="1224"/>
      <c r="AF300" s="1224"/>
      <c r="AG300" s="1224"/>
      <c r="AH300" s="1224"/>
      <c r="AI300" s="1224"/>
      <c r="AJ300" s="1224"/>
      <c r="AK300" s="1224"/>
      <c r="BA300" s="43"/>
    </row>
    <row r="301" spans="2:53" ht="12.95" customHeight="1">
      <c r="B301" s="41" t="s">
        <v>400</v>
      </c>
      <c r="C301" s="41"/>
      <c r="D301" s="41"/>
      <c r="E301" s="41"/>
      <c r="F301" s="41"/>
      <c r="G301" s="41"/>
      <c r="H301" s="1389" t="s">
        <v>2457</v>
      </c>
      <c r="I301" s="1389"/>
      <c r="J301" s="1389"/>
      <c r="K301" s="1389"/>
      <c r="L301" s="1389"/>
      <c r="M301" s="1389"/>
      <c r="N301" s="5" t="s">
        <v>859</v>
      </c>
      <c r="O301" s="5"/>
      <c r="P301" s="1384"/>
      <c r="Q301" s="1384"/>
      <c r="R301" s="1384"/>
      <c r="S301" s="41"/>
      <c r="T301" s="41" t="s">
        <v>400</v>
      </c>
      <c r="V301" s="41"/>
      <c r="W301" s="41"/>
      <c r="X301" s="41"/>
      <c r="Y301" s="41"/>
      <c r="AA301" s="1483" t="s">
        <v>2516</v>
      </c>
      <c r="AB301" s="1389"/>
      <c r="AC301" s="1389"/>
      <c r="AD301" s="1389"/>
      <c r="AE301" s="1389"/>
      <c r="AF301" s="1389"/>
      <c r="AG301" s="5" t="s">
        <v>859</v>
      </c>
      <c r="AH301" s="5"/>
      <c r="AI301" s="1384"/>
      <c r="AJ301" s="1384"/>
      <c r="AK301" s="1384"/>
      <c r="BA301" s="43"/>
    </row>
    <row r="302" spans="2:53" ht="12.95" customHeight="1">
      <c r="B302" s="41" t="s">
        <v>401</v>
      </c>
      <c r="C302" s="41"/>
      <c r="D302" s="41"/>
      <c r="E302" s="41"/>
      <c r="F302" s="41"/>
      <c r="G302" s="41"/>
      <c r="H302" s="1234" t="s">
        <v>2370</v>
      </c>
      <c r="I302" s="1226"/>
      <c r="J302" s="1226"/>
      <c r="K302" s="1226"/>
      <c r="L302" s="1226"/>
      <c r="M302" s="1226"/>
      <c r="N302" s="5"/>
      <c r="O302" s="5"/>
      <c r="P302" s="44"/>
      <c r="Q302" s="44"/>
      <c r="R302" s="44"/>
      <c r="S302" s="41"/>
      <c r="T302" s="41" t="s">
        <v>401</v>
      </c>
      <c r="V302" s="41"/>
      <c r="W302" s="41"/>
      <c r="X302" s="41"/>
      <c r="Y302" s="41"/>
      <c r="AA302" s="1226"/>
      <c r="AB302" s="1226"/>
      <c r="AC302" s="1226"/>
      <c r="AD302" s="1226"/>
      <c r="AE302" s="1226"/>
      <c r="AF302" s="1226"/>
      <c r="AG302" s="5"/>
      <c r="AH302" s="5"/>
      <c r="AI302" s="44"/>
      <c r="AJ302" s="44"/>
      <c r="AK302" s="44"/>
      <c r="BA302" s="43"/>
    </row>
    <row r="303" spans="2:53" ht="12.95" customHeight="1">
      <c r="B303" s="41" t="s">
        <v>738</v>
      </c>
      <c r="C303" s="41"/>
      <c r="D303" s="41"/>
      <c r="E303" s="41"/>
      <c r="F303" s="41"/>
      <c r="G303" s="41"/>
      <c r="H303" s="1224" t="s">
        <v>2458</v>
      </c>
      <c r="I303" s="1224"/>
      <c r="J303" s="1224"/>
      <c r="K303" s="1224"/>
      <c r="L303" s="1224"/>
      <c r="M303" s="1224"/>
      <c r="N303" s="1223"/>
      <c r="O303" s="1223"/>
      <c r="P303" s="1223"/>
      <c r="Q303" s="1223"/>
      <c r="R303" s="1223"/>
      <c r="S303" s="41"/>
      <c r="T303" s="41" t="s">
        <v>738</v>
      </c>
      <c r="V303" s="41"/>
      <c r="W303" s="41"/>
      <c r="X303" s="41"/>
      <c r="Y303" s="41"/>
      <c r="AA303" s="1224" t="s">
        <v>2517</v>
      </c>
      <c r="AB303" s="1224"/>
      <c r="AC303" s="1224"/>
      <c r="AD303" s="1224"/>
      <c r="AE303" s="1224"/>
      <c r="AF303" s="1224"/>
      <c r="AG303" s="1223"/>
      <c r="AH303" s="1223"/>
      <c r="AI303" s="1223"/>
      <c r="AJ303" s="1223"/>
      <c r="AK303" s="1223"/>
      <c r="BA303" s="43"/>
    </row>
    <row r="304" spans="2:53" ht="12.95" customHeight="1">
      <c r="BA304" s="43"/>
    </row>
    <row r="305" spans="2:53" ht="12.95" customHeight="1">
      <c r="B305" s="41" t="s">
        <v>739</v>
      </c>
      <c r="C305" s="41"/>
      <c r="D305" s="41"/>
      <c r="E305" s="41"/>
      <c r="F305" s="41"/>
      <c r="H305" s="1223" t="s">
        <v>2459</v>
      </c>
      <c r="I305" s="1223"/>
      <c r="J305" s="1223"/>
      <c r="K305" s="1223"/>
      <c r="L305" s="1223"/>
      <c r="M305" s="1223"/>
      <c r="N305" s="1223"/>
      <c r="O305" s="1223"/>
      <c r="P305" s="1223"/>
      <c r="Q305" s="1223"/>
      <c r="R305" s="1223"/>
      <c r="T305" s="5" t="s">
        <v>1152</v>
      </c>
      <c r="V305" s="41"/>
      <c r="W305" s="41"/>
      <c r="X305" s="41"/>
      <c r="Y305" s="41"/>
      <c r="AA305" s="1223" t="s">
        <v>2401</v>
      </c>
      <c r="AB305" s="1223"/>
      <c r="AC305" s="1223"/>
      <c r="AD305" s="1223"/>
      <c r="AE305" s="1223"/>
      <c r="AF305" s="1223"/>
      <c r="AG305" s="1223"/>
      <c r="AH305" s="1223"/>
      <c r="AI305" s="1223"/>
      <c r="AJ305" s="1223"/>
      <c r="AK305" s="1223"/>
      <c r="BA305" s="43"/>
    </row>
    <row r="306" spans="2:53" ht="12.95" customHeight="1">
      <c r="B306" s="41" t="s">
        <v>735</v>
      </c>
      <c r="C306" s="41"/>
      <c r="D306" s="41"/>
      <c r="E306" s="41"/>
      <c r="F306" s="41"/>
      <c r="H306" s="1224" t="s">
        <v>2460</v>
      </c>
      <c r="I306" s="1224"/>
      <c r="J306" s="1224"/>
      <c r="K306" s="1224"/>
      <c r="L306" s="1224"/>
      <c r="M306" s="1224"/>
      <c r="N306" s="1224"/>
      <c r="O306" s="1224"/>
      <c r="P306" s="1224"/>
      <c r="Q306" s="1224"/>
      <c r="R306" s="1224"/>
      <c r="T306" s="41" t="s">
        <v>735</v>
      </c>
      <c r="V306" s="41"/>
      <c r="W306" s="41"/>
      <c r="X306" s="41"/>
      <c r="Y306" s="41"/>
      <c r="AA306" s="1224"/>
      <c r="AB306" s="1224"/>
      <c r="AC306" s="1224"/>
      <c r="AD306" s="1224"/>
      <c r="AE306" s="1224"/>
      <c r="AF306" s="1224"/>
      <c r="AG306" s="1224"/>
      <c r="AH306" s="1224"/>
      <c r="AI306" s="1224"/>
      <c r="AJ306" s="1224"/>
      <c r="AK306" s="1224"/>
      <c r="BA306" s="43"/>
    </row>
    <row r="307" spans="2:53" ht="12.95" customHeight="1">
      <c r="B307" s="41" t="s">
        <v>737</v>
      </c>
      <c r="C307" s="41"/>
      <c r="D307" s="41"/>
      <c r="E307" s="41"/>
      <c r="F307" s="41"/>
      <c r="H307" s="1224" t="s">
        <v>2461</v>
      </c>
      <c r="I307" s="1224"/>
      <c r="J307" s="1224"/>
      <c r="K307" s="1224"/>
      <c r="L307" s="1224"/>
      <c r="M307" s="1224"/>
      <c r="N307" s="1224"/>
      <c r="O307" s="1224"/>
      <c r="P307" s="1224"/>
      <c r="Q307" s="1224"/>
      <c r="R307" s="1224"/>
      <c r="T307" s="41" t="s">
        <v>736</v>
      </c>
      <c r="V307" s="41"/>
      <c r="W307" s="41"/>
      <c r="X307" s="41"/>
      <c r="Y307" s="41"/>
      <c r="AA307" s="1224"/>
      <c r="AB307" s="1224"/>
      <c r="AC307" s="1224"/>
      <c r="AD307" s="1224"/>
      <c r="AE307" s="1224"/>
      <c r="AF307" s="1224"/>
      <c r="AG307" s="1224"/>
      <c r="AH307" s="1224"/>
      <c r="AI307" s="1224"/>
      <c r="AJ307" s="1224"/>
      <c r="AK307" s="1224"/>
      <c r="BA307" s="43"/>
    </row>
    <row r="308" spans="2:53" ht="12.95" customHeight="1">
      <c r="B308" s="41" t="s">
        <v>399</v>
      </c>
      <c r="C308" s="41"/>
      <c r="D308" s="41"/>
      <c r="E308" s="41"/>
      <c r="F308" s="41"/>
      <c r="H308" s="1224" t="s">
        <v>2462</v>
      </c>
      <c r="I308" s="1224"/>
      <c r="J308" s="1224"/>
      <c r="K308" s="1224"/>
      <c r="L308" s="1224"/>
      <c r="M308" s="1224"/>
      <c r="N308" s="1224"/>
      <c r="O308" s="1224"/>
      <c r="P308" s="1224"/>
      <c r="Q308" s="1224"/>
      <c r="R308" s="1224"/>
      <c r="T308" s="41" t="s">
        <v>399</v>
      </c>
      <c r="V308" s="41"/>
      <c r="W308" s="41"/>
      <c r="X308" s="41"/>
      <c r="Y308" s="41"/>
      <c r="AA308" s="1224"/>
      <c r="AB308" s="1224"/>
      <c r="AC308" s="1224"/>
      <c r="AD308" s="1224"/>
      <c r="AE308" s="1224"/>
      <c r="AF308" s="1224"/>
      <c r="AG308" s="1224"/>
      <c r="AH308" s="1224"/>
      <c r="AI308" s="1224"/>
      <c r="AJ308" s="1224"/>
      <c r="AK308" s="1224"/>
      <c r="BA308" s="43"/>
    </row>
    <row r="309" spans="2:53" ht="12.95" customHeight="1">
      <c r="B309" s="41" t="s">
        <v>400</v>
      </c>
      <c r="C309" s="41"/>
      <c r="D309" s="41"/>
      <c r="E309" s="41"/>
      <c r="F309" s="41"/>
      <c r="G309" s="41"/>
      <c r="H309" s="1389" t="s">
        <v>2463</v>
      </c>
      <c r="I309" s="1389"/>
      <c r="J309" s="1389"/>
      <c r="K309" s="1389"/>
      <c r="L309" s="1389"/>
      <c r="M309" s="1389"/>
      <c r="N309" s="5" t="s">
        <v>859</v>
      </c>
      <c r="O309" s="5"/>
      <c r="P309" s="1384"/>
      <c r="Q309" s="1384"/>
      <c r="R309" s="1384"/>
      <c r="S309" s="41"/>
      <c r="T309" s="41" t="s">
        <v>400</v>
      </c>
      <c r="V309" s="41"/>
      <c r="W309" s="41"/>
      <c r="X309" s="41"/>
      <c r="Y309" s="41"/>
      <c r="AA309" s="1389"/>
      <c r="AB309" s="1389"/>
      <c r="AC309" s="1389"/>
      <c r="AD309" s="1389"/>
      <c r="AE309" s="1389"/>
      <c r="AF309" s="1389"/>
      <c r="AG309" s="5" t="s">
        <v>859</v>
      </c>
      <c r="AH309" s="5"/>
      <c r="AI309" s="1384"/>
      <c r="AJ309" s="1384"/>
      <c r="AK309" s="1384"/>
      <c r="BA309" s="43"/>
    </row>
    <row r="310" spans="2:53" ht="12.95" customHeight="1">
      <c r="B310" s="41" t="s">
        <v>401</v>
      </c>
      <c r="C310" s="41"/>
      <c r="D310" s="41"/>
      <c r="E310" s="41"/>
      <c r="F310" s="41"/>
      <c r="G310" s="41"/>
      <c r="H310" s="1226" t="s">
        <v>2464</v>
      </c>
      <c r="I310" s="1226"/>
      <c r="J310" s="1226"/>
      <c r="K310" s="1226"/>
      <c r="L310" s="1226"/>
      <c r="M310" s="1226"/>
      <c r="N310" s="5"/>
      <c r="O310" s="5"/>
      <c r="P310" s="44"/>
      <c r="Q310" s="44"/>
      <c r="R310" s="44"/>
      <c r="S310" s="41"/>
      <c r="T310" s="41" t="s">
        <v>401</v>
      </c>
      <c r="V310" s="41"/>
      <c r="W310" s="41"/>
      <c r="X310" s="41"/>
      <c r="Y310" s="41"/>
      <c r="AA310" s="1226"/>
      <c r="AB310" s="1226"/>
      <c r="AC310" s="1226"/>
      <c r="AD310" s="1226"/>
      <c r="AE310" s="1226"/>
      <c r="AF310" s="1226"/>
      <c r="AG310" s="5"/>
      <c r="AH310" s="5"/>
      <c r="AI310" s="44"/>
      <c r="AJ310" s="44"/>
      <c r="AK310" s="44"/>
      <c r="BA310" s="43"/>
    </row>
    <row r="311" spans="2:53" ht="12.95" customHeight="1">
      <c r="B311" s="41" t="s">
        <v>738</v>
      </c>
      <c r="C311" s="41"/>
      <c r="D311" s="41"/>
      <c r="E311" s="41"/>
      <c r="F311" s="41"/>
      <c r="G311" s="41"/>
      <c r="H311" s="1224" t="s">
        <v>2465</v>
      </c>
      <c r="I311" s="1224"/>
      <c r="J311" s="1224"/>
      <c r="K311" s="1224"/>
      <c r="L311" s="1224"/>
      <c r="M311" s="1224"/>
      <c r="N311" s="1223"/>
      <c r="O311" s="1223"/>
      <c r="P311" s="1223"/>
      <c r="Q311" s="1223"/>
      <c r="R311" s="1223"/>
      <c r="S311" s="41"/>
      <c r="T311" s="41" t="s">
        <v>738</v>
      </c>
      <c r="V311" s="41"/>
      <c r="W311" s="41"/>
      <c r="X311" s="41"/>
      <c r="Y311" s="41"/>
      <c r="AA311" s="1224"/>
      <c r="AB311" s="1224"/>
      <c r="AC311" s="1224"/>
      <c r="AD311" s="1224"/>
      <c r="AE311" s="1224"/>
      <c r="AF311" s="1224"/>
      <c r="AG311" s="1223"/>
      <c r="AH311" s="1223"/>
      <c r="AI311" s="1223"/>
      <c r="AJ311" s="1223"/>
      <c r="AK311" s="1223"/>
      <c r="BA311" s="43"/>
    </row>
    <row r="312" spans="2:53" ht="12.95" customHeight="1">
      <c r="BA312" s="43"/>
    </row>
    <row r="313" spans="2:53" ht="12.95" customHeight="1">
      <c r="B313" s="5" t="s">
        <v>1194</v>
      </c>
      <c r="C313" s="41"/>
      <c r="D313" s="41"/>
      <c r="E313" s="41"/>
      <c r="F313" s="41"/>
      <c r="H313" s="1223" t="s">
        <v>2385</v>
      </c>
      <c r="I313" s="1223"/>
      <c r="J313" s="1223"/>
      <c r="K313" s="1223"/>
      <c r="L313" s="1223"/>
      <c r="M313" s="1223"/>
      <c r="N313" s="1223"/>
      <c r="O313" s="1223"/>
      <c r="P313" s="1223"/>
      <c r="Q313" s="1223"/>
      <c r="R313" s="1223"/>
      <c r="T313" s="41" t="s">
        <v>40</v>
      </c>
      <c r="V313" s="41"/>
      <c r="W313" s="41"/>
      <c r="X313" s="41"/>
      <c r="Y313" s="41"/>
      <c r="AA313" s="1223" t="s">
        <v>2518</v>
      </c>
      <c r="AB313" s="1223"/>
      <c r="AC313" s="1223"/>
      <c r="AD313" s="1223"/>
      <c r="AE313" s="1223"/>
      <c r="AF313" s="1223"/>
      <c r="AG313" s="1223"/>
      <c r="AH313" s="1223"/>
      <c r="AI313" s="1223"/>
      <c r="AJ313" s="1223"/>
      <c r="AK313" s="1223"/>
      <c r="BA313" s="43"/>
    </row>
    <row r="314" spans="2:53" ht="12.95" customHeight="1">
      <c r="B314" s="41" t="s">
        <v>735</v>
      </c>
      <c r="C314" s="41"/>
      <c r="D314" s="41"/>
      <c r="E314" s="41"/>
      <c r="F314" s="41"/>
      <c r="H314" s="1224" t="s">
        <v>2386</v>
      </c>
      <c r="I314" s="1224"/>
      <c r="J314" s="1224"/>
      <c r="K314" s="1224"/>
      <c r="L314" s="1224"/>
      <c r="M314" s="1224"/>
      <c r="N314" s="1224"/>
      <c r="O314" s="1224"/>
      <c r="P314" s="1224"/>
      <c r="Q314" s="1224"/>
      <c r="R314" s="1224"/>
      <c r="T314" s="41" t="s">
        <v>735</v>
      </c>
      <c r="V314" s="41"/>
      <c r="W314" s="41"/>
      <c r="X314" s="41"/>
      <c r="Y314" s="41"/>
      <c r="AA314" s="1224" t="s">
        <v>2519</v>
      </c>
      <c r="AB314" s="1224"/>
      <c r="AC314" s="1224"/>
      <c r="AD314" s="1224"/>
      <c r="AE314" s="1224"/>
      <c r="AF314" s="1224"/>
      <c r="AG314" s="1224"/>
      <c r="AH314" s="1224"/>
      <c r="AI314" s="1224"/>
      <c r="AJ314" s="1224"/>
      <c r="AK314" s="1224"/>
      <c r="BA314" s="43"/>
    </row>
    <row r="315" spans="2:53" ht="12.95" customHeight="1">
      <c r="B315" s="41" t="s">
        <v>737</v>
      </c>
      <c r="C315" s="41"/>
      <c r="D315" s="41"/>
      <c r="E315" s="41"/>
      <c r="F315" s="41"/>
      <c r="H315" s="1224" t="s">
        <v>2387</v>
      </c>
      <c r="I315" s="1224"/>
      <c r="J315" s="1224"/>
      <c r="K315" s="1224"/>
      <c r="L315" s="1224"/>
      <c r="M315" s="1224"/>
      <c r="N315" s="1224"/>
      <c r="O315" s="1224"/>
      <c r="P315" s="1224"/>
      <c r="Q315" s="1224"/>
      <c r="R315" s="1224"/>
      <c r="T315" s="41" t="s">
        <v>736</v>
      </c>
      <c r="V315" s="41"/>
      <c r="W315" s="41"/>
      <c r="X315" s="41"/>
      <c r="Y315" s="41"/>
      <c r="AA315" s="1224" t="s">
        <v>2520</v>
      </c>
      <c r="AB315" s="1224"/>
      <c r="AC315" s="1224"/>
      <c r="AD315" s="1224"/>
      <c r="AE315" s="1224"/>
      <c r="AF315" s="1224"/>
      <c r="AG315" s="1224"/>
      <c r="AH315" s="1224"/>
      <c r="AI315" s="1224"/>
      <c r="AJ315" s="1224"/>
      <c r="AK315" s="1224"/>
      <c r="BA315" s="43"/>
    </row>
    <row r="316" spans="2:53" ht="12.95" customHeight="1">
      <c r="B316" s="41" t="s">
        <v>399</v>
      </c>
      <c r="C316" s="41"/>
      <c r="D316" s="41"/>
      <c r="E316" s="41"/>
      <c r="F316" s="41"/>
      <c r="H316" s="1224" t="s">
        <v>2466</v>
      </c>
      <c r="I316" s="1224"/>
      <c r="J316" s="1224"/>
      <c r="K316" s="1224"/>
      <c r="L316" s="1224"/>
      <c r="M316" s="1224"/>
      <c r="N316" s="1224"/>
      <c r="O316" s="1224"/>
      <c r="P316" s="1224"/>
      <c r="Q316" s="1224"/>
      <c r="R316" s="1224"/>
      <c r="T316" s="41" t="s">
        <v>399</v>
      </c>
      <c r="V316" s="41"/>
      <c r="W316" s="41"/>
      <c r="X316" s="41"/>
      <c r="Y316" s="41"/>
      <c r="AA316" s="1224" t="s">
        <v>2521</v>
      </c>
      <c r="AB316" s="1224"/>
      <c r="AC316" s="1224"/>
      <c r="AD316" s="1224"/>
      <c r="AE316" s="1224"/>
      <c r="AF316" s="1224"/>
      <c r="AG316" s="1224"/>
      <c r="AH316" s="1224"/>
      <c r="AI316" s="1224"/>
      <c r="AJ316" s="1224"/>
      <c r="AK316" s="1224"/>
      <c r="BA316" s="43"/>
    </row>
    <row r="317" spans="2:53" ht="12.95" customHeight="1">
      <c r="B317" s="41" t="s">
        <v>400</v>
      </c>
      <c r="C317" s="41"/>
      <c r="D317" s="41"/>
      <c r="E317" s="41"/>
      <c r="F317" s="41"/>
      <c r="G317" s="41"/>
      <c r="H317" s="1483" t="s">
        <v>2468</v>
      </c>
      <c r="I317" s="1389"/>
      <c r="J317" s="1389"/>
      <c r="K317" s="1389"/>
      <c r="L317" s="1389"/>
      <c r="M317" s="1389"/>
      <c r="N317" s="5" t="s">
        <v>859</v>
      </c>
      <c r="O317" s="5"/>
      <c r="P317" s="1384"/>
      <c r="Q317" s="1384"/>
      <c r="R317" s="1384"/>
      <c r="S317" s="41"/>
      <c r="T317" s="41" t="s">
        <v>400</v>
      </c>
      <c r="V317" s="41"/>
      <c r="W317" s="41"/>
      <c r="X317" s="41"/>
      <c r="Y317" s="41"/>
      <c r="AA317" s="1483" t="s">
        <v>2523</v>
      </c>
      <c r="AB317" s="1389"/>
      <c r="AC317" s="1389"/>
      <c r="AD317" s="1389"/>
      <c r="AE317" s="1389"/>
      <c r="AF317" s="1389"/>
      <c r="AG317" s="5" t="s">
        <v>859</v>
      </c>
      <c r="AH317" s="5"/>
      <c r="AI317" s="1384"/>
      <c r="AJ317" s="1384"/>
      <c r="AK317" s="1384"/>
      <c r="BA317" s="43"/>
    </row>
    <row r="318" spans="2:53" ht="12.95" customHeight="1">
      <c r="B318" s="41" t="s">
        <v>401</v>
      </c>
      <c r="C318" s="41"/>
      <c r="D318" s="41"/>
      <c r="E318" s="41"/>
      <c r="F318" s="41"/>
      <c r="G318" s="41"/>
      <c r="H318" s="1234" t="s">
        <v>2370</v>
      </c>
      <c r="I318" s="1226"/>
      <c r="J318" s="1226"/>
      <c r="K318" s="1226"/>
      <c r="L318" s="1226"/>
      <c r="M318" s="1226"/>
      <c r="N318" s="5"/>
      <c r="O318" s="5"/>
      <c r="P318" s="44"/>
      <c r="Q318" s="44"/>
      <c r="R318" s="44"/>
      <c r="S318" s="41"/>
      <c r="T318" s="41" t="s">
        <v>401</v>
      </c>
      <c r="V318" s="41"/>
      <c r="W318" s="41"/>
      <c r="X318" s="41"/>
      <c r="Y318" s="41"/>
      <c r="AA318" s="1226"/>
      <c r="AB318" s="1226"/>
      <c r="AC318" s="1226"/>
      <c r="AD318" s="1226"/>
      <c r="AE318" s="1226"/>
      <c r="AF318" s="1226"/>
      <c r="AG318" s="5"/>
      <c r="AH318" s="5"/>
      <c r="AI318" s="44"/>
      <c r="AJ318" s="44"/>
      <c r="AK318" s="44"/>
      <c r="BA318" s="43"/>
    </row>
    <row r="319" spans="2:53" ht="12.95" customHeight="1">
      <c r="B319" s="41" t="s">
        <v>738</v>
      </c>
      <c r="C319" s="41"/>
      <c r="D319" s="41"/>
      <c r="E319" s="41"/>
      <c r="F319" s="41"/>
      <c r="G319" s="41"/>
      <c r="H319" s="1224" t="s">
        <v>2467</v>
      </c>
      <c r="I319" s="1224"/>
      <c r="J319" s="1224"/>
      <c r="K319" s="1224"/>
      <c r="L319" s="1224"/>
      <c r="M319" s="1224"/>
      <c r="N319" s="1223"/>
      <c r="O319" s="1223"/>
      <c r="P319" s="1223"/>
      <c r="Q319" s="1223"/>
      <c r="R319" s="1223"/>
      <c r="S319" s="41"/>
      <c r="T319" s="41" t="s">
        <v>738</v>
      </c>
      <c r="V319" s="41"/>
      <c r="W319" s="41"/>
      <c r="X319" s="41"/>
      <c r="Y319" s="41"/>
      <c r="AA319" s="1224" t="s">
        <v>2522</v>
      </c>
      <c r="AB319" s="1224"/>
      <c r="AC319" s="1224"/>
      <c r="AD319" s="1224"/>
      <c r="AE319" s="1224"/>
      <c r="AF319" s="1224"/>
      <c r="AG319" s="1223"/>
      <c r="AH319" s="1223"/>
      <c r="AI319" s="1223"/>
      <c r="AJ319" s="1223"/>
      <c r="AK319" s="1223"/>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1195</v>
      </c>
      <c r="C321" s="41"/>
      <c r="D321" s="41"/>
      <c r="E321" s="41"/>
      <c r="F321" s="41"/>
      <c r="H321" s="1223" t="s">
        <v>132</v>
      </c>
      <c r="I321" s="1223"/>
      <c r="J321" s="1223"/>
      <c r="K321" s="1223"/>
      <c r="L321" s="1223"/>
      <c r="M321" s="1223"/>
      <c r="N321" s="1223"/>
      <c r="O321" s="1223"/>
      <c r="P321" s="1223"/>
      <c r="Q321" s="1223"/>
      <c r="R321" s="1223"/>
      <c r="T321" s="41" t="s">
        <v>41</v>
      </c>
      <c r="V321" s="41"/>
      <c r="W321" s="41"/>
      <c r="X321" s="41"/>
      <c r="Y321" s="41"/>
      <c r="AA321" s="1223" t="s">
        <v>2388</v>
      </c>
      <c r="AB321" s="1223"/>
      <c r="AC321" s="1223"/>
      <c r="AD321" s="1223"/>
      <c r="AE321" s="1223"/>
      <c r="AF321" s="1223"/>
      <c r="AG321" s="1223"/>
      <c r="AH321" s="1223"/>
      <c r="AI321" s="1223"/>
      <c r="AJ321" s="1223"/>
      <c r="AK321" s="1223"/>
      <c r="BA321" s="43"/>
    </row>
    <row r="322" spans="2:53" ht="12.95" customHeight="1">
      <c r="B322" s="41" t="s">
        <v>735</v>
      </c>
      <c r="C322" s="41"/>
      <c r="D322" s="41"/>
      <c r="E322" s="41"/>
      <c r="F322" s="41"/>
      <c r="H322" s="1224"/>
      <c r="I322" s="1224"/>
      <c r="J322" s="1224"/>
      <c r="K322" s="1224"/>
      <c r="L322" s="1224"/>
      <c r="M322" s="1224"/>
      <c r="N322" s="1224"/>
      <c r="O322" s="1224"/>
      <c r="P322" s="1224"/>
      <c r="Q322" s="1224"/>
      <c r="R322" s="1224"/>
      <c r="T322" s="41" t="s">
        <v>735</v>
      </c>
      <c r="V322" s="41"/>
      <c r="W322" s="41"/>
      <c r="X322" s="41"/>
      <c r="Y322" s="41"/>
      <c r="AA322" s="1224" t="s">
        <v>2389</v>
      </c>
      <c r="AB322" s="1224"/>
      <c r="AC322" s="1224"/>
      <c r="AD322" s="1224"/>
      <c r="AE322" s="1224"/>
      <c r="AF322" s="1224"/>
      <c r="AG322" s="1224"/>
      <c r="AH322" s="1224"/>
      <c r="AI322" s="1224"/>
      <c r="AJ322" s="1224"/>
      <c r="AK322" s="1224"/>
      <c r="BA322" s="43"/>
    </row>
    <row r="323" spans="2:53" ht="12.95" customHeight="1">
      <c r="B323" s="41" t="s">
        <v>737</v>
      </c>
      <c r="C323" s="41"/>
      <c r="D323" s="41"/>
      <c r="E323" s="41"/>
      <c r="F323" s="41"/>
      <c r="H323" s="1224"/>
      <c r="I323" s="1224"/>
      <c r="J323" s="1224"/>
      <c r="K323" s="1224"/>
      <c r="L323" s="1224"/>
      <c r="M323" s="1224"/>
      <c r="N323" s="1224"/>
      <c r="O323" s="1224"/>
      <c r="P323" s="1224"/>
      <c r="Q323" s="1224"/>
      <c r="R323" s="1224"/>
      <c r="T323" s="41" t="s">
        <v>736</v>
      </c>
      <c r="V323" s="41"/>
      <c r="W323" s="41"/>
      <c r="X323" s="41"/>
      <c r="Y323" s="41"/>
      <c r="AA323" s="1224" t="s">
        <v>2390</v>
      </c>
      <c r="AB323" s="1224"/>
      <c r="AC323" s="1224"/>
      <c r="AD323" s="1224"/>
      <c r="AE323" s="1224"/>
      <c r="AF323" s="1224"/>
      <c r="AG323" s="1224"/>
      <c r="AH323" s="1224"/>
      <c r="AI323" s="1224"/>
      <c r="AJ323" s="1224"/>
      <c r="AK323" s="1224"/>
      <c r="BA323" s="43"/>
    </row>
    <row r="324" spans="2:53" ht="12.95" customHeight="1">
      <c r="B324" s="41" t="s">
        <v>399</v>
      </c>
      <c r="C324" s="41"/>
      <c r="D324" s="41"/>
      <c r="E324" s="41"/>
      <c r="F324" s="41"/>
      <c r="H324" s="1224"/>
      <c r="I324" s="1224"/>
      <c r="J324" s="1224"/>
      <c r="K324" s="1224"/>
      <c r="L324" s="1224"/>
      <c r="M324" s="1224"/>
      <c r="N324" s="1224"/>
      <c r="O324" s="1224"/>
      <c r="P324" s="1224"/>
      <c r="Q324" s="1224"/>
      <c r="R324" s="1224"/>
      <c r="T324" s="41" t="s">
        <v>399</v>
      </c>
      <c r="V324" s="41"/>
      <c r="W324" s="41"/>
      <c r="X324" s="41"/>
      <c r="Y324" s="41"/>
      <c r="AA324" s="1224" t="s">
        <v>2391</v>
      </c>
      <c r="AB324" s="1224"/>
      <c r="AC324" s="1224"/>
      <c r="AD324" s="1224"/>
      <c r="AE324" s="1224"/>
      <c r="AF324" s="1224"/>
      <c r="AG324" s="1224"/>
      <c r="AH324" s="1224"/>
      <c r="AI324" s="1224"/>
      <c r="AJ324" s="1224"/>
      <c r="AK324" s="1224"/>
      <c r="BA324" s="43"/>
    </row>
    <row r="325" spans="2:53" ht="12.95" customHeight="1">
      <c r="B325" s="41" t="s">
        <v>400</v>
      </c>
      <c r="C325" s="41"/>
      <c r="D325" s="41"/>
      <c r="E325" s="41"/>
      <c r="F325" s="41"/>
      <c r="G325" s="41"/>
      <c r="H325" s="1389"/>
      <c r="I325" s="1389"/>
      <c r="J325" s="1389"/>
      <c r="K325" s="1389"/>
      <c r="L325" s="1389"/>
      <c r="M325" s="1389"/>
      <c r="N325" s="5" t="s">
        <v>859</v>
      </c>
      <c r="O325" s="5"/>
      <c r="P325" s="1384"/>
      <c r="Q325" s="1384"/>
      <c r="R325" s="1384"/>
      <c r="S325" s="41"/>
      <c r="T325" s="41" t="s">
        <v>400</v>
      </c>
      <c r="V325" s="41"/>
      <c r="W325" s="41"/>
      <c r="X325" s="41"/>
      <c r="Y325" s="41"/>
      <c r="AA325" s="1483" t="s">
        <v>2392</v>
      </c>
      <c r="AB325" s="1389"/>
      <c r="AC325" s="1389"/>
      <c r="AD325" s="1389"/>
      <c r="AE325" s="1389"/>
      <c r="AF325" s="1389"/>
      <c r="AG325" s="5" t="s">
        <v>859</v>
      </c>
      <c r="AH325" s="5"/>
      <c r="AI325" s="1384"/>
      <c r="AJ325" s="1384"/>
      <c r="AK325" s="1384"/>
      <c r="BA325" s="43"/>
    </row>
    <row r="326" spans="2:53" ht="12.95" customHeight="1">
      <c r="B326" s="41" t="s">
        <v>401</v>
      </c>
      <c r="C326" s="41"/>
      <c r="D326" s="41"/>
      <c r="E326" s="41"/>
      <c r="F326" s="41"/>
      <c r="G326" s="41"/>
      <c r="H326" s="1226"/>
      <c r="I326" s="1226"/>
      <c r="J326" s="1226"/>
      <c r="K326" s="1226"/>
      <c r="L326" s="1226"/>
      <c r="M326" s="1226"/>
      <c r="N326" s="5"/>
      <c r="O326" s="5"/>
      <c r="P326" s="44"/>
      <c r="Q326" s="44"/>
      <c r="R326" s="44"/>
      <c r="S326" s="41"/>
      <c r="T326" s="41" t="s">
        <v>401</v>
      </c>
      <c r="V326" s="41"/>
      <c r="W326" s="41"/>
      <c r="X326" s="41"/>
      <c r="Y326" s="41"/>
      <c r="AA326" s="1234" t="s">
        <v>2393</v>
      </c>
      <c r="AB326" s="1226"/>
      <c r="AC326" s="1226"/>
      <c r="AD326" s="1226"/>
      <c r="AE326" s="1226"/>
      <c r="AF326" s="1226"/>
      <c r="AG326" s="5"/>
      <c r="AH326" s="5"/>
      <c r="AI326" s="44"/>
      <c r="AJ326" s="44"/>
      <c r="AK326" s="44"/>
      <c r="BA326" s="43"/>
    </row>
    <row r="327" spans="2:53" ht="12.95" customHeight="1">
      <c r="B327" s="41" t="s">
        <v>738</v>
      </c>
      <c r="C327" s="41"/>
      <c r="D327" s="41"/>
      <c r="E327" s="41"/>
      <c r="F327" s="41"/>
      <c r="G327" s="41"/>
      <c r="H327" s="1224"/>
      <c r="I327" s="1224"/>
      <c r="J327" s="1224"/>
      <c r="K327" s="1224"/>
      <c r="L327" s="1224"/>
      <c r="M327" s="1224"/>
      <c r="N327" s="1223"/>
      <c r="O327" s="1223"/>
      <c r="P327" s="1223"/>
      <c r="Q327" s="1223"/>
      <c r="R327" s="1223"/>
      <c r="S327" s="41"/>
      <c r="T327" s="41" t="s">
        <v>738</v>
      </c>
      <c r="V327" s="41"/>
      <c r="W327" s="41"/>
      <c r="X327" s="41"/>
      <c r="Y327" s="41"/>
      <c r="AA327" s="1224" t="s">
        <v>2394</v>
      </c>
      <c r="AB327" s="1224"/>
      <c r="AC327" s="1224"/>
      <c r="AD327" s="1224"/>
      <c r="AE327" s="1224"/>
      <c r="AF327" s="1224"/>
      <c r="AG327" s="1223"/>
      <c r="AH327" s="1223"/>
      <c r="AI327" s="1223"/>
      <c r="AJ327" s="1223"/>
      <c r="AK327" s="1223"/>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23" t="s">
        <v>132</v>
      </c>
      <c r="I329" s="1223"/>
      <c r="J329" s="1223"/>
      <c r="K329" s="1223"/>
      <c r="L329" s="1223"/>
      <c r="M329" s="1223"/>
      <c r="N329" s="1223"/>
      <c r="O329" s="1223"/>
      <c r="P329" s="1223"/>
      <c r="Q329" s="1223"/>
      <c r="R329" s="1223"/>
      <c r="T329" s="5" t="s">
        <v>1153</v>
      </c>
      <c r="V329" s="41"/>
      <c r="W329" s="41"/>
      <c r="X329" s="41"/>
      <c r="Y329" s="41"/>
      <c r="AA329" s="1223" t="s">
        <v>2395</v>
      </c>
      <c r="AB329" s="1223"/>
      <c r="AC329" s="1223"/>
      <c r="AD329" s="1223"/>
      <c r="AE329" s="1223"/>
      <c r="AF329" s="1223"/>
      <c r="AG329" s="1223"/>
      <c r="AH329" s="1223"/>
      <c r="AI329" s="1223"/>
      <c r="AJ329" s="1223"/>
      <c r="AK329" s="1223"/>
      <c r="BA329" s="43"/>
    </row>
    <row r="330" spans="2:53" ht="12.95" customHeight="1">
      <c r="B330" s="41" t="s">
        <v>735</v>
      </c>
      <c r="C330" s="41"/>
      <c r="D330" s="41"/>
      <c r="E330" s="41"/>
      <c r="F330" s="41"/>
      <c r="H330" s="1224"/>
      <c r="I330" s="1224"/>
      <c r="J330" s="1224"/>
      <c r="K330" s="1224"/>
      <c r="L330" s="1224"/>
      <c r="M330" s="1224"/>
      <c r="N330" s="1224"/>
      <c r="O330" s="1224"/>
      <c r="P330" s="1224"/>
      <c r="Q330" s="1224"/>
      <c r="R330" s="1224"/>
      <c r="T330" s="41" t="s">
        <v>735</v>
      </c>
      <c r="V330" s="41"/>
      <c r="W330" s="41"/>
      <c r="X330" s="41"/>
      <c r="Y330" s="41"/>
      <c r="AA330" s="1224" t="s">
        <v>2396</v>
      </c>
      <c r="AB330" s="1224"/>
      <c r="AC330" s="1224"/>
      <c r="AD330" s="1224"/>
      <c r="AE330" s="1224"/>
      <c r="AF330" s="1224"/>
      <c r="AG330" s="1224"/>
      <c r="AH330" s="1224"/>
      <c r="AI330" s="1224"/>
      <c r="AJ330" s="1224"/>
      <c r="AK330" s="1224"/>
      <c r="BA330" s="43"/>
    </row>
    <row r="331" spans="2:53" ht="12.95" customHeight="1">
      <c r="B331" s="41" t="s">
        <v>737</v>
      </c>
      <c r="C331" s="41"/>
      <c r="D331" s="41"/>
      <c r="E331" s="41"/>
      <c r="F331" s="41"/>
      <c r="G331" s="41"/>
      <c r="H331" s="1224"/>
      <c r="I331" s="1224"/>
      <c r="J331" s="1224"/>
      <c r="K331" s="1224"/>
      <c r="L331" s="1224"/>
      <c r="M331" s="1224"/>
      <c r="N331" s="1224"/>
      <c r="O331" s="1224"/>
      <c r="P331" s="1224"/>
      <c r="Q331" s="1224"/>
      <c r="R331" s="1224"/>
      <c r="T331" s="41" t="s">
        <v>736</v>
      </c>
      <c r="V331" s="41"/>
      <c r="W331" s="41"/>
      <c r="X331" s="41"/>
      <c r="Y331" s="41"/>
      <c r="AA331" s="1224" t="s">
        <v>2397</v>
      </c>
      <c r="AB331" s="1224"/>
      <c r="AC331" s="1224"/>
      <c r="AD331" s="1224"/>
      <c r="AE331" s="1224"/>
      <c r="AF331" s="1224"/>
      <c r="AG331" s="1224"/>
      <c r="AH331" s="1224"/>
      <c r="AI331" s="1224"/>
      <c r="AJ331" s="1224"/>
      <c r="AK331" s="1224"/>
      <c r="BA331" s="43"/>
    </row>
    <row r="332" spans="2:53" ht="12.95" customHeight="1">
      <c r="B332" s="41" t="s">
        <v>399</v>
      </c>
      <c r="C332" s="41"/>
      <c r="D332" s="41"/>
      <c r="E332" s="41"/>
      <c r="F332" s="41"/>
      <c r="H332" s="1224"/>
      <c r="I332" s="1224"/>
      <c r="J332" s="1224"/>
      <c r="K332" s="1224"/>
      <c r="L332" s="1224"/>
      <c r="M332" s="1224"/>
      <c r="N332" s="1224"/>
      <c r="O332" s="1224"/>
      <c r="P332" s="1224"/>
      <c r="Q332" s="1224"/>
      <c r="R332" s="1224"/>
      <c r="T332" s="41" t="s">
        <v>399</v>
      </c>
      <c r="V332" s="41"/>
      <c r="W332" s="41"/>
      <c r="X332" s="41"/>
      <c r="Y332" s="41"/>
      <c r="AA332" s="1224" t="s">
        <v>2398</v>
      </c>
      <c r="AB332" s="1224"/>
      <c r="AC332" s="1224"/>
      <c r="AD332" s="1224"/>
      <c r="AE332" s="1224"/>
      <c r="AF332" s="1224"/>
      <c r="AG332" s="1224"/>
      <c r="AH332" s="1224"/>
      <c r="AI332" s="1224"/>
      <c r="AJ332" s="1224"/>
      <c r="AK332" s="1224"/>
      <c r="BA332" s="43"/>
    </row>
    <row r="333" spans="2:53" ht="12.95" customHeight="1">
      <c r="B333" s="41" t="s">
        <v>400</v>
      </c>
      <c r="C333" s="41"/>
      <c r="D333" s="41"/>
      <c r="E333" s="41"/>
      <c r="F333" s="41"/>
      <c r="G333" s="41"/>
      <c r="H333" s="1389"/>
      <c r="I333" s="1389"/>
      <c r="J333" s="1389"/>
      <c r="K333" s="1389"/>
      <c r="L333" s="1389"/>
      <c r="M333" s="1389"/>
      <c r="N333" s="5" t="s">
        <v>859</v>
      </c>
      <c r="O333" s="5"/>
      <c r="P333" s="1384"/>
      <c r="Q333" s="1384"/>
      <c r="R333" s="1384"/>
      <c r="T333" s="41" t="s">
        <v>400</v>
      </c>
      <c r="V333" s="41"/>
      <c r="W333" s="41"/>
      <c r="X333" s="41"/>
      <c r="Y333" s="41"/>
      <c r="AA333" s="1389" t="s">
        <v>2399</v>
      </c>
      <c r="AB333" s="1389"/>
      <c r="AC333" s="1389"/>
      <c r="AD333" s="1389"/>
      <c r="AE333" s="1389"/>
      <c r="AF333" s="1389"/>
      <c r="AG333" s="5" t="s">
        <v>859</v>
      </c>
      <c r="AH333" s="5"/>
      <c r="AI333" s="1384"/>
      <c r="AJ333" s="1384"/>
      <c r="AK333" s="1384"/>
      <c r="BA333" s="43"/>
    </row>
    <row r="334" spans="2:53" ht="12.95" customHeight="1">
      <c r="B334" s="41" t="s">
        <v>401</v>
      </c>
      <c r="C334" s="41"/>
      <c r="D334" s="41"/>
      <c r="E334" s="41"/>
      <c r="F334" s="41"/>
      <c r="G334" s="41"/>
      <c r="H334" s="1226"/>
      <c r="I334" s="1226"/>
      <c r="J334" s="1226"/>
      <c r="K334" s="1226"/>
      <c r="L334" s="1226"/>
      <c r="M334" s="1226"/>
      <c r="N334" s="5"/>
      <c r="O334" s="5"/>
      <c r="P334" s="44"/>
      <c r="Q334" s="44"/>
      <c r="R334" s="44"/>
      <c r="T334" s="41" t="s">
        <v>401</v>
      </c>
      <c r="V334" s="41"/>
      <c r="W334" s="41"/>
      <c r="X334" s="41"/>
      <c r="Y334" s="41"/>
      <c r="AA334" s="1226" t="s">
        <v>132</v>
      </c>
      <c r="AB334" s="1226"/>
      <c r="AC334" s="1226"/>
      <c r="AD334" s="1226"/>
      <c r="AE334" s="1226"/>
      <c r="AF334" s="1226"/>
      <c r="AG334" s="5"/>
      <c r="AH334" s="5"/>
      <c r="AI334" s="44"/>
      <c r="AJ334" s="44"/>
      <c r="AK334" s="44"/>
      <c r="BA334" s="43"/>
    </row>
    <row r="335" spans="2:53" ht="12.95" customHeight="1">
      <c r="B335" s="41" t="s">
        <v>738</v>
      </c>
      <c r="C335" s="41"/>
      <c r="D335" s="41"/>
      <c r="E335" s="41"/>
      <c r="F335" s="41"/>
      <c r="G335" s="41"/>
      <c r="H335" s="1224"/>
      <c r="I335" s="1224"/>
      <c r="J335" s="1224"/>
      <c r="K335" s="1224"/>
      <c r="L335" s="1224"/>
      <c r="M335" s="1224"/>
      <c r="N335" s="1223"/>
      <c r="O335" s="1223"/>
      <c r="P335" s="1223"/>
      <c r="Q335" s="1223"/>
      <c r="R335" s="1223"/>
      <c r="T335" s="41" t="s">
        <v>738</v>
      </c>
      <c r="V335" s="41"/>
      <c r="W335" s="41"/>
      <c r="X335" s="41"/>
      <c r="Y335" s="41"/>
      <c r="AA335" s="1224" t="s">
        <v>2400</v>
      </c>
      <c r="AB335" s="1224"/>
      <c r="AC335" s="1224"/>
      <c r="AD335" s="1224"/>
      <c r="AE335" s="1224"/>
      <c r="AF335" s="1224"/>
      <c r="AG335" s="1223"/>
      <c r="AH335" s="1223"/>
      <c r="AI335" s="1223"/>
      <c r="AJ335" s="1223"/>
      <c r="AK335" s="1223"/>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23" t="s">
        <v>132</v>
      </c>
      <c r="I337" s="1223"/>
      <c r="J337" s="1223"/>
      <c r="K337" s="1223"/>
      <c r="L337" s="1223"/>
      <c r="M337" s="1223"/>
      <c r="N337" s="1223"/>
      <c r="O337" s="1223"/>
      <c r="P337" s="1223"/>
      <c r="Q337" s="1223"/>
      <c r="R337" s="1223"/>
      <c r="T337" s="365" t="s">
        <v>1193</v>
      </c>
      <c r="AA337" s="1223" t="s">
        <v>132</v>
      </c>
      <c r="AB337" s="1223"/>
      <c r="AC337" s="1223"/>
      <c r="AD337" s="1223"/>
      <c r="AE337" s="1223"/>
      <c r="AF337" s="1223"/>
      <c r="AG337" s="1223"/>
      <c r="AH337" s="1223"/>
      <c r="AI337" s="1223"/>
      <c r="AJ337" s="1223"/>
      <c r="AK337" s="1223"/>
      <c r="BA337" s="43"/>
    </row>
    <row r="338" spans="1:53" ht="12.95" customHeight="1">
      <c r="B338" s="365" t="s">
        <v>735</v>
      </c>
      <c r="C338" s="365"/>
      <c r="D338" s="365"/>
      <c r="E338" s="365"/>
      <c r="F338" s="365"/>
      <c r="G338" s="365"/>
      <c r="H338" s="1224"/>
      <c r="I338" s="1224"/>
      <c r="J338" s="1224"/>
      <c r="K338" s="1224"/>
      <c r="L338" s="1224"/>
      <c r="M338" s="1224"/>
      <c r="N338" s="1224"/>
      <c r="O338" s="1224"/>
      <c r="P338" s="1224"/>
      <c r="Q338" s="1224"/>
      <c r="R338" s="1224"/>
      <c r="T338" s="41" t="s">
        <v>735</v>
      </c>
      <c r="AA338" s="1224"/>
      <c r="AB338" s="1224"/>
      <c r="AC338" s="1224"/>
      <c r="AD338" s="1224"/>
      <c r="AE338" s="1224"/>
      <c r="AF338" s="1224"/>
      <c r="AG338" s="1224"/>
      <c r="AH338" s="1224"/>
      <c r="AI338" s="1224"/>
      <c r="AJ338" s="1224"/>
      <c r="AK338" s="1224"/>
      <c r="BA338" s="43"/>
    </row>
    <row r="339" spans="1:53" ht="12.95" customHeight="1">
      <c r="B339" s="365" t="s">
        <v>737</v>
      </c>
      <c r="C339" s="365"/>
      <c r="D339" s="365"/>
      <c r="E339" s="365"/>
      <c r="F339" s="365"/>
      <c r="G339" s="365"/>
      <c r="H339" s="1224"/>
      <c r="I339" s="1224"/>
      <c r="J339" s="1224"/>
      <c r="K339" s="1224"/>
      <c r="L339" s="1224"/>
      <c r="M339" s="1224"/>
      <c r="N339" s="1224"/>
      <c r="O339" s="1224"/>
      <c r="P339" s="1224"/>
      <c r="Q339" s="1224"/>
      <c r="R339" s="1224"/>
      <c r="T339" s="41" t="s">
        <v>736</v>
      </c>
      <c r="AA339" s="1224"/>
      <c r="AB339" s="1224"/>
      <c r="AC339" s="1224"/>
      <c r="AD339" s="1224"/>
      <c r="AE339" s="1224"/>
      <c r="AF339" s="1224"/>
      <c r="AG339" s="1224"/>
      <c r="AH339" s="1224"/>
      <c r="AI339" s="1224"/>
      <c r="AJ339" s="1224"/>
      <c r="AK339" s="1224"/>
    </row>
    <row r="340" spans="1:53" ht="12.95" customHeight="1">
      <c r="B340" s="365" t="s">
        <v>399</v>
      </c>
      <c r="C340" s="365"/>
      <c r="D340" s="365"/>
      <c r="E340" s="365"/>
      <c r="F340" s="365"/>
      <c r="G340" s="365"/>
      <c r="H340" s="1224"/>
      <c r="I340" s="1224"/>
      <c r="J340" s="1224"/>
      <c r="K340" s="1224"/>
      <c r="L340" s="1224"/>
      <c r="M340" s="1224"/>
      <c r="N340" s="1224"/>
      <c r="O340" s="1224"/>
      <c r="P340" s="1224"/>
      <c r="Q340" s="1224"/>
      <c r="R340" s="1224"/>
      <c r="T340" s="41" t="s">
        <v>399</v>
      </c>
      <c r="AA340" s="1224"/>
      <c r="AB340" s="1224"/>
      <c r="AC340" s="1224"/>
      <c r="AD340" s="1224"/>
      <c r="AE340" s="1224"/>
      <c r="AF340" s="1224"/>
      <c r="AG340" s="1224"/>
      <c r="AH340" s="1224"/>
      <c r="AI340" s="1224"/>
      <c r="AJ340" s="1224"/>
      <c r="AK340" s="1224"/>
    </row>
    <row r="341" spans="1:53" ht="12.95" customHeight="1">
      <c r="B341" s="365" t="s">
        <v>400</v>
      </c>
      <c r="C341" s="365"/>
      <c r="D341" s="365"/>
      <c r="E341" s="365"/>
      <c r="F341" s="365"/>
      <c r="G341" s="365"/>
      <c r="H341" s="1389"/>
      <c r="I341" s="1389"/>
      <c r="J341" s="1389"/>
      <c r="K341" s="1389"/>
      <c r="L341" s="1389"/>
      <c r="M341" s="1389"/>
      <c r="N341" s="5" t="s">
        <v>859</v>
      </c>
      <c r="O341" s="5"/>
      <c r="P341" s="1384"/>
      <c r="Q341" s="1384"/>
      <c r="R341" s="1384"/>
      <c r="T341" s="41" t="s">
        <v>400</v>
      </c>
      <c r="AA341" s="1389"/>
      <c r="AB341" s="1389"/>
      <c r="AC341" s="1389"/>
      <c r="AD341" s="1389"/>
      <c r="AE341" s="1389"/>
      <c r="AF341" s="1389"/>
      <c r="AG341" s="5" t="s">
        <v>859</v>
      </c>
      <c r="AH341" s="5"/>
      <c r="AI341" s="1384"/>
      <c r="AJ341" s="1384"/>
      <c r="AK341" s="1384"/>
    </row>
    <row r="342" spans="1:53" ht="12.95" customHeight="1">
      <c r="B342" s="365" t="s">
        <v>401</v>
      </c>
      <c r="C342" s="365"/>
      <c r="D342" s="365"/>
      <c r="E342" s="365"/>
      <c r="F342" s="365"/>
      <c r="G342" s="365"/>
      <c r="H342" s="1226"/>
      <c r="I342" s="1226"/>
      <c r="J342" s="1226"/>
      <c r="K342" s="1226"/>
      <c r="L342" s="1226"/>
      <c r="M342" s="1226"/>
      <c r="N342" s="5"/>
      <c r="O342" s="5"/>
      <c r="P342" s="44"/>
      <c r="Q342" s="44"/>
      <c r="R342" s="44"/>
      <c r="T342" s="41" t="s">
        <v>401</v>
      </c>
      <c r="AA342" s="1226"/>
      <c r="AB342" s="1226"/>
      <c r="AC342" s="1226"/>
      <c r="AD342" s="1226"/>
      <c r="AE342" s="1226"/>
      <c r="AF342" s="1226"/>
      <c r="AG342" s="5"/>
      <c r="AH342" s="5"/>
      <c r="AI342" s="44"/>
      <c r="AJ342" s="44"/>
      <c r="AK342" s="44"/>
    </row>
    <row r="343" spans="1:53" ht="12.95" customHeight="1">
      <c r="B343" s="365" t="s">
        <v>738</v>
      </c>
      <c r="C343" s="365"/>
      <c r="D343" s="365"/>
      <c r="E343" s="365"/>
      <c r="F343" s="365"/>
      <c r="G343" s="365"/>
      <c r="H343" s="1224"/>
      <c r="I343" s="1224"/>
      <c r="J343" s="1224"/>
      <c r="K343" s="1224"/>
      <c r="L343" s="1224"/>
      <c r="M343" s="1224"/>
      <c r="N343" s="1223"/>
      <c r="O343" s="1223"/>
      <c r="P343" s="1223"/>
      <c r="Q343" s="1223"/>
      <c r="R343" s="1223"/>
      <c r="T343" s="41" t="s">
        <v>738</v>
      </c>
      <c r="AA343" s="1224"/>
      <c r="AB343" s="1224"/>
      <c r="AC343" s="1224"/>
      <c r="AD343" s="1224"/>
      <c r="AE343" s="1224"/>
      <c r="AF343" s="1224"/>
      <c r="AG343" s="1223"/>
      <c r="AH343" s="1223"/>
      <c r="AI343" s="1223"/>
      <c r="AJ343" s="1223"/>
      <c r="AK343" s="1223"/>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394" t="s">
        <v>526</v>
      </c>
      <c r="B345" s="1394"/>
      <c r="C345" s="1394"/>
      <c r="D345" s="1394"/>
      <c r="E345" s="1394"/>
      <c r="F345" s="1394"/>
      <c r="G345" s="1394"/>
      <c r="H345" s="1394"/>
      <c r="I345" s="1394"/>
      <c r="J345" s="1394"/>
      <c r="K345" s="1394"/>
      <c r="L345" s="1394"/>
      <c r="M345" s="1394"/>
      <c r="N345" s="1394"/>
      <c r="O345" s="1394"/>
      <c r="P345" s="1394"/>
      <c r="Q345" s="1394"/>
      <c r="R345" s="1394"/>
      <c r="S345" s="1394"/>
      <c r="T345" s="1394"/>
      <c r="U345" s="1394"/>
      <c r="V345" s="1394"/>
      <c r="W345" s="1394"/>
      <c r="X345" s="1394"/>
      <c r="Y345" s="1394"/>
      <c r="Z345" s="1394"/>
      <c r="AA345" s="1394"/>
      <c r="AB345" s="1394"/>
      <c r="AC345" s="1394"/>
      <c r="AD345" s="1394"/>
      <c r="AE345" s="1394"/>
      <c r="AF345" s="1394"/>
      <c r="AG345" s="1394"/>
      <c r="AH345" s="1394"/>
      <c r="AI345" s="1394"/>
      <c r="AJ345" s="1394"/>
      <c r="AK345" s="1394"/>
      <c r="AL345" s="1394"/>
    </row>
    <row r="346" spans="1:53" ht="12.95" customHeight="1" thickBot="1">
      <c r="A346" s="1395"/>
      <c r="B346" s="1395"/>
      <c r="C346" s="1395"/>
      <c r="D346" s="1395"/>
      <c r="E346" s="1395"/>
      <c r="F346" s="1395"/>
      <c r="G346" s="1395"/>
      <c r="H346" s="1395"/>
      <c r="I346" s="1395"/>
      <c r="J346" s="1395"/>
      <c r="K346" s="1395"/>
      <c r="L346" s="1395"/>
      <c r="M346" s="1395"/>
      <c r="N346" s="1395"/>
      <c r="O346" s="1395"/>
      <c r="P346" s="1395"/>
      <c r="Q346" s="1395"/>
      <c r="R346" s="1395"/>
      <c r="S346" s="1395"/>
      <c r="T346" s="1395"/>
      <c r="U346" s="1395"/>
      <c r="V346" s="1395"/>
      <c r="W346" s="1395"/>
      <c r="X346" s="1395"/>
      <c r="Y346" s="1395"/>
      <c r="Z346" s="1395"/>
      <c r="AA346" s="1395"/>
      <c r="AB346" s="1395"/>
      <c r="AC346" s="1395"/>
      <c r="AD346" s="1395"/>
      <c r="AE346" s="1395"/>
      <c r="AF346" s="1395"/>
      <c r="AG346" s="1395"/>
      <c r="AH346" s="1395"/>
      <c r="AI346" s="1395"/>
      <c r="AJ346" s="1395"/>
      <c r="AK346" s="1395"/>
      <c r="AL346" s="1395"/>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689</v>
      </c>
      <c r="B348" s="3"/>
      <c r="C348" s="3" t="s">
        <v>562</v>
      </c>
    </row>
    <row r="349" spans="1:53" ht="12.95" customHeight="1">
      <c r="D349" t="s">
        <v>44</v>
      </c>
      <c r="M349" s="1225" t="s">
        <v>116</v>
      </c>
      <c r="N349" s="1225"/>
      <c r="P349" t="s">
        <v>2061</v>
      </c>
      <c r="AJ349" s="1225" t="s">
        <v>511</v>
      </c>
      <c r="AK349" s="1225"/>
    </row>
    <row r="350" spans="1:53" ht="12.95" customHeight="1">
      <c r="D350" s="41" t="s">
        <v>1984</v>
      </c>
      <c r="M350" s="1225" t="s">
        <v>132</v>
      </c>
      <c r="N350" s="1225"/>
      <c r="P350" s="41" t="s">
        <v>2062</v>
      </c>
      <c r="AJ350" s="1319"/>
      <c r="AK350" s="1319"/>
    </row>
    <row r="351" spans="1:53" ht="12.95" customHeight="1">
      <c r="D351" t="s">
        <v>334</v>
      </c>
      <c r="M351" s="1225" t="s">
        <v>132</v>
      </c>
      <c r="N351" s="1225"/>
      <c r="P351" t="s">
        <v>2063</v>
      </c>
      <c r="AJ351" s="1225" t="s">
        <v>511</v>
      </c>
      <c r="AK351" s="1225"/>
    </row>
    <row r="352" spans="1:53" ht="12.95" customHeight="1">
      <c r="D352" t="s">
        <v>335</v>
      </c>
      <c r="M352" s="1225" t="s">
        <v>132</v>
      </c>
      <c r="N352" s="1225"/>
      <c r="Q352" s="41"/>
    </row>
    <row r="353" spans="1:57" ht="12.95" customHeight="1">
      <c r="P353" s="365"/>
      <c r="Q353" s="365"/>
      <c r="R353" s="365"/>
    </row>
    <row r="354" spans="1:57" ht="12.95" customHeight="1"/>
    <row r="355" spans="1:57" ht="12.95" customHeight="1">
      <c r="A355" s="3" t="s">
        <v>8</v>
      </c>
      <c r="B355" s="3"/>
      <c r="C355" s="3" t="s">
        <v>922</v>
      </c>
      <c r="D355" s="3"/>
    </row>
    <row r="356" spans="1:57" ht="12.95"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936</v>
      </c>
      <c r="E357" s="49"/>
      <c r="F357" s="49"/>
      <c r="G357" s="49"/>
      <c r="H357" s="49"/>
      <c r="I357" s="49"/>
      <c r="J357" s="49"/>
      <c r="K357" s="49"/>
      <c r="L357" s="49"/>
      <c r="M357" s="49"/>
      <c r="N357" s="1225" t="s">
        <v>132</v>
      </c>
      <c r="O357" s="1225"/>
      <c r="P357" s="49"/>
      <c r="Q357" s="49"/>
      <c r="R357" s="49"/>
      <c r="S357" s="49"/>
      <c r="T357" s="49"/>
      <c r="U357" s="49"/>
      <c r="V357" s="49"/>
      <c r="W357" s="49"/>
      <c r="X357" s="49"/>
      <c r="Y357" s="49"/>
      <c r="Z357" s="49"/>
      <c r="AC357" s="49"/>
      <c r="AD357" s="49"/>
      <c r="AE357" s="49"/>
    </row>
    <row r="358" spans="1:57" ht="12.95" customHeight="1">
      <c r="E358" t="s">
        <v>769</v>
      </c>
      <c r="Y358" s="1225" t="s">
        <v>132</v>
      </c>
      <c r="Z358" s="1225"/>
    </row>
    <row r="359" spans="1:57" ht="12.95"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938</v>
      </c>
      <c r="E360" s="49"/>
      <c r="F360" s="49"/>
      <c r="G360" s="49"/>
      <c r="H360" s="49"/>
      <c r="I360" s="49"/>
      <c r="J360" s="1225" t="s">
        <v>132</v>
      </c>
      <c r="K360" s="1225"/>
      <c r="L360" s="49"/>
      <c r="M360" s="49"/>
      <c r="N360" s="49"/>
      <c r="O360" s="49"/>
      <c r="P360" s="49"/>
      <c r="Q360" s="49"/>
      <c r="R360" s="49"/>
      <c r="S360" s="49"/>
      <c r="T360" s="49"/>
      <c r="U360" s="49"/>
      <c r="V360" s="49"/>
      <c r="W360" s="49"/>
      <c r="X360" s="49"/>
      <c r="Y360" s="49"/>
      <c r="Z360" s="49"/>
      <c r="AC360" s="49"/>
      <c r="AD360" s="49"/>
      <c r="AE360" s="49"/>
    </row>
    <row r="361" spans="1:57" ht="12.95" customHeight="1">
      <c r="E361" s="980" t="s">
        <v>336</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132</v>
      </c>
    </row>
    <row r="362" spans="1:57" ht="12.95"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511</v>
      </c>
    </row>
    <row r="363" spans="1:57" ht="12.95" customHeight="1">
      <c r="E363" s="5" t="s">
        <v>626</v>
      </c>
      <c r="F363" s="5"/>
      <c r="G363" s="5"/>
      <c r="H363" s="5"/>
      <c r="I363" s="5"/>
      <c r="J363" s="5"/>
      <c r="K363" s="5"/>
      <c r="L363" s="5"/>
      <c r="N363" s="1266"/>
      <c r="O363" s="1266"/>
      <c r="P363" s="1266"/>
      <c r="Q363" s="1266"/>
      <c r="R363" s="5"/>
      <c r="U363" s="5" t="s">
        <v>627</v>
      </c>
      <c r="V363" s="5"/>
      <c r="W363" s="5"/>
      <c r="X363" s="5"/>
      <c r="Y363" s="5"/>
      <c r="Z363" s="5"/>
      <c r="AA363" s="5"/>
      <c r="AB363" s="5"/>
      <c r="AC363" s="1266"/>
      <c r="AD363" s="1266"/>
      <c r="AE363" s="1266"/>
      <c r="AF363" s="1266"/>
      <c r="BE363" t="s">
        <v>116</v>
      </c>
    </row>
    <row r="364" spans="1:57" ht="12.95" customHeight="1">
      <c r="E364" s="5" t="s">
        <v>628</v>
      </c>
      <c r="F364" s="5"/>
      <c r="G364" s="5"/>
      <c r="H364" s="5"/>
      <c r="I364" s="5"/>
      <c r="J364" s="5"/>
      <c r="K364" s="5"/>
      <c r="L364" s="5"/>
      <c r="N364" s="1266"/>
      <c r="O364" s="1266"/>
      <c r="P364" s="1266"/>
      <c r="Q364" s="1266"/>
      <c r="R364" s="5"/>
      <c r="U364" s="5" t="s">
        <v>629</v>
      </c>
      <c r="V364" s="5"/>
      <c r="W364" s="5"/>
      <c r="X364" s="5"/>
      <c r="Y364" s="5"/>
      <c r="Z364" s="5"/>
      <c r="AA364" s="5"/>
      <c r="AB364" s="5"/>
      <c r="AC364" s="1266"/>
      <c r="AD364" s="1266"/>
      <c r="AE364" s="1266"/>
      <c r="AF364" s="1266"/>
    </row>
    <row r="365" spans="1:57" ht="12.95" customHeight="1">
      <c r="E365" s="5" t="s">
        <v>68</v>
      </c>
      <c r="F365" s="5"/>
      <c r="G365" s="5"/>
      <c r="H365" s="5"/>
      <c r="I365" s="5"/>
      <c r="J365" s="5"/>
      <c r="K365" s="5"/>
      <c r="L365" s="5"/>
      <c r="N365" s="1266"/>
      <c r="O365" s="1266"/>
      <c r="P365" s="1266"/>
      <c r="Q365" s="1266"/>
      <c r="R365" s="5"/>
      <c r="V365" s="5"/>
      <c r="W365" s="5"/>
      <c r="X365" s="5"/>
      <c r="Y365" s="5"/>
      <c r="Z365" s="5"/>
      <c r="AA365" s="5"/>
      <c r="AB365" s="5"/>
    </row>
    <row r="366" spans="1:57" ht="12.95" customHeight="1">
      <c r="E366" s="5" t="s">
        <v>69</v>
      </c>
      <c r="F366" s="5"/>
      <c r="G366" s="5"/>
      <c r="H366" s="5"/>
      <c r="I366" s="5"/>
      <c r="J366" s="5"/>
      <c r="K366" s="5"/>
      <c r="L366" s="5"/>
      <c r="N366" s="1481"/>
      <c r="O366" s="1481"/>
      <c r="P366" s="1481"/>
      <c r="Q366" s="1481"/>
      <c r="R366" s="1481"/>
      <c r="S366" s="1481"/>
      <c r="T366" s="1481"/>
      <c r="U366" s="1481"/>
      <c r="V366" s="1481"/>
      <c r="W366" s="1481"/>
      <c r="X366" s="1481"/>
      <c r="Y366" s="1481"/>
      <c r="Z366" s="1481"/>
      <c r="AA366" s="1481"/>
      <c r="AB366" s="1481"/>
      <c r="AC366" s="1481"/>
      <c r="AD366" s="1481"/>
      <c r="AE366" s="1481"/>
      <c r="AF366" s="1481"/>
    </row>
    <row r="367" spans="1:57" ht="12.95" customHeight="1">
      <c r="E367" s="5"/>
      <c r="F367" s="5"/>
      <c r="G367" s="5"/>
      <c r="H367" s="5"/>
      <c r="I367" s="5"/>
      <c r="J367" s="5"/>
      <c r="K367" s="5"/>
      <c r="L367" s="5"/>
      <c r="N367" s="1482"/>
      <c r="O367" s="1482"/>
      <c r="P367" s="1482"/>
      <c r="Q367" s="1482"/>
      <c r="R367" s="1482"/>
      <c r="S367" s="1482"/>
      <c r="T367" s="1482"/>
      <c r="U367" s="1482"/>
      <c r="V367" s="1482"/>
      <c r="W367" s="1482"/>
      <c r="X367" s="1482"/>
      <c r="Y367" s="1482"/>
      <c r="Z367" s="1482"/>
      <c r="AA367" s="1482"/>
      <c r="AB367" s="1482"/>
      <c r="AC367" s="1482"/>
      <c r="AD367" s="1482"/>
      <c r="AE367" s="1482"/>
      <c r="AF367" s="1482"/>
    </row>
    <row r="368" spans="1:57" ht="12.95" customHeight="1">
      <c r="E368" s="5"/>
      <c r="F368" s="5"/>
      <c r="G368" s="5"/>
      <c r="H368" s="5"/>
      <c r="I368" s="5"/>
      <c r="J368" s="5"/>
      <c r="K368" s="5"/>
      <c r="L368" s="5"/>
    </row>
    <row r="369" spans="1:36" ht="12.95" customHeight="1">
      <c r="D369" s="377" t="s">
        <v>1287</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2233</v>
      </c>
      <c r="F370" s="365"/>
      <c r="G370" s="365"/>
      <c r="H370" s="365"/>
      <c r="I370" s="365"/>
      <c r="J370" s="365"/>
      <c r="K370" s="365"/>
      <c r="L370" s="365"/>
      <c r="M370" s="365"/>
      <c r="O370" s="365"/>
      <c r="P370" s="960" t="s">
        <v>2229</v>
      </c>
      <c r="Q370" s="365" t="s">
        <v>246</v>
      </c>
      <c r="R370" s="365"/>
      <c r="S370" s="1471"/>
      <c r="T370" s="1471"/>
      <c r="U370" s="374" t="s">
        <v>247</v>
      </c>
      <c r="V370" s="1471"/>
      <c r="W370" s="1471"/>
      <c r="X370" s="365"/>
      <c r="Z370" s="365"/>
      <c r="AA370" s="960" t="s">
        <v>2229</v>
      </c>
      <c r="AB370" s="365" t="s">
        <v>246</v>
      </c>
      <c r="AC370" s="365"/>
      <c r="AD370" s="1471"/>
      <c r="AE370" s="1471"/>
      <c r="AF370" s="374" t="s">
        <v>247</v>
      </c>
      <c r="AG370" s="1471"/>
      <c r="AH370" s="1471"/>
    </row>
    <row r="371" spans="1:36" ht="12.95" customHeight="1">
      <c r="D371" s="365"/>
      <c r="E371" s="365" t="s">
        <v>1288</v>
      </c>
      <c r="F371" s="365"/>
      <c r="G371" s="365"/>
      <c r="H371" s="365"/>
      <c r="I371" s="365"/>
      <c r="J371" s="365"/>
      <c r="K371" s="365"/>
      <c r="L371" s="365"/>
      <c r="M371" s="365"/>
      <c r="N371" s="1471"/>
      <c r="O371" s="1471"/>
      <c r="P371" s="1471"/>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2234</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397" t="s">
        <v>132</v>
      </c>
      <c r="AH372" s="1397"/>
    </row>
    <row r="373" spans="1:36" ht="12.95" customHeight="1">
      <c r="D373" s="365"/>
      <c r="E373" s="365"/>
      <c r="F373" s="365"/>
      <c r="G373" s="365" t="s">
        <v>2235</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397" t="s">
        <v>132</v>
      </c>
      <c r="AH373" s="1397"/>
    </row>
    <row r="374" spans="1:36" ht="12.95" customHeight="1">
      <c r="D374" s="365"/>
      <c r="E374" s="365"/>
      <c r="F374" s="365"/>
      <c r="G374" s="520" t="s">
        <v>1338</v>
      </c>
      <c r="H374" s="365"/>
      <c r="I374" s="365"/>
      <c r="J374" s="365"/>
      <c r="K374" s="365"/>
      <c r="L374" s="365"/>
      <c r="M374" s="365"/>
      <c r="N374" s="365"/>
      <c r="O374" s="365"/>
      <c r="P374" s="365"/>
      <c r="Q374" s="365"/>
      <c r="R374" s="365"/>
      <c r="S374" s="365"/>
      <c r="T374" s="365"/>
      <c r="U374" s="365"/>
      <c r="V374" s="1397" t="s">
        <v>132</v>
      </c>
      <c r="W374" s="1397"/>
      <c r="X374" s="365"/>
      <c r="Y374" s="463" t="s">
        <v>1289</v>
      </c>
      <c r="Z374" s="365"/>
      <c r="AA374" s="365"/>
      <c r="AB374" s="365"/>
      <c r="AC374" s="365"/>
      <c r="AD374" s="365"/>
      <c r="AE374" s="365"/>
      <c r="AF374" s="365"/>
      <c r="AG374" s="365"/>
      <c r="AH374" s="365"/>
    </row>
    <row r="375" spans="1:36" ht="12.95" customHeight="1">
      <c r="D375" s="365"/>
      <c r="E375" s="365" t="s">
        <v>1290</v>
      </c>
      <c r="F375" s="365"/>
      <c r="G375" s="365"/>
      <c r="H375" s="365"/>
      <c r="I375" s="365"/>
      <c r="J375" s="365"/>
      <c r="K375" s="365"/>
      <c r="L375" s="365"/>
      <c r="M375" s="365"/>
      <c r="N375" s="365"/>
      <c r="O375" s="365"/>
      <c r="P375" s="365"/>
      <c r="Q375" s="365"/>
      <c r="R375" s="365"/>
      <c r="S375" s="365"/>
      <c r="T375" s="365"/>
      <c r="U375" s="365"/>
      <c r="V375" s="1397" t="s">
        <v>132</v>
      </c>
      <c r="W375" s="1397"/>
      <c r="X375" s="365"/>
      <c r="Y375" s="365" t="s">
        <v>1291</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290</v>
      </c>
      <c r="J378" s="1223" t="s">
        <v>2409</v>
      </c>
      <c r="K378" s="1223"/>
      <c r="L378" s="1223"/>
      <c r="M378" s="1223"/>
      <c r="N378" s="1223"/>
      <c r="O378" s="1223"/>
      <c r="P378" s="1223"/>
      <c r="Q378" s="1223"/>
      <c r="R378" s="1223"/>
      <c r="S378" s="1223"/>
      <c r="T378" s="1223"/>
      <c r="U378" s="1223"/>
      <c r="V378" s="12" t="s">
        <v>746</v>
      </c>
      <c r="W378" s="12"/>
      <c r="X378" s="12"/>
      <c r="Y378" s="12"/>
      <c r="Z378" s="12"/>
      <c r="AA378" s="12"/>
      <c r="AB378" s="12"/>
      <c r="AC378" s="1223" t="s">
        <v>2408</v>
      </c>
      <c r="AD378" s="1223"/>
      <c r="AE378" s="1223"/>
      <c r="AF378" s="1223"/>
      <c r="AG378" s="1223"/>
      <c r="AH378" s="1223"/>
      <c r="AI378" s="1223"/>
      <c r="AJ378" s="1223"/>
    </row>
    <row r="379" spans="1:36" ht="12.95" customHeight="1">
      <c r="D379" s="41" t="s">
        <v>2064</v>
      </c>
      <c r="J379" s="1224" t="s">
        <v>2408</v>
      </c>
      <c r="K379" s="1224"/>
      <c r="L379" s="1224"/>
      <c r="M379" s="1224"/>
      <c r="N379" s="1224"/>
      <c r="O379" s="1224"/>
      <c r="P379" s="1224"/>
      <c r="Q379" s="1224"/>
      <c r="R379" s="1224"/>
      <c r="S379" s="1224"/>
      <c r="T379" s="1224"/>
      <c r="U379" s="1224"/>
      <c r="V379" s="41" t="s">
        <v>2064</v>
      </c>
      <c r="W379" s="12"/>
      <c r="X379" s="12"/>
      <c r="Y379" s="12"/>
      <c r="Z379" s="12"/>
      <c r="AA379" s="12"/>
      <c r="AB379" s="12"/>
      <c r="AC379" s="1223"/>
      <c r="AD379" s="1223"/>
      <c r="AE379" s="1223"/>
      <c r="AF379" s="1223"/>
      <c r="AG379" s="1223"/>
      <c r="AH379" s="1223"/>
      <c r="AI379" s="1223"/>
      <c r="AJ379" s="1223"/>
    </row>
    <row r="380" spans="1:36" ht="12.95" customHeight="1">
      <c r="D380" s="41" t="s">
        <v>575</v>
      </c>
      <c r="J380" s="1224"/>
      <c r="K380" s="1224"/>
      <c r="L380" s="1224"/>
      <c r="M380" s="1224"/>
      <c r="N380" s="1224"/>
      <c r="O380" s="1224"/>
      <c r="P380" s="1224"/>
      <c r="Q380" s="1224"/>
      <c r="R380" s="1224"/>
      <c r="S380" s="1224"/>
      <c r="T380" s="1224"/>
      <c r="U380" s="1224"/>
      <c r="V380" s="41" t="s">
        <v>575</v>
      </c>
      <c r="W380" s="12"/>
      <c r="X380" s="12"/>
      <c r="Y380" s="12"/>
      <c r="Z380" s="12"/>
      <c r="AA380" s="12"/>
      <c r="AB380" s="12"/>
      <c r="AC380" s="1223"/>
      <c r="AD380" s="1223"/>
      <c r="AE380" s="1223"/>
      <c r="AF380" s="1223"/>
      <c r="AG380" s="1223"/>
      <c r="AH380" s="1223"/>
      <c r="AI380" s="1223"/>
      <c r="AJ380" s="1223"/>
    </row>
    <row r="381" spans="1:36" ht="12.95" customHeight="1">
      <c r="D381" t="s">
        <v>2065</v>
      </c>
      <c r="J381" s="1143" t="s">
        <v>2410</v>
      </c>
      <c r="K381" s="1143"/>
      <c r="L381" s="1143"/>
      <c r="M381" s="1143"/>
      <c r="N381" s="1143"/>
      <c r="O381" s="1143"/>
      <c r="P381" s="1143"/>
      <c r="Q381" s="1143"/>
      <c r="R381" s="1143"/>
      <c r="S381" s="1143"/>
      <c r="T381" s="1143"/>
      <c r="U381" s="1143"/>
      <c r="V381" s="1223" t="s">
        <v>2411</v>
      </c>
      <c r="W381" s="1223"/>
      <c r="X381" s="1223"/>
      <c r="Y381" s="1223"/>
      <c r="Z381" s="1223"/>
      <c r="AA381" s="1223"/>
      <c r="AB381" s="1223"/>
      <c r="AC381" s="1223"/>
      <c r="AD381" s="1223"/>
      <c r="AE381" s="1223"/>
      <c r="AF381" s="1223"/>
      <c r="AG381" s="1223"/>
      <c r="AH381" s="1223"/>
      <c r="AI381" s="1223"/>
      <c r="AJ381" s="1223"/>
    </row>
    <row r="382" spans="1:36" ht="12.95" customHeight="1">
      <c r="D382" t="s">
        <v>585</v>
      </c>
      <c r="Q382" s="1472">
        <v>43964</v>
      </c>
      <c r="R382" s="1472"/>
      <c r="S382" s="1472"/>
      <c r="T382" s="1472"/>
      <c r="U382" s="1472"/>
      <c r="V382" t="s">
        <v>179</v>
      </c>
      <c r="AI382" s="1225" t="s">
        <v>511</v>
      </c>
      <c r="AJ382" s="1225"/>
    </row>
    <row r="383" spans="1:36" ht="12.95" customHeight="1">
      <c r="D383" t="s">
        <v>586</v>
      </c>
      <c r="Q383" s="1359">
        <v>45137</v>
      </c>
      <c r="R383" s="1146"/>
      <c r="S383" s="1146"/>
      <c r="T383" s="1146"/>
      <c r="U383" s="1146"/>
      <c r="W383" s="29" t="s">
        <v>20</v>
      </c>
      <c r="AG383" s="1289"/>
      <c r="AH383" s="1289"/>
      <c r="AI383" s="1289"/>
      <c r="AJ383" s="1289"/>
    </row>
    <row r="384" spans="1:36" ht="12.95" customHeight="1">
      <c r="D384" t="s">
        <v>289</v>
      </c>
      <c r="Q384" s="1164">
        <v>1200000</v>
      </c>
      <c r="R384" s="1164"/>
      <c r="S384" s="1164"/>
      <c r="T384" s="1164"/>
      <c r="U384" s="1164"/>
      <c r="V384" s="41" t="s">
        <v>2066</v>
      </c>
      <c r="AG384" s="1512">
        <v>45306</v>
      </c>
      <c r="AH384" s="1512"/>
      <c r="AI384" s="1512"/>
      <c r="AJ384" s="1512"/>
    </row>
    <row r="385" spans="4:36" ht="12.95" customHeight="1">
      <c r="D385" t="s">
        <v>400</v>
      </c>
      <c r="I385" s="1483" t="s">
        <v>2510</v>
      </c>
      <c r="J385" s="1483"/>
      <c r="K385" s="1483"/>
      <c r="L385" s="1483"/>
      <c r="M385" s="1483"/>
      <c r="N385" s="1483"/>
      <c r="Q385" s="41" t="s">
        <v>859</v>
      </c>
      <c r="S385" s="1528"/>
      <c r="T385" s="1528"/>
      <c r="U385" s="1528"/>
      <c r="V385" t="s">
        <v>19</v>
      </c>
      <c r="AI385" s="1225" t="s">
        <v>511</v>
      </c>
      <c r="AJ385" s="1225"/>
    </row>
    <row r="386" spans="4:36" ht="12.95" customHeight="1">
      <c r="D386" t="s">
        <v>180</v>
      </c>
      <c r="Q386" s="1141"/>
      <c r="R386" s="1141"/>
      <c r="S386" s="1141"/>
      <c r="T386" s="1141"/>
      <c r="U386" s="1141"/>
      <c r="V386" t="s">
        <v>181</v>
      </c>
      <c r="AG386" s="1289"/>
      <c r="AH386" s="1289"/>
      <c r="AI386" s="1289"/>
      <c r="AJ386" s="1289"/>
    </row>
    <row r="387" spans="4:36" ht="12.95" customHeight="1">
      <c r="D387" t="s">
        <v>28</v>
      </c>
      <c r="Q387" s="1283"/>
      <c r="R387" s="1283"/>
      <c r="S387" s="1283"/>
      <c r="T387" s="1283"/>
      <c r="U387" s="1283"/>
      <c r="V387" t="s">
        <v>1757</v>
      </c>
      <c r="AG387" s="1289">
        <v>0</v>
      </c>
      <c r="AH387" s="1289"/>
      <c r="AI387" s="1289"/>
      <c r="AJ387" s="1289"/>
    </row>
    <row r="388" spans="4:36" ht="12.95" customHeight="1">
      <c r="D388" t="s">
        <v>2067</v>
      </c>
      <c r="AG388" s="1289">
        <v>0</v>
      </c>
      <c r="AH388" s="1289"/>
      <c r="AI388" s="1289"/>
      <c r="AJ388" s="1289"/>
    </row>
    <row r="389" spans="4:36" ht="12.95" customHeight="1">
      <c r="AG389" s="852"/>
      <c r="AH389" s="852"/>
      <c r="AI389" s="852"/>
      <c r="AJ389" s="852"/>
    </row>
    <row r="390" spans="4:36" ht="12.95" customHeight="1">
      <c r="D390" s="41" t="s">
        <v>2342</v>
      </c>
      <c r="AG390" s="852"/>
      <c r="AH390" s="852"/>
      <c r="AI390" s="1225" t="s">
        <v>511</v>
      </c>
      <c r="AJ390" s="1225"/>
    </row>
    <row r="391" spans="4:36" ht="12.95" customHeight="1">
      <c r="D391" s="41" t="s">
        <v>2068</v>
      </c>
      <c r="T391" s="1290"/>
      <c r="U391" s="1290"/>
      <c r="V391" s="1290"/>
      <c r="W391" s="1290"/>
      <c r="X391" s="1290"/>
      <c r="Y391" s="1290"/>
      <c r="Z391" s="1290"/>
      <c r="AA391" s="1290"/>
      <c r="AB391" s="1290"/>
      <c r="AC391" s="1290"/>
      <c r="AD391" s="1290"/>
      <c r="AE391" s="1290"/>
      <c r="AF391" s="1290"/>
      <c r="AG391" s="1290"/>
      <c r="AH391" s="1290"/>
      <c r="AI391" s="1290"/>
      <c r="AJ391" s="1290"/>
    </row>
    <row r="392" spans="4:36" ht="12.95" customHeight="1">
      <c r="D392" s="41" t="s">
        <v>2069</v>
      </c>
      <c r="T392" s="1290"/>
      <c r="U392" s="1290"/>
      <c r="V392" s="1290"/>
      <c r="W392" s="1290"/>
      <c r="X392" s="1290"/>
      <c r="Y392" s="1290"/>
      <c r="Z392" s="1290"/>
      <c r="AA392" s="1290"/>
      <c r="AB392" s="1290"/>
      <c r="AC392" s="1290"/>
      <c r="AD392" s="1290"/>
      <c r="AE392" s="1290"/>
      <c r="AF392" s="1290"/>
      <c r="AG392" s="1290"/>
      <c r="AH392" s="1290"/>
      <c r="AI392" s="1290"/>
      <c r="AJ392" s="1290"/>
    </row>
    <row r="393" spans="4:36" ht="12.95" customHeight="1">
      <c r="AG393" s="852"/>
      <c r="AH393" s="852"/>
      <c r="AI393" s="852"/>
      <c r="AJ393" s="852"/>
    </row>
    <row r="394" spans="4:36" ht="12.95" customHeight="1">
      <c r="D394" s="41" t="s">
        <v>2070</v>
      </c>
      <c r="S394" s="1290" t="s">
        <v>511</v>
      </c>
      <c r="T394" s="1290"/>
      <c r="U394" s="1290"/>
      <c r="V394" t="s">
        <v>2071</v>
      </c>
      <c r="AG394" s="1292"/>
      <c r="AH394" s="1292"/>
      <c r="AI394" s="1292"/>
      <c r="AJ394" s="1292"/>
    </row>
    <row r="395" spans="4:36" ht="12.95" customHeight="1">
      <c r="D395" s="41" t="s">
        <v>2072</v>
      </c>
      <c r="S395" s="1290" t="s">
        <v>132</v>
      </c>
      <c r="T395" s="1290"/>
      <c r="U395" s="1290"/>
      <c r="V395" t="s">
        <v>2073</v>
      </c>
      <c r="AE395" s="1293"/>
      <c r="AF395" s="1293"/>
      <c r="AG395" s="1293"/>
      <c r="AH395" s="1293"/>
      <c r="AI395" s="1293"/>
      <c r="AJ395" s="1293"/>
    </row>
    <row r="396" spans="4:36" ht="12.95" customHeight="1">
      <c r="D396" s="41" t="s">
        <v>2074</v>
      </c>
      <c r="K396" s="1291"/>
      <c r="L396" s="1291"/>
      <c r="M396" s="1291"/>
      <c r="N396" s="1291"/>
      <c r="O396" s="1291"/>
      <c r="P396" s="1291"/>
      <c r="Q396" s="1291"/>
      <c r="R396" s="1291"/>
      <c r="S396" s="1291"/>
      <c r="T396" s="1291"/>
      <c r="U396" s="1291"/>
      <c r="V396" s="1291"/>
      <c r="W396" s="1291"/>
      <c r="X396" s="1291"/>
      <c r="Y396" s="1291"/>
      <c r="Z396" s="1291"/>
      <c r="AA396" s="1291"/>
      <c r="AB396" s="1291"/>
      <c r="AC396" s="1291"/>
      <c r="AD396" s="1291"/>
      <c r="AE396" s="1291"/>
      <c r="AF396" s="1291"/>
      <c r="AG396" s="1291"/>
      <c r="AH396" s="1291"/>
      <c r="AI396" s="1291"/>
      <c r="AJ396" s="1291"/>
    </row>
    <row r="397" spans="4:36" ht="12.95" customHeight="1">
      <c r="D397" s="41" t="s">
        <v>2075</v>
      </c>
      <c r="K397" s="1291"/>
      <c r="L397" s="1291"/>
      <c r="M397" s="1291"/>
      <c r="N397" s="1291"/>
      <c r="O397" s="1291"/>
      <c r="P397" s="1291"/>
      <c r="Q397" s="1291"/>
      <c r="R397" s="1291"/>
      <c r="S397" s="1291"/>
      <c r="T397" s="1291"/>
      <c r="U397" s="1291"/>
      <c r="V397" s="1291"/>
      <c r="W397" s="1291"/>
      <c r="X397" s="1291"/>
      <c r="Y397" s="1291"/>
      <c r="Z397" s="1291"/>
      <c r="AA397" s="1291"/>
      <c r="AB397" s="1291"/>
      <c r="AC397" s="1291"/>
      <c r="AD397" s="1291"/>
      <c r="AE397" s="1291"/>
      <c r="AF397" s="1291"/>
      <c r="AG397" s="1291"/>
      <c r="AH397" s="1291"/>
      <c r="AI397" s="1291"/>
      <c r="AJ397" s="1291"/>
    </row>
    <row r="398" spans="4:36" ht="12.95" customHeight="1">
      <c r="D398" s="41" t="s">
        <v>2076</v>
      </c>
      <c r="E398" s="833"/>
      <c r="F398" s="833"/>
      <c r="G398" s="833"/>
      <c r="H398" s="833"/>
      <c r="I398" s="833"/>
      <c r="J398" s="833"/>
      <c r="K398" s="833"/>
      <c r="L398" s="833"/>
      <c r="M398" s="833"/>
      <c r="N398" s="833"/>
      <c r="O398" s="833"/>
      <c r="P398" s="833"/>
      <c r="Q398" s="833"/>
      <c r="R398" s="833"/>
      <c r="S398" s="1473" t="s">
        <v>2077</v>
      </c>
      <c r="T398" s="1473"/>
      <c r="U398" s="1473"/>
      <c r="V398" s="1473"/>
      <c r="W398" s="1473"/>
      <c r="X398" s="1473"/>
      <c r="Y398" s="1473"/>
      <c r="Z398" s="1473"/>
      <c r="AA398" s="1473"/>
      <c r="AB398" s="1473"/>
      <c r="AC398" s="1473"/>
      <c r="AD398" s="1473"/>
      <c r="AE398" s="1473"/>
      <c r="AF398" s="1473"/>
      <c r="AG398" s="1473"/>
      <c r="AH398" s="1473"/>
      <c r="AI398" s="1473"/>
      <c r="AJ398" s="1473"/>
    </row>
    <row r="399" spans="4:36" ht="12.95" customHeight="1">
      <c r="D399" s="977" t="s">
        <v>2078</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2.95"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2.95" customHeight="1">
      <c r="AG401" s="852"/>
      <c r="AH401" s="852"/>
      <c r="AI401" s="852"/>
      <c r="AJ401" s="852"/>
    </row>
    <row r="402" spans="1:36" ht="12.95" customHeight="1">
      <c r="A402" s="3" t="s">
        <v>130</v>
      </c>
      <c r="B402" s="3"/>
      <c r="C402" s="3" t="s">
        <v>943</v>
      </c>
    </row>
    <row r="403" spans="1:36" ht="12.95" customHeight="1">
      <c r="D403" s="3" t="s">
        <v>1812</v>
      </c>
      <c r="I403" s="1368" t="s">
        <v>2375</v>
      </c>
      <c r="J403" s="1368"/>
      <c r="K403" s="1368"/>
      <c r="L403" s="1368"/>
      <c r="M403" s="1368"/>
      <c r="N403" s="1368"/>
      <c r="O403" s="1368"/>
      <c r="P403" s="1368"/>
      <c r="Q403" s="1368"/>
      <c r="R403" s="1368"/>
      <c r="S403" s="1368"/>
      <c r="T403" s="1368"/>
      <c r="U403" s="1368"/>
      <c r="V403" s="1368"/>
      <c r="W403" s="1368"/>
      <c r="X403" s="1368"/>
      <c r="Y403" s="1368"/>
      <c r="Z403" s="1368"/>
      <c r="AA403" s="1368"/>
      <c r="AB403" s="1368"/>
      <c r="AC403" s="1368"/>
      <c r="AD403" s="1368"/>
    </row>
    <row r="404" spans="1:36" ht="12.95" customHeight="1">
      <c r="E404" t="s">
        <v>896</v>
      </c>
      <c r="R404" s="1225" t="s">
        <v>132</v>
      </c>
      <c r="S404" s="1225"/>
      <c r="T404" t="s">
        <v>306</v>
      </c>
      <c r="AD404" s="1266">
        <v>0</v>
      </c>
      <c r="AE404" s="1266"/>
    </row>
    <row r="405" spans="1:36" ht="12.95" customHeight="1">
      <c r="E405" t="s">
        <v>897</v>
      </c>
      <c r="R405" s="1225" t="s">
        <v>132</v>
      </c>
      <c r="S405" s="1225"/>
      <c r="T405" t="s">
        <v>306</v>
      </c>
      <c r="AD405" s="1266">
        <v>2</v>
      </c>
      <c r="AE405" s="1266"/>
    </row>
    <row r="406" spans="1:36" ht="12.95" customHeight="1">
      <c r="E406" t="s">
        <v>898</v>
      </c>
      <c r="S406" s="1225" t="s">
        <v>132</v>
      </c>
      <c r="T406" s="1225"/>
    </row>
    <row r="407" spans="1:36" ht="12.95" customHeight="1">
      <c r="E407" t="s">
        <v>298</v>
      </c>
      <c r="H407" s="1366" t="s">
        <v>593</v>
      </c>
      <c r="I407" s="1366"/>
      <c r="J407" s="1366"/>
      <c r="K407" s="1366"/>
      <c r="L407" s="1366"/>
      <c r="M407" s="1366"/>
      <c r="N407" s="1366"/>
      <c r="O407" s="1366"/>
      <c r="P407" s="1366"/>
      <c r="Q407" s="1366"/>
      <c r="R407" s="1366"/>
      <c r="S407" s="1366"/>
      <c r="T407" s="1366"/>
      <c r="U407" s="1366"/>
      <c r="V407" s="1366"/>
      <c r="W407" s="1366"/>
      <c r="X407" s="1366"/>
      <c r="Y407" s="1366"/>
      <c r="Z407" s="1366"/>
      <c r="AA407" s="1366"/>
      <c r="AB407" s="1366"/>
      <c r="AC407" s="1366"/>
      <c r="AD407" s="1366"/>
      <c r="AE407" s="1366"/>
      <c r="AF407" s="1366"/>
      <c r="AG407" s="1366"/>
      <c r="AH407" s="1366"/>
      <c r="AI407" s="1366"/>
      <c r="AJ407" s="1366"/>
    </row>
    <row r="408" spans="1:36" ht="12.95" customHeight="1">
      <c r="H408" s="1367"/>
      <c r="I408" s="1367"/>
      <c r="J408" s="1367"/>
      <c r="K408" s="1367"/>
      <c r="L408" s="1367"/>
      <c r="M408" s="1367"/>
      <c r="N408" s="1367"/>
      <c r="O408" s="1367"/>
      <c r="P408" s="1367"/>
      <c r="Q408" s="1367"/>
      <c r="R408" s="1367"/>
      <c r="S408" s="1367"/>
      <c r="T408" s="1367"/>
      <c r="U408" s="1367"/>
      <c r="V408" s="1367"/>
      <c r="W408" s="1367"/>
      <c r="X408" s="1367"/>
      <c r="Y408" s="1367"/>
      <c r="Z408" s="1367"/>
      <c r="AA408" s="1367"/>
      <c r="AB408" s="1367"/>
      <c r="AC408" s="1367"/>
      <c r="AD408" s="1367"/>
      <c r="AE408" s="1367"/>
      <c r="AF408" s="1367"/>
      <c r="AG408" s="1367"/>
      <c r="AH408" s="1367"/>
      <c r="AI408" s="1367"/>
      <c r="AJ408" s="1367"/>
    </row>
    <row r="409" spans="1:36" ht="12.95" customHeight="1"/>
    <row r="410" spans="1:36" ht="12.95" customHeight="1">
      <c r="A410" s="3" t="s">
        <v>131</v>
      </c>
      <c r="B410" s="3"/>
      <c r="C410" s="3"/>
      <c r="D410" s="3" t="s">
        <v>946</v>
      </c>
      <c r="AE410" s="5"/>
      <c r="AF410" s="3" t="s">
        <v>1266</v>
      </c>
    </row>
    <row r="411" spans="1:36" ht="12.95" customHeight="1">
      <c r="E411" s="1313"/>
      <c r="F411" s="1313"/>
      <c r="G411" s="1313"/>
      <c r="H411" s="18" t="s">
        <v>947</v>
      </c>
      <c r="I411" s="1313"/>
      <c r="J411" s="1313"/>
      <c r="K411" s="1313"/>
      <c r="L411" t="s">
        <v>948</v>
      </c>
      <c r="N411" s="34" t="s">
        <v>892</v>
      </c>
      <c r="P411" s="1370">
        <v>3.36</v>
      </c>
      <c r="Q411" s="1370"/>
      <c r="R411" s="1370"/>
      <c r="S411" t="s">
        <v>949</v>
      </c>
      <c r="W411" s="1371">
        <f>IF(E411&gt;0,(E411*I411),(P411*43560))</f>
        <v>146361.60000000001</v>
      </c>
      <c r="X411" s="1371"/>
      <c r="Y411" s="1371"/>
      <c r="Z411" t="s">
        <v>950</v>
      </c>
      <c r="AF411" s="1282">
        <f>IF(P411&gt;0,(AG430/P411),(AG430/(W411/43560)))</f>
        <v>17.857142857142858</v>
      </c>
      <c r="AG411" s="1282"/>
      <c r="AH411" s="1282"/>
    </row>
    <row r="412" spans="1:36" ht="12.95" customHeight="1">
      <c r="E412" t="s">
        <v>215</v>
      </c>
    </row>
    <row r="413" spans="1:36" ht="12.95" customHeight="1">
      <c r="E413" s="1376"/>
      <c r="F413" s="1376"/>
      <c r="G413" s="1376"/>
      <c r="H413" s="1376"/>
      <c r="I413" s="1376"/>
      <c r="J413" s="1376"/>
      <c r="K413" s="1376"/>
      <c r="L413" s="1376"/>
      <c r="M413" s="1376"/>
      <c r="N413" s="1376"/>
      <c r="O413" s="1376"/>
      <c r="P413" s="1376"/>
      <c r="Q413" s="1376"/>
      <c r="R413" s="1376"/>
      <c r="S413" s="1376"/>
      <c r="T413" s="1376"/>
      <c r="U413" s="1376"/>
      <c r="V413" s="1376"/>
      <c r="W413" s="1376"/>
      <c r="X413" s="1376"/>
      <c r="Y413" s="1376"/>
      <c r="Z413" s="1376"/>
      <c r="AA413" s="1376"/>
      <c r="AB413" s="1376"/>
      <c r="AC413" s="1376"/>
      <c r="AD413" s="1376"/>
      <c r="AE413" s="1376"/>
      <c r="AF413" s="1376"/>
      <c r="AG413" s="1376"/>
      <c r="AH413" s="1376"/>
      <c r="AI413" s="1376"/>
      <c r="AJ413" s="1376"/>
    </row>
    <row r="414" spans="1:36" ht="12.95" customHeight="1">
      <c r="E414" s="270" t="s">
        <v>2079</v>
      </c>
      <c r="F414" s="29"/>
      <c r="G414" s="29"/>
      <c r="H414" s="29"/>
      <c r="I414" s="1375">
        <v>3.36</v>
      </c>
      <c r="J414" s="1375"/>
      <c r="K414" s="1375"/>
      <c r="L414" s="29"/>
      <c r="M414" s="270"/>
      <c r="N414" s="29"/>
      <c r="O414" s="29"/>
      <c r="P414" s="1312">
        <f>(CQ615+CS620+CQ634)/I414</f>
        <v>35.416666666666671</v>
      </c>
      <c r="Q414" s="1312"/>
      <c r="R414" s="1312"/>
      <c r="S414" s="270" t="s">
        <v>2080</v>
      </c>
      <c r="T414" s="29"/>
      <c r="U414" s="29"/>
      <c r="V414" s="29"/>
      <c r="W414" s="29"/>
      <c r="X414" s="29"/>
      <c r="Y414" s="899"/>
      <c r="Z414" s="899"/>
      <c r="AA414" s="899"/>
      <c r="AB414" s="899"/>
      <c r="AC414" s="899"/>
      <c r="AD414" s="899"/>
      <c r="AE414" s="899"/>
      <c r="AF414" s="899"/>
      <c r="AG414" s="899"/>
      <c r="AH414" s="899"/>
      <c r="AI414" s="899"/>
      <c r="AJ414" s="899"/>
    </row>
    <row r="415" spans="1:36" ht="12.95" customHeight="1"/>
    <row r="416" spans="1:36" ht="12.95" customHeight="1">
      <c r="A416" s="3" t="s">
        <v>133</v>
      </c>
      <c r="B416" s="3"/>
      <c r="C416" s="3"/>
      <c r="D416" s="3" t="s">
        <v>952</v>
      </c>
    </row>
    <row r="417" spans="1:36" ht="12.95" customHeight="1">
      <c r="E417" t="s">
        <v>480</v>
      </c>
      <c r="P417" s="1225">
        <v>4</v>
      </c>
      <c r="Q417" s="1225"/>
      <c r="S417" t="s">
        <v>144</v>
      </c>
      <c r="AE417" s="1225">
        <v>3</v>
      </c>
      <c r="AF417" s="1225"/>
    </row>
    <row r="418" spans="1:36" ht="12.95" customHeight="1">
      <c r="E418" t="s">
        <v>145</v>
      </c>
      <c r="P418" s="1225">
        <v>1</v>
      </c>
      <c r="Q418" s="1225"/>
      <c r="S418" t="s">
        <v>762</v>
      </c>
      <c r="AE418" s="1225" t="s">
        <v>132</v>
      </c>
      <c r="AF418" s="1225"/>
    </row>
    <row r="419" spans="1:36" ht="12.95" customHeight="1">
      <c r="F419" s="36" t="s">
        <v>236</v>
      </c>
    </row>
    <row r="420" spans="1:36" ht="12.95" customHeight="1">
      <c r="F420" s="1373"/>
      <c r="G420" s="1373"/>
      <c r="H420" s="1373"/>
      <c r="I420" s="1373"/>
      <c r="J420" s="1373"/>
      <c r="K420" s="1373"/>
      <c r="L420" s="1373"/>
      <c r="M420" s="1373"/>
      <c r="N420" s="1373"/>
      <c r="O420" s="1373"/>
      <c r="P420" s="1373"/>
      <c r="Q420" s="1373"/>
      <c r="R420" s="1373"/>
      <c r="S420" s="1373"/>
      <c r="T420" s="1373"/>
      <c r="U420" s="1373"/>
      <c r="V420" s="1373"/>
      <c r="W420" s="1373"/>
      <c r="X420" s="1373"/>
      <c r="Y420" s="1373"/>
      <c r="Z420" s="1373"/>
      <c r="AA420" s="1373"/>
      <c r="AB420" s="1373"/>
      <c r="AC420" s="1373"/>
      <c r="AD420" s="1373"/>
      <c r="AE420" s="1373"/>
      <c r="AF420" s="1373"/>
      <c r="AG420" s="1373"/>
      <c r="AH420" s="1373"/>
    </row>
    <row r="421" spans="1:36" ht="12.95" customHeight="1">
      <c r="F421" s="1374"/>
      <c r="G421" s="1374"/>
      <c r="H421" s="1374"/>
      <c r="I421" s="1374"/>
      <c r="J421" s="1374"/>
      <c r="K421" s="1374"/>
      <c r="L421" s="1374"/>
      <c r="M421" s="1374"/>
      <c r="N421" s="1374"/>
      <c r="O421" s="1374"/>
      <c r="P421" s="1374"/>
      <c r="Q421" s="1374"/>
      <c r="R421" s="1374"/>
      <c r="S421" s="1374"/>
      <c r="T421" s="1374"/>
      <c r="U421" s="1374"/>
      <c r="V421" s="1374"/>
      <c r="W421" s="1374"/>
      <c r="X421" s="1374"/>
      <c r="Y421" s="1374"/>
      <c r="Z421" s="1374"/>
      <c r="AA421" s="1374"/>
      <c r="AB421" s="1374"/>
      <c r="AC421" s="1374"/>
      <c r="AD421" s="1374"/>
      <c r="AE421" s="1374"/>
      <c r="AF421" s="1374"/>
      <c r="AG421" s="1374"/>
      <c r="AH421" s="1374"/>
    </row>
    <row r="422" spans="1:36" ht="12.95" customHeight="1">
      <c r="E422" t="s">
        <v>899</v>
      </c>
      <c r="P422" s="1"/>
      <c r="Q422" s="1225" t="s">
        <v>116</v>
      </c>
      <c r="R422" s="1225"/>
      <c r="AE422" s="1"/>
      <c r="AF422" s="1"/>
    </row>
    <row r="423" spans="1:36" ht="12.95" customHeight="1">
      <c r="F423" t="s">
        <v>900</v>
      </c>
      <c r="P423" s="1"/>
      <c r="Q423" s="1"/>
      <c r="AE423" s="1225" t="s">
        <v>132</v>
      </c>
      <c r="AF423" s="1369"/>
    </row>
    <row r="424" spans="1:36" ht="12.95" customHeight="1"/>
    <row r="425" spans="1:36" ht="12.95" customHeight="1">
      <c r="A425" s="3"/>
      <c r="B425" s="3"/>
      <c r="C425" s="3"/>
      <c r="E425" s="5" t="s">
        <v>85</v>
      </c>
      <c r="Z425" s="1225" t="s">
        <v>511</v>
      </c>
      <c r="AA425" s="1225"/>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25" t="s">
        <v>132</v>
      </c>
      <c r="AA427" s="1225"/>
    </row>
    <row r="428" spans="1:36" ht="12.95" customHeight="1"/>
    <row r="429" spans="1:36" ht="12.95" customHeight="1">
      <c r="A429" s="3" t="s">
        <v>392</v>
      </c>
      <c r="B429" s="3"/>
      <c r="C429" s="3"/>
      <c r="D429" s="3" t="s">
        <v>183</v>
      </c>
      <c r="AF429" s="54"/>
    </row>
    <row r="430" spans="1:36" ht="12.95" customHeight="1">
      <c r="D430" s="1181" t="s">
        <v>381</v>
      </c>
      <c r="E430" s="1182"/>
      <c r="F430" s="1182"/>
      <c r="G430" s="1182"/>
      <c r="H430" s="1182"/>
      <c r="I430" s="1182"/>
      <c r="J430" s="1182"/>
      <c r="K430" s="1182"/>
      <c r="L430" s="1182"/>
      <c r="M430" s="1182"/>
      <c r="N430" s="1182"/>
      <c r="O430" s="1182"/>
      <c r="P430" s="1182"/>
      <c r="Q430" s="1182"/>
      <c r="R430" s="1182"/>
      <c r="S430" s="1182"/>
      <c r="T430" s="1182"/>
      <c r="U430" s="1182"/>
      <c r="V430" s="1182"/>
      <c r="W430" s="1182"/>
      <c r="X430" s="1182"/>
      <c r="Y430" s="1182"/>
      <c r="Z430" s="1182"/>
      <c r="AA430" s="1182"/>
      <c r="AB430" s="1182"/>
      <c r="AC430" s="1182"/>
      <c r="AD430" s="1182"/>
      <c r="AE430" s="1182"/>
      <c r="AF430" s="1308"/>
      <c r="AG430" s="1377">
        <v>60</v>
      </c>
      <c r="AH430" s="1377"/>
      <c r="AI430" s="1377"/>
      <c r="AJ430" s="1377"/>
    </row>
    <row r="431" spans="1:36" ht="12.95" customHeight="1">
      <c r="D431" s="1185" t="s">
        <v>1432</v>
      </c>
      <c r="E431" s="1310"/>
      <c r="F431" s="1310"/>
      <c r="G431" s="1310"/>
      <c r="H431" s="1310"/>
      <c r="I431" s="1310"/>
      <c r="J431" s="1310"/>
      <c r="K431" s="1310"/>
      <c r="L431" s="1310"/>
      <c r="M431" s="1310"/>
      <c r="N431" s="1310"/>
      <c r="O431" s="1310"/>
      <c r="P431" s="1310"/>
      <c r="Q431" s="1310"/>
      <c r="R431" s="1310"/>
      <c r="S431" s="1310"/>
      <c r="T431" s="1310"/>
      <c r="U431" s="1310"/>
      <c r="V431" s="1310"/>
      <c r="W431" s="1310"/>
      <c r="X431" s="1310"/>
      <c r="Y431" s="1310"/>
      <c r="Z431" s="1310"/>
      <c r="AA431" s="1310"/>
      <c r="AB431" s="1310"/>
      <c r="AC431" s="1310"/>
      <c r="AD431" s="1310"/>
      <c r="AE431" s="1310"/>
      <c r="AF431" s="1311"/>
      <c r="AG431" s="1378">
        <v>0</v>
      </c>
      <c r="AH431" s="1379"/>
      <c r="AI431" s="1379"/>
      <c r="AJ431" s="1379"/>
    </row>
    <row r="432" spans="1:36" ht="12.95" customHeight="1">
      <c r="D432" s="1185" t="s">
        <v>1433</v>
      </c>
      <c r="E432" s="1310"/>
      <c r="F432" s="1310"/>
      <c r="G432" s="1310"/>
      <c r="H432" s="1310"/>
      <c r="I432" s="1310"/>
      <c r="J432" s="1310"/>
      <c r="K432" s="1310"/>
      <c r="L432" s="1310"/>
      <c r="M432" s="1310"/>
      <c r="N432" s="1310"/>
      <c r="O432" s="1310"/>
      <c r="P432" s="1310"/>
      <c r="Q432" s="1310"/>
      <c r="R432" s="1310"/>
      <c r="S432" s="1310"/>
      <c r="T432" s="1310"/>
      <c r="U432" s="1310"/>
      <c r="V432" s="1310"/>
      <c r="W432" s="1310"/>
      <c r="X432" s="1310"/>
      <c r="Y432" s="1310"/>
      <c r="Z432" s="1310"/>
      <c r="AA432" s="1310"/>
      <c r="AB432" s="1310"/>
      <c r="AC432" s="1310"/>
      <c r="AD432" s="1310"/>
      <c r="AE432" s="1310"/>
      <c r="AF432" s="1311"/>
      <c r="AG432" s="1377">
        <v>59</v>
      </c>
      <c r="AH432" s="1377"/>
      <c r="AI432" s="1377"/>
      <c r="AJ432" s="1377"/>
    </row>
    <row r="433" spans="4:36" ht="12.95" customHeight="1">
      <c r="D433" s="1185" t="s">
        <v>1429</v>
      </c>
      <c r="E433" s="1310"/>
      <c r="F433" s="1310"/>
      <c r="G433" s="1310"/>
      <c r="H433" s="1310"/>
      <c r="I433" s="1310"/>
      <c r="J433" s="1310"/>
      <c r="K433" s="1310"/>
      <c r="L433" s="1310"/>
      <c r="M433" s="1310"/>
      <c r="N433" s="1310"/>
      <c r="O433" s="1310"/>
      <c r="P433" s="1310"/>
      <c r="Q433" s="1310"/>
      <c r="R433" s="1310"/>
      <c r="S433" s="1310"/>
      <c r="T433" s="1310"/>
      <c r="U433" s="1310"/>
      <c r="V433" s="1310"/>
      <c r="W433" s="1310"/>
      <c r="X433" s="1310"/>
      <c r="Y433" s="1310"/>
      <c r="Z433" s="1310"/>
      <c r="AA433" s="1310"/>
      <c r="AB433" s="1310"/>
      <c r="AC433" s="1310"/>
      <c r="AD433" s="1310"/>
      <c r="AE433" s="1310"/>
      <c r="AF433" s="1311"/>
      <c r="AG433" s="1377">
        <v>59</v>
      </c>
      <c r="AH433" s="1377"/>
      <c r="AI433" s="1377"/>
      <c r="AJ433" s="1377"/>
    </row>
    <row r="434" spans="4:36" ht="12.95" customHeight="1">
      <c r="D434" s="1185" t="s">
        <v>1434</v>
      </c>
      <c r="E434" s="1310"/>
      <c r="F434" s="1310"/>
      <c r="G434" s="1310"/>
      <c r="H434" s="1310"/>
      <c r="I434" s="1310"/>
      <c r="J434" s="1310"/>
      <c r="K434" s="1310"/>
      <c r="L434" s="1310"/>
      <c r="M434" s="1310"/>
      <c r="N434" s="1310"/>
      <c r="O434" s="1310"/>
      <c r="P434" s="1310"/>
      <c r="Q434" s="1310"/>
      <c r="R434" s="1310"/>
      <c r="S434" s="1310"/>
      <c r="T434" s="1310"/>
      <c r="U434" s="1310"/>
      <c r="V434" s="1310"/>
      <c r="W434" s="1310"/>
      <c r="X434" s="1310"/>
      <c r="Y434" s="1310"/>
      <c r="Z434" s="1310"/>
      <c r="AA434" s="1310"/>
      <c r="AB434" s="1310"/>
      <c r="AC434" s="1310"/>
      <c r="AD434" s="1310"/>
      <c r="AE434" s="1310"/>
      <c r="AF434" s="1311"/>
      <c r="AG434" s="1309">
        <f>IF(ISERROR(AG433/AG432),"",AG433/AG432)</f>
        <v>1</v>
      </c>
      <c r="AH434" s="1309"/>
      <c r="AI434" s="1309"/>
      <c r="AJ434" s="1309"/>
    </row>
    <row r="435" spans="4:36" ht="12.95" customHeight="1">
      <c r="D435" s="1185" t="s">
        <v>1431</v>
      </c>
      <c r="E435" s="1310"/>
      <c r="F435" s="1310"/>
      <c r="G435" s="1310"/>
      <c r="H435" s="1310"/>
      <c r="I435" s="1310"/>
      <c r="J435" s="1310"/>
      <c r="K435" s="1310"/>
      <c r="L435" s="1310"/>
      <c r="M435" s="1310"/>
      <c r="N435" s="1310"/>
      <c r="O435" s="1310"/>
      <c r="P435" s="1310"/>
      <c r="Q435" s="1310"/>
      <c r="R435" s="1310"/>
      <c r="S435" s="1310"/>
      <c r="T435" s="1310"/>
      <c r="U435" s="1310"/>
      <c r="V435" s="1310"/>
      <c r="W435" s="1310"/>
      <c r="X435" s="1310"/>
      <c r="Y435" s="1310"/>
      <c r="Z435" s="1310"/>
      <c r="AA435" s="1310"/>
      <c r="AB435" s="1310"/>
      <c r="AC435" s="1310"/>
      <c r="AD435" s="1310"/>
      <c r="AE435" s="1310"/>
      <c r="AF435" s="1311"/>
      <c r="AG435" s="1300">
        <v>45956</v>
      </c>
      <c r="AH435" s="1300"/>
      <c r="AI435" s="1300"/>
      <c r="AJ435" s="1300"/>
    </row>
    <row r="436" spans="4:36" ht="12.95" customHeight="1">
      <c r="D436" s="1185" t="s">
        <v>1430</v>
      </c>
      <c r="E436" s="1310"/>
      <c r="F436" s="1310"/>
      <c r="G436" s="1310"/>
      <c r="H436" s="1310"/>
      <c r="I436" s="1310"/>
      <c r="J436" s="1310"/>
      <c r="K436" s="1310"/>
      <c r="L436" s="1310"/>
      <c r="M436" s="1310"/>
      <c r="N436" s="1310"/>
      <c r="O436" s="1310"/>
      <c r="P436" s="1310"/>
      <c r="Q436" s="1310"/>
      <c r="R436" s="1310"/>
      <c r="S436" s="1310"/>
      <c r="T436" s="1310"/>
      <c r="U436" s="1310"/>
      <c r="V436" s="1310"/>
      <c r="W436" s="1310"/>
      <c r="X436" s="1310"/>
      <c r="Y436" s="1310"/>
      <c r="Z436" s="1310"/>
      <c r="AA436" s="1310"/>
      <c r="AB436" s="1310"/>
      <c r="AC436" s="1310"/>
      <c r="AD436" s="1310"/>
      <c r="AE436" s="1310"/>
      <c r="AF436" s="1311"/>
      <c r="AG436" s="1300">
        <v>45956</v>
      </c>
      <c r="AH436" s="1300"/>
      <c r="AI436" s="1300"/>
      <c r="AJ436" s="1300"/>
    </row>
    <row r="437" spans="4:36" ht="12.95" customHeight="1">
      <c r="D437" s="1185" t="s">
        <v>1437</v>
      </c>
      <c r="E437" s="1310"/>
      <c r="F437" s="1310"/>
      <c r="G437" s="1310"/>
      <c r="H437" s="1310"/>
      <c r="I437" s="1310"/>
      <c r="J437" s="1310"/>
      <c r="K437" s="1310"/>
      <c r="L437" s="1310"/>
      <c r="M437" s="1310"/>
      <c r="N437" s="1310"/>
      <c r="O437" s="1310"/>
      <c r="P437" s="1310"/>
      <c r="Q437" s="1310"/>
      <c r="R437" s="1310"/>
      <c r="S437" s="1310"/>
      <c r="T437" s="1310"/>
      <c r="U437" s="1310"/>
      <c r="V437" s="1310"/>
      <c r="W437" s="1310"/>
      <c r="X437" s="1310"/>
      <c r="Y437" s="1310"/>
      <c r="Z437" s="1310"/>
      <c r="AA437" s="1310"/>
      <c r="AB437" s="1310"/>
      <c r="AC437" s="1310"/>
      <c r="AD437" s="1310"/>
      <c r="AE437" s="1310"/>
      <c r="AF437" s="1311"/>
      <c r="AG437" s="1309">
        <f>IF(ISERROR(AG436/AG435),"",AG436/AG435)</f>
        <v>1</v>
      </c>
      <c r="AH437" s="1309"/>
      <c r="AI437" s="1309"/>
      <c r="AJ437" s="1309"/>
    </row>
    <row r="438" spans="4:36" ht="12.95" customHeight="1">
      <c r="D438" s="1185" t="s">
        <v>1435</v>
      </c>
      <c r="E438" s="1310"/>
      <c r="F438" s="1310"/>
      <c r="G438" s="1310"/>
      <c r="H438" s="1310"/>
      <c r="I438" s="1310"/>
      <c r="J438" s="1310"/>
      <c r="K438" s="1310"/>
      <c r="L438" s="1310"/>
      <c r="M438" s="1310"/>
      <c r="N438" s="1310"/>
      <c r="O438" s="1310"/>
      <c r="P438" s="1310"/>
      <c r="Q438" s="1310"/>
      <c r="R438" s="1310"/>
      <c r="S438" s="1310"/>
      <c r="T438" s="1310"/>
      <c r="U438" s="1310"/>
      <c r="V438" s="1310"/>
      <c r="W438" s="1310"/>
      <c r="X438" s="1310"/>
      <c r="Y438" s="1310"/>
      <c r="Z438" s="1310"/>
      <c r="AA438" s="1310"/>
      <c r="AB438" s="1310"/>
      <c r="AC438" s="1310"/>
      <c r="AD438" s="1310"/>
      <c r="AE438" s="1310"/>
      <c r="AF438" s="1311"/>
      <c r="AG438" s="1309">
        <f>MIN(IF(AG434&gt;AG437,AG437,AG434),1)</f>
        <v>1</v>
      </c>
      <c r="AH438" s="1309"/>
      <c r="AI438" s="1309"/>
      <c r="AJ438" s="1309"/>
    </row>
    <row r="439" spans="4:36" ht="12.95" customHeight="1">
      <c r="D439" s="1307" t="s">
        <v>2236</v>
      </c>
      <c r="E439" s="1182"/>
      <c r="F439" s="1182"/>
      <c r="G439" s="1182"/>
      <c r="H439" s="1182"/>
      <c r="I439" s="1182"/>
      <c r="J439" s="1182"/>
      <c r="K439" s="1182"/>
      <c r="L439" s="1182"/>
      <c r="M439" s="1182"/>
      <c r="N439" s="1182"/>
      <c r="O439" s="1182"/>
      <c r="P439" s="1182"/>
      <c r="Q439" s="1182"/>
      <c r="R439" s="1182"/>
      <c r="S439" s="1182"/>
      <c r="T439" s="1182"/>
      <c r="U439" s="1182"/>
      <c r="V439" s="1182"/>
      <c r="W439" s="1182"/>
      <c r="X439" s="1182"/>
      <c r="Y439" s="1182"/>
      <c r="Z439" s="1182"/>
      <c r="AA439" s="1182"/>
      <c r="AB439" s="1182"/>
      <c r="AC439" s="1182"/>
      <c r="AD439" s="1182"/>
      <c r="AE439" s="1182"/>
      <c r="AF439" s="1308"/>
      <c r="AG439" s="1300">
        <v>1326</v>
      </c>
      <c r="AH439" s="1300"/>
      <c r="AI439" s="1300"/>
      <c r="AJ439" s="1300"/>
    </row>
    <row r="440" spans="4:36" ht="12.95" customHeight="1">
      <c r="D440" s="1185" t="s">
        <v>222</v>
      </c>
      <c r="E440" s="1310"/>
      <c r="F440" s="1310"/>
      <c r="G440" s="1310"/>
      <c r="H440" s="1310"/>
      <c r="I440" s="1310"/>
      <c r="J440" s="1310"/>
      <c r="K440" s="1310"/>
      <c r="L440" s="1310"/>
      <c r="M440" s="1310"/>
      <c r="N440" s="1310"/>
      <c r="O440" s="1310"/>
      <c r="P440" s="1310"/>
      <c r="Q440" s="1310"/>
      <c r="R440" s="1310"/>
      <c r="S440" s="1310"/>
      <c r="T440" s="1310"/>
      <c r="U440" s="1310"/>
      <c r="V440" s="1310"/>
      <c r="W440" s="1310"/>
      <c r="X440" s="1310"/>
      <c r="Y440" s="1310"/>
      <c r="Z440" s="1310"/>
      <c r="AA440" s="1310"/>
      <c r="AB440" s="1310"/>
      <c r="AC440" s="1310"/>
      <c r="AD440" s="1310"/>
      <c r="AE440" s="1310"/>
      <c r="AF440" s="1311"/>
      <c r="AG440" s="1300">
        <v>0</v>
      </c>
      <c r="AH440" s="1300"/>
      <c r="AI440" s="1300"/>
      <c r="AJ440" s="1300"/>
    </row>
    <row r="441" spans="4:36" ht="12.95" customHeight="1">
      <c r="D441" s="1307" t="s">
        <v>1813</v>
      </c>
      <c r="E441" s="1310"/>
      <c r="F441" s="1310"/>
      <c r="G441" s="1310"/>
      <c r="H441" s="1310"/>
      <c r="I441" s="1310"/>
      <c r="J441" s="1310"/>
      <c r="K441" s="1310"/>
      <c r="L441" s="1310"/>
      <c r="M441" s="1310"/>
      <c r="N441" s="1310"/>
      <c r="O441" s="1310"/>
      <c r="P441" s="1310"/>
      <c r="Q441" s="1310"/>
      <c r="R441" s="1310"/>
      <c r="S441" s="1310"/>
      <c r="T441" s="1310"/>
      <c r="U441" s="1310"/>
      <c r="V441" s="1310"/>
      <c r="W441" s="1310"/>
      <c r="X441" s="1310"/>
      <c r="Y441" s="1310"/>
      <c r="Z441" s="1310"/>
      <c r="AA441" s="1310"/>
      <c r="AB441" s="1310"/>
      <c r="AC441" s="1310"/>
      <c r="AD441" s="1310"/>
      <c r="AE441" s="1310"/>
      <c r="AF441" s="1311"/>
      <c r="AG441" s="1300">
        <v>1100</v>
      </c>
      <c r="AH441" s="1300"/>
      <c r="AI441" s="1300"/>
      <c r="AJ441" s="1300"/>
    </row>
    <row r="442" spans="4:36" ht="12.95" customHeight="1">
      <c r="D442" s="1185" t="s">
        <v>1436</v>
      </c>
      <c r="E442" s="1310"/>
      <c r="F442" s="1310"/>
      <c r="G442" s="1310"/>
      <c r="H442" s="1310"/>
      <c r="I442" s="1310"/>
      <c r="J442" s="1310"/>
      <c r="K442" s="1310"/>
      <c r="L442" s="1310"/>
      <c r="M442" s="1310"/>
      <c r="N442" s="1310"/>
      <c r="O442" s="1310"/>
      <c r="P442" s="1310"/>
      <c r="Q442" s="1310"/>
      <c r="R442" s="1310"/>
      <c r="S442" s="1310"/>
      <c r="T442" s="1310"/>
      <c r="U442" s="1310"/>
      <c r="V442" s="1310"/>
      <c r="W442" s="1310"/>
      <c r="X442" s="1310"/>
      <c r="Y442" s="1310"/>
      <c r="Z442" s="1310"/>
      <c r="AA442" s="1310"/>
      <c r="AB442" s="1310"/>
      <c r="AC442" s="1310"/>
      <c r="AD442" s="1310"/>
      <c r="AE442" s="1310"/>
      <c r="AF442" s="1311"/>
      <c r="AG442" s="1300">
        <v>0</v>
      </c>
      <c r="AH442" s="1300"/>
      <c r="AI442" s="1300"/>
      <c r="AJ442" s="1300"/>
    </row>
    <row r="443" spans="4:36" ht="12.95" customHeight="1">
      <c r="D443" s="1185" t="s">
        <v>1438</v>
      </c>
      <c r="E443" s="1310"/>
      <c r="F443" s="1310"/>
      <c r="G443" s="1310"/>
      <c r="H443" s="1310"/>
      <c r="I443" s="1310"/>
      <c r="J443" s="1310"/>
      <c r="K443" s="1310"/>
      <c r="L443" s="1310"/>
      <c r="M443" s="1310"/>
      <c r="N443" s="1310"/>
      <c r="O443" s="1310"/>
      <c r="P443" s="1310"/>
      <c r="Q443" s="1310"/>
      <c r="R443" s="1310"/>
      <c r="S443" s="1310"/>
      <c r="T443" s="1310"/>
      <c r="U443" s="1310"/>
      <c r="V443" s="1310"/>
      <c r="W443" s="1310"/>
      <c r="X443" s="1310"/>
      <c r="Y443" s="1310"/>
      <c r="Z443" s="1310"/>
      <c r="AA443" s="1310"/>
      <c r="AB443" s="1310"/>
      <c r="AC443" s="1310"/>
      <c r="AD443" s="1310"/>
      <c r="AE443" s="1310"/>
      <c r="AF443" s="1311"/>
      <c r="AG443" s="1372">
        <f>AG435+AG439+AG441+AG442</f>
        <v>48382</v>
      </c>
      <c r="AH443" s="1372"/>
      <c r="AI443" s="1372"/>
      <c r="AJ443" s="1372"/>
    </row>
    <row r="444" spans="4:36" ht="12.95" customHeight="1">
      <c r="D444" s="1329" t="s">
        <v>1814</v>
      </c>
      <c r="E444" s="1329"/>
      <c r="F444" s="1329"/>
      <c r="G444" s="1329"/>
      <c r="H444" s="1329"/>
      <c r="I444" s="1329"/>
      <c r="J444" s="1329"/>
      <c r="K444" s="1329"/>
      <c r="L444" s="1329"/>
      <c r="M444" s="1329"/>
      <c r="N444" s="1329"/>
      <c r="O444" s="1329"/>
      <c r="P444" s="1329"/>
      <c r="Q444" s="1329"/>
      <c r="R444" s="1329"/>
      <c r="S444" s="1329"/>
      <c r="T444" s="1329"/>
      <c r="U444" s="1329"/>
      <c r="V444" s="1329"/>
      <c r="W444" s="1329"/>
      <c r="X444" s="1329"/>
      <c r="Y444" s="1329"/>
      <c r="Z444" s="1329"/>
      <c r="AA444" s="1329"/>
      <c r="AB444" s="1329"/>
      <c r="AC444" s="1329"/>
      <c r="AD444" s="1329"/>
      <c r="AE444" s="1329"/>
      <c r="AF444" s="1329"/>
      <c r="AG444" s="1329"/>
      <c r="AH444" s="1329"/>
      <c r="AI444" s="1329"/>
      <c r="AJ444" s="1329"/>
    </row>
    <row r="445" spans="4:36" ht="12.95" customHeight="1">
      <c r="D445" s="1330"/>
      <c r="E445" s="1330"/>
      <c r="F445" s="1330"/>
      <c r="G445" s="1330"/>
      <c r="H445" s="1330"/>
      <c r="I445" s="1330"/>
      <c r="J445" s="1330"/>
      <c r="K445" s="1330"/>
      <c r="L445" s="1330"/>
      <c r="M445" s="1330"/>
      <c r="N445" s="1330"/>
      <c r="O445" s="1330"/>
      <c r="P445" s="1330"/>
      <c r="Q445" s="1330"/>
      <c r="R445" s="1330"/>
      <c r="S445" s="1330"/>
      <c r="T445" s="1330"/>
      <c r="U445" s="1330"/>
      <c r="V445" s="1330"/>
      <c r="W445" s="1330"/>
      <c r="X445" s="1330"/>
      <c r="Y445" s="1330"/>
      <c r="Z445" s="1330"/>
      <c r="AA445" s="1330"/>
      <c r="AB445" s="1330"/>
      <c r="AC445" s="1330"/>
      <c r="AD445" s="1330"/>
      <c r="AE445" s="1330"/>
      <c r="AF445" s="1330"/>
      <c r="AG445" s="1330"/>
      <c r="AH445" s="1330"/>
      <c r="AI445" s="1330"/>
      <c r="AJ445" s="1330"/>
    </row>
    <row r="446" spans="4:36" ht="12.95" customHeight="1">
      <c r="D446" s="1321"/>
      <c r="E446" s="1321"/>
      <c r="F446" s="1321"/>
      <c r="G446" s="1321"/>
      <c r="H446" s="1321"/>
      <c r="I446" s="1321"/>
      <c r="J446" s="1321"/>
      <c r="K446" s="1321"/>
      <c r="L446" s="1321"/>
      <c r="M446" s="1321"/>
      <c r="N446" s="1321"/>
      <c r="O446" s="1321"/>
      <c r="P446" s="1321"/>
      <c r="Q446" s="1321"/>
      <c r="R446" s="1321"/>
      <c r="S446" s="1321"/>
      <c r="T446" s="1321"/>
      <c r="U446" s="1321"/>
      <c r="V446" s="1321"/>
      <c r="W446" s="1321"/>
      <c r="X446" s="1321"/>
      <c r="Y446" s="1321"/>
      <c r="Z446" s="1321"/>
      <c r="AA446" s="1321"/>
      <c r="AB446" s="1321"/>
      <c r="AC446" s="1321"/>
      <c r="AD446" s="1321"/>
      <c r="AE446" s="1321"/>
      <c r="AF446" s="1321"/>
      <c r="AG446" s="1321"/>
      <c r="AH446" s="1321"/>
      <c r="AI446" s="1321"/>
      <c r="AJ446" s="1321"/>
    </row>
    <row r="447" spans="4:36" ht="12.95"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06">
        <f>'Sources and Uses Budget'!B104/Application!AG430</f>
        <v>456307.10991444677</v>
      </c>
      <c r="AD447" s="1306"/>
      <c r="AE447" s="1306"/>
      <c r="AF447" s="1306"/>
      <c r="AG447" s="1480"/>
      <c r="AH447" s="1480"/>
      <c r="AI447" s="1480"/>
      <c r="AJ447" s="1480"/>
    </row>
    <row r="448" spans="4:36" ht="12.95"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06">
        <f>'Sources and Uses Budget'!C104/Application!AG430</f>
        <v>456307.10991444677</v>
      </c>
      <c r="AD448" s="1306"/>
      <c r="AE448" s="1306"/>
      <c r="AF448" s="1306"/>
      <c r="AG448" s="1480"/>
      <c r="AH448" s="1480"/>
      <c r="AI448" s="1480"/>
      <c r="AJ448" s="1480"/>
    </row>
    <row r="449" spans="1:38" ht="12.95"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06">
        <f>('Sources and Uses Budget'!S106+'Sources and Uses Budget'!T106)/Application!AG430</f>
        <v>413062.13925491844</v>
      </c>
      <c r="AD449" s="1306"/>
      <c r="AE449" s="1306"/>
      <c r="AF449" s="1306"/>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294" t="s">
        <v>2209</v>
      </c>
      <c r="E458" s="1295"/>
      <c r="F458" s="1295"/>
      <c r="G458" s="1295"/>
      <c r="H458" s="1295"/>
      <c r="I458" s="1295"/>
      <c r="J458" s="1295"/>
      <c r="K458" s="1295"/>
      <c r="L458" s="1295"/>
      <c r="M458" s="1295"/>
      <c r="N458" s="1295"/>
      <c r="O458" s="1295"/>
      <c r="P458" s="1295"/>
      <c r="Q458" s="1295"/>
      <c r="R458" s="1295"/>
      <c r="S458" s="1295"/>
      <c r="T458" s="1295"/>
      <c r="U458" s="1295"/>
      <c r="V458" s="1296"/>
      <c r="W458" s="1286" t="s">
        <v>132</v>
      </c>
      <c r="X458" s="1287"/>
      <c r="Y458" s="1288"/>
      <c r="Z458" s="311"/>
      <c r="AA458" s="311"/>
      <c r="AB458" s="311"/>
      <c r="AC458" s="311"/>
      <c r="AD458" s="311"/>
      <c r="AE458" s="311"/>
      <c r="AF458" s="311"/>
      <c r="AG458" s="311"/>
      <c r="AH458" s="311"/>
      <c r="AI458" s="311"/>
      <c r="AJ458" s="41"/>
      <c r="AK458" s="41"/>
      <c r="AL458" s="41"/>
    </row>
    <row r="459" spans="1:38" ht="12.95" customHeight="1">
      <c r="A459" s="41"/>
      <c r="B459" s="41"/>
      <c r="C459" s="41"/>
      <c r="D459" s="1294" t="s">
        <v>227</v>
      </c>
      <c r="E459" s="1295"/>
      <c r="F459" s="1295"/>
      <c r="G459" s="1295"/>
      <c r="H459" s="1295"/>
      <c r="I459" s="1295"/>
      <c r="J459" s="1295"/>
      <c r="K459" s="1295"/>
      <c r="L459" s="1295"/>
      <c r="M459" s="1295"/>
      <c r="N459" s="1295"/>
      <c r="O459" s="1295"/>
      <c r="P459" s="1295"/>
      <c r="Q459" s="1295"/>
      <c r="R459" s="1295"/>
      <c r="S459" s="1295"/>
      <c r="T459" s="1295"/>
      <c r="U459" s="1295"/>
      <c r="V459" s="1296"/>
      <c r="W459" s="1286" t="s">
        <v>132</v>
      </c>
      <c r="X459" s="1287"/>
      <c r="Y459" s="1288"/>
      <c r="Z459" s="311"/>
      <c r="AA459" s="311"/>
      <c r="AB459" s="311"/>
      <c r="AC459" s="311"/>
      <c r="AD459" s="311"/>
      <c r="AE459" s="311"/>
      <c r="AF459" s="311"/>
      <c r="AG459" s="311"/>
      <c r="AH459" s="311"/>
      <c r="AI459" s="311"/>
      <c r="AJ459" s="41"/>
      <c r="AK459" s="41"/>
      <c r="AL459" s="41"/>
    </row>
    <row r="460" spans="1:38" ht="12.95" customHeight="1">
      <c r="A460" s="41"/>
      <c r="B460" s="41"/>
      <c r="C460" s="41"/>
      <c r="D460" s="1294" t="s">
        <v>228</v>
      </c>
      <c r="E460" s="1295"/>
      <c r="F460" s="1295"/>
      <c r="G460" s="1295"/>
      <c r="H460" s="1295"/>
      <c r="I460" s="1295"/>
      <c r="J460" s="1295"/>
      <c r="K460" s="1295"/>
      <c r="L460" s="1295"/>
      <c r="M460" s="1295"/>
      <c r="N460" s="1295"/>
      <c r="O460" s="1295"/>
      <c r="P460" s="1295"/>
      <c r="Q460" s="1295"/>
      <c r="R460" s="1295"/>
      <c r="S460" s="1295"/>
      <c r="T460" s="1295"/>
      <c r="U460" s="1295"/>
      <c r="V460" s="1296"/>
      <c r="W460" s="1286" t="s">
        <v>132</v>
      </c>
      <c r="X460" s="1287"/>
      <c r="Y460" s="1288"/>
      <c r="Z460" s="311"/>
      <c r="AA460" s="311"/>
      <c r="AB460" s="311"/>
      <c r="AC460" s="311"/>
      <c r="AD460" s="311"/>
      <c r="AE460" s="311"/>
      <c r="AF460" s="311"/>
      <c r="AG460" s="311"/>
      <c r="AH460" s="311"/>
      <c r="AI460" s="311"/>
      <c r="AJ460" s="41"/>
      <c r="AK460" s="41"/>
      <c r="AL460" s="41"/>
    </row>
    <row r="461" spans="1:38" ht="12.95" customHeight="1">
      <c r="A461" s="41"/>
      <c r="B461" s="41"/>
      <c r="C461" s="41"/>
      <c r="D461" s="1294" t="s">
        <v>231</v>
      </c>
      <c r="E461" s="1295"/>
      <c r="F461" s="1295"/>
      <c r="G461" s="1295"/>
      <c r="H461" s="1295"/>
      <c r="I461" s="1295"/>
      <c r="J461" s="1295"/>
      <c r="K461" s="1295"/>
      <c r="L461" s="1295"/>
      <c r="M461" s="1295"/>
      <c r="N461" s="1295"/>
      <c r="O461" s="1295"/>
      <c r="P461" s="1295"/>
      <c r="Q461" s="1295"/>
      <c r="R461" s="1295"/>
      <c r="S461" s="1295"/>
      <c r="T461" s="1295"/>
      <c r="U461" s="1295"/>
      <c r="V461" s="1296"/>
      <c r="W461" s="1286" t="s">
        <v>132</v>
      </c>
      <c r="X461" s="1287"/>
      <c r="Y461" s="1288"/>
      <c r="Z461" s="311"/>
      <c r="AA461" s="311"/>
      <c r="AB461" s="311"/>
      <c r="AC461" s="311"/>
      <c r="AD461" s="311"/>
      <c r="AE461" s="311"/>
      <c r="AF461" s="311"/>
      <c r="AG461" s="311"/>
      <c r="AH461" s="311"/>
      <c r="AI461" s="311"/>
      <c r="AJ461" s="41"/>
      <c r="AK461" s="41"/>
      <c r="AL461" s="41"/>
    </row>
    <row r="462" spans="1:38" ht="12.95" customHeight="1">
      <c r="A462" s="41"/>
      <c r="B462" s="41"/>
      <c r="C462" s="41"/>
      <c r="D462" s="1314" t="s">
        <v>1156</v>
      </c>
      <c r="E462" s="1295"/>
      <c r="F462" s="1295"/>
      <c r="G462" s="1295"/>
      <c r="H462" s="1295"/>
      <c r="I462" s="1295"/>
      <c r="J462" s="1295"/>
      <c r="K462" s="1295"/>
      <c r="L462" s="1295"/>
      <c r="M462" s="1295"/>
      <c r="N462" s="1295"/>
      <c r="O462" s="1295"/>
      <c r="P462" s="1295"/>
      <c r="Q462" s="1295"/>
      <c r="R462" s="1295"/>
      <c r="S462" s="1295"/>
      <c r="T462" s="1295"/>
      <c r="U462" s="1295"/>
      <c r="V462" s="1296"/>
      <c r="W462" s="1286" t="s">
        <v>132</v>
      </c>
      <c r="X462" s="1287"/>
      <c r="Y462" s="1288"/>
      <c r="Z462" s="311"/>
      <c r="AA462" s="311"/>
      <c r="AB462" s="311"/>
      <c r="AC462" s="311"/>
      <c r="AD462" s="311"/>
      <c r="AE462" s="311"/>
      <c r="AF462" s="311"/>
      <c r="AG462" s="311"/>
      <c r="AH462" s="311"/>
      <c r="AI462" s="311"/>
      <c r="AJ462" s="41"/>
      <c r="AK462" s="41"/>
      <c r="AL462" s="41"/>
    </row>
    <row r="463" spans="1:38" ht="12.95" customHeight="1">
      <c r="A463" s="41"/>
      <c r="B463" s="41"/>
      <c r="C463" s="41"/>
      <c r="D463" s="1294" t="s">
        <v>235</v>
      </c>
      <c r="E463" s="1295"/>
      <c r="F463" s="1295"/>
      <c r="G463" s="1295"/>
      <c r="H463" s="1295"/>
      <c r="I463" s="1295"/>
      <c r="J463" s="1295"/>
      <c r="K463" s="1295"/>
      <c r="L463" s="1295"/>
      <c r="M463" s="1295"/>
      <c r="N463" s="1295"/>
      <c r="O463" s="1295"/>
      <c r="P463" s="1295"/>
      <c r="Q463" s="1295"/>
      <c r="R463" s="1295"/>
      <c r="S463" s="1295"/>
      <c r="T463" s="1295"/>
      <c r="U463" s="1295"/>
      <c r="V463" s="1296"/>
      <c r="W463" s="1286">
        <v>29</v>
      </c>
      <c r="X463" s="1287"/>
      <c r="Y463" s="1288"/>
      <c r="Z463" s="311"/>
      <c r="AA463" s="311"/>
      <c r="AB463" s="311"/>
      <c r="AC463" s="311"/>
      <c r="AD463" s="311"/>
      <c r="AE463" s="311"/>
      <c r="AF463" s="311"/>
      <c r="AG463" s="311"/>
      <c r="AH463" s="311"/>
      <c r="AI463" s="311"/>
      <c r="AJ463" s="41"/>
      <c r="AK463" s="41"/>
      <c r="AL463" s="41"/>
    </row>
    <row r="464" spans="1:38" ht="12.95" customHeight="1">
      <c r="A464" s="572"/>
      <c r="B464" s="572"/>
      <c r="C464" s="572"/>
      <c r="D464" s="1314" t="s">
        <v>1361</v>
      </c>
      <c r="E464" s="1315"/>
      <c r="F464" s="1315"/>
      <c r="G464" s="1315"/>
      <c r="H464" s="1315"/>
      <c r="I464" s="1315"/>
      <c r="J464" s="1315"/>
      <c r="K464" s="1315"/>
      <c r="L464" s="1315"/>
      <c r="M464" s="1315"/>
      <c r="N464" s="1315"/>
      <c r="O464" s="1315"/>
      <c r="P464" s="1315"/>
      <c r="Q464" s="1315"/>
      <c r="R464" s="1315"/>
      <c r="S464" s="1315"/>
      <c r="T464" s="1315"/>
      <c r="U464" s="1315"/>
      <c r="V464" s="1316"/>
      <c r="W464" s="1322" t="s">
        <v>132</v>
      </c>
      <c r="X464" s="1323"/>
      <c r="Y464" s="1324"/>
      <c r="Z464" s="573"/>
      <c r="AA464" s="573"/>
      <c r="AB464" s="573"/>
      <c r="AC464" s="573"/>
      <c r="AD464" s="574"/>
      <c r="AE464" s="574"/>
      <c r="AF464" s="574"/>
      <c r="AG464" s="574"/>
      <c r="AH464" s="574"/>
      <c r="AI464" s="574"/>
      <c r="AJ464" s="366"/>
    </row>
    <row r="465" spans="1:97" ht="12.95" customHeight="1">
      <c r="A465" s="41"/>
      <c r="B465" s="41"/>
      <c r="C465" s="41"/>
      <c r="D465" s="421" t="s">
        <v>298</v>
      </c>
      <c r="E465" s="422"/>
      <c r="F465" s="423"/>
      <c r="G465" s="1297"/>
      <c r="H465" s="1298"/>
      <c r="I465" s="1298"/>
      <c r="J465" s="1298"/>
      <c r="K465" s="1298"/>
      <c r="L465" s="1298"/>
      <c r="M465" s="1298"/>
      <c r="N465" s="1298"/>
      <c r="O465" s="1298"/>
      <c r="P465" s="1298"/>
      <c r="Q465" s="1298"/>
      <c r="R465" s="1298"/>
      <c r="S465" s="1298"/>
      <c r="T465" s="1298"/>
      <c r="U465" s="1298"/>
      <c r="V465" s="1299"/>
      <c r="W465" s="1286" t="s">
        <v>132</v>
      </c>
      <c r="X465" s="1287"/>
      <c r="Y465" s="1288"/>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5" customHeight="1">
      <c r="A466" s="41"/>
      <c r="B466" s="41"/>
      <c r="C466" s="41"/>
      <c r="D466" s="444" t="s">
        <v>1362</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5"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327" t="s">
        <v>229</v>
      </c>
      <c r="E469" s="1328"/>
      <c r="F469" s="1328"/>
      <c r="G469" s="1328"/>
      <c r="H469" s="1328"/>
      <c r="I469" s="1328"/>
      <c r="J469" s="1328"/>
      <c r="K469" s="1328"/>
      <c r="L469" s="1328"/>
      <c r="M469" s="1328"/>
      <c r="N469" s="1328"/>
      <c r="O469" s="1328"/>
      <c r="P469" s="1328"/>
      <c r="Q469" s="1328"/>
      <c r="R469" s="1328"/>
      <c r="S469" s="1328"/>
      <c r="T469" s="1328"/>
      <c r="U469" s="1328"/>
      <c r="V469" s="1328"/>
      <c r="W469" s="1301"/>
      <c r="X469" s="1301"/>
      <c r="Y469" s="1302"/>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294" t="s">
        <v>2237</v>
      </c>
      <c r="E470" s="1295"/>
      <c r="F470" s="1295"/>
      <c r="G470" s="1295"/>
      <c r="H470" s="1295"/>
      <c r="I470" s="1295"/>
      <c r="J470" s="1295"/>
      <c r="K470" s="1295"/>
      <c r="L470" s="1295"/>
      <c r="M470" s="1295"/>
      <c r="N470" s="1295"/>
      <c r="O470" s="1295"/>
      <c r="P470" s="1295"/>
      <c r="Q470" s="1295"/>
      <c r="R470" s="1295"/>
      <c r="S470" s="1295"/>
      <c r="T470" s="1295"/>
      <c r="U470" s="1295"/>
      <c r="V470" s="1296"/>
      <c r="W470" s="1286" t="s">
        <v>132</v>
      </c>
      <c r="X470" s="1287"/>
      <c r="Y470" s="1288"/>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394" t="s">
        <v>1073</v>
      </c>
      <c r="B473" s="1394"/>
      <c r="C473" s="1394"/>
      <c r="D473" s="1394"/>
      <c r="E473" s="1394"/>
      <c r="F473" s="1394"/>
      <c r="G473" s="1394"/>
      <c r="H473" s="1394"/>
      <c r="I473" s="1394"/>
      <c r="J473" s="1394"/>
      <c r="K473" s="1394"/>
      <c r="L473" s="1394"/>
      <c r="M473" s="1394"/>
      <c r="N473" s="1394"/>
      <c r="O473" s="1394"/>
      <c r="P473" s="1394"/>
      <c r="Q473" s="1394"/>
      <c r="R473" s="1394"/>
      <c r="S473" s="1394"/>
      <c r="T473" s="1394"/>
      <c r="U473" s="1394"/>
      <c r="V473" s="1394"/>
      <c r="W473" s="1394"/>
      <c r="X473" s="1394"/>
      <c r="Y473" s="1394"/>
      <c r="Z473" s="1394"/>
      <c r="AA473" s="1394"/>
      <c r="AB473" s="1394"/>
      <c r="AC473" s="1394"/>
      <c r="AD473" s="1394"/>
      <c r="AE473" s="1394"/>
      <c r="AF473" s="1394"/>
      <c r="AG473" s="1394"/>
      <c r="AH473" s="1394"/>
      <c r="AI473" s="1394"/>
      <c r="AJ473" s="1394"/>
      <c r="AK473" s="1394"/>
      <c r="AL473" s="1394"/>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395"/>
      <c r="B474" s="1395"/>
      <c r="C474" s="1395"/>
      <c r="D474" s="1395"/>
      <c r="E474" s="1395"/>
      <c r="F474" s="1395"/>
      <c r="G474" s="1395"/>
      <c r="H474" s="1395"/>
      <c r="I474" s="1395"/>
      <c r="J474" s="1395"/>
      <c r="K474" s="1395"/>
      <c r="L474" s="1395"/>
      <c r="M474" s="1395"/>
      <c r="N474" s="1395"/>
      <c r="O474" s="1395"/>
      <c r="P474" s="1395"/>
      <c r="Q474" s="1395"/>
      <c r="R474" s="1395"/>
      <c r="S474" s="1395"/>
      <c r="T474" s="1395"/>
      <c r="U474" s="1395"/>
      <c r="V474" s="1395"/>
      <c r="W474" s="1395"/>
      <c r="X474" s="1395"/>
      <c r="Y474" s="1395"/>
      <c r="Z474" s="1395"/>
      <c r="AA474" s="1395"/>
      <c r="AB474" s="1395"/>
      <c r="AC474" s="1395"/>
      <c r="AD474" s="1395"/>
      <c r="AE474" s="1395"/>
      <c r="AF474" s="1395"/>
      <c r="AG474" s="1395"/>
      <c r="AH474" s="1395"/>
      <c r="AI474" s="1395"/>
      <c r="AJ474" s="1395"/>
      <c r="AK474" s="1395"/>
      <c r="AL474" s="1395"/>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03" t="s">
        <v>253</v>
      </c>
      <c r="R478" s="1304"/>
      <c r="S478" s="1304"/>
      <c r="T478" s="1304"/>
      <c r="U478" s="1304"/>
      <c r="V478" s="1304"/>
      <c r="W478" s="1304"/>
      <c r="X478" s="1304"/>
      <c r="Y478" s="1304"/>
      <c r="Z478" s="1304"/>
      <c r="AA478" s="1304"/>
      <c r="AB478" s="1304"/>
      <c r="AC478" s="1304"/>
      <c r="AD478" s="1304"/>
      <c r="AE478" s="1304"/>
      <c r="AF478" s="1304"/>
      <c r="AG478" s="1304"/>
      <c r="AH478" s="1304"/>
      <c r="AI478" s="1304"/>
      <c r="AJ478" s="1304"/>
      <c r="AK478" s="1305"/>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254</v>
      </c>
      <c r="C479" s="9"/>
      <c r="D479" s="9"/>
      <c r="E479" s="9"/>
      <c r="F479" s="9"/>
      <c r="G479" s="9"/>
      <c r="H479" s="9"/>
      <c r="I479" s="9"/>
      <c r="J479" s="9"/>
      <c r="K479" s="9"/>
      <c r="L479" s="9"/>
      <c r="M479" s="9"/>
      <c r="N479" s="9"/>
      <c r="O479" s="9"/>
      <c r="P479" s="9"/>
      <c r="Q479" s="1280" t="s">
        <v>2413</v>
      </c>
      <c r="R479" s="1224"/>
      <c r="S479" s="1224"/>
      <c r="T479" s="1224"/>
      <c r="U479" s="1224"/>
      <c r="V479" s="1224"/>
      <c r="W479" s="1224"/>
      <c r="X479" s="1224"/>
      <c r="Y479" s="1224"/>
      <c r="Z479" s="1224"/>
      <c r="AA479" s="1224"/>
      <c r="AB479" s="1224"/>
      <c r="AC479" s="1224"/>
      <c r="AD479" s="1224"/>
      <c r="AE479" s="1224"/>
      <c r="AF479" s="1224"/>
      <c r="AG479" s="1224"/>
      <c r="AH479" s="1224"/>
      <c r="AI479" s="1224"/>
      <c r="AJ479" s="1224"/>
      <c r="AK479" s="128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255</v>
      </c>
      <c r="C480" s="9"/>
      <c r="D480" s="9"/>
      <c r="E480" s="9"/>
      <c r="F480" s="9"/>
      <c r="G480" s="9"/>
      <c r="H480" s="9"/>
      <c r="I480" s="9"/>
      <c r="J480" s="9"/>
      <c r="K480" s="9"/>
      <c r="L480" s="9"/>
      <c r="M480" s="9"/>
      <c r="N480" s="9"/>
      <c r="O480" s="9"/>
      <c r="P480" s="9"/>
      <c r="Q480" s="1280" t="s">
        <v>2412</v>
      </c>
      <c r="R480" s="1224"/>
      <c r="S480" s="1224"/>
      <c r="T480" s="1224"/>
      <c r="U480" s="1224"/>
      <c r="V480" s="1224"/>
      <c r="W480" s="1224"/>
      <c r="X480" s="1224"/>
      <c r="Y480" s="1224"/>
      <c r="Z480" s="1224"/>
      <c r="AA480" s="1224"/>
      <c r="AB480" s="1224"/>
      <c r="AC480" s="1224"/>
      <c r="AD480" s="1224"/>
      <c r="AE480" s="1224"/>
      <c r="AF480" s="1224"/>
      <c r="AG480" s="1224"/>
      <c r="AH480" s="1224"/>
      <c r="AI480" s="1224"/>
      <c r="AJ480" s="1224"/>
      <c r="AK480" s="128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256</v>
      </c>
      <c r="C481" s="9"/>
      <c r="D481" s="9"/>
      <c r="E481" s="9"/>
      <c r="F481" s="9"/>
      <c r="G481" s="9"/>
      <c r="H481" s="9"/>
      <c r="I481" s="9"/>
      <c r="J481" s="9"/>
      <c r="K481" s="9"/>
      <c r="L481" s="9"/>
      <c r="M481" s="9"/>
      <c r="N481" s="9"/>
      <c r="O481" s="9"/>
      <c r="P481" s="9"/>
      <c r="Q481" s="1280" t="s">
        <v>2412</v>
      </c>
      <c r="R481" s="1224"/>
      <c r="S481" s="1224"/>
      <c r="T481" s="1224"/>
      <c r="U481" s="1224"/>
      <c r="V481" s="1224"/>
      <c r="W481" s="1224"/>
      <c r="X481" s="1224"/>
      <c r="Y481" s="1224"/>
      <c r="Z481" s="1224"/>
      <c r="AA481" s="1224"/>
      <c r="AB481" s="1224"/>
      <c r="AC481" s="1224"/>
      <c r="AD481" s="1224"/>
      <c r="AE481" s="1224"/>
      <c r="AF481" s="1224"/>
      <c r="AG481" s="1224"/>
      <c r="AH481" s="1224"/>
      <c r="AI481" s="1224"/>
      <c r="AJ481" s="1224"/>
      <c r="AK481" s="128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474" t="s">
        <v>257</v>
      </c>
      <c r="C482" s="1475"/>
      <c r="D482" s="1475"/>
      <c r="E482" s="1475"/>
      <c r="F482" s="1475"/>
      <c r="G482" s="1475"/>
      <c r="H482" s="1475"/>
      <c r="I482" s="1475"/>
      <c r="J482" s="1475"/>
      <c r="K482" s="1475"/>
      <c r="L482" s="1475"/>
      <c r="M482" s="1475"/>
      <c r="N482" s="1475"/>
      <c r="O482" s="1475"/>
      <c r="P482" s="1476"/>
      <c r="Q482" s="1267" t="s">
        <v>511</v>
      </c>
      <c r="R482" s="1268"/>
      <c r="S482" s="1271" t="s">
        <v>57</v>
      </c>
      <c r="T482" s="1272"/>
      <c r="U482" s="1272"/>
      <c r="V482" s="1272"/>
      <c r="W482" s="1272"/>
      <c r="X482" s="1272"/>
      <c r="Y482" s="1272"/>
      <c r="Z482" s="1272"/>
      <c r="AA482" s="1272"/>
      <c r="AB482" s="1272"/>
      <c r="AC482" s="1272"/>
      <c r="AD482" s="1272"/>
      <c r="AE482" s="1272"/>
      <c r="AF482" s="1272"/>
      <c r="AG482" s="1272"/>
      <c r="AH482" s="1272"/>
      <c r="AI482" s="1272"/>
      <c r="AJ482" s="1272"/>
      <c r="AK482" s="127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477"/>
      <c r="C483" s="1478"/>
      <c r="D483" s="1478"/>
      <c r="E483" s="1478"/>
      <c r="F483" s="1478"/>
      <c r="G483" s="1478"/>
      <c r="H483" s="1478"/>
      <c r="I483" s="1478"/>
      <c r="J483" s="1478"/>
      <c r="K483" s="1478"/>
      <c r="L483" s="1478"/>
      <c r="M483" s="1478"/>
      <c r="N483" s="1478"/>
      <c r="O483" s="1478"/>
      <c r="P483" s="1479"/>
      <c r="Q483" s="1269"/>
      <c r="R483" s="1270"/>
      <c r="S483" s="1274"/>
      <c r="T483" s="1275"/>
      <c r="U483" s="1275"/>
      <c r="V483" s="1275"/>
      <c r="W483" s="1275"/>
      <c r="X483" s="1275"/>
      <c r="Y483" s="1275"/>
      <c r="Z483" s="1275"/>
      <c r="AA483" s="1275"/>
      <c r="AB483" s="1275"/>
      <c r="AC483" s="1275"/>
      <c r="AD483" s="1275"/>
      <c r="AE483" s="1275"/>
      <c r="AF483" s="1275"/>
      <c r="AG483" s="1275"/>
      <c r="AH483" s="1275"/>
      <c r="AI483" s="1275"/>
      <c r="AJ483" s="1275"/>
      <c r="AK483" s="127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53" t="s">
        <v>2349</v>
      </c>
      <c r="C484" s="834"/>
      <c r="D484" s="834"/>
      <c r="E484" s="834"/>
      <c r="F484" s="834"/>
      <c r="G484" s="834"/>
      <c r="H484" s="834"/>
      <c r="I484" s="834"/>
      <c r="J484" s="834"/>
      <c r="K484" s="834"/>
      <c r="L484" s="834"/>
      <c r="M484" s="834"/>
      <c r="N484" s="834"/>
      <c r="O484" s="834"/>
      <c r="P484" s="834"/>
      <c r="Q484" s="1277" t="s">
        <v>132</v>
      </c>
      <c r="R484" s="1278"/>
      <c r="S484" s="1278"/>
      <c r="T484" s="1278"/>
      <c r="U484" s="1278"/>
      <c r="V484" s="1278"/>
      <c r="W484" s="1278"/>
      <c r="X484" s="1278"/>
      <c r="Y484" s="1278"/>
      <c r="Z484" s="1278"/>
      <c r="AA484" s="1278"/>
      <c r="AB484" s="1278"/>
      <c r="AC484" s="1278"/>
      <c r="AD484" s="1278"/>
      <c r="AE484" s="1278"/>
      <c r="AF484" s="1278"/>
      <c r="AG484" s="1278"/>
      <c r="AH484" s="1278"/>
      <c r="AI484" s="1278"/>
      <c r="AJ484" s="1278"/>
      <c r="AK484" s="127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258</v>
      </c>
      <c r="C485" s="9"/>
      <c r="D485" s="9"/>
      <c r="E485" s="9"/>
      <c r="F485" s="9"/>
      <c r="G485" s="9"/>
      <c r="H485" s="9"/>
      <c r="I485" s="9"/>
      <c r="J485" s="9"/>
      <c r="K485" s="9"/>
      <c r="L485" s="9"/>
      <c r="M485" s="9"/>
      <c r="N485" s="9"/>
      <c r="O485" s="9"/>
      <c r="P485" s="9"/>
      <c r="Q485" s="1280" t="s">
        <v>2415</v>
      </c>
      <c r="R485" s="1224"/>
      <c r="S485" s="1224"/>
      <c r="T485" s="1224"/>
      <c r="U485" s="1224"/>
      <c r="V485" s="1224"/>
      <c r="W485" s="1224"/>
      <c r="X485" s="1224"/>
      <c r="Y485" s="1224"/>
      <c r="Z485" s="1224"/>
      <c r="AA485" s="1224"/>
      <c r="AB485" s="1224"/>
      <c r="AC485" s="1224"/>
      <c r="AD485" s="1224"/>
      <c r="AE485" s="1224"/>
      <c r="AF485" s="1224"/>
      <c r="AG485" s="1224"/>
      <c r="AH485" s="1224"/>
      <c r="AI485" s="1224"/>
      <c r="AJ485" s="1224"/>
      <c r="AK485" s="128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259</v>
      </c>
      <c r="C486" s="9"/>
      <c r="D486" s="9"/>
      <c r="E486" s="9"/>
      <c r="F486" s="9"/>
      <c r="G486" s="9"/>
      <c r="H486" s="9"/>
      <c r="I486" s="9"/>
      <c r="J486" s="9"/>
      <c r="K486" s="9"/>
      <c r="L486" s="9"/>
      <c r="M486" s="9"/>
      <c r="N486" s="9"/>
      <c r="O486" s="9"/>
      <c r="P486" s="9"/>
      <c r="Q486" s="1280" t="s">
        <v>2414</v>
      </c>
      <c r="R486" s="1224"/>
      <c r="S486" s="1224"/>
      <c r="T486" s="1224"/>
      <c r="U486" s="1224"/>
      <c r="V486" s="1224"/>
      <c r="W486" s="1224"/>
      <c r="X486" s="1224"/>
      <c r="Y486" s="1224"/>
      <c r="Z486" s="1224"/>
      <c r="AA486" s="1224"/>
      <c r="AB486" s="1224"/>
      <c r="AC486" s="1224"/>
      <c r="AD486" s="1224"/>
      <c r="AE486" s="1224"/>
      <c r="AF486" s="1224"/>
      <c r="AG486" s="1224"/>
      <c r="AH486" s="1224"/>
      <c r="AI486" s="1224"/>
      <c r="AJ486" s="1224"/>
      <c r="AK486" s="128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2082</v>
      </c>
      <c r="C487" s="9"/>
      <c r="D487" s="9"/>
      <c r="E487" s="9"/>
      <c r="F487" s="9"/>
      <c r="G487" s="9"/>
      <c r="H487" s="9"/>
      <c r="I487" s="9"/>
      <c r="J487" s="9"/>
      <c r="K487" s="9"/>
      <c r="L487" s="9"/>
      <c r="M487" s="9"/>
      <c r="N487" s="9"/>
      <c r="O487" s="9"/>
      <c r="P487" s="9"/>
      <c r="Q487" s="1280">
        <v>102</v>
      </c>
      <c r="R487" s="1224"/>
      <c r="S487" s="1224"/>
      <c r="T487" s="1224"/>
      <c r="U487" s="1224"/>
      <c r="V487" s="1224"/>
      <c r="W487" s="1224"/>
      <c r="X487" s="1224"/>
      <c r="Y487" s="1224"/>
      <c r="Z487" s="1224"/>
      <c r="AA487" s="1224"/>
      <c r="AB487" s="1224"/>
      <c r="AC487" s="1224"/>
      <c r="AD487" s="1224"/>
      <c r="AE487" s="1224"/>
      <c r="AF487" s="1224"/>
      <c r="AG487" s="1224"/>
      <c r="AH487" s="1224"/>
      <c r="AI487" s="1224"/>
      <c r="AJ487" s="1224"/>
      <c r="AK487" s="128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2083</v>
      </c>
      <c r="C488" s="9"/>
      <c r="D488" s="9"/>
      <c r="E488" s="9"/>
      <c r="F488" s="9"/>
      <c r="G488" s="9"/>
      <c r="H488" s="9"/>
      <c r="I488" s="9"/>
      <c r="J488" s="9"/>
      <c r="K488" s="9"/>
      <c r="L488" s="9"/>
      <c r="M488" s="1318">
        <v>60</v>
      </c>
      <c r="N488" s="1319"/>
      <c r="O488" s="1319"/>
      <c r="P488" s="1320"/>
      <c r="Q488" s="214" t="s">
        <v>2084</v>
      </c>
      <c r="R488" s="9"/>
      <c r="S488" s="9"/>
      <c r="T488" s="9"/>
      <c r="U488" s="9"/>
      <c r="V488" s="9"/>
      <c r="W488" s="9"/>
      <c r="X488" s="9"/>
      <c r="Y488" s="9"/>
      <c r="Z488" s="9"/>
      <c r="AA488" s="9"/>
      <c r="AB488" s="9"/>
      <c r="AC488" s="9"/>
      <c r="AD488" s="9"/>
      <c r="AE488" s="9"/>
      <c r="AF488" s="9"/>
      <c r="AG488" s="9"/>
      <c r="AH488" s="1318">
        <v>42</v>
      </c>
      <c r="AI488" s="1319"/>
      <c r="AJ488" s="1319"/>
      <c r="AK488" s="132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3" t="s">
        <v>261</v>
      </c>
      <c r="AD492" s="1304"/>
      <c r="AE492" s="1304"/>
      <c r="AF492" s="1304"/>
      <c r="AG492" s="1304"/>
      <c r="AH492" s="1304"/>
      <c r="AI492" s="1304"/>
      <c r="AJ492" s="1304"/>
      <c r="AK492" s="1305"/>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3" t="s">
        <v>262</v>
      </c>
      <c r="AD493" s="1304"/>
      <c r="AE493" s="1304"/>
      <c r="AF493" s="1304"/>
      <c r="AG493" s="56" t="s">
        <v>263</v>
      </c>
      <c r="AH493" s="1304" t="s">
        <v>264</v>
      </c>
      <c r="AI493" s="1304"/>
      <c r="AJ493" s="1304"/>
      <c r="AK493" s="1305"/>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31" t="s">
        <v>265</v>
      </c>
      <c r="C494" s="1332"/>
      <c r="D494" s="1332"/>
      <c r="E494" s="1332"/>
      <c r="F494" s="1332"/>
      <c r="G494" s="1332"/>
      <c r="H494" s="1333"/>
      <c r="I494" s="7" t="s">
        <v>707</v>
      </c>
      <c r="J494" s="7"/>
      <c r="K494" s="7"/>
      <c r="L494" s="7"/>
      <c r="M494" s="7"/>
      <c r="N494" s="7"/>
      <c r="O494" s="7"/>
      <c r="P494" s="7"/>
      <c r="Q494" s="7"/>
      <c r="R494" s="7"/>
      <c r="S494" s="7"/>
      <c r="T494" s="7"/>
      <c r="U494" s="7"/>
      <c r="V494" s="7"/>
      <c r="W494" s="7"/>
      <c r="AC494" s="1265">
        <v>5</v>
      </c>
      <c r="AD494" s="1266"/>
      <c r="AE494" s="1266"/>
      <c r="AF494" s="1266"/>
      <c r="AG494" s="18" t="s">
        <v>263</v>
      </c>
      <c r="AH494" s="1143">
        <v>2021</v>
      </c>
      <c r="AI494" s="1143"/>
      <c r="AJ494" s="1143"/>
      <c r="AK494" s="1144"/>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334"/>
      <c r="C495" s="1335"/>
      <c r="D495" s="1335"/>
      <c r="E495" s="1335"/>
      <c r="F495" s="1335"/>
      <c r="G495" s="1335"/>
      <c r="H495" s="1336"/>
      <c r="I495" s="54" t="s">
        <v>708</v>
      </c>
      <c r="J495" s="54"/>
      <c r="K495" s="54"/>
      <c r="L495" s="54"/>
      <c r="M495" s="54"/>
      <c r="N495" s="54"/>
      <c r="O495" s="54"/>
      <c r="P495" s="54"/>
      <c r="Q495" s="54"/>
      <c r="R495" s="54"/>
      <c r="S495" s="54"/>
      <c r="T495" s="54"/>
      <c r="U495" s="54"/>
      <c r="V495" s="54"/>
      <c r="W495" s="54"/>
      <c r="X495" s="54"/>
      <c r="Y495" s="54"/>
      <c r="Z495" s="54"/>
      <c r="AA495" s="54"/>
      <c r="AB495" s="54"/>
      <c r="AC495" s="1265">
        <v>12</v>
      </c>
      <c r="AD495" s="1266"/>
      <c r="AE495" s="1266"/>
      <c r="AF495" s="1266"/>
      <c r="AG495" s="47" t="s">
        <v>263</v>
      </c>
      <c r="AH495" s="1143">
        <v>2023</v>
      </c>
      <c r="AI495" s="1143"/>
      <c r="AJ495" s="1143"/>
      <c r="AK495" s="114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331" t="s">
        <v>709</v>
      </c>
      <c r="C496" s="1332"/>
      <c r="D496" s="1332"/>
      <c r="E496" s="1332"/>
      <c r="F496" s="1332"/>
      <c r="G496" s="1332"/>
      <c r="H496" s="1333"/>
      <c r="I496" s="7" t="s">
        <v>710</v>
      </c>
      <c r="J496" s="7"/>
      <c r="K496" s="7"/>
      <c r="L496" s="7"/>
      <c r="M496" s="7"/>
      <c r="N496" s="7"/>
      <c r="O496" s="7"/>
      <c r="P496" s="7"/>
      <c r="Q496" s="7"/>
      <c r="R496" s="7"/>
      <c r="S496" s="7"/>
      <c r="T496" s="7"/>
      <c r="U496" s="7"/>
      <c r="V496" s="7"/>
      <c r="W496" s="7"/>
      <c r="AC496" s="1265" t="s">
        <v>132</v>
      </c>
      <c r="AD496" s="1266"/>
      <c r="AE496" s="1266"/>
      <c r="AF496" s="1266"/>
      <c r="AG496" s="18" t="s">
        <v>263</v>
      </c>
      <c r="AH496" s="1143"/>
      <c r="AI496" s="1143"/>
      <c r="AJ496" s="1143"/>
      <c r="AK496" s="114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34"/>
      <c r="C497" s="1335"/>
      <c r="D497" s="1335"/>
      <c r="E497" s="1335"/>
      <c r="F497" s="1335"/>
      <c r="G497" s="1335"/>
      <c r="H497" s="1336"/>
      <c r="I497" t="s">
        <v>711</v>
      </c>
      <c r="AC497" s="1265" t="s">
        <v>132</v>
      </c>
      <c r="AD497" s="1266"/>
      <c r="AE497" s="1266"/>
      <c r="AF497" s="1266"/>
      <c r="AG497" s="18" t="s">
        <v>263</v>
      </c>
      <c r="AH497" s="1143"/>
      <c r="AI497" s="1143"/>
      <c r="AJ497" s="1143"/>
      <c r="AK497" s="114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34"/>
      <c r="C498" s="1335"/>
      <c r="D498" s="1335"/>
      <c r="E498" s="1335"/>
      <c r="F498" s="1335"/>
      <c r="G498" s="1335"/>
      <c r="H498" s="1336"/>
      <c r="I498" t="s">
        <v>712</v>
      </c>
      <c r="AC498" s="1265">
        <v>5</v>
      </c>
      <c r="AD498" s="1266"/>
      <c r="AE498" s="1266"/>
      <c r="AF498" s="1266"/>
      <c r="AG498" s="18" t="s">
        <v>263</v>
      </c>
      <c r="AH498" s="1143">
        <v>2023</v>
      </c>
      <c r="AI498" s="1143"/>
      <c r="AJ498" s="1143"/>
      <c r="AK498" s="114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34"/>
      <c r="C499" s="1335"/>
      <c r="D499" s="1335"/>
      <c r="E499" s="1335"/>
      <c r="F499" s="1335"/>
      <c r="G499" s="1335"/>
      <c r="H499" s="1336"/>
      <c r="I499" t="s">
        <v>713</v>
      </c>
      <c r="AC499" s="1265">
        <v>12</v>
      </c>
      <c r="AD499" s="1266"/>
      <c r="AE499" s="1266"/>
      <c r="AF499" s="1266"/>
      <c r="AG499" s="18" t="s">
        <v>263</v>
      </c>
      <c r="AH499" s="1143">
        <v>2023</v>
      </c>
      <c r="AI499" s="1143"/>
      <c r="AJ499" s="1143"/>
      <c r="AK499" s="114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34"/>
      <c r="C500" s="1335"/>
      <c r="D500" s="1335"/>
      <c r="E500" s="1335"/>
      <c r="F500" s="1335"/>
      <c r="G500" s="1335"/>
      <c r="H500" s="1336"/>
      <c r="I500" s="41" t="s">
        <v>714</v>
      </c>
      <c r="AC500" s="1263">
        <v>12</v>
      </c>
      <c r="AD500" s="1264"/>
      <c r="AE500" s="1264"/>
      <c r="AF500" s="1264"/>
      <c r="AG500" s="18" t="s">
        <v>263</v>
      </c>
      <c r="AH500" s="1143">
        <v>2023</v>
      </c>
      <c r="AI500" s="1143"/>
      <c r="AJ500" s="1143"/>
      <c r="AK500" s="1144"/>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34"/>
      <c r="C501" s="1335"/>
      <c r="D501" s="1335"/>
      <c r="E501" s="1335"/>
      <c r="F501" s="1335"/>
      <c r="G501" s="1335"/>
      <c r="H501" s="1336"/>
      <c r="I501" s="414" t="s">
        <v>298</v>
      </c>
      <c r="J501" s="54"/>
      <c r="K501" s="54"/>
      <c r="L501" s="1317" t="s">
        <v>593</v>
      </c>
      <c r="M501" s="1290"/>
      <c r="N501" s="1290"/>
      <c r="O501" s="1290"/>
      <c r="P501" s="1290"/>
      <c r="Q501" s="1290"/>
      <c r="R501" s="1290"/>
      <c r="S501" s="1290"/>
      <c r="T501" s="1290"/>
      <c r="U501" s="1290"/>
      <c r="V501" s="1290"/>
      <c r="W501" s="1290"/>
      <c r="X501" s="1290"/>
      <c r="Y501" s="1290"/>
      <c r="Z501" s="1290"/>
      <c r="AA501" s="1290"/>
      <c r="AB501" s="1342"/>
      <c r="AC501" s="1364" t="s">
        <v>132</v>
      </c>
      <c r="AD501" s="1365"/>
      <c r="AE501" s="1365"/>
      <c r="AF501" s="1365"/>
      <c r="AG501" s="47" t="s">
        <v>263</v>
      </c>
      <c r="AH501" s="1143"/>
      <c r="AI501" s="1143"/>
      <c r="AJ501" s="1143"/>
      <c r="AK501" s="1144"/>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34"/>
      <c r="C502" s="1335"/>
      <c r="D502" s="1335"/>
      <c r="E502" s="1335"/>
      <c r="F502" s="1335"/>
      <c r="G502" s="1335"/>
      <c r="H502" s="1336"/>
      <c r="I502" s="41" t="s">
        <v>2085</v>
      </c>
      <c r="AC502" s="1400" t="s">
        <v>511</v>
      </c>
      <c r="AD502" s="1400"/>
      <c r="AE502" s="1400"/>
      <c r="AF502" s="1400"/>
      <c r="AG502" s="18"/>
      <c r="AH502" s="1047"/>
      <c r="AI502" s="1047"/>
      <c r="AJ502" s="1047"/>
      <c r="AK502" s="1285"/>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34"/>
      <c r="C503" s="1335"/>
      <c r="D503" s="1335"/>
      <c r="E503" s="1335"/>
      <c r="F503" s="1335"/>
      <c r="G503" s="1335"/>
      <c r="H503" s="1336"/>
      <c r="I503" t="s">
        <v>2086</v>
      </c>
      <c r="AC503" s="1263"/>
      <c r="AD503" s="1264"/>
      <c r="AE503" s="1264"/>
      <c r="AF503" s="1284"/>
      <c r="AG503" s="18"/>
      <c r="AH503" s="1047"/>
      <c r="AI503" s="1047"/>
      <c r="AJ503" s="1047"/>
      <c r="AK503" s="1285"/>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34"/>
      <c r="C504" s="1335"/>
      <c r="D504" s="1335"/>
      <c r="E504" s="1335"/>
      <c r="F504" s="1335"/>
      <c r="G504" s="1335"/>
      <c r="H504" s="1336"/>
      <c r="I504" t="s">
        <v>2087</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34"/>
      <c r="C505" s="1335"/>
      <c r="D505" s="1335"/>
      <c r="E505" s="1335"/>
      <c r="F505" s="1335"/>
      <c r="G505" s="1335"/>
      <c r="H505" s="1336"/>
      <c r="I505" s="858" t="s">
        <v>2088</v>
      </c>
      <c r="J505" s="54"/>
      <c r="K505" s="54"/>
      <c r="L505" s="54"/>
      <c r="M505" s="54"/>
      <c r="N505" s="54"/>
      <c r="O505" s="54"/>
      <c r="P505" s="54"/>
      <c r="Q505" s="54"/>
      <c r="R505" s="54"/>
      <c r="S505" s="54"/>
      <c r="T505" s="54"/>
      <c r="U505" s="54"/>
      <c r="V505" s="54"/>
      <c r="W505" s="54"/>
      <c r="X505" s="54"/>
      <c r="Y505" s="54"/>
      <c r="Z505" s="54"/>
      <c r="AA505" s="54"/>
      <c r="AB505" s="54"/>
      <c r="AC505" s="1339">
        <v>0.5</v>
      </c>
      <c r="AD505" s="1340"/>
      <c r="AE505" s="1340"/>
      <c r="AF505" s="1341"/>
      <c r="AG505" s="47"/>
      <c r="AH505" s="1337"/>
      <c r="AI505" s="1337"/>
      <c r="AJ505" s="1337"/>
      <c r="AK505" s="133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31" t="s">
        <v>715</v>
      </c>
      <c r="C506" s="1332"/>
      <c r="D506" s="1332"/>
      <c r="E506" s="1332"/>
      <c r="F506" s="1332"/>
      <c r="G506" s="1332"/>
      <c r="H506" s="1333"/>
      <c r="I506" s="7" t="s">
        <v>716</v>
      </c>
      <c r="J506" s="7"/>
      <c r="K506" s="7"/>
      <c r="L506" s="7"/>
      <c r="M506" s="7"/>
      <c r="N506" s="7"/>
      <c r="O506" s="7"/>
      <c r="P506" s="7"/>
      <c r="Q506" s="7"/>
      <c r="R506" s="7"/>
      <c r="S506" s="7"/>
      <c r="T506" s="7"/>
      <c r="U506" s="7"/>
      <c r="V506" s="7"/>
      <c r="W506" s="7"/>
      <c r="AC506" s="1265">
        <v>4</v>
      </c>
      <c r="AD506" s="1266"/>
      <c r="AE506" s="1266"/>
      <c r="AF506" s="1266"/>
      <c r="AG506" s="18" t="s">
        <v>263</v>
      </c>
      <c r="AH506" s="1143">
        <v>2023</v>
      </c>
      <c r="AI506" s="1143"/>
      <c r="AJ506" s="1143"/>
      <c r="AK506" s="114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34"/>
      <c r="C507" s="1335"/>
      <c r="D507" s="1335"/>
      <c r="E507" s="1335"/>
      <c r="F507" s="1335"/>
      <c r="G507" s="1335"/>
      <c r="H507" s="1336"/>
      <c r="I507" t="s">
        <v>717</v>
      </c>
      <c r="AC507" s="1265">
        <v>4</v>
      </c>
      <c r="AD507" s="1266"/>
      <c r="AE507" s="1266"/>
      <c r="AF507" s="1266"/>
      <c r="AG507" s="18" t="s">
        <v>263</v>
      </c>
      <c r="AH507" s="1143">
        <v>2023</v>
      </c>
      <c r="AI507" s="1143"/>
      <c r="AJ507" s="1143"/>
      <c r="AK507" s="114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34"/>
      <c r="C508" s="1335"/>
      <c r="D508" s="1335"/>
      <c r="E508" s="1335"/>
      <c r="F508" s="1335"/>
      <c r="G508" s="1335"/>
      <c r="H508" s="1336"/>
      <c r="I508" s="54" t="s">
        <v>718</v>
      </c>
      <c r="J508" s="54"/>
      <c r="K508" s="54"/>
      <c r="L508" s="54"/>
      <c r="M508" s="54"/>
      <c r="N508" s="54"/>
      <c r="O508" s="54"/>
      <c r="P508" s="54"/>
      <c r="Q508" s="54"/>
      <c r="R508" s="54"/>
      <c r="S508" s="54"/>
      <c r="T508" s="54"/>
      <c r="U508" s="54"/>
      <c r="V508" s="54"/>
      <c r="W508" s="54"/>
      <c r="X508" s="54"/>
      <c r="Y508" s="54"/>
      <c r="Z508" s="54"/>
      <c r="AA508" s="54"/>
      <c r="AB508" s="54"/>
      <c r="AC508" s="1265">
        <v>12</v>
      </c>
      <c r="AD508" s="1266"/>
      <c r="AE508" s="1266"/>
      <c r="AF508" s="1266"/>
      <c r="AG508" s="47" t="s">
        <v>263</v>
      </c>
      <c r="AH508" s="1143">
        <v>2023</v>
      </c>
      <c r="AI508" s="1143"/>
      <c r="AJ508" s="1143"/>
      <c r="AK508" s="114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331" t="s">
        <v>719</v>
      </c>
      <c r="C509" s="1332"/>
      <c r="D509" s="1332"/>
      <c r="E509" s="1332"/>
      <c r="F509" s="1332"/>
      <c r="G509" s="1332"/>
      <c r="H509" s="1333"/>
      <c r="I509" s="7" t="s">
        <v>716</v>
      </c>
      <c r="J509" s="7"/>
      <c r="K509" s="7"/>
      <c r="L509" s="7"/>
      <c r="M509" s="7"/>
      <c r="N509" s="7"/>
      <c r="O509" s="7"/>
      <c r="P509" s="7"/>
      <c r="Q509" s="7"/>
      <c r="R509" s="7"/>
      <c r="S509" s="7"/>
      <c r="T509" s="7"/>
      <c r="U509" s="7"/>
      <c r="V509" s="7"/>
      <c r="W509" s="7"/>
      <c r="X509" s="7"/>
      <c r="Y509" s="7"/>
      <c r="Z509" s="7"/>
      <c r="AA509" s="7"/>
      <c r="AB509" s="7"/>
      <c r="AC509" s="1325">
        <v>4</v>
      </c>
      <c r="AD509" s="1326"/>
      <c r="AE509" s="1326"/>
      <c r="AF509" s="1326"/>
      <c r="AG509" s="230" t="s">
        <v>263</v>
      </c>
      <c r="AH509" s="1143">
        <v>2023</v>
      </c>
      <c r="AI509" s="1143"/>
      <c r="AJ509" s="1143"/>
      <c r="AK509" s="114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34"/>
      <c r="C510" s="1335"/>
      <c r="D510" s="1335"/>
      <c r="E510" s="1335"/>
      <c r="F510" s="1335"/>
      <c r="G510" s="1335"/>
      <c r="H510" s="1336"/>
      <c r="I510" t="s">
        <v>717</v>
      </c>
      <c r="AC510" s="1265">
        <v>4</v>
      </c>
      <c r="AD510" s="1266"/>
      <c r="AE510" s="1266"/>
      <c r="AF510" s="1266"/>
      <c r="AG510" s="18" t="s">
        <v>263</v>
      </c>
      <c r="AH510" s="1143">
        <v>2023</v>
      </c>
      <c r="AI510" s="1143"/>
      <c r="AJ510" s="1143"/>
      <c r="AK510" s="114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45"/>
      <c r="C511" s="1346"/>
      <c r="D511" s="1346"/>
      <c r="E511" s="1346"/>
      <c r="F511" s="1346"/>
      <c r="G511" s="1346"/>
      <c r="H511" s="1347"/>
      <c r="I511" s="54" t="s">
        <v>718</v>
      </c>
      <c r="J511" s="54"/>
      <c r="K511" s="54"/>
      <c r="L511" s="54"/>
      <c r="M511" s="54"/>
      <c r="N511" s="54"/>
      <c r="O511" s="54"/>
      <c r="P511" s="54"/>
      <c r="Q511" s="54"/>
      <c r="R511" s="54"/>
      <c r="S511" s="54"/>
      <c r="T511" s="54"/>
      <c r="U511" s="54"/>
      <c r="V511" s="54"/>
      <c r="W511" s="54"/>
      <c r="X511" s="54"/>
      <c r="Y511" s="54"/>
      <c r="Z511" s="54"/>
      <c r="AA511" s="54"/>
      <c r="AB511" s="54"/>
      <c r="AC511" s="1265">
        <v>6</v>
      </c>
      <c r="AD511" s="1266"/>
      <c r="AE511" s="1266"/>
      <c r="AF511" s="1266"/>
      <c r="AG511" s="47" t="s">
        <v>263</v>
      </c>
      <c r="AH511" s="1143">
        <v>2025</v>
      </c>
      <c r="AI511" s="1143"/>
      <c r="AJ511" s="1143"/>
      <c r="AK511" s="114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331" t="s">
        <v>720</v>
      </c>
      <c r="C512" s="1332"/>
      <c r="D512" s="1332"/>
      <c r="E512" s="1332"/>
      <c r="F512" s="1332"/>
      <c r="G512" s="1332"/>
      <c r="H512" s="1333"/>
      <c r="I512" s="6" t="s">
        <v>721</v>
      </c>
      <c r="J512" s="7"/>
      <c r="K512" s="7"/>
      <c r="L512" s="7"/>
      <c r="M512" s="7"/>
      <c r="N512" s="7"/>
      <c r="O512" s="1317" t="s">
        <v>2416</v>
      </c>
      <c r="P512" s="1290"/>
      <c r="Q512" s="1290"/>
      <c r="R512" s="1290"/>
      <c r="S512" s="1290"/>
      <c r="T512" s="1290"/>
      <c r="U512" s="1290"/>
      <c r="V512" s="1290"/>
      <c r="W512" s="1290"/>
      <c r="X512" s="1290"/>
      <c r="Y512" s="1290"/>
      <c r="Z512" s="1290"/>
      <c r="AA512" s="1290"/>
      <c r="AB512" s="64"/>
      <c r="AC512" s="1325" t="s">
        <v>132</v>
      </c>
      <c r="AD512" s="1326"/>
      <c r="AE512" s="1326"/>
      <c r="AF512" s="1326"/>
      <c r="AG512" s="230" t="s">
        <v>263</v>
      </c>
      <c r="AH512" s="1143"/>
      <c r="AI512" s="1143"/>
      <c r="AJ512" s="1143"/>
      <c r="AK512" s="114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34"/>
      <c r="C513" s="1335"/>
      <c r="D513" s="1335"/>
      <c r="E513" s="1335"/>
      <c r="F513" s="1335"/>
      <c r="G513" s="1335"/>
      <c r="H513" s="1336"/>
      <c r="I513" s="204" t="s">
        <v>722</v>
      </c>
      <c r="AB513" s="71"/>
      <c r="AC513" s="1265">
        <v>4</v>
      </c>
      <c r="AD513" s="1266"/>
      <c r="AE513" s="1266"/>
      <c r="AF513" s="1266"/>
      <c r="AG513" s="18" t="s">
        <v>263</v>
      </c>
      <c r="AH513" s="1143">
        <v>2021</v>
      </c>
      <c r="AI513" s="1143"/>
      <c r="AJ513" s="1143"/>
      <c r="AK513" s="114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34"/>
      <c r="C514" s="1335"/>
      <c r="D514" s="1335"/>
      <c r="E514" s="1335"/>
      <c r="F514" s="1335"/>
      <c r="G514" s="1335"/>
      <c r="H514" s="1336"/>
      <c r="I514" s="53" t="s">
        <v>723</v>
      </c>
      <c r="J514" s="54"/>
      <c r="K514" s="54"/>
      <c r="L514" s="54"/>
      <c r="M514" s="54"/>
      <c r="N514" s="54"/>
      <c r="O514" s="54"/>
      <c r="P514" s="54"/>
      <c r="Q514" s="54"/>
      <c r="R514" s="54"/>
      <c r="S514" s="54"/>
      <c r="T514" s="54"/>
      <c r="U514" s="54"/>
      <c r="V514" s="54"/>
      <c r="W514" s="54"/>
      <c r="X514" s="54"/>
      <c r="Y514" s="54"/>
      <c r="Z514" s="54"/>
      <c r="AA514" s="54"/>
      <c r="AB514" s="55"/>
      <c r="AC514" s="1265">
        <v>6</v>
      </c>
      <c r="AD514" s="1266"/>
      <c r="AE514" s="1266"/>
      <c r="AF514" s="1266"/>
      <c r="AG514" s="47" t="s">
        <v>263</v>
      </c>
      <c r="AH514" s="1143">
        <v>2021</v>
      </c>
      <c r="AI514" s="1143"/>
      <c r="AJ514" s="1143"/>
      <c r="AK514" s="1144"/>
      <c r="AM514" s="41"/>
      <c r="AN514" s="41"/>
      <c r="AO514" s="41"/>
      <c r="AP514" s="41"/>
      <c r="AQ514" s="41"/>
      <c r="AR514" s="41"/>
      <c r="AS514" s="41"/>
      <c r="AT514" s="41"/>
      <c r="AU514" s="41"/>
      <c r="AV514" s="41"/>
      <c r="AW514" s="41"/>
      <c r="AX514" s="41"/>
      <c r="AY514" s="41"/>
      <c r="AZ514" s="41" t="s">
        <v>2077</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34"/>
      <c r="C515" s="1335"/>
      <c r="D515" s="1335"/>
      <c r="E515" s="1335"/>
      <c r="F515" s="1335"/>
      <c r="G515" s="1335"/>
      <c r="H515" s="1336"/>
      <c r="I515" s="7" t="s">
        <v>724</v>
      </c>
      <c r="J515" s="7"/>
      <c r="K515" s="7"/>
      <c r="L515" s="7"/>
      <c r="M515" s="7"/>
      <c r="N515" s="7"/>
      <c r="O515" s="1317" t="s">
        <v>2417</v>
      </c>
      <c r="P515" s="1290"/>
      <c r="Q515" s="1290"/>
      <c r="R515" s="1290"/>
      <c r="S515" s="1290"/>
      <c r="T515" s="1290"/>
      <c r="U515" s="1290"/>
      <c r="V515" s="1290"/>
      <c r="W515" s="1290"/>
      <c r="X515" s="1290"/>
      <c r="Y515" s="1290"/>
      <c r="Z515" s="1290"/>
      <c r="AA515" s="1290"/>
      <c r="AC515" s="1265" t="s">
        <v>132</v>
      </c>
      <c r="AD515" s="1266"/>
      <c r="AE515" s="1266"/>
      <c r="AF515" s="1266"/>
      <c r="AG515" s="18" t="s">
        <v>263</v>
      </c>
      <c r="AH515" s="1143"/>
      <c r="AI515" s="1143"/>
      <c r="AJ515" s="1143"/>
      <c r="AK515" s="1144"/>
      <c r="AM515" s="41"/>
      <c r="AN515" s="41"/>
      <c r="AO515" s="41"/>
      <c r="AP515" s="41"/>
      <c r="AQ515" s="41"/>
      <c r="AR515" s="41"/>
      <c r="AS515" s="41"/>
      <c r="AT515" s="41"/>
      <c r="AU515" s="41"/>
      <c r="AV515" s="41"/>
      <c r="AW515" s="41"/>
      <c r="AX515" s="41"/>
      <c r="AY515" s="41"/>
      <c r="AZ515" s="41" t="s">
        <v>2300</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34"/>
      <c r="C516" s="1335"/>
      <c r="D516" s="1335"/>
      <c r="E516" s="1335"/>
      <c r="F516" s="1335"/>
      <c r="G516" s="1335"/>
      <c r="H516" s="1336"/>
      <c r="I516" t="s">
        <v>722</v>
      </c>
      <c r="AC516" s="1265">
        <v>10</v>
      </c>
      <c r="AD516" s="1266"/>
      <c r="AE516" s="1266"/>
      <c r="AF516" s="1266"/>
      <c r="AG516" s="18" t="s">
        <v>263</v>
      </c>
      <c r="AH516" s="1143">
        <v>2021</v>
      </c>
      <c r="AI516" s="1143"/>
      <c r="AJ516" s="1143"/>
      <c r="AK516" s="1144"/>
      <c r="AM516" s="41"/>
      <c r="AN516" s="41"/>
      <c r="AO516" s="41"/>
      <c r="AP516" s="41"/>
      <c r="AQ516" s="41"/>
      <c r="AR516" s="41"/>
      <c r="AS516" s="41"/>
      <c r="AT516" s="41"/>
      <c r="AU516" s="41"/>
      <c r="AV516" s="41"/>
      <c r="AW516" s="41"/>
      <c r="AX516" s="41"/>
      <c r="AY516" s="41"/>
      <c r="AZ516" s="41" t="s">
        <v>2301</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34"/>
      <c r="C517" s="1335"/>
      <c r="D517" s="1335"/>
      <c r="E517" s="1335"/>
      <c r="F517" s="1335"/>
      <c r="G517" s="1335"/>
      <c r="H517" s="1336"/>
      <c r="I517" s="54" t="s">
        <v>723</v>
      </c>
      <c r="J517" s="54"/>
      <c r="K517" s="54"/>
      <c r="L517" s="54"/>
      <c r="M517" s="54"/>
      <c r="N517" s="54"/>
      <c r="O517" s="54"/>
      <c r="P517" s="54"/>
      <c r="Q517" s="54"/>
      <c r="R517" s="54"/>
      <c r="S517" s="54"/>
      <c r="T517" s="54"/>
      <c r="U517" s="54"/>
      <c r="V517" s="54"/>
      <c r="W517" s="54"/>
      <c r="X517" s="54"/>
      <c r="Y517" s="54"/>
      <c r="Z517" s="54"/>
      <c r="AA517" s="54"/>
      <c r="AB517" s="54"/>
      <c r="AC517" s="1265">
        <v>6</v>
      </c>
      <c r="AD517" s="1266"/>
      <c r="AE517" s="1266"/>
      <c r="AF517" s="1266"/>
      <c r="AG517" s="47" t="s">
        <v>263</v>
      </c>
      <c r="AH517" s="1143">
        <v>2022</v>
      </c>
      <c r="AI517" s="1143"/>
      <c r="AJ517" s="1143"/>
      <c r="AK517" s="1144"/>
      <c r="AM517" s="41"/>
      <c r="AN517" s="41"/>
      <c r="AO517" s="41"/>
      <c r="AP517" s="41"/>
      <c r="AQ517" s="41"/>
      <c r="AR517" s="41"/>
      <c r="AS517" s="41"/>
      <c r="AT517" s="41"/>
      <c r="AU517" s="41"/>
      <c r="AV517" s="41"/>
      <c r="AW517" s="41"/>
      <c r="AX517" s="41"/>
      <c r="AY517" s="41"/>
      <c r="AZ517" s="41" t="s">
        <v>2302</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34"/>
      <c r="C518" s="1335"/>
      <c r="D518" s="1335"/>
      <c r="E518" s="1335"/>
      <c r="F518" s="1335"/>
      <c r="G518" s="1335"/>
      <c r="H518" s="1336"/>
      <c r="I518" s="7" t="s">
        <v>724</v>
      </c>
      <c r="J518" s="7"/>
      <c r="K518" s="7"/>
      <c r="L518" s="7"/>
      <c r="M518" s="7"/>
      <c r="N518" s="7"/>
      <c r="O518" s="1317" t="s">
        <v>593</v>
      </c>
      <c r="P518" s="1290"/>
      <c r="Q518" s="1290"/>
      <c r="R518" s="1290"/>
      <c r="S518" s="1290"/>
      <c r="T518" s="1290"/>
      <c r="U518" s="1290"/>
      <c r="V518" s="1290"/>
      <c r="W518" s="1290"/>
      <c r="X518" s="1290"/>
      <c r="Y518" s="1290"/>
      <c r="Z518" s="1290"/>
      <c r="AA518" s="1290"/>
      <c r="AC518" s="1265" t="s">
        <v>132</v>
      </c>
      <c r="AD518" s="1266"/>
      <c r="AE518" s="1266"/>
      <c r="AF518" s="1266"/>
      <c r="AG518" s="18" t="s">
        <v>263</v>
      </c>
      <c r="AH518" s="1143"/>
      <c r="AI518" s="1143"/>
      <c r="AJ518" s="1143"/>
      <c r="AK518" s="1144"/>
      <c r="AM518" s="41"/>
      <c r="AN518" s="41"/>
      <c r="AO518" s="41"/>
      <c r="AP518" s="41"/>
      <c r="AQ518" s="41"/>
      <c r="AR518" s="41"/>
      <c r="AS518" s="41"/>
      <c r="AT518" s="41"/>
      <c r="AU518" s="41"/>
      <c r="AV518" s="41"/>
      <c r="AW518" s="41"/>
      <c r="AX518" s="41"/>
      <c r="AY518" s="41"/>
      <c r="AZ518" s="41" t="s">
        <v>2303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34"/>
      <c r="C519" s="1335"/>
      <c r="D519" s="1335"/>
      <c r="E519" s="1335"/>
      <c r="F519" s="1335"/>
      <c r="G519" s="1335"/>
      <c r="H519" s="1336"/>
      <c r="I519" t="s">
        <v>722</v>
      </c>
      <c r="AC519" s="1265" t="s">
        <v>132</v>
      </c>
      <c r="AD519" s="1266"/>
      <c r="AE519" s="1266"/>
      <c r="AF519" s="1266"/>
      <c r="AG519" s="18" t="s">
        <v>263</v>
      </c>
      <c r="AH519" s="1143"/>
      <c r="AI519" s="1143"/>
      <c r="AJ519" s="1143"/>
      <c r="AK519" s="1144"/>
      <c r="AM519" s="41"/>
      <c r="AN519" s="41"/>
      <c r="AO519" s="41"/>
      <c r="AP519" s="41"/>
      <c r="AQ519" s="41"/>
      <c r="AR519" s="41"/>
      <c r="AS519" s="41"/>
      <c r="AT519" s="41"/>
      <c r="AU519" s="41"/>
      <c r="AV519" s="41"/>
      <c r="AW519" s="41"/>
      <c r="AX519" s="41"/>
      <c r="AY519" s="41"/>
      <c r="AZ519" s="41" t="s">
        <v>2304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34"/>
      <c r="C520" s="1335"/>
      <c r="D520" s="1335"/>
      <c r="E520" s="1335"/>
      <c r="F520" s="1335"/>
      <c r="G520" s="1335"/>
      <c r="H520" s="1336"/>
      <c r="I520" s="54" t="s">
        <v>723</v>
      </c>
      <c r="J520" s="54"/>
      <c r="K520" s="54"/>
      <c r="L520" s="54"/>
      <c r="M520" s="54"/>
      <c r="N520" s="54"/>
      <c r="O520" s="54"/>
      <c r="P520" s="54"/>
      <c r="Q520" s="54"/>
      <c r="R520" s="54"/>
      <c r="S520" s="54"/>
      <c r="T520" s="54"/>
      <c r="U520" s="54"/>
      <c r="V520" s="54"/>
      <c r="W520" s="54"/>
      <c r="X520" s="54"/>
      <c r="Y520" s="54"/>
      <c r="Z520" s="54"/>
      <c r="AA520" s="54"/>
      <c r="AB520" s="54"/>
      <c r="AC520" s="1265" t="s">
        <v>132</v>
      </c>
      <c r="AD520" s="1266"/>
      <c r="AE520" s="1266"/>
      <c r="AF520" s="1266"/>
      <c r="AG520" s="47" t="s">
        <v>263</v>
      </c>
      <c r="AH520" s="1143"/>
      <c r="AI520" s="1143"/>
      <c r="AJ520" s="1143"/>
      <c r="AK520" s="1144"/>
      <c r="AM520" s="41"/>
      <c r="AN520" s="41"/>
      <c r="AO520" s="41"/>
      <c r="AP520" s="41"/>
      <c r="AQ520" s="41"/>
      <c r="AR520" s="41"/>
      <c r="AS520" s="41"/>
      <c r="AT520" s="41"/>
      <c r="AU520" s="41"/>
      <c r="AV520" s="41"/>
      <c r="AW520" s="41"/>
      <c r="AX520" s="41"/>
      <c r="AY520" s="41"/>
      <c r="AZ520" s="41" t="s">
        <v>2305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34"/>
      <c r="C521" s="1335"/>
      <c r="D521" s="1335"/>
      <c r="E521" s="1335"/>
      <c r="F521" s="1335"/>
      <c r="G521" s="1335"/>
      <c r="H521" s="1336"/>
      <c r="I521" s="7" t="s">
        <v>724</v>
      </c>
      <c r="J521" s="7"/>
      <c r="K521" s="7"/>
      <c r="L521" s="7"/>
      <c r="M521" s="7"/>
      <c r="N521" s="7"/>
      <c r="O521" s="1317" t="s">
        <v>593</v>
      </c>
      <c r="P521" s="1290"/>
      <c r="Q521" s="1290"/>
      <c r="R521" s="1290"/>
      <c r="S521" s="1290"/>
      <c r="T521" s="1290"/>
      <c r="U521" s="1290"/>
      <c r="V521" s="1290"/>
      <c r="W521" s="1290"/>
      <c r="X521" s="1290"/>
      <c r="Y521" s="1290"/>
      <c r="Z521" s="1290"/>
      <c r="AA521" s="1290"/>
      <c r="AC521" s="1265" t="s">
        <v>132</v>
      </c>
      <c r="AD521" s="1266"/>
      <c r="AE521" s="1266"/>
      <c r="AF521" s="1266"/>
      <c r="AG521" s="18" t="s">
        <v>263</v>
      </c>
      <c r="AH521" s="1143"/>
      <c r="AI521" s="1143"/>
      <c r="AJ521" s="1143"/>
      <c r="AK521" s="1144"/>
      <c r="AM521" s="41"/>
      <c r="AN521" s="41"/>
      <c r="AO521" s="41"/>
      <c r="AP521" s="41"/>
      <c r="AQ521" s="41"/>
      <c r="AR521" s="41"/>
      <c r="AS521" s="41"/>
      <c r="AT521" s="41"/>
      <c r="AU521" s="41"/>
      <c r="AV521" s="41"/>
      <c r="AW521" s="41"/>
      <c r="AX521" s="41"/>
      <c r="AY521" s="41"/>
      <c r="AZ521" s="41" t="s">
        <v>2306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34"/>
      <c r="C522" s="1335"/>
      <c r="D522" s="1335"/>
      <c r="E522" s="1335"/>
      <c r="F522" s="1335"/>
      <c r="G522" s="1335"/>
      <c r="H522" s="1336"/>
      <c r="I522" t="s">
        <v>722</v>
      </c>
      <c r="AC522" s="1265" t="s">
        <v>132</v>
      </c>
      <c r="AD522" s="1266"/>
      <c r="AE522" s="1266"/>
      <c r="AF522" s="1266"/>
      <c r="AG522" s="18" t="s">
        <v>263</v>
      </c>
      <c r="AH522" s="1143"/>
      <c r="AI522" s="1143"/>
      <c r="AJ522" s="1143"/>
      <c r="AK522" s="1144"/>
      <c r="AM522" s="41"/>
      <c r="AN522" s="41"/>
      <c r="AO522" s="41"/>
      <c r="AP522" s="41"/>
      <c r="AQ522" s="41"/>
      <c r="AR522" s="41"/>
      <c r="AS522" s="41"/>
      <c r="AT522" s="41"/>
      <c r="AU522" s="41"/>
      <c r="AV522" s="41"/>
      <c r="AW522" s="41"/>
      <c r="AX522" s="41"/>
      <c r="AY522" s="41"/>
      <c r="AZ522" s="41" t="s">
        <v>2307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34"/>
      <c r="C523" s="1335"/>
      <c r="D523" s="1335"/>
      <c r="E523" s="1335"/>
      <c r="F523" s="1335"/>
      <c r="G523" s="1335"/>
      <c r="H523" s="1336"/>
      <c r="I523" s="54" t="s">
        <v>723</v>
      </c>
      <c r="J523" s="54"/>
      <c r="K523" s="54"/>
      <c r="L523" s="54"/>
      <c r="M523" s="54"/>
      <c r="N523" s="54"/>
      <c r="O523" s="54"/>
      <c r="P523" s="54"/>
      <c r="Q523" s="54"/>
      <c r="R523" s="54"/>
      <c r="S523" s="54"/>
      <c r="T523" s="54"/>
      <c r="U523" s="54"/>
      <c r="V523" s="54"/>
      <c r="W523" s="54"/>
      <c r="X523" s="54"/>
      <c r="Y523" s="54"/>
      <c r="Z523" s="54"/>
      <c r="AA523" s="54"/>
      <c r="AB523" s="54"/>
      <c r="AC523" s="1265" t="s">
        <v>132</v>
      </c>
      <c r="AD523" s="1266"/>
      <c r="AE523" s="1266"/>
      <c r="AF523" s="1266"/>
      <c r="AG523" s="47" t="s">
        <v>263</v>
      </c>
      <c r="AH523" s="1143"/>
      <c r="AI523" s="1143"/>
      <c r="AJ523" s="1143"/>
      <c r="AK523" s="1144"/>
      <c r="AM523" s="41"/>
      <c r="AN523" s="41"/>
      <c r="AO523" s="41"/>
      <c r="AP523" s="41"/>
      <c r="AQ523" s="41"/>
      <c r="AR523" s="41"/>
      <c r="AS523" s="41"/>
      <c r="AT523" s="41"/>
      <c r="AU523" s="41"/>
      <c r="AV523" s="41"/>
      <c r="AW523" s="41"/>
      <c r="AX523" s="41"/>
      <c r="AY523" s="41"/>
      <c r="AZ523" s="41" t="s">
        <v>2308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34"/>
      <c r="C524" s="1335"/>
      <c r="D524" s="1335"/>
      <c r="E524" s="1335"/>
      <c r="F524" s="1335"/>
      <c r="G524" s="1335"/>
      <c r="H524" s="1336"/>
      <c r="I524" s="7" t="s">
        <v>724</v>
      </c>
      <c r="J524" s="7"/>
      <c r="K524" s="7"/>
      <c r="L524" s="7"/>
      <c r="M524" s="7"/>
      <c r="N524" s="7"/>
      <c r="O524" s="1317" t="s">
        <v>593</v>
      </c>
      <c r="P524" s="1290"/>
      <c r="Q524" s="1290"/>
      <c r="R524" s="1290"/>
      <c r="S524" s="1290"/>
      <c r="T524" s="1290"/>
      <c r="U524" s="1290"/>
      <c r="V524" s="1290"/>
      <c r="W524" s="1290"/>
      <c r="X524" s="1290"/>
      <c r="Y524" s="1290"/>
      <c r="Z524" s="1290"/>
      <c r="AA524" s="1290"/>
      <c r="AC524" s="1265" t="s">
        <v>132</v>
      </c>
      <c r="AD524" s="1266"/>
      <c r="AE524" s="1266"/>
      <c r="AF524" s="1266"/>
      <c r="AG524" s="18" t="s">
        <v>263</v>
      </c>
      <c r="AH524" s="1143"/>
      <c r="AI524" s="1143"/>
      <c r="AJ524" s="1143"/>
      <c r="AK524" s="1144"/>
      <c r="AM524" s="41"/>
      <c r="AN524" s="41"/>
      <c r="AO524" s="41"/>
      <c r="AP524" s="41"/>
      <c r="AQ524" s="41"/>
      <c r="AR524" s="41"/>
      <c r="AS524" s="41"/>
      <c r="AT524" s="41"/>
      <c r="AU524" s="41"/>
      <c r="AV524" s="41"/>
      <c r="AW524" s="41"/>
      <c r="AX524" s="41"/>
      <c r="AY524" s="41"/>
      <c r="AZ524" s="41" t="s">
        <v>2309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34"/>
      <c r="C525" s="1335"/>
      <c r="D525" s="1335"/>
      <c r="E525" s="1335"/>
      <c r="F525" s="1335"/>
      <c r="G525" s="1335"/>
      <c r="H525" s="1336"/>
      <c r="I525" t="s">
        <v>722</v>
      </c>
      <c r="AC525" s="1265" t="s">
        <v>132</v>
      </c>
      <c r="AD525" s="1266"/>
      <c r="AE525" s="1266"/>
      <c r="AF525" s="1266"/>
      <c r="AG525" s="47" t="s">
        <v>263</v>
      </c>
      <c r="AH525" s="1143"/>
      <c r="AI525" s="1143"/>
      <c r="AJ525" s="1143"/>
      <c r="AK525" s="1144"/>
      <c r="AM525" s="41"/>
      <c r="AN525" s="41"/>
      <c r="AO525" s="41"/>
      <c r="AP525" s="41"/>
      <c r="AQ525" s="41"/>
      <c r="AR525" s="41"/>
      <c r="AS525" s="41"/>
      <c r="AT525" s="41"/>
      <c r="AU525" s="41"/>
      <c r="AV525" s="41"/>
      <c r="AW525" s="41"/>
      <c r="AX525" s="41"/>
      <c r="AY525" s="41"/>
      <c r="AZ525" s="41" t="s">
        <v>2310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34"/>
      <c r="C526" s="1335"/>
      <c r="D526" s="1335"/>
      <c r="E526" s="1335"/>
      <c r="F526" s="1335"/>
      <c r="G526" s="1335"/>
      <c r="H526" s="1336"/>
      <c r="I526" s="54" t="s">
        <v>723</v>
      </c>
      <c r="J526" s="54"/>
      <c r="K526" s="54"/>
      <c r="L526" s="54"/>
      <c r="M526" s="54"/>
      <c r="N526" s="54"/>
      <c r="O526" s="54"/>
      <c r="P526" s="54"/>
      <c r="Q526" s="54"/>
      <c r="R526" s="54"/>
      <c r="S526" s="54"/>
      <c r="T526" s="54"/>
      <c r="U526" s="54"/>
      <c r="V526" s="54"/>
      <c r="W526" s="54"/>
      <c r="X526" s="54"/>
      <c r="Y526" s="54"/>
      <c r="Z526" s="54"/>
      <c r="AA526" s="54"/>
      <c r="AB526" s="54"/>
      <c r="AC526" s="1265" t="s">
        <v>132</v>
      </c>
      <c r="AD526" s="1266"/>
      <c r="AE526" s="1266"/>
      <c r="AF526" s="1266"/>
      <c r="AG526" s="18" t="s">
        <v>263</v>
      </c>
      <c r="AH526" s="1143"/>
      <c r="AI526" s="1143"/>
      <c r="AJ526" s="1143"/>
      <c r="AK526" s="1144"/>
      <c r="AM526" s="41"/>
      <c r="AN526" s="41"/>
      <c r="AO526" s="41"/>
      <c r="AP526" s="41"/>
      <c r="AQ526" s="41"/>
      <c r="AR526" s="41"/>
      <c r="AS526" s="41"/>
      <c r="AT526" s="41"/>
      <c r="AU526" s="41"/>
      <c r="AV526" s="41"/>
      <c r="AW526" s="41"/>
      <c r="AX526" s="41"/>
      <c r="AY526" s="41"/>
      <c r="AZ526" s="41" t="s">
        <v>2311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34"/>
      <c r="C527" s="1335"/>
      <c r="D527" s="1335"/>
      <c r="E527" s="1335"/>
      <c r="F527" s="1335"/>
      <c r="G527" s="1335"/>
      <c r="H527" s="1336"/>
      <c r="I527" s="7" t="s">
        <v>724</v>
      </c>
      <c r="J527" s="7"/>
      <c r="K527" s="7"/>
      <c r="L527" s="7"/>
      <c r="M527" s="7"/>
      <c r="N527" s="7"/>
      <c r="O527" s="1317" t="s">
        <v>593</v>
      </c>
      <c r="P527" s="1290"/>
      <c r="Q527" s="1290"/>
      <c r="R527" s="1290"/>
      <c r="S527" s="1290"/>
      <c r="T527" s="1290"/>
      <c r="U527" s="1290"/>
      <c r="V527" s="1290"/>
      <c r="W527" s="1290"/>
      <c r="X527" s="1290"/>
      <c r="Y527" s="1290"/>
      <c r="Z527" s="1290"/>
      <c r="AA527" s="1290"/>
      <c r="AC527" s="1265" t="s">
        <v>132</v>
      </c>
      <c r="AD527" s="1266"/>
      <c r="AE527" s="1266"/>
      <c r="AF527" s="1266"/>
      <c r="AG527" s="47" t="s">
        <v>263</v>
      </c>
      <c r="AH527" s="1143"/>
      <c r="AI527" s="1143"/>
      <c r="AJ527" s="1143"/>
      <c r="AK527" s="1144"/>
      <c r="AM527" s="41"/>
      <c r="AN527" s="41"/>
      <c r="AO527" s="41"/>
      <c r="AP527" s="41"/>
      <c r="AQ527" s="41"/>
      <c r="AR527" s="41"/>
      <c r="AS527" s="41"/>
      <c r="AT527" s="41"/>
      <c r="AU527" s="41"/>
      <c r="AV527" s="41"/>
      <c r="AW527" s="41"/>
      <c r="AX527" s="41"/>
      <c r="AY527" s="41"/>
      <c r="AZ527" s="41" t="s">
        <v>2312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34"/>
      <c r="C528" s="1335"/>
      <c r="D528" s="1335"/>
      <c r="E528" s="1335"/>
      <c r="F528" s="1335"/>
      <c r="G528" s="1335"/>
      <c r="H528" s="1336"/>
      <c r="I528" t="s">
        <v>722</v>
      </c>
      <c r="AC528" s="1265" t="s">
        <v>132</v>
      </c>
      <c r="AD528" s="1266"/>
      <c r="AE528" s="1266"/>
      <c r="AF528" s="1266"/>
      <c r="AG528" s="18" t="s">
        <v>263</v>
      </c>
      <c r="AH528" s="1143"/>
      <c r="AI528" s="1143"/>
      <c r="AJ528" s="1143"/>
      <c r="AK528" s="1144"/>
      <c r="AM528" s="41"/>
      <c r="AN528" s="41"/>
      <c r="AO528" s="41"/>
      <c r="AP528" s="41"/>
      <c r="AQ528" s="41"/>
      <c r="AR528" s="41"/>
      <c r="AS528" s="41"/>
      <c r="AT528" s="41"/>
      <c r="AU528" s="41"/>
      <c r="AV528" s="41"/>
      <c r="AW528" s="41"/>
      <c r="AX528" s="41"/>
      <c r="AY528" s="41"/>
      <c r="AZ528" s="41" t="s">
        <v>2313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34"/>
      <c r="C529" s="1335"/>
      <c r="D529" s="1335"/>
      <c r="E529" s="1335"/>
      <c r="F529" s="1335"/>
      <c r="G529" s="1335"/>
      <c r="H529" s="1336"/>
      <c r="I529" s="54" t="s">
        <v>723</v>
      </c>
      <c r="J529" s="54"/>
      <c r="K529" s="54"/>
      <c r="L529" s="54"/>
      <c r="M529" s="54"/>
      <c r="N529" s="54"/>
      <c r="O529" s="54"/>
      <c r="P529" s="54"/>
      <c r="Q529" s="54"/>
      <c r="R529" s="54"/>
      <c r="S529" s="54"/>
      <c r="T529" s="54"/>
      <c r="U529" s="54"/>
      <c r="V529" s="54"/>
      <c r="W529" s="54"/>
      <c r="X529" s="54"/>
      <c r="Y529" s="54"/>
      <c r="Z529" s="54"/>
      <c r="AA529" s="54"/>
      <c r="AB529" s="54"/>
      <c r="AC529" s="1265" t="s">
        <v>132</v>
      </c>
      <c r="AD529" s="1266"/>
      <c r="AE529" s="1266"/>
      <c r="AF529" s="1266"/>
      <c r="AG529" s="47" t="s">
        <v>263</v>
      </c>
      <c r="AH529" s="1143"/>
      <c r="AI529" s="1143"/>
      <c r="AJ529" s="1143"/>
      <c r="AK529" s="1144"/>
      <c r="AM529" s="41"/>
      <c r="AN529" s="41"/>
      <c r="AO529" s="41"/>
      <c r="AP529" s="41"/>
      <c r="AQ529" s="41"/>
      <c r="AR529" s="41"/>
      <c r="AS529" s="41"/>
      <c r="AT529" s="41"/>
      <c r="AU529" s="41"/>
      <c r="AV529" s="41"/>
      <c r="AW529" s="41"/>
      <c r="AX529" s="41"/>
      <c r="AY529" s="41"/>
      <c r="AZ529" s="41" t="s">
        <v>2314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334"/>
      <c r="C530" s="1335"/>
      <c r="D530" s="1335"/>
      <c r="E530" s="1335"/>
      <c r="F530" s="1335"/>
      <c r="G530" s="1335"/>
      <c r="H530" s="1336"/>
      <c r="I530" s="7" t="s">
        <v>771</v>
      </c>
      <c r="J530" s="7"/>
      <c r="K530" s="7"/>
      <c r="L530" s="7"/>
      <c r="M530" s="7"/>
      <c r="N530" s="7"/>
      <c r="O530" s="7"/>
      <c r="P530" s="7"/>
      <c r="Q530" s="7"/>
      <c r="R530" s="7"/>
      <c r="S530" s="7"/>
      <c r="T530" s="7"/>
      <c r="U530" s="7"/>
      <c r="V530" s="7"/>
      <c r="W530" s="7"/>
      <c r="AC530" s="1265">
        <v>3</v>
      </c>
      <c r="AD530" s="1266"/>
      <c r="AE530" s="1266"/>
      <c r="AF530" s="1266"/>
      <c r="AG530" s="47" t="s">
        <v>263</v>
      </c>
      <c r="AH530" s="1143">
        <v>2024</v>
      </c>
      <c r="AI530" s="1143"/>
      <c r="AJ530" s="1143"/>
      <c r="AK530" s="1144"/>
      <c r="AM530" s="41"/>
      <c r="AN530" s="41"/>
      <c r="AO530" s="41"/>
      <c r="AP530" s="41"/>
      <c r="AQ530" s="41"/>
      <c r="AR530" s="41"/>
      <c r="AS530" s="41"/>
      <c r="AT530" s="41"/>
      <c r="AU530" s="41"/>
      <c r="AV530" s="41"/>
      <c r="AW530" s="41"/>
      <c r="AX530" s="41"/>
      <c r="AY530" s="41"/>
      <c r="AZ530" s="41" t="s">
        <v>2315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334"/>
      <c r="C531" s="1335"/>
      <c r="D531" s="1335"/>
      <c r="E531" s="1335"/>
      <c r="F531" s="1335"/>
      <c r="G531" s="1335"/>
      <c r="H531" s="1336"/>
      <c r="I531" t="s">
        <v>772</v>
      </c>
      <c r="AC531" s="1265">
        <v>1</v>
      </c>
      <c r="AD531" s="1266"/>
      <c r="AE531" s="1266"/>
      <c r="AF531" s="1266"/>
      <c r="AG531" s="18" t="s">
        <v>263</v>
      </c>
      <c r="AH531" s="1143">
        <v>2024</v>
      </c>
      <c r="AI531" s="1143"/>
      <c r="AJ531" s="1143"/>
      <c r="AK531" s="1144"/>
      <c r="AM531" s="41"/>
      <c r="AN531" s="41"/>
      <c r="AO531" s="41"/>
      <c r="AP531" s="41"/>
      <c r="AQ531" s="41"/>
      <c r="AR531" s="41"/>
      <c r="AS531" s="41"/>
      <c r="AT531" s="41"/>
      <c r="AU531" s="41"/>
      <c r="AV531" s="41"/>
      <c r="AW531" s="41"/>
      <c r="AX531" s="41"/>
      <c r="AY531" s="41"/>
      <c r="AZ531" s="41" t="s">
        <v>2316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334"/>
      <c r="C532" s="1335"/>
      <c r="D532" s="1335"/>
      <c r="E532" s="1335"/>
      <c r="F532" s="1335"/>
      <c r="G532" s="1335"/>
      <c r="H532" s="1336"/>
      <c r="I532" t="s">
        <v>773</v>
      </c>
      <c r="AC532" s="1265">
        <v>3</v>
      </c>
      <c r="AD532" s="1266"/>
      <c r="AE532" s="1266"/>
      <c r="AF532" s="1266"/>
      <c r="AG532" s="47" t="s">
        <v>263</v>
      </c>
      <c r="AH532" s="1143">
        <v>2025</v>
      </c>
      <c r="AI532" s="1143"/>
      <c r="AJ532" s="1143"/>
      <c r="AK532" s="1144"/>
      <c r="AM532" s="41"/>
      <c r="AN532" s="41"/>
      <c r="AO532" s="41"/>
      <c r="AP532" s="41"/>
      <c r="AQ532" s="41"/>
      <c r="AR532" s="41"/>
      <c r="AS532" s="41"/>
      <c r="AT532" s="41"/>
      <c r="AU532" s="41"/>
      <c r="AV532" s="41"/>
      <c r="AW532" s="41"/>
      <c r="AX532" s="41"/>
      <c r="AY532" s="41"/>
      <c r="AZ532" s="41" t="s">
        <v>2317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34"/>
      <c r="C533" s="1335"/>
      <c r="D533" s="1335"/>
      <c r="E533" s="1335"/>
      <c r="F533" s="1335"/>
      <c r="G533" s="1335"/>
      <c r="H533" s="1336"/>
      <c r="I533" t="s">
        <v>774</v>
      </c>
      <c r="AC533" s="1265">
        <v>3</v>
      </c>
      <c r="AD533" s="1266"/>
      <c r="AE533" s="1266"/>
      <c r="AF533" s="1266"/>
      <c r="AG533" s="47" t="s">
        <v>263</v>
      </c>
      <c r="AH533" s="1143">
        <v>2025</v>
      </c>
      <c r="AI533" s="1143"/>
      <c r="AJ533" s="1143"/>
      <c r="AK533" s="1144"/>
      <c r="AM533" s="41"/>
      <c r="AN533" s="41"/>
      <c r="AO533" s="41"/>
      <c r="AP533" s="41"/>
      <c r="AQ533" s="41"/>
      <c r="AR533" s="41"/>
      <c r="AS533" s="41"/>
      <c r="AT533" s="41"/>
      <c r="AU533" s="41"/>
      <c r="AV533" s="41"/>
      <c r="AW533" s="41"/>
      <c r="AX533" s="41"/>
      <c r="AY533" s="41"/>
      <c r="AZ533" s="41" t="s">
        <v>2318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45"/>
      <c r="C534" s="1346"/>
      <c r="D534" s="1346"/>
      <c r="E534" s="1346"/>
      <c r="F534" s="1346"/>
      <c r="G534" s="1346"/>
      <c r="H534" s="1347"/>
      <c r="I534" s="54" t="s">
        <v>1428</v>
      </c>
      <c r="J534" s="54"/>
      <c r="K534" s="54"/>
      <c r="L534" s="54"/>
      <c r="M534" s="54"/>
      <c r="N534" s="54"/>
      <c r="O534" s="54"/>
      <c r="P534" s="54"/>
      <c r="Q534" s="54"/>
      <c r="R534" s="54"/>
      <c r="S534" s="54"/>
      <c r="T534" s="54"/>
      <c r="U534" s="54"/>
      <c r="V534" s="54"/>
      <c r="W534" s="54"/>
      <c r="X534" s="54"/>
      <c r="Y534" s="54"/>
      <c r="Z534" s="54"/>
      <c r="AA534" s="54"/>
      <c r="AB534" s="54"/>
      <c r="AC534" s="1265">
        <v>6</v>
      </c>
      <c r="AD534" s="1266"/>
      <c r="AE534" s="1266"/>
      <c r="AF534" s="1266"/>
      <c r="AG534" s="47" t="s">
        <v>263</v>
      </c>
      <c r="AH534" s="1143">
        <v>2025</v>
      </c>
      <c r="AI534" s="1143"/>
      <c r="AJ534" s="1143"/>
      <c r="AK534" s="1144"/>
      <c r="AM534" s="41"/>
      <c r="AN534" s="41"/>
      <c r="AO534" s="41"/>
      <c r="AP534" s="41"/>
      <c r="AQ534" s="41"/>
      <c r="AR534" s="41"/>
      <c r="AS534" s="41"/>
      <c r="AT534" s="41"/>
      <c r="AU534" s="41"/>
      <c r="AV534" s="41"/>
      <c r="AW534" s="41"/>
      <c r="AX534" s="41"/>
      <c r="AY534" s="41"/>
      <c r="AZ534" s="41" t="s">
        <v>2319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2320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83" t="s">
        <v>527</v>
      </c>
      <c r="B536" s="983"/>
      <c r="C536" s="983"/>
      <c r="D536" s="983"/>
      <c r="E536" s="983"/>
      <c r="F536" s="983"/>
      <c r="G536" s="983"/>
      <c r="H536" s="983"/>
      <c r="I536" s="983"/>
      <c r="J536" s="983"/>
      <c r="K536" s="983"/>
      <c r="L536" s="983"/>
      <c r="M536" s="983"/>
      <c r="N536" s="983"/>
      <c r="O536" s="983"/>
      <c r="P536" s="983"/>
      <c r="Q536" s="983"/>
      <c r="R536" s="983"/>
      <c r="S536" s="983"/>
      <c r="T536" s="983"/>
      <c r="U536" s="983"/>
      <c r="V536" s="983"/>
      <c r="W536" s="983"/>
      <c r="X536" s="983"/>
      <c r="Y536" s="983"/>
      <c r="Z536" s="983"/>
      <c r="AA536" s="983"/>
      <c r="AB536" s="983"/>
      <c r="AC536" s="983"/>
      <c r="AD536" s="983"/>
      <c r="AE536" s="983"/>
      <c r="AF536" s="983"/>
      <c r="AG536" s="983"/>
      <c r="AH536" s="983"/>
      <c r="AI536" s="983"/>
      <c r="AJ536" s="983"/>
      <c r="AK536" s="983"/>
      <c r="AL536" s="983"/>
      <c r="AM536" s="983"/>
      <c r="AN536" s="983"/>
      <c r="AO536" s="983"/>
      <c r="AP536" s="983"/>
      <c r="AQ536" s="983"/>
      <c r="AR536" s="983"/>
      <c r="AS536" s="983"/>
      <c r="AT536" s="41"/>
      <c r="AU536" s="41"/>
      <c r="AV536" s="41"/>
      <c r="AW536" s="41"/>
      <c r="AX536" s="41"/>
      <c r="AY536" s="41"/>
      <c r="AZ536" s="41" t="s">
        <v>2321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83"/>
      <c r="B537" s="983"/>
      <c r="C537" s="983"/>
      <c r="D537" s="983"/>
      <c r="E537" s="983"/>
      <c r="F537" s="983"/>
      <c r="G537" s="983"/>
      <c r="H537" s="983"/>
      <c r="I537" s="983"/>
      <c r="J537" s="983"/>
      <c r="K537" s="983"/>
      <c r="L537" s="983"/>
      <c r="M537" s="983"/>
      <c r="N537" s="983"/>
      <c r="O537" s="983"/>
      <c r="P537" s="983"/>
      <c r="Q537" s="983"/>
      <c r="R537" s="983"/>
      <c r="S537" s="983"/>
      <c r="T537" s="983"/>
      <c r="U537" s="983"/>
      <c r="V537" s="983"/>
      <c r="W537" s="983"/>
      <c r="X537" s="983"/>
      <c r="Y537" s="983"/>
      <c r="Z537" s="983"/>
      <c r="AA537" s="983"/>
      <c r="AB537" s="983"/>
      <c r="AC537" s="983"/>
      <c r="AD537" s="983"/>
      <c r="AE537" s="983"/>
      <c r="AF537" s="983"/>
      <c r="AG537" s="983"/>
      <c r="AH537" s="983"/>
      <c r="AI537" s="983"/>
      <c r="AJ537" s="983"/>
      <c r="AK537" s="983"/>
      <c r="AL537" s="983"/>
      <c r="AM537" s="983"/>
      <c r="AN537" s="983"/>
      <c r="AO537" s="983"/>
      <c r="AP537" s="983"/>
      <c r="AQ537" s="983"/>
      <c r="AR537" s="983"/>
      <c r="AS537" s="983"/>
      <c r="AT537" s="41"/>
      <c r="AU537" s="41"/>
      <c r="AV537" s="41"/>
      <c r="AW537" s="41"/>
      <c r="AX537" s="41"/>
      <c r="AY537" s="41"/>
      <c r="AZ537" s="41" t="s">
        <v>2322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2323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689</v>
      </c>
      <c r="B539" s="3"/>
      <c r="C539" s="3" t="s">
        <v>775</v>
      </c>
      <c r="AT539" s="41"/>
      <c r="AU539" s="41"/>
      <c r="AV539" s="41"/>
      <c r="AW539" s="41"/>
      <c r="AX539" s="41"/>
      <c r="AY539" s="41"/>
      <c r="AZ539" t="s">
        <v>2324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2255</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331" t="s">
        <v>2325</v>
      </c>
      <c r="C543" s="1332"/>
      <c r="D543" s="1332"/>
      <c r="E543" s="1332"/>
      <c r="F543" s="1332"/>
      <c r="G543" s="1332"/>
      <c r="H543" s="1332"/>
      <c r="I543" s="1332"/>
      <c r="J543" s="1332"/>
      <c r="K543" s="1332"/>
      <c r="L543" s="1332"/>
      <c r="M543" s="1404" t="s">
        <v>2299</v>
      </c>
      <c r="N543" s="1404"/>
      <c r="O543" s="1404"/>
      <c r="P543" s="1404"/>
      <c r="Q543" s="1331" t="s">
        <v>469</v>
      </c>
      <c r="R543" s="1332"/>
      <c r="S543" s="1333"/>
      <c r="T543" s="1331" t="s">
        <v>2089</v>
      </c>
      <c r="U543" s="1332"/>
      <c r="V543" s="1333"/>
      <c r="W543" s="1331" t="s">
        <v>776</v>
      </c>
      <c r="X543" s="1332"/>
      <c r="Y543" s="1333"/>
      <c r="Z543" s="1331" t="s">
        <v>2091</v>
      </c>
      <c r="AA543" s="1332"/>
      <c r="AB543" s="1332"/>
      <c r="AC543" s="1332"/>
      <c r="AD543" s="1333"/>
      <c r="AE543" s="1331" t="s">
        <v>2090</v>
      </c>
      <c r="AF543" s="1332"/>
      <c r="AG543" s="1332"/>
      <c r="AH543" s="1333"/>
      <c r="AI543" s="1331" t="s">
        <v>2092</v>
      </c>
      <c r="AJ543" s="1332"/>
      <c r="AK543" s="1332"/>
      <c r="AL543" s="1333"/>
      <c r="AM543" s="1331" t="s">
        <v>777</v>
      </c>
      <c r="AN543" s="1332"/>
      <c r="AO543" s="1332"/>
      <c r="AP543" s="1332"/>
      <c r="AQ543" s="1332"/>
      <c r="AR543" s="1332"/>
      <c r="AS543" s="1333"/>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334"/>
      <c r="C544" s="1335"/>
      <c r="D544" s="1335"/>
      <c r="E544" s="1335"/>
      <c r="F544" s="1335"/>
      <c r="G544" s="1335"/>
      <c r="H544" s="1335"/>
      <c r="I544" s="1335"/>
      <c r="J544" s="1335"/>
      <c r="K544" s="1335"/>
      <c r="L544" s="1335"/>
      <c r="M544" s="1404"/>
      <c r="N544" s="1404"/>
      <c r="O544" s="1404"/>
      <c r="P544" s="1404"/>
      <c r="Q544" s="1334"/>
      <c r="R544" s="1335"/>
      <c r="S544" s="1336"/>
      <c r="T544" s="1334"/>
      <c r="U544" s="1335"/>
      <c r="V544" s="1336"/>
      <c r="W544" s="1334"/>
      <c r="X544" s="1335"/>
      <c r="Y544" s="1336"/>
      <c r="Z544" s="1334"/>
      <c r="AA544" s="1335"/>
      <c r="AB544" s="1335"/>
      <c r="AC544" s="1335"/>
      <c r="AD544" s="1336"/>
      <c r="AE544" s="1334"/>
      <c r="AF544" s="1335"/>
      <c r="AG544" s="1335"/>
      <c r="AH544" s="1336"/>
      <c r="AI544" s="1334"/>
      <c r="AJ544" s="1335"/>
      <c r="AK544" s="1335"/>
      <c r="AL544" s="1336"/>
      <c r="AM544" s="1334"/>
      <c r="AN544" s="1335"/>
      <c r="AO544" s="1335"/>
      <c r="AP544" s="1335"/>
      <c r="AQ544" s="1335"/>
      <c r="AR544" s="1335"/>
      <c r="AS544" s="1336"/>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45"/>
      <c r="C545" s="1346"/>
      <c r="D545" s="1346"/>
      <c r="E545" s="1346"/>
      <c r="F545" s="1346"/>
      <c r="G545" s="1346"/>
      <c r="H545" s="1346"/>
      <c r="I545" s="1346"/>
      <c r="J545" s="1346"/>
      <c r="K545" s="1346"/>
      <c r="L545" s="1346"/>
      <c r="M545" s="1404"/>
      <c r="N545" s="1404"/>
      <c r="O545" s="1404"/>
      <c r="P545" s="1404"/>
      <c r="Q545" s="1345"/>
      <c r="R545" s="1346"/>
      <c r="S545" s="1347"/>
      <c r="T545" s="1345"/>
      <c r="U545" s="1346"/>
      <c r="V545" s="1347"/>
      <c r="W545" s="1345"/>
      <c r="X545" s="1346"/>
      <c r="Y545" s="1347"/>
      <c r="Z545" s="1345"/>
      <c r="AA545" s="1346"/>
      <c r="AB545" s="1346"/>
      <c r="AC545" s="1346"/>
      <c r="AD545" s="1347"/>
      <c r="AE545" s="1345"/>
      <c r="AF545" s="1346"/>
      <c r="AG545" s="1346"/>
      <c r="AH545" s="1347"/>
      <c r="AI545" s="1345"/>
      <c r="AJ545" s="1346"/>
      <c r="AK545" s="1346"/>
      <c r="AL545" s="1347"/>
      <c r="AM545" s="1345"/>
      <c r="AN545" s="1346"/>
      <c r="AO545" s="1346"/>
      <c r="AP545" s="1346"/>
      <c r="AQ545" s="1346"/>
      <c r="AR545" s="1346"/>
      <c r="AS545" s="134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944</v>
      </c>
      <c r="C546" s="1343" t="s">
        <v>2469</v>
      </c>
      <c r="D546" s="1343"/>
      <c r="E546" s="1343"/>
      <c r="F546" s="1343"/>
      <c r="G546" s="1343"/>
      <c r="H546" s="1343"/>
      <c r="I546" s="1343"/>
      <c r="J546" s="1343"/>
      <c r="K546" s="1343"/>
      <c r="L546" s="1343"/>
      <c r="M546" s="1344" t="s">
        <v>2309</v>
      </c>
      <c r="N546" s="1344"/>
      <c r="O546" s="1344"/>
      <c r="P546" s="1344"/>
      <c r="Q546" s="1254">
        <v>24</v>
      </c>
      <c r="R546" s="1254"/>
      <c r="S546" s="1255"/>
      <c r="T546" s="1253">
        <v>0</v>
      </c>
      <c r="U546" s="1254"/>
      <c r="V546" s="1255"/>
      <c r="W546" s="1256">
        <v>7.9100000000000004E-2</v>
      </c>
      <c r="X546" s="1257"/>
      <c r="Y546" s="1258"/>
      <c r="Z546" s="1259" t="s">
        <v>2491</v>
      </c>
      <c r="AA546" s="1259"/>
      <c r="AB546" s="1259"/>
      <c r="AC546" s="1259"/>
      <c r="AD546" s="1259"/>
      <c r="AE546" s="1260">
        <v>1</v>
      </c>
      <c r="AF546" s="1261"/>
      <c r="AG546" s="1261"/>
      <c r="AH546" s="1262"/>
      <c r="AI546" s="1250">
        <v>0</v>
      </c>
      <c r="AJ546" s="1251"/>
      <c r="AK546" s="1251"/>
      <c r="AL546" s="1252"/>
      <c r="AM546" s="1159">
        <v>18374180.686039012</v>
      </c>
      <c r="AN546" s="1160"/>
      <c r="AO546" s="1160"/>
      <c r="AP546" s="1160"/>
      <c r="AQ546" s="1160"/>
      <c r="AR546" s="1160"/>
      <c r="AS546" s="1161"/>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945</v>
      </c>
      <c r="C547" s="1343" t="s">
        <v>2475</v>
      </c>
      <c r="D547" s="1343"/>
      <c r="E547" s="1343"/>
      <c r="F547" s="1343"/>
      <c r="G547" s="1343"/>
      <c r="H547" s="1343"/>
      <c r="I547" s="1343"/>
      <c r="J547" s="1343"/>
      <c r="K547" s="1343"/>
      <c r="L547" s="1343"/>
      <c r="M547" s="1344" t="s">
        <v>2311</v>
      </c>
      <c r="N547" s="1344"/>
      <c r="O547" s="1344"/>
      <c r="P547" s="1344"/>
      <c r="Q547" s="1253">
        <v>660</v>
      </c>
      <c r="R547" s="1254"/>
      <c r="S547" s="1255"/>
      <c r="T547" s="1253">
        <v>660</v>
      </c>
      <c r="U547" s="1254"/>
      <c r="V547" s="1255"/>
      <c r="W547" s="1256">
        <v>0.03</v>
      </c>
      <c r="X547" s="1257"/>
      <c r="Y547" s="1258"/>
      <c r="Z547" s="1259" t="s">
        <v>2490</v>
      </c>
      <c r="AA547" s="1259"/>
      <c r="AB547" s="1259"/>
      <c r="AC547" s="1259"/>
      <c r="AD547" s="1259"/>
      <c r="AE547" s="1260">
        <v>3</v>
      </c>
      <c r="AF547" s="1261"/>
      <c r="AG547" s="1261"/>
      <c r="AH547" s="1262"/>
      <c r="AI547" s="1250">
        <v>0</v>
      </c>
      <c r="AJ547" s="1251"/>
      <c r="AK547" s="1251"/>
      <c r="AL547" s="1252"/>
      <c r="AM547" s="1159">
        <v>400000</v>
      </c>
      <c r="AN547" s="1160"/>
      <c r="AO547" s="1160"/>
      <c r="AP547" s="1160"/>
      <c r="AQ547" s="1160"/>
      <c r="AR547" s="1160"/>
      <c r="AS547" s="1161"/>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951</v>
      </c>
      <c r="C548" s="1343" t="s">
        <v>2476</v>
      </c>
      <c r="D548" s="1343"/>
      <c r="E548" s="1343"/>
      <c r="F548" s="1343"/>
      <c r="G548" s="1343"/>
      <c r="H548" s="1343"/>
      <c r="I548" s="1343"/>
      <c r="J548" s="1343"/>
      <c r="K548" s="1343"/>
      <c r="L548" s="1343"/>
      <c r="M548" s="1344" t="s">
        <v>2311</v>
      </c>
      <c r="N548" s="1344"/>
      <c r="O548" s="1344"/>
      <c r="P548" s="1344"/>
      <c r="Q548" s="1253">
        <v>660</v>
      </c>
      <c r="R548" s="1254"/>
      <c r="S548" s="1255"/>
      <c r="T548" s="1253">
        <v>660</v>
      </c>
      <c r="U548" s="1254"/>
      <c r="V548" s="1255"/>
      <c r="W548" s="1256">
        <v>0.03</v>
      </c>
      <c r="X548" s="1257"/>
      <c r="Y548" s="1258"/>
      <c r="Z548" s="1259" t="s">
        <v>2490</v>
      </c>
      <c r="AA548" s="1259"/>
      <c r="AB548" s="1259"/>
      <c r="AC548" s="1259"/>
      <c r="AD548" s="1259"/>
      <c r="AE548" s="1260">
        <v>2</v>
      </c>
      <c r="AF548" s="1261"/>
      <c r="AG548" s="1261"/>
      <c r="AH548" s="1262"/>
      <c r="AI548" s="1250">
        <v>0</v>
      </c>
      <c r="AJ548" s="1251"/>
      <c r="AK548" s="1251"/>
      <c r="AL548" s="1252"/>
      <c r="AM548" s="1159">
        <v>3960279</v>
      </c>
      <c r="AN548" s="1160"/>
      <c r="AO548" s="1160"/>
      <c r="AP548" s="1160"/>
      <c r="AQ548" s="1160"/>
      <c r="AR548" s="1160"/>
      <c r="AS548" s="1161"/>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460</v>
      </c>
      <c r="C549" s="1343" t="s">
        <v>2477</v>
      </c>
      <c r="D549" s="1343"/>
      <c r="E549" s="1343"/>
      <c r="F549" s="1343"/>
      <c r="G549" s="1343"/>
      <c r="H549" s="1343"/>
      <c r="I549" s="1343"/>
      <c r="J549" s="1343"/>
      <c r="K549" s="1343"/>
      <c r="L549" s="1343"/>
      <c r="M549" s="1344" t="s">
        <v>2306</v>
      </c>
      <c r="N549" s="1344"/>
      <c r="O549" s="1344"/>
      <c r="P549" s="1344"/>
      <c r="Q549" s="1253">
        <v>0</v>
      </c>
      <c r="R549" s="1254"/>
      <c r="S549" s="1255"/>
      <c r="T549" s="1253">
        <v>0</v>
      </c>
      <c r="U549" s="1254"/>
      <c r="V549" s="1255"/>
      <c r="W549" s="1256">
        <v>0</v>
      </c>
      <c r="X549" s="1257"/>
      <c r="Y549" s="1258"/>
      <c r="Z549" s="1259" t="s">
        <v>132</v>
      </c>
      <c r="AA549" s="1259"/>
      <c r="AB549" s="1259"/>
      <c r="AC549" s="1259"/>
      <c r="AD549" s="1259"/>
      <c r="AE549" s="1260"/>
      <c r="AF549" s="1261"/>
      <c r="AG549" s="1261"/>
      <c r="AH549" s="1262"/>
      <c r="AI549" s="1250">
        <v>0</v>
      </c>
      <c r="AJ549" s="1251"/>
      <c r="AK549" s="1251"/>
      <c r="AL549" s="1252"/>
      <c r="AM549" s="1159">
        <v>2103765.5785965547</v>
      </c>
      <c r="AN549" s="1160"/>
      <c r="AO549" s="1160"/>
      <c r="AP549" s="1160"/>
      <c r="AQ549" s="1160"/>
      <c r="AR549" s="1160"/>
      <c r="AS549" s="1161"/>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343" t="s">
        <v>2524</v>
      </c>
      <c r="D550" s="1343"/>
      <c r="E550" s="1343"/>
      <c r="F550" s="1343"/>
      <c r="G550" s="1343"/>
      <c r="H550" s="1343"/>
      <c r="I550" s="1343"/>
      <c r="J550" s="1343"/>
      <c r="K550" s="1343"/>
      <c r="L550" s="1343"/>
      <c r="M550" s="1344" t="s">
        <v>2301</v>
      </c>
      <c r="N550" s="1344"/>
      <c r="O550" s="1344"/>
      <c r="P550" s="1344"/>
      <c r="Q550" s="1253">
        <v>0</v>
      </c>
      <c r="R550" s="1254"/>
      <c r="S550" s="1255"/>
      <c r="T550" s="1253">
        <v>0</v>
      </c>
      <c r="U550" s="1254"/>
      <c r="V550" s="1255"/>
      <c r="W550" s="1256">
        <v>0</v>
      </c>
      <c r="X550" s="1257"/>
      <c r="Y550" s="1258"/>
      <c r="Z550" s="1259" t="s">
        <v>132</v>
      </c>
      <c r="AA550" s="1259"/>
      <c r="AB550" s="1259"/>
      <c r="AC550" s="1259"/>
      <c r="AD550" s="1259"/>
      <c r="AE550" s="1260"/>
      <c r="AF550" s="1261"/>
      <c r="AG550" s="1261"/>
      <c r="AH550" s="1262"/>
      <c r="AI550" s="1250">
        <v>0</v>
      </c>
      <c r="AJ550" s="1251"/>
      <c r="AK550" s="1251"/>
      <c r="AL550" s="1252"/>
      <c r="AM550" s="1159">
        <v>2540200.7131308727</v>
      </c>
      <c r="AN550" s="1160"/>
      <c r="AO550" s="1160"/>
      <c r="AP550" s="1160"/>
      <c r="AQ550" s="1160"/>
      <c r="AR550" s="1160"/>
      <c r="AS550" s="1161"/>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463</v>
      </c>
      <c r="C551" s="1343"/>
      <c r="D551" s="1343"/>
      <c r="E551" s="1343"/>
      <c r="F551" s="1343"/>
      <c r="G551" s="1343"/>
      <c r="H551" s="1343"/>
      <c r="I551" s="1343"/>
      <c r="J551" s="1343"/>
      <c r="K551" s="1343"/>
      <c r="L551" s="1343"/>
      <c r="M551" s="1344" t="s">
        <v>2077</v>
      </c>
      <c r="N551" s="1344"/>
      <c r="O551" s="1344"/>
      <c r="P551" s="1344"/>
      <c r="Q551" s="1253"/>
      <c r="R551" s="1254"/>
      <c r="S551" s="1255"/>
      <c r="T551" s="1253"/>
      <c r="U551" s="1254"/>
      <c r="V551" s="1255"/>
      <c r="W551" s="1256"/>
      <c r="X551" s="1257"/>
      <c r="Y551" s="1258"/>
      <c r="Z551" s="1259" t="s">
        <v>2077</v>
      </c>
      <c r="AA551" s="1259"/>
      <c r="AB551" s="1259"/>
      <c r="AC551" s="1259"/>
      <c r="AD551" s="1259"/>
      <c r="AE551" s="1260"/>
      <c r="AF551" s="1261"/>
      <c r="AG551" s="1261"/>
      <c r="AH551" s="1262"/>
      <c r="AI551" s="1250"/>
      <c r="AJ551" s="1251"/>
      <c r="AK551" s="1251"/>
      <c r="AL551" s="1252"/>
      <c r="AM551" s="1159"/>
      <c r="AN551" s="1160"/>
      <c r="AO551" s="1160"/>
      <c r="AP551" s="1160"/>
      <c r="AQ551" s="1160"/>
      <c r="AR551" s="1160"/>
      <c r="AS551" s="1161"/>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778</v>
      </c>
      <c r="C552" s="1343"/>
      <c r="D552" s="1343"/>
      <c r="E552" s="1343"/>
      <c r="F552" s="1343"/>
      <c r="G552" s="1343"/>
      <c r="H552" s="1343"/>
      <c r="I552" s="1343"/>
      <c r="J552" s="1343"/>
      <c r="K552" s="1343"/>
      <c r="L552" s="1343"/>
      <c r="M552" s="1344" t="s">
        <v>2077</v>
      </c>
      <c r="N552" s="1344"/>
      <c r="O552" s="1344"/>
      <c r="P552" s="1344"/>
      <c r="Q552" s="1253"/>
      <c r="R552" s="1254"/>
      <c r="S552" s="1255"/>
      <c r="T552" s="1253"/>
      <c r="U552" s="1254"/>
      <c r="V552" s="1255"/>
      <c r="W552" s="1256"/>
      <c r="X552" s="1257"/>
      <c r="Y552" s="1258"/>
      <c r="Z552" s="1259" t="s">
        <v>2077</v>
      </c>
      <c r="AA552" s="1259"/>
      <c r="AB552" s="1259"/>
      <c r="AC552" s="1259"/>
      <c r="AD552" s="1259"/>
      <c r="AE552" s="1260"/>
      <c r="AF552" s="1261"/>
      <c r="AG552" s="1261"/>
      <c r="AH552" s="1262"/>
      <c r="AI552" s="1250"/>
      <c r="AJ552" s="1251"/>
      <c r="AK552" s="1251"/>
      <c r="AL552" s="1252"/>
      <c r="AM552" s="1159"/>
      <c r="AN552" s="1160"/>
      <c r="AO552" s="1160"/>
      <c r="AP552" s="1160"/>
      <c r="AQ552" s="1160"/>
      <c r="AR552" s="1160"/>
      <c r="AS552" s="1161"/>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779</v>
      </c>
      <c r="C553" s="1343"/>
      <c r="D553" s="1343"/>
      <c r="E553" s="1343"/>
      <c r="F553" s="1343"/>
      <c r="G553" s="1343"/>
      <c r="H553" s="1343"/>
      <c r="I553" s="1343"/>
      <c r="J553" s="1343"/>
      <c r="K553" s="1343"/>
      <c r="L553" s="1343"/>
      <c r="M553" s="1344" t="s">
        <v>2077</v>
      </c>
      <c r="N553" s="1344"/>
      <c r="O553" s="1344"/>
      <c r="P553" s="1344"/>
      <c r="Q553" s="1253"/>
      <c r="R553" s="1254"/>
      <c r="S553" s="1255"/>
      <c r="T553" s="1253"/>
      <c r="U553" s="1254"/>
      <c r="V553" s="1255"/>
      <c r="W553" s="1256"/>
      <c r="X553" s="1257"/>
      <c r="Y553" s="1258"/>
      <c r="Z553" s="1259" t="s">
        <v>2077</v>
      </c>
      <c r="AA553" s="1259"/>
      <c r="AB553" s="1259"/>
      <c r="AC553" s="1259"/>
      <c r="AD553" s="1259"/>
      <c r="AE553" s="1260"/>
      <c r="AF553" s="1261"/>
      <c r="AG553" s="1261"/>
      <c r="AH553" s="1262"/>
      <c r="AI553" s="1250"/>
      <c r="AJ553" s="1251"/>
      <c r="AK553" s="1251"/>
      <c r="AL553" s="1252"/>
      <c r="AM553" s="1159"/>
      <c r="AN553" s="1160"/>
      <c r="AO553" s="1160"/>
      <c r="AP553" s="1160"/>
      <c r="AQ553" s="1160"/>
      <c r="AR553" s="1160"/>
      <c r="AS553" s="1161"/>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577</v>
      </c>
      <c r="C554" s="1343"/>
      <c r="D554" s="1343"/>
      <c r="E554" s="1343"/>
      <c r="F554" s="1343"/>
      <c r="G554" s="1343"/>
      <c r="H554" s="1343"/>
      <c r="I554" s="1343"/>
      <c r="J554" s="1343"/>
      <c r="K554" s="1343"/>
      <c r="L554" s="1343"/>
      <c r="M554" s="1344" t="s">
        <v>2077</v>
      </c>
      <c r="N554" s="1344"/>
      <c r="O554" s="1344"/>
      <c r="P554" s="1344"/>
      <c r="Q554" s="1253"/>
      <c r="R554" s="1254"/>
      <c r="S554" s="1255"/>
      <c r="T554" s="1253"/>
      <c r="U554" s="1254"/>
      <c r="V554" s="1255"/>
      <c r="W554" s="1256"/>
      <c r="X554" s="1257"/>
      <c r="Y554" s="1258"/>
      <c r="Z554" s="1259" t="s">
        <v>2077</v>
      </c>
      <c r="AA554" s="1259"/>
      <c r="AB554" s="1259"/>
      <c r="AC554" s="1259"/>
      <c r="AD554" s="1259"/>
      <c r="AE554" s="1260"/>
      <c r="AF554" s="1261"/>
      <c r="AG554" s="1261"/>
      <c r="AH554" s="1262"/>
      <c r="AI554" s="1250"/>
      <c r="AJ554" s="1251"/>
      <c r="AK554" s="1251"/>
      <c r="AL554" s="1252"/>
      <c r="AM554" s="1159"/>
      <c r="AN554" s="1160"/>
      <c r="AO554" s="1160"/>
      <c r="AP554" s="1160"/>
      <c r="AQ554" s="1160"/>
      <c r="AR554" s="1160"/>
      <c r="AS554" s="1161"/>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343"/>
      <c r="D555" s="1343"/>
      <c r="E555" s="1343"/>
      <c r="F555" s="1343"/>
      <c r="G555" s="1343"/>
      <c r="H555" s="1343"/>
      <c r="I555" s="1343"/>
      <c r="J555" s="1343"/>
      <c r="K555" s="1343"/>
      <c r="L555" s="1343"/>
      <c r="M555" s="1344" t="s">
        <v>2077</v>
      </c>
      <c r="N555" s="1344"/>
      <c r="O555" s="1344"/>
      <c r="P555" s="1344"/>
      <c r="Q555" s="1253"/>
      <c r="R555" s="1254"/>
      <c r="S555" s="1255"/>
      <c r="T555" s="1253"/>
      <c r="U555" s="1254"/>
      <c r="V555" s="1255"/>
      <c r="W555" s="1256"/>
      <c r="X555" s="1257"/>
      <c r="Y555" s="1258"/>
      <c r="Z555" s="1259" t="s">
        <v>2077</v>
      </c>
      <c r="AA555" s="1259"/>
      <c r="AB555" s="1259"/>
      <c r="AC555" s="1259"/>
      <c r="AD555" s="1259"/>
      <c r="AE555" s="1260"/>
      <c r="AF555" s="1261"/>
      <c r="AG555" s="1261"/>
      <c r="AH555" s="1262"/>
      <c r="AI555" s="1250"/>
      <c r="AJ555" s="1251"/>
      <c r="AK555" s="1251"/>
      <c r="AL555" s="1252"/>
      <c r="AM555" s="1159"/>
      <c r="AN555" s="1160"/>
      <c r="AO555" s="1160"/>
      <c r="AP555" s="1160"/>
      <c r="AQ555" s="1160"/>
      <c r="AR555" s="1160"/>
      <c r="AS555" s="1161"/>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343"/>
      <c r="D556" s="1343"/>
      <c r="E556" s="1343"/>
      <c r="F556" s="1343"/>
      <c r="G556" s="1343"/>
      <c r="H556" s="1343"/>
      <c r="I556" s="1343"/>
      <c r="J556" s="1343"/>
      <c r="K556" s="1343"/>
      <c r="L556" s="1343"/>
      <c r="M556" s="1344" t="s">
        <v>2077</v>
      </c>
      <c r="N556" s="1344"/>
      <c r="O556" s="1344"/>
      <c r="P556" s="1344"/>
      <c r="Q556" s="1253"/>
      <c r="R556" s="1254"/>
      <c r="S556" s="1255"/>
      <c r="T556" s="1253"/>
      <c r="U556" s="1254"/>
      <c r="V556" s="1255"/>
      <c r="W556" s="1256"/>
      <c r="X556" s="1257"/>
      <c r="Y556" s="1258"/>
      <c r="Z556" s="1259" t="s">
        <v>2077</v>
      </c>
      <c r="AA556" s="1259"/>
      <c r="AB556" s="1259"/>
      <c r="AC556" s="1259"/>
      <c r="AD556" s="1259"/>
      <c r="AE556" s="1260"/>
      <c r="AF556" s="1261"/>
      <c r="AG556" s="1261"/>
      <c r="AH556" s="1262"/>
      <c r="AI556" s="1250"/>
      <c r="AJ556" s="1251"/>
      <c r="AK556" s="1251"/>
      <c r="AL556" s="1252"/>
      <c r="AM556" s="1159"/>
      <c r="AN556" s="1160"/>
      <c r="AO556" s="1160"/>
      <c r="AP556" s="1160"/>
      <c r="AQ556" s="1160"/>
      <c r="AR556" s="1160"/>
      <c r="AS556" s="1161"/>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343"/>
      <c r="D557" s="1343"/>
      <c r="E557" s="1343"/>
      <c r="F557" s="1343"/>
      <c r="G557" s="1343"/>
      <c r="H557" s="1343"/>
      <c r="I557" s="1343"/>
      <c r="J557" s="1343"/>
      <c r="K557" s="1343"/>
      <c r="L557" s="1343"/>
      <c r="M557" s="1344" t="s">
        <v>2077</v>
      </c>
      <c r="N557" s="1344"/>
      <c r="O557" s="1344"/>
      <c r="P557" s="1344"/>
      <c r="Q557" s="1253"/>
      <c r="R557" s="1254"/>
      <c r="S557" s="1255"/>
      <c r="T557" s="1253"/>
      <c r="U557" s="1254"/>
      <c r="V557" s="1255"/>
      <c r="W557" s="1256"/>
      <c r="X557" s="1257"/>
      <c r="Y557" s="1258"/>
      <c r="Z557" s="1259" t="s">
        <v>2077</v>
      </c>
      <c r="AA557" s="1259"/>
      <c r="AB557" s="1259"/>
      <c r="AC557" s="1259"/>
      <c r="AD557" s="1259"/>
      <c r="AE557" s="1260"/>
      <c r="AF557" s="1261"/>
      <c r="AG557" s="1261"/>
      <c r="AH557" s="1262"/>
      <c r="AI557" s="1250"/>
      <c r="AJ557" s="1251"/>
      <c r="AK557" s="1251"/>
      <c r="AL557" s="1252"/>
      <c r="AM557" s="1159"/>
      <c r="AN557" s="1160"/>
      <c r="AO557" s="1160"/>
      <c r="AP557" s="1160"/>
      <c r="AQ557" s="1160"/>
      <c r="AR557" s="1160"/>
      <c r="AS557" s="1161"/>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36" t="s">
        <v>382</v>
      </c>
      <c r="C558" s="1137"/>
      <c r="D558" s="1137"/>
      <c r="E558" s="1137"/>
      <c r="F558" s="1137"/>
      <c r="G558" s="1137"/>
      <c r="H558" s="1137"/>
      <c r="I558" s="1137"/>
      <c r="J558" s="1137"/>
      <c r="K558" s="1137"/>
      <c r="L558" s="1137"/>
      <c r="M558" s="1137"/>
      <c r="N558" s="1137"/>
      <c r="O558" s="1137"/>
      <c r="P558" s="1137"/>
      <c r="Q558" s="1137"/>
      <c r="R558" s="1137"/>
      <c r="S558" s="1137"/>
      <c r="T558" s="1137"/>
      <c r="U558" s="1402"/>
      <c r="V558" s="1137"/>
      <c r="W558" s="1137"/>
      <c r="X558" s="1137"/>
      <c r="Y558" s="1137"/>
      <c r="Z558" s="1137"/>
      <c r="AA558" s="1137"/>
      <c r="AB558" s="1137"/>
      <c r="AC558" s="1137"/>
      <c r="AD558" s="1137"/>
      <c r="AE558" s="1137"/>
      <c r="AF558" s="1137"/>
      <c r="AG558" s="1137"/>
      <c r="AH558" s="1137"/>
      <c r="AI558" s="1137"/>
      <c r="AJ558" s="1137"/>
      <c r="AK558" s="1137"/>
      <c r="AL558" s="1138"/>
      <c r="AM558" s="1153">
        <f>SUM(AM546:AS557)</f>
        <v>27378425.977766439</v>
      </c>
      <c r="AN558" s="1154"/>
      <c r="AO558" s="1154"/>
      <c r="AP558" s="1154"/>
      <c r="AQ558" s="1154"/>
      <c r="AR558" s="1154"/>
      <c r="AS558" s="1155"/>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944</v>
      </c>
      <c r="B560" t="s">
        <v>90</v>
      </c>
      <c r="G560" s="1184" t="str">
        <f>C546</f>
        <v>Citibank Construction Loan</v>
      </c>
      <c r="H560" s="1184"/>
      <c r="I560" s="1184"/>
      <c r="J560" s="1184"/>
      <c r="K560" s="1184"/>
      <c r="L560" s="1184"/>
      <c r="M560" s="1184"/>
      <c r="N560" s="1184"/>
      <c r="O560" s="1184"/>
      <c r="P560" s="1184"/>
      <c r="Q560" s="1184"/>
      <c r="R560" s="1184"/>
      <c r="S560" s="12"/>
      <c r="T560" s="61" t="s">
        <v>945</v>
      </c>
      <c r="U560" t="s">
        <v>90</v>
      </c>
      <c r="Z560" s="1184" t="str">
        <f>C547</f>
        <v>City Housing Successor Loan</v>
      </c>
      <c r="AA560" s="1184"/>
      <c r="AB560" s="1184"/>
      <c r="AC560" s="1184"/>
      <c r="AD560" s="1184"/>
      <c r="AE560" s="1184"/>
      <c r="AF560" s="1184"/>
      <c r="AG560" s="1184"/>
      <c r="AH560" s="1184"/>
      <c r="AI560" s="1184"/>
      <c r="AJ560" s="1184"/>
      <c r="AK560" s="1184"/>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397</v>
      </c>
      <c r="G561" s="1223" t="s">
        <v>2470</v>
      </c>
      <c r="H561" s="1223"/>
      <c r="I561" s="1223"/>
      <c r="J561" s="1223"/>
      <c r="K561" s="1223"/>
      <c r="L561" s="1223"/>
      <c r="M561" s="1223"/>
      <c r="N561" s="1223"/>
      <c r="O561" s="1223"/>
      <c r="P561" s="1223"/>
      <c r="Q561" s="1223"/>
      <c r="R561" s="1223"/>
      <c r="S561" s="12"/>
      <c r="T561" s="4"/>
      <c r="U561" t="s">
        <v>397</v>
      </c>
      <c r="Z561" s="1223" t="s">
        <v>2365</v>
      </c>
      <c r="AA561" s="1223"/>
      <c r="AB561" s="1223"/>
      <c r="AC561" s="1223"/>
      <c r="AD561" s="1223"/>
      <c r="AE561" s="1223"/>
      <c r="AF561" s="1223"/>
      <c r="AG561" s="1223"/>
      <c r="AH561" s="1223"/>
      <c r="AI561" s="1223"/>
      <c r="AJ561" s="1223"/>
      <c r="AK561" s="1223"/>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459</v>
      </c>
      <c r="G562" s="1223" t="s">
        <v>2471</v>
      </c>
      <c r="H562" s="1223"/>
      <c r="I562" s="1223"/>
      <c r="J562" s="1223"/>
      <c r="K562" s="1223"/>
      <c r="L562" s="1223"/>
      <c r="M562" s="1223"/>
      <c r="N562" s="1223"/>
      <c r="O562" s="1223"/>
      <c r="P562" s="1223"/>
      <c r="Q562" s="1223"/>
      <c r="R562" s="1223"/>
      <c r="T562" s="4"/>
      <c r="U562" t="s">
        <v>459</v>
      </c>
      <c r="Z562" s="1224" t="s">
        <v>2366</v>
      </c>
      <c r="AA562" s="1224"/>
      <c r="AB562" s="1224"/>
      <c r="AC562" s="1224"/>
      <c r="AD562" s="1224"/>
      <c r="AE562" s="1224"/>
      <c r="AF562" s="1224"/>
      <c r="AG562" s="1224"/>
      <c r="AH562" s="1224"/>
      <c r="AI562" s="1224"/>
      <c r="AJ562" s="1224"/>
      <c r="AK562" s="1224"/>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874</v>
      </c>
      <c r="G563" s="1223" t="s">
        <v>2472</v>
      </c>
      <c r="H563" s="1223"/>
      <c r="I563" s="1223"/>
      <c r="J563" s="1223"/>
      <c r="K563" s="1223"/>
      <c r="L563" s="1223"/>
      <c r="M563" s="1223"/>
      <c r="N563" s="1223"/>
      <c r="O563" s="1223"/>
      <c r="P563" s="1223"/>
      <c r="Q563" s="1223"/>
      <c r="R563" s="1223"/>
      <c r="S563" s="12"/>
      <c r="T563" s="4"/>
      <c r="U563" t="s">
        <v>874</v>
      </c>
      <c r="Z563" s="1224" t="s">
        <v>2483</v>
      </c>
      <c r="AA563" s="1224"/>
      <c r="AB563" s="1224"/>
      <c r="AC563" s="1224"/>
      <c r="AD563" s="1224"/>
      <c r="AE563" s="1224"/>
      <c r="AF563" s="1224"/>
      <c r="AG563" s="1224"/>
      <c r="AH563" s="1224"/>
      <c r="AI563" s="1224"/>
      <c r="AJ563" s="1224"/>
      <c r="AK563" s="1224"/>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686</v>
      </c>
      <c r="G564" s="1234" t="s">
        <v>2473</v>
      </c>
      <c r="H564" s="1226"/>
      <c r="I564" s="1226"/>
      <c r="J564" s="1226"/>
      <c r="K564" s="1226"/>
      <c r="L564" s="1226"/>
      <c r="O564" s="42" t="s">
        <v>859</v>
      </c>
      <c r="P564" s="1233"/>
      <c r="Q564" s="1233"/>
      <c r="R564" s="1233"/>
      <c r="S564" s="14"/>
      <c r="T564" s="4"/>
      <c r="U564" t="s">
        <v>686</v>
      </c>
      <c r="Z564" s="1234" t="s">
        <v>2484</v>
      </c>
      <c r="AA564" s="1226"/>
      <c r="AB564" s="1226"/>
      <c r="AC564" s="1226"/>
      <c r="AD564" s="1226"/>
      <c r="AE564" s="1226"/>
      <c r="AH564" s="42" t="s">
        <v>859</v>
      </c>
      <c r="AI564" s="1233"/>
      <c r="AJ564" s="1233"/>
      <c r="AK564" s="1233"/>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875</v>
      </c>
      <c r="H565" s="1223" t="s">
        <v>2474</v>
      </c>
      <c r="I565" s="1223"/>
      <c r="J565" s="1223"/>
      <c r="K565" s="1223"/>
      <c r="L565" s="1223"/>
      <c r="M565" s="1223"/>
      <c r="N565" s="1223"/>
      <c r="O565" s="1223"/>
      <c r="P565" s="1223"/>
      <c r="Q565" s="1223"/>
      <c r="R565" s="1223"/>
      <c r="S565" s="12"/>
      <c r="T565" s="4"/>
      <c r="U565" t="s">
        <v>875</v>
      </c>
      <c r="AA565" s="1223" t="s">
        <v>2481</v>
      </c>
      <c r="AB565" s="1223"/>
      <c r="AC565" s="1223"/>
      <c r="AD565" s="1223"/>
      <c r="AE565" s="1223"/>
      <c r="AF565" s="1223"/>
      <c r="AG565" s="1223"/>
      <c r="AH565" s="1223"/>
      <c r="AI565" s="1223"/>
      <c r="AJ565" s="1223"/>
      <c r="AK565" s="122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877</v>
      </c>
      <c r="N566" s="1225" t="s">
        <v>116</v>
      </c>
      <c r="O566" s="1225"/>
      <c r="T566" s="4"/>
      <c r="U566" t="s">
        <v>877</v>
      </c>
      <c r="AG566" s="1225" t="s">
        <v>116</v>
      </c>
      <c r="AH566" s="1225"/>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951</v>
      </c>
      <c r="B568" t="s">
        <v>90</v>
      </c>
      <c r="G568" s="1184" t="str">
        <f>C548</f>
        <v>Joe Serna, FWHG</v>
      </c>
      <c r="H568" s="1184"/>
      <c r="I568" s="1184"/>
      <c r="J568" s="1184"/>
      <c r="K568" s="1184"/>
      <c r="L568" s="1184"/>
      <c r="M568" s="1184"/>
      <c r="N568" s="1184"/>
      <c r="O568" s="1184"/>
      <c r="P568" s="1184"/>
      <c r="Q568" s="1184"/>
      <c r="R568" s="1184"/>
      <c r="T568" s="61" t="s">
        <v>460</v>
      </c>
      <c r="U568" t="s">
        <v>90</v>
      </c>
      <c r="Z568" s="1184" t="str">
        <f>C549</f>
        <v>The Richman Group - Tax Credit Equity</v>
      </c>
      <c r="AA568" s="1184"/>
      <c r="AB568" s="1184"/>
      <c r="AC568" s="1184"/>
      <c r="AD568" s="1184"/>
      <c r="AE568" s="1184"/>
      <c r="AF568" s="1184"/>
      <c r="AG568" s="1184"/>
      <c r="AH568" s="1184"/>
      <c r="AI568" s="1184"/>
      <c r="AJ568" s="1184"/>
      <c r="AK568" s="1184"/>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397</v>
      </c>
      <c r="G569" s="1223" t="s">
        <v>2478</v>
      </c>
      <c r="H569" s="1223"/>
      <c r="I569" s="1223"/>
      <c r="J569" s="1223"/>
      <c r="K569" s="1223"/>
      <c r="L569" s="1223"/>
      <c r="M569" s="1223"/>
      <c r="N569" s="1223"/>
      <c r="O569" s="1223"/>
      <c r="P569" s="1223"/>
      <c r="Q569" s="1223"/>
      <c r="R569" s="1223"/>
      <c r="T569" s="4"/>
      <c r="U569" t="s">
        <v>397</v>
      </c>
      <c r="Z569" s="1223" t="s">
        <v>2485</v>
      </c>
      <c r="AA569" s="1223"/>
      <c r="AB569" s="1223"/>
      <c r="AC569" s="1223"/>
      <c r="AD569" s="1223"/>
      <c r="AE569" s="1223"/>
      <c r="AF569" s="1223"/>
      <c r="AG569" s="1223"/>
      <c r="AH569" s="1223"/>
      <c r="AI569" s="1223"/>
      <c r="AJ569" s="1223"/>
      <c r="AK569" s="1223"/>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459</v>
      </c>
      <c r="G570" s="1224" t="s">
        <v>118</v>
      </c>
      <c r="H570" s="1224"/>
      <c r="I570" s="1224"/>
      <c r="J570" s="1224"/>
      <c r="K570" s="1224"/>
      <c r="L570" s="1224"/>
      <c r="M570" s="1224"/>
      <c r="N570" s="1224"/>
      <c r="O570" s="1224"/>
      <c r="P570" s="1224"/>
      <c r="Q570" s="1224"/>
      <c r="R570" s="1224"/>
      <c r="T570" s="4"/>
      <c r="U570" t="s">
        <v>459</v>
      </c>
      <c r="Z570" s="1224" t="s">
        <v>2486</v>
      </c>
      <c r="AA570" s="1224"/>
      <c r="AB570" s="1224"/>
      <c r="AC570" s="1224"/>
      <c r="AD570" s="1224"/>
      <c r="AE570" s="1224"/>
      <c r="AF570" s="1224"/>
      <c r="AG570" s="1224"/>
      <c r="AH570" s="1224"/>
      <c r="AI570" s="1224"/>
      <c r="AJ570" s="1224"/>
      <c r="AK570" s="1224"/>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874</v>
      </c>
      <c r="G571" s="1224" t="s">
        <v>2479</v>
      </c>
      <c r="H571" s="1224"/>
      <c r="I571" s="1224"/>
      <c r="J571" s="1224"/>
      <c r="K571" s="1224"/>
      <c r="L571" s="1224"/>
      <c r="M571" s="1224"/>
      <c r="N571" s="1224"/>
      <c r="O571" s="1224"/>
      <c r="P571" s="1224"/>
      <c r="Q571" s="1224"/>
      <c r="R571" s="1224"/>
      <c r="T571" s="4"/>
      <c r="U571" t="s">
        <v>874</v>
      </c>
      <c r="Z571" s="1224" t="s">
        <v>2487</v>
      </c>
      <c r="AA571" s="1224"/>
      <c r="AB571" s="1224"/>
      <c r="AC571" s="1224"/>
      <c r="AD571" s="1224"/>
      <c r="AE571" s="1224"/>
      <c r="AF571" s="1224"/>
      <c r="AG571" s="1224"/>
      <c r="AH571" s="1224"/>
      <c r="AI571" s="1224"/>
      <c r="AJ571" s="1224"/>
      <c r="AK571" s="122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686</v>
      </c>
      <c r="G572" s="1234" t="s">
        <v>2480</v>
      </c>
      <c r="H572" s="1226"/>
      <c r="I572" s="1226"/>
      <c r="J572" s="1226"/>
      <c r="K572" s="1226"/>
      <c r="L572" s="1226"/>
      <c r="O572" s="42" t="s">
        <v>859</v>
      </c>
      <c r="P572" s="1233"/>
      <c r="Q572" s="1233"/>
      <c r="R572" s="1233"/>
      <c r="T572" s="4"/>
      <c r="U572" t="s">
        <v>686</v>
      </c>
      <c r="Z572" s="1234" t="s">
        <v>2488</v>
      </c>
      <c r="AA572" s="1226"/>
      <c r="AB572" s="1226"/>
      <c r="AC572" s="1226"/>
      <c r="AD572" s="1226"/>
      <c r="AE572" s="1226"/>
      <c r="AH572" s="42" t="s">
        <v>859</v>
      </c>
      <c r="AI572" s="1233"/>
      <c r="AJ572" s="1233"/>
      <c r="AK572" s="1233"/>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875</v>
      </c>
      <c r="H573" s="1223" t="s">
        <v>2481</v>
      </c>
      <c r="I573" s="1223"/>
      <c r="J573" s="1223"/>
      <c r="K573" s="1223"/>
      <c r="L573" s="1223"/>
      <c r="M573" s="1223"/>
      <c r="N573" s="1223"/>
      <c r="O573" s="1223"/>
      <c r="P573" s="1223"/>
      <c r="Q573" s="1223"/>
      <c r="R573" s="1223"/>
      <c r="T573" s="4"/>
      <c r="U573" t="s">
        <v>875</v>
      </c>
      <c r="AA573" s="1223" t="s">
        <v>2489</v>
      </c>
      <c r="AB573" s="1223"/>
      <c r="AC573" s="1223"/>
      <c r="AD573" s="1223"/>
      <c r="AE573" s="1223"/>
      <c r="AF573" s="1223"/>
      <c r="AG573" s="1223"/>
      <c r="AH573" s="1223"/>
      <c r="AI573" s="1223"/>
      <c r="AJ573" s="1223"/>
      <c r="AK573" s="122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877</v>
      </c>
      <c r="N574" s="1143" t="s">
        <v>116</v>
      </c>
      <c r="O574" s="1143"/>
      <c r="T574" s="4"/>
      <c r="U574" t="s">
        <v>877</v>
      </c>
      <c r="AG574" s="1143" t="s">
        <v>116</v>
      </c>
      <c r="AH574" s="1143"/>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184" t="str">
        <f>C550</f>
        <v>Deferred fees/costs</v>
      </c>
      <c r="H576" s="1184"/>
      <c r="I576" s="1184"/>
      <c r="J576" s="1184"/>
      <c r="K576" s="1184"/>
      <c r="L576" s="1184"/>
      <c r="M576" s="1184"/>
      <c r="N576" s="1184"/>
      <c r="O576" s="1184"/>
      <c r="P576" s="1184"/>
      <c r="Q576" s="1184"/>
      <c r="R576" s="1184"/>
      <c r="T576" s="61" t="s">
        <v>463</v>
      </c>
      <c r="U576" t="s">
        <v>90</v>
      </c>
      <c r="Z576" s="1184">
        <f>C551</f>
        <v>0</v>
      </c>
      <c r="AA576" s="1184"/>
      <c r="AB576" s="1184"/>
      <c r="AC576" s="1184"/>
      <c r="AD576" s="1184"/>
      <c r="AE576" s="1184"/>
      <c r="AF576" s="1184"/>
      <c r="AG576" s="1184"/>
      <c r="AH576" s="1184"/>
      <c r="AI576" s="1184"/>
      <c r="AJ576" s="1184"/>
      <c r="AK576" s="1184"/>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397</v>
      </c>
      <c r="G577" s="1223" t="s">
        <v>2378</v>
      </c>
      <c r="H577" s="1223"/>
      <c r="I577" s="1223"/>
      <c r="J577" s="1223"/>
      <c r="K577" s="1223"/>
      <c r="L577" s="1223"/>
      <c r="M577" s="1223"/>
      <c r="N577" s="1223"/>
      <c r="O577" s="1223"/>
      <c r="P577" s="1223"/>
      <c r="Q577" s="1223"/>
      <c r="R577" s="1223"/>
      <c r="T577" s="4"/>
      <c r="U577" t="s">
        <v>397</v>
      </c>
      <c r="Z577" s="1223"/>
      <c r="AA577" s="1223"/>
      <c r="AB577" s="1223"/>
      <c r="AC577" s="1223"/>
      <c r="AD577" s="1223"/>
      <c r="AE577" s="1223"/>
      <c r="AF577" s="1223"/>
      <c r="AG577" s="1223"/>
      <c r="AH577" s="1223"/>
      <c r="AI577" s="1223"/>
      <c r="AJ577" s="1223"/>
      <c r="AK577" s="122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459</v>
      </c>
      <c r="G578" s="1223" t="s">
        <v>2379</v>
      </c>
      <c r="H578" s="1223"/>
      <c r="I578" s="1223"/>
      <c r="J578" s="1223"/>
      <c r="K578" s="1223"/>
      <c r="L578" s="1223"/>
      <c r="M578" s="1223"/>
      <c r="N578" s="1223"/>
      <c r="O578" s="1223"/>
      <c r="P578" s="1223"/>
      <c r="Q578" s="1223"/>
      <c r="R578" s="1223"/>
      <c r="T578" s="4"/>
      <c r="U578" t="s">
        <v>459</v>
      </c>
      <c r="Z578" s="1224"/>
      <c r="AA578" s="1224"/>
      <c r="AB578" s="1224"/>
      <c r="AC578" s="1224"/>
      <c r="AD578" s="1224"/>
      <c r="AE578" s="1224"/>
      <c r="AF578" s="1224"/>
      <c r="AG578" s="1224"/>
      <c r="AH578" s="1224"/>
      <c r="AI578" s="1224"/>
      <c r="AJ578" s="1224"/>
      <c r="AK578" s="1224"/>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874</v>
      </c>
      <c r="G579" s="1223" t="s">
        <v>2497</v>
      </c>
      <c r="H579" s="1223"/>
      <c r="I579" s="1223"/>
      <c r="J579" s="1223"/>
      <c r="K579" s="1223"/>
      <c r="L579" s="1223"/>
      <c r="M579" s="1223"/>
      <c r="N579" s="1223"/>
      <c r="O579" s="1223"/>
      <c r="P579" s="1223"/>
      <c r="Q579" s="1223"/>
      <c r="R579" s="1223"/>
      <c r="T579" s="4"/>
      <c r="U579" t="s">
        <v>874</v>
      </c>
      <c r="Z579" s="1224"/>
      <c r="AA579" s="1224"/>
      <c r="AB579" s="1224"/>
      <c r="AC579" s="1224"/>
      <c r="AD579" s="1224"/>
      <c r="AE579" s="1224"/>
      <c r="AF579" s="1224"/>
      <c r="AG579" s="1224"/>
      <c r="AH579" s="1224"/>
      <c r="AI579" s="1224"/>
      <c r="AJ579" s="1224"/>
      <c r="AK579" s="122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686</v>
      </c>
      <c r="G580" s="1226">
        <v>7604566000</v>
      </c>
      <c r="H580" s="1226"/>
      <c r="I580" s="1226"/>
      <c r="J580" s="1226"/>
      <c r="K580" s="1226"/>
      <c r="L580" s="1226"/>
      <c r="O580" s="42" t="s">
        <v>859</v>
      </c>
      <c r="P580" s="1233"/>
      <c r="Q580" s="1233"/>
      <c r="R580" s="1233"/>
      <c r="T580" s="4"/>
      <c r="U580" t="s">
        <v>686</v>
      </c>
      <c r="Z580" s="1226"/>
      <c r="AA580" s="1226"/>
      <c r="AB580" s="1226"/>
      <c r="AC580" s="1226"/>
      <c r="AD580" s="1226"/>
      <c r="AE580" s="1226"/>
      <c r="AH580" s="42" t="s">
        <v>859</v>
      </c>
      <c r="AI580" s="1233"/>
      <c r="AJ580" s="1233"/>
      <c r="AK580" s="1233"/>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875</v>
      </c>
      <c r="H581" s="1223" t="s">
        <v>2496</v>
      </c>
      <c r="I581" s="1223"/>
      <c r="J581" s="1223"/>
      <c r="K581" s="1223"/>
      <c r="L581" s="1223"/>
      <c r="M581" s="1223"/>
      <c r="N581" s="1223"/>
      <c r="O581" s="1223"/>
      <c r="P581" s="1223"/>
      <c r="Q581" s="1223"/>
      <c r="R581" s="1223"/>
      <c r="T581" s="4"/>
      <c r="U581" t="s">
        <v>875</v>
      </c>
      <c r="AA581" s="1223"/>
      <c r="AB581" s="1223"/>
      <c r="AC581" s="1223"/>
      <c r="AD581" s="1223"/>
      <c r="AE581" s="1223"/>
      <c r="AF581" s="1223"/>
      <c r="AG581" s="1223"/>
      <c r="AH581" s="1223"/>
      <c r="AI581" s="1223"/>
      <c r="AJ581" s="1223"/>
      <c r="AK581" s="122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877</v>
      </c>
      <c r="N582" s="1143" t="s">
        <v>116</v>
      </c>
      <c r="O582" s="1143"/>
      <c r="T582" s="4"/>
      <c r="U582" t="s">
        <v>877</v>
      </c>
      <c r="AG582" s="1143" t="s">
        <v>511</v>
      </c>
      <c r="AH582" s="1143"/>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778</v>
      </c>
      <c r="B584" t="s">
        <v>90</v>
      </c>
      <c r="G584" s="1184">
        <f>C552</f>
        <v>0</v>
      </c>
      <c r="H584" s="1184"/>
      <c r="I584" s="1184"/>
      <c r="J584" s="1184"/>
      <c r="K584" s="1184"/>
      <c r="L584" s="1184"/>
      <c r="M584" s="1184"/>
      <c r="N584" s="1184"/>
      <c r="O584" s="1184"/>
      <c r="P584" s="1184"/>
      <c r="Q584" s="1184"/>
      <c r="R584" s="1184"/>
      <c r="T584" s="61" t="s">
        <v>779</v>
      </c>
      <c r="U584" t="s">
        <v>90</v>
      </c>
      <c r="Z584" s="1184">
        <f>C553</f>
        <v>0</v>
      </c>
      <c r="AA584" s="1184"/>
      <c r="AB584" s="1184"/>
      <c r="AC584" s="1184"/>
      <c r="AD584" s="1184"/>
      <c r="AE584" s="1184"/>
      <c r="AF584" s="1184"/>
      <c r="AG584" s="1184"/>
      <c r="AH584" s="1184"/>
      <c r="AI584" s="1184"/>
      <c r="AJ584" s="1184"/>
      <c r="AK584" s="1184"/>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397</v>
      </c>
      <c r="G585" s="1223"/>
      <c r="H585" s="1223"/>
      <c r="I585" s="1223"/>
      <c r="J585" s="1223"/>
      <c r="K585" s="1223"/>
      <c r="L585" s="1223"/>
      <c r="M585" s="1223"/>
      <c r="N585" s="1223"/>
      <c r="O585" s="1223"/>
      <c r="P585" s="1223"/>
      <c r="Q585" s="1223"/>
      <c r="R585" s="1223"/>
      <c r="T585" s="4"/>
      <c r="U585" t="s">
        <v>397</v>
      </c>
      <c r="Z585" s="1223"/>
      <c r="AA585" s="1223"/>
      <c r="AB585" s="1223"/>
      <c r="AC585" s="1223"/>
      <c r="AD585" s="1223"/>
      <c r="AE585" s="1223"/>
      <c r="AF585" s="1223"/>
      <c r="AG585" s="1223"/>
      <c r="AH585" s="1223"/>
      <c r="AI585" s="1223"/>
      <c r="AJ585" s="1223"/>
      <c r="AK585" s="1223"/>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459</v>
      </c>
      <c r="C586"/>
      <c r="D586"/>
      <c r="E586"/>
      <c r="F586"/>
      <c r="G586" s="1223"/>
      <c r="H586" s="1223"/>
      <c r="I586" s="1223"/>
      <c r="J586" s="1223"/>
      <c r="K586" s="1223"/>
      <c r="L586" s="1223"/>
      <c r="M586" s="1223"/>
      <c r="N586" s="1223"/>
      <c r="O586" s="1223"/>
      <c r="P586" s="1223"/>
      <c r="Q586" s="1223"/>
      <c r="R586" s="1223"/>
      <c r="S586"/>
      <c r="T586" s="4"/>
      <c r="U586" t="s">
        <v>459</v>
      </c>
      <c r="V586"/>
      <c r="W586"/>
      <c r="X586"/>
      <c r="Y586"/>
      <c r="Z586" s="1224"/>
      <c r="AA586" s="1224"/>
      <c r="AB586" s="1224"/>
      <c r="AC586" s="1224"/>
      <c r="AD586" s="1224"/>
      <c r="AE586" s="1224"/>
      <c r="AF586" s="1224"/>
      <c r="AG586" s="1224"/>
      <c r="AH586" s="1224"/>
      <c r="AI586" s="1224"/>
      <c r="AJ586" s="1224"/>
      <c r="AK586" s="1224"/>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874</v>
      </c>
      <c r="C587"/>
      <c r="D587"/>
      <c r="E587"/>
      <c r="F587"/>
      <c r="G587" s="1223"/>
      <c r="H587" s="1223"/>
      <c r="I587" s="1223"/>
      <c r="J587" s="1223"/>
      <c r="K587" s="1223"/>
      <c r="L587" s="1223"/>
      <c r="M587" s="1223"/>
      <c r="N587" s="1223"/>
      <c r="O587" s="1223"/>
      <c r="P587" s="1223"/>
      <c r="Q587" s="1223"/>
      <c r="R587" s="1223"/>
      <c r="S587"/>
      <c r="T587" s="4"/>
      <c r="U587" t="s">
        <v>874</v>
      </c>
      <c r="V587"/>
      <c r="W587"/>
      <c r="X587"/>
      <c r="Y587"/>
      <c r="Z587" s="1224"/>
      <c r="AA587" s="1224"/>
      <c r="AB587" s="1224"/>
      <c r="AC587" s="1224"/>
      <c r="AD587" s="1224"/>
      <c r="AE587" s="1224"/>
      <c r="AF587" s="1224"/>
      <c r="AG587" s="1224"/>
      <c r="AH587" s="1224"/>
      <c r="AI587" s="1224"/>
      <c r="AJ587" s="1224"/>
      <c r="AK587" s="1224"/>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817</v>
      </c>
      <c r="BY587" s="860"/>
      <c r="BZ587" s="860"/>
      <c r="CA587" s="860"/>
      <c r="CB587" s="860"/>
      <c r="CC587" s="860" t="s">
        <v>818</v>
      </c>
      <c r="CD587" s="860"/>
      <c r="CE587" s="860"/>
      <c r="CF587" s="860"/>
      <c r="CG587" s="860"/>
      <c r="CH587" s="860" t="s">
        <v>829</v>
      </c>
      <c r="CI587" s="860"/>
      <c r="CJ587" s="860"/>
      <c r="CK587" s="860"/>
      <c r="CL587" s="860"/>
      <c r="CM587" s="860" t="s">
        <v>366</v>
      </c>
      <c r="CN587" s="860"/>
      <c r="CO587" s="860"/>
      <c r="CP587" s="177"/>
      <c r="CQ587" s="861"/>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686</v>
      </c>
      <c r="C588"/>
      <c r="D588"/>
      <c r="E588"/>
      <c r="F588"/>
      <c r="G588" s="1226"/>
      <c r="H588" s="1226"/>
      <c r="I588" s="1226"/>
      <c r="J588" s="1226"/>
      <c r="K588" s="1226"/>
      <c r="L588" s="1226"/>
      <c r="M588"/>
      <c r="N588"/>
      <c r="O588" s="42" t="s">
        <v>859</v>
      </c>
      <c r="P588" s="1233"/>
      <c r="Q588" s="1233"/>
      <c r="R588" s="1233"/>
      <c r="S588"/>
      <c r="T588" s="4"/>
      <c r="U588" t="s">
        <v>686</v>
      </c>
      <c r="V588"/>
      <c r="W588"/>
      <c r="X588"/>
      <c r="Y588"/>
      <c r="Z588" s="1226"/>
      <c r="AA588" s="1226"/>
      <c r="AB588" s="1226"/>
      <c r="AC588" s="1226"/>
      <c r="AD588" s="1226"/>
      <c r="AE588" s="1226"/>
      <c r="AF588"/>
      <c r="AG588"/>
      <c r="AH588" s="42" t="s">
        <v>859</v>
      </c>
      <c r="AI588" s="1233"/>
      <c r="AJ588" s="1233"/>
      <c r="AK588" s="1233"/>
      <c r="AL588"/>
      <c r="AZ588" s="5" t="s">
        <v>470</v>
      </c>
      <c r="BA588" s="41"/>
      <c r="BB588" s="41"/>
      <c r="BC588" s="41"/>
      <c r="BD588" s="41"/>
      <c r="BE588" s="214" t="s">
        <v>373</v>
      </c>
      <c r="BF588" s="215"/>
      <c r="BG588" s="1235"/>
      <c r="BH588" s="1237"/>
      <c r="BI588" s="214" t="s">
        <v>374</v>
      </c>
      <c r="BJ588" s="215"/>
      <c r="BK588" s="1235"/>
      <c r="BL588" s="1237"/>
      <c r="BN588" s="1235">
        <f t="shared" ref="BN588:BN612" si="1">IF(B692="SRO/Studio",G692,0)</f>
        <v>0</v>
      </c>
      <c r="BO588" s="1236"/>
      <c r="BP588" s="1236"/>
      <c r="BQ588" s="1236"/>
      <c r="BR588" s="1246"/>
      <c r="BS588" s="1235">
        <f t="shared" ref="BS588:BS612" si="2">IF(B692="1 Bedroom",G692,0)</f>
        <v>3</v>
      </c>
      <c r="BT588" s="1236"/>
      <c r="BU588" s="1236"/>
      <c r="BV588" s="1236"/>
      <c r="BW588" s="1237"/>
      <c r="BX588" s="1235">
        <f t="shared" ref="BX588:BX612" si="3">IF(B692="2 Bedrooms",G692,0)</f>
        <v>0</v>
      </c>
      <c r="BY588" s="1236"/>
      <c r="BZ588" s="1236"/>
      <c r="CA588" s="1236"/>
      <c r="CB588" s="1237"/>
      <c r="CC588" s="1235">
        <f t="shared" ref="CC588:CC612" si="4">IF(B692="3 Bedrooms",G692,0)</f>
        <v>0</v>
      </c>
      <c r="CD588" s="1236"/>
      <c r="CE588" s="1236"/>
      <c r="CF588" s="1236"/>
      <c r="CG588" s="1237"/>
      <c r="CH588" s="1235">
        <f t="shared" ref="CH588:CH612" si="5">IF(B692="4 Bedrooms",G692,0)</f>
        <v>0</v>
      </c>
      <c r="CI588" s="1236"/>
      <c r="CJ588" s="1236"/>
      <c r="CK588" s="1236"/>
      <c r="CL588" s="1237"/>
      <c r="CM588" s="1244">
        <f t="shared" ref="CM588:CM612" si="6">IF(B692="5 Bedrooms",G692,0)</f>
        <v>0</v>
      </c>
      <c r="CN588" s="1245"/>
      <c r="CO588" s="1245"/>
      <c r="CP588" s="1245"/>
      <c r="CQ588" s="1246"/>
      <c r="CS588" s="860" t="s">
        <v>448</v>
      </c>
      <c r="CT588" s="860"/>
      <c r="CU588" s="860"/>
      <c r="CV588" s="860"/>
      <c r="CW588" s="860"/>
      <c r="CX588" s="860" t="s">
        <v>471</v>
      </c>
      <c r="CY588" s="860"/>
      <c r="CZ588" s="177"/>
      <c r="DA588" s="178"/>
      <c r="DB588" s="861"/>
      <c r="DC588" s="860" t="s">
        <v>817</v>
      </c>
      <c r="DD588" s="860"/>
      <c r="DE588" s="860"/>
      <c r="DF588" s="860"/>
      <c r="DG588" s="860"/>
      <c r="DH588" s="860" t="s">
        <v>818</v>
      </c>
      <c r="DI588" s="860"/>
      <c r="DJ588" s="860"/>
      <c r="DK588" s="860"/>
      <c r="DL588" s="860"/>
      <c r="DM588" s="860" t="s">
        <v>829</v>
      </c>
      <c r="DN588" s="860"/>
      <c r="DO588" s="860"/>
      <c r="DP588" s="860"/>
      <c r="DQ588" s="860"/>
      <c r="DR588" s="860" t="s">
        <v>366</v>
      </c>
      <c r="DS588" s="860"/>
      <c r="DT588" s="860"/>
      <c r="DU588" s="860"/>
      <c r="DV588" s="860"/>
    </row>
    <row r="589" spans="1:126" s="5" customFormat="1" ht="12.95" customHeight="1">
      <c r="A589" s="4"/>
      <c r="B589" t="s">
        <v>875</v>
      </c>
      <c r="C589"/>
      <c r="D589"/>
      <c r="E589"/>
      <c r="F589"/>
      <c r="G589"/>
      <c r="H589" s="1223"/>
      <c r="I589" s="1223"/>
      <c r="J589" s="1223"/>
      <c r="K589" s="1223"/>
      <c r="L589" s="1223"/>
      <c r="M589" s="1223"/>
      <c r="N589" s="1223"/>
      <c r="O589" s="1223"/>
      <c r="P589" s="1223"/>
      <c r="Q589" s="1223"/>
      <c r="R589" s="1223"/>
      <c r="S589"/>
      <c r="T589" s="4"/>
      <c r="U589" t="s">
        <v>875</v>
      </c>
      <c r="V589"/>
      <c r="W589"/>
      <c r="X589"/>
      <c r="Y589"/>
      <c r="Z589"/>
      <c r="AA589" s="1223"/>
      <c r="AB589" s="1223"/>
      <c r="AC589" s="1223"/>
      <c r="AD589" s="1223"/>
      <c r="AE589" s="1223"/>
      <c r="AF589" s="1223"/>
      <c r="AG589" s="1223"/>
      <c r="AH589" s="1223"/>
      <c r="AI589" s="1223"/>
      <c r="AJ589" s="1223"/>
      <c r="AK589" s="1223"/>
      <c r="AL589"/>
      <c r="AZ589" s="5" t="s">
        <v>471</v>
      </c>
      <c r="BA589" s="41"/>
      <c r="BB589" s="41"/>
      <c r="BC589" s="41"/>
      <c r="BD589" s="41"/>
      <c r="BE589" s="1241">
        <f>IF(AND(AH692&lt;=0.5,AH692&gt;=0.36),1,0)</f>
        <v>0</v>
      </c>
      <c r="BF589" s="1243"/>
      <c r="BG589" s="1235">
        <f t="shared" ref="BG589:BG613" si="7">IF(BE589=1,G692,0)</f>
        <v>0</v>
      </c>
      <c r="BH589" s="1237"/>
      <c r="BI589" s="1241">
        <f>IF(AND(AH692&lt;=0.35,AH692&gt;0),1,0)</f>
        <v>1</v>
      </c>
      <c r="BJ589" s="1243"/>
      <c r="BK589" s="1235">
        <f t="shared" ref="BK589:BK613" si="8">IF(BI589=1,G692,0)</f>
        <v>3</v>
      </c>
      <c r="BL589" s="1237"/>
      <c r="BN589" s="1235">
        <f t="shared" si="1"/>
        <v>0</v>
      </c>
      <c r="BO589" s="1236"/>
      <c r="BP589" s="1236"/>
      <c r="BQ589" s="1236"/>
      <c r="BR589" s="1246"/>
      <c r="BS589" s="1235">
        <f t="shared" si="2"/>
        <v>4</v>
      </c>
      <c r="BT589" s="1236"/>
      <c r="BU589" s="1236"/>
      <c r="BV589" s="1236"/>
      <c r="BW589" s="1237"/>
      <c r="BX589" s="1235">
        <f t="shared" si="3"/>
        <v>0</v>
      </c>
      <c r="BY589" s="1236"/>
      <c r="BZ589" s="1236"/>
      <c r="CA589" s="1236"/>
      <c r="CB589" s="1237"/>
      <c r="CC589" s="1235">
        <f t="shared" si="4"/>
        <v>0</v>
      </c>
      <c r="CD589" s="1236"/>
      <c r="CE589" s="1236"/>
      <c r="CF589" s="1236"/>
      <c r="CG589" s="1237"/>
      <c r="CH589" s="1235">
        <f t="shared" si="5"/>
        <v>0</v>
      </c>
      <c r="CI589" s="1236"/>
      <c r="CJ589" s="1236"/>
      <c r="CK589" s="1236"/>
      <c r="CL589" s="1237"/>
      <c r="CM589" s="1235">
        <f t="shared" si="6"/>
        <v>0</v>
      </c>
      <c r="CN589" s="1236"/>
      <c r="CO589" s="1236"/>
      <c r="CP589" s="1236"/>
      <c r="CQ589" s="1237"/>
      <c r="CS589" s="1247">
        <f>IF(AND(B692="SRO/Studio",AH692&lt;=0.3),G692,0)</f>
        <v>0</v>
      </c>
      <c r="CT589" s="1248"/>
      <c r="CU589" s="1248"/>
      <c r="CV589" s="1248"/>
      <c r="CW589" s="1249"/>
      <c r="CX589" s="1247">
        <f>IF(AND(B692="1 Bedroom",AH692&lt;=0.3),G692,0)</f>
        <v>3</v>
      </c>
      <c r="CY589" s="1248"/>
      <c r="CZ589" s="1248"/>
      <c r="DA589" s="1248"/>
      <c r="DB589" s="1249"/>
      <c r="DC589" s="1247">
        <f>IF(AND(B692="2 Bedrooms",AH692&lt;=0.3),G692,0)</f>
        <v>0</v>
      </c>
      <c r="DD589" s="1248"/>
      <c r="DE589" s="1248"/>
      <c r="DF589" s="1248"/>
      <c r="DG589" s="1249"/>
      <c r="DH589" s="1247">
        <f>IF(AND(B692="3 Bedrooms",AH692&lt;=0.3),G692,0)</f>
        <v>0</v>
      </c>
      <c r="DI589" s="1248"/>
      <c r="DJ589" s="1248"/>
      <c r="DK589" s="1248"/>
      <c r="DL589" s="1249"/>
      <c r="DM589" s="1247">
        <f>IF(AND(B692="4 Bedrooms",AH692&lt;=0.3),G692,0)</f>
        <v>0</v>
      </c>
      <c r="DN589" s="1248"/>
      <c r="DO589" s="1248"/>
      <c r="DP589" s="1248"/>
      <c r="DQ589" s="1249"/>
      <c r="DR589" s="1247">
        <f>IF(AND(B692="5 Bedrooms",AH692&lt;=0.3),G692,0)</f>
        <v>0</v>
      </c>
      <c r="DS589" s="1248"/>
      <c r="DT589" s="1248"/>
      <c r="DU589" s="1248"/>
      <c r="DV589" s="1249"/>
    </row>
    <row r="590" spans="1:126" s="5" customFormat="1" ht="12.95" customHeight="1">
      <c r="A590" s="4"/>
      <c r="B590" t="s">
        <v>877</v>
      </c>
      <c r="C590"/>
      <c r="D590"/>
      <c r="E590"/>
      <c r="F590"/>
      <c r="G590"/>
      <c r="H590"/>
      <c r="I590"/>
      <c r="J590"/>
      <c r="K590"/>
      <c r="L590"/>
      <c r="M590"/>
      <c r="N590" s="1143" t="s">
        <v>511</v>
      </c>
      <c r="O590" s="1143"/>
      <c r="P590"/>
      <c r="Q590"/>
      <c r="R590"/>
      <c r="S590"/>
      <c r="T590" s="4"/>
      <c r="U590" t="s">
        <v>877</v>
      </c>
      <c r="V590"/>
      <c r="W590"/>
      <c r="X590"/>
      <c r="Y590"/>
      <c r="Z590"/>
      <c r="AA590"/>
      <c r="AB590"/>
      <c r="AC590"/>
      <c r="AD590"/>
      <c r="AE590"/>
      <c r="AF590"/>
      <c r="AG590" s="1143" t="s">
        <v>511</v>
      </c>
      <c r="AH590" s="1143"/>
      <c r="AI590"/>
      <c r="AJ590"/>
      <c r="AK590"/>
      <c r="AL590"/>
      <c r="AZ590" s="5" t="s">
        <v>817</v>
      </c>
      <c r="BA590" s="41"/>
      <c r="BB590" s="41"/>
      <c r="BC590" s="41"/>
      <c r="BD590" s="41"/>
      <c r="BE590" s="1241">
        <f t="shared" ref="BE590:BE613" si="9">IF(AND(AH693&lt;=0.5,AH693&gt;=0.36),1,0)</f>
        <v>0</v>
      </c>
      <c r="BF590" s="1243"/>
      <c r="BG590" s="1235">
        <f t="shared" si="7"/>
        <v>0</v>
      </c>
      <c r="BH590" s="1237"/>
      <c r="BI590" s="1241">
        <f t="shared" ref="BI590:BI613" si="10">IF(AND(AH693&lt;=0.35,AH693&gt;0),1,0)</f>
        <v>1</v>
      </c>
      <c r="BJ590" s="1243"/>
      <c r="BK590" s="1235">
        <f t="shared" si="8"/>
        <v>4</v>
      </c>
      <c r="BL590" s="1237"/>
      <c r="BN590" s="1235">
        <f t="shared" si="1"/>
        <v>0</v>
      </c>
      <c r="BO590" s="1236"/>
      <c r="BP590" s="1236"/>
      <c r="BQ590" s="1236"/>
      <c r="BR590" s="1246"/>
      <c r="BS590" s="1235">
        <f t="shared" si="2"/>
        <v>3</v>
      </c>
      <c r="BT590" s="1236"/>
      <c r="BU590" s="1236"/>
      <c r="BV590" s="1236"/>
      <c r="BW590" s="1237"/>
      <c r="BX590" s="1235">
        <f t="shared" si="3"/>
        <v>0</v>
      </c>
      <c r="BY590" s="1236"/>
      <c r="BZ590" s="1236"/>
      <c r="CA590" s="1236"/>
      <c r="CB590" s="1237"/>
      <c r="CC590" s="1235">
        <f t="shared" si="4"/>
        <v>0</v>
      </c>
      <c r="CD590" s="1236"/>
      <c r="CE590" s="1236"/>
      <c r="CF590" s="1236"/>
      <c r="CG590" s="1237"/>
      <c r="CH590" s="1235">
        <f t="shared" si="5"/>
        <v>0</v>
      </c>
      <c r="CI590" s="1236"/>
      <c r="CJ590" s="1236"/>
      <c r="CK590" s="1236"/>
      <c r="CL590" s="1237"/>
      <c r="CM590" s="1235">
        <f t="shared" si="6"/>
        <v>0</v>
      </c>
      <c r="CN590" s="1236"/>
      <c r="CO590" s="1236"/>
      <c r="CP590" s="1236"/>
      <c r="CQ590" s="1237"/>
      <c r="CS590" s="1247">
        <f t="shared" ref="CS590:CS613" si="11">IF(AND(B693="SRO/Studio",AH693&lt;=0.3),G693,0)</f>
        <v>0</v>
      </c>
      <c r="CT590" s="1248"/>
      <c r="CU590" s="1248"/>
      <c r="CV590" s="1248"/>
      <c r="CW590" s="1249"/>
      <c r="CX590" s="1247">
        <f t="shared" ref="CX590:CX613" si="12">IF(AND(B693="1 Bedroom",AH693&lt;=0.3),G693,0)</f>
        <v>0</v>
      </c>
      <c r="CY590" s="1248"/>
      <c r="CZ590" s="1248"/>
      <c r="DA590" s="1248"/>
      <c r="DB590" s="1249"/>
      <c r="DC590" s="1247">
        <f t="shared" ref="DC590:DC613" si="13">IF(AND(B693="2 Bedrooms",AH693&lt;=0.3),G693,0)</f>
        <v>0</v>
      </c>
      <c r="DD590" s="1248"/>
      <c r="DE590" s="1248"/>
      <c r="DF590" s="1248"/>
      <c r="DG590" s="1249"/>
      <c r="DH590" s="1247">
        <f t="shared" ref="DH590:DH613" si="14">IF(AND(B693="3 Bedrooms",AH693&lt;=0.3),G693,0)</f>
        <v>0</v>
      </c>
      <c r="DI590" s="1248"/>
      <c r="DJ590" s="1248"/>
      <c r="DK590" s="1248"/>
      <c r="DL590" s="1249"/>
      <c r="DM590" s="1247">
        <f t="shared" ref="DM590:DM613" si="15">IF(AND(B693="4 Bedrooms",AH693&lt;=0.3),G693,0)</f>
        <v>0</v>
      </c>
      <c r="DN590" s="1248"/>
      <c r="DO590" s="1248"/>
      <c r="DP590" s="1248"/>
      <c r="DQ590" s="1249"/>
      <c r="DR590" s="1247">
        <f t="shared" ref="DR590:DR613" si="16">IF(AND(B693="5 Bedrooms",AH693&lt;=0.3),G693,0)</f>
        <v>0</v>
      </c>
      <c r="DS590" s="1248"/>
      <c r="DT590" s="1248"/>
      <c r="DU590" s="1248"/>
      <c r="DV590" s="1249"/>
    </row>
    <row r="591" spans="1:126" ht="12.95" customHeight="1">
      <c r="AZ591" s="5" t="s">
        <v>818</v>
      </c>
      <c r="BA591" s="41"/>
      <c r="BB591" s="41"/>
      <c r="BC591" s="41"/>
      <c r="BD591" s="41"/>
      <c r="BE591" s="1241">
        <f t="shared" si="9"/>
        <v>1</v>
      </c>
      <c r="BF591" s="1243"/>
      <c r="BG591" s="1235">
        <f t="shared" si="7"/>
        <v>3</v>
      </c>
      <c r="BH591" s="1237"/>
      <c r="BI591" s="1241">
        <f t="shared" si="10"/>
        <v>0</v>
      </c>
      <c r="BJ591" s="1243"/>
      <c r="BK591" s="1235">
        <f t="shared" si="8"/>
        <v>0</v>
      </c>
      <c r="BL591" s="1237"/>
      <c r="BN591" s="1235">
        <f t="shared" si="1"/>
        <v>0</v>
      </c>
      <c r="BO591" s="1236"/>
      <c r="BP591" s="1236"/>
      <c r="BQ591" s="1236"/>
      <c r="BR591" s="1246"/>
      <c r="BS591" s="1235">
        <f t="shared" si="2"/>
        <v>8</v>
      </c>
      <c r="BT591" s="1236"/>
      <c r="BU591" s="1236"/>
      <c r="BV591" s="1236"/>
      <c r="BW591" s="1237"/>
      <c r="BX591" s="1235">
        <f t="shared" si="3"/>
        <v>0</v>
      </c>
      <c r="BY591" s="1236"/>
      <c r="BZ591" s="1236"/>
      <c r="CA591" s="1236"/>
      <c r="CB591" s="1237"/>
      <c r="CC591" s="1235">
        <f t="shared" si="4"/>
        <v>0</v>
      </c>
      <c r="CD591" s="1236"/>
      <c r="CE591" s="1236"/>
      <c r="CF591" s="1236"/>
      <c r="CG591" s="1237"/>
      <c r="CH591" s="1235">
        <f t="shared" si="5"/>
        <v>0</v>
      </c>
      <c r="CI591" s="1236"/>
      <c r="CJ591" s="1236"/>
      <c r="CK591" s="1236"/>
      <c r="CL591" s="1237"/>
      <c r="CM591" s="1235">
        <f t="shared" si="6"/>
        <v>0</v>
      </c>
      <c r="CN591" s="1236"/>
      <c r="CO591" s="1236"/>
      <c r="CP591" s="1236"/>
      <c r="CQ591" s="1237"/>
      <c r="CS591" s="1247">
        <f t="shared" si="11"/>
        <v>0</v>
      </c>
      <c r="CT591" s="1248"/>
      <c r="CU591" s="1248"/>
      <c r="CV591" s="1248"/>
      <c r="CW591" s="1249"/>
      <c r="CX591" s="1247">
        <f t="shared" si="12"/>
        <v>0</v>
      </c>
      <c r="CY591" s="1248"/>
      <c r="CZ591" s="1248"/>
      <c r="DA591" s="1248"/>
      <c r="DB591" s="1249"/>
      <c r="DC591" s="1247">
        <f t="shared" si="13"/>
        <v>0</v>
      </c>
      <c r="DD591" s="1248"/>
      <c r="DE591" s="1248"/>
      <c r="DF591" s="1248"/>
      <c r="DG591" s="1249"/>
      <c r="DH591" s="1247">
        <f t="shared" si="14"/>
        <v>0</v>
      </c>
      <c r="DI591" s="1248"/>
      <c r="DJ591" s="1248"/>
      <c r="DK591" s="1248"/>
      <c r="DL591" s="1249"/>
      <c r="DM591" s="1247">
        <f t="shared" si="15"/>
        <v>0</v>
      </c>
      <c r="DN591" s="1248"/>
      <c r="DO591" s="1248"/>
      <c r="DP591" s="1248"/>
      <c r="DQ591" s="1249"/>
      <c r="DR591" s="1247">
        <f t="shared" si="16"/>
        <v>0</v>
      </c>
      <c r="DS591" s="1248"/>
      <c r="DT591" s="1248"/>
      <c r="DU591" s="1248"/>
      <c r="DV591" s="1249"/>
    </row>
    <row r="592" spans="1:126" ht="12.95" customHeight="1">
      <c r="A592" s="61" t="s">
        <v>577</v>
      </c>
      <c r="B592" t="s">
        <v>90</v>
      </c>
      <c r="G592" s="1184">
        <f>C554</f>
        <v>0</v>
      </c>
      <c r="H592" s="1184"/>
      <c r="I592" s="1184"/>
      <c r="J592" s="1184"/>
      <c r="K592" s="1184"/>
      <c r="L592" s="1184"/>
      <c r="M592" s="1184"/>
      <c r="N592" s="1184"/>
      <c r="O592" s="1184"/>
      <c r="P592" s="1184"/>
      <c r="Q592" s="1184"/>
      <c r="R592" s="1184"/>
      <c r="T592" s="61" t="s">
        <v>185</v>
      </c>
      <c r="U592" t="s">
        <v>90</v>
      </c>
      <c r="Z592" s="1184">
        <f>C555</f>
        <v>0</v>
      </c>
      <c r="AA592" s="1184"/>
      <c r="AB592" s="1184"/>
      <c r="AC592" s="1184"/>
      <c r="AD592" s="1184"/>
      <c r="AE592" s="1184"/>
      <c r="AF592" s="1184"/>
      <c r="AG592" s="1184"/>
      <c r="AH592" s="1184"/>
      <c r="AI592" s="1184"/>
      <c r="AJ592" s="1184"/>
      <c r="AK592" s="1184"/>
      <c r="AZ592" s="5" t="s">
        <v>819</v>
      </c>
      <c r="BA592" s="41"/>
      <c r="BB592" s="41"/>
      <c r="BC592" s="41"/>
      <c r="BD592" s="41"/>
      <c r="BE592" s="1241">
        <f t="shared" si="9"/>
        <v>0</v>
      </c>
      <c r="BF592" s="1243"/>
      <c r="BG592" s="1235">
        <f t="shared" si="7"/>
        <v>0</v>
      </c>
      <c r="BH592" s="1237"/>
      <c r="BI592" s="1241">
        <f t="shared" si="10"/>
        <v>0</v>
      </c>
      <c r="BJ592" s="1243"/>
      <c r="BK592" s="1235">
        <f t="shared" si="8"/>
        <v>0</v>
      </c>
      <c r="BL592" s="1237"/>
      <c r="BN592" s="1235">
        <f t="shared" si="1"/>
        <v>0</v>
      </c>
      <c r="BO592" s="1236"/>
      <c r="BP592" s="1236"/>
      <c r="BQ592" s="1236"/>
      <c r="BR592" s="1246"/>
      <c r="BS592" s="1235">
        <f t="shared" si="2"/>
        <v>0</v>
      </c>
      <c r="BT592" s="1236"/>
      <c r="BU592" s="1236"/>
      <c r="BV592" s="1236"/>
      <c r="BW592" s="1237"/>
      <c r="BX592" s="1235">
        <f t="shared" si="3"/>
        <v>5</v>
      </c>
      <c r="BY592" s="1236"/>
      <c r="BZ592" s="1236"/>
      <c r="CA592" s="1236"/>
      <c r="CB592" s="1237"/>
      <c r="CC592" s="1235">
        <f t="shared" si="4"/>
        <v>0</v>
      </c>
      <c r="CD592" s="1236"/>
      <c r="CE592" s="1236"/>
      <c r="CF592" s="1236"/>
      <c r="CG592" s="1237"/>
      <c r="CH592" s="1235">
        <f t="shared" si="5"/>
        <v>0</v>
      </c>
      <c r="CI592" s="1236"/>
      <c r="CJ592" s="1236"/>
      <c r="CK592" s="1236"/>
      <c r="CL592" s="1237"/>
      <c r="CM592" s="1235">
        <f t="shared" si="6"/>
        <v>0</v>
      </c>
      <c r="CN592" s="1236"/>
      <c r="CO592" s="1236"/>
      <c r="CP592" s="1236"/>
      <c r="CQ592" s="1237"/>
      <c r="CS592" s="1247">
        <f t="shared" si="11"/>
        <v>0</v>
      </c>
      <c r="CT592" s="1248"/>
      <c r="CU592" s="1248"/>
      <c r="CV592" s="1248"/>
      <c r="CW592" s="1249"/>
      <c r="CX592" s="1247">
        <f t="shared" si="12"/>
        <v>0</v>
      </c>
      <c r="CY592" s="1248"/>
      <c r="CZ592" s="1248"/>
      <c r="DA592" s="1248"/>
      <c r="DB592" s="1249"/>
      <c r="DC592" s="1247">
        <f t="shared" si="13"/>
        <v>0</v>
      </c>
      <c r="DD592" s="1248"/>
      <c r="DE592" s="1248"/>
      <c r="DF592" s="1248"/>
      <c r="DG592" s="1249"/>
      <c r="DH592" s="1247">
        <f t="shared" si="14"/>
        <v>0</v>
      </c>
      <c r="DI592" s="1248"/>
      <c r="DJ592" s="1248"/>
      <c r="DK592" s="1248"/>
      <c r="DL592" s="1249"/>
      <c r="DM592" s="1247">
        <f t="shared" si="15"/>
        <v>0</v>
      </c>
      <c r="DN592" s="1248"/>
      <c r="DO592" s="1248"/>
      <c r="DP592" s="1248"/>
      <c r="DQ592" s="1249"/>
      <c r="DR592" s="1247">
        <f t="shared" si="16"/>
        <v>0</v>
      </c>
      <c r="DS592" s="1248"/>
      <c r="DT592" s="1248"/>
      <c r="DU592" s="1248"/>
      <c r="DV592" s="1249"/>
    </row>
    <row r="593" spans="1:126" ht="12.95" customHeight="1">
      <c r="A593" s="4"/>
      <c r="B593" t="s">
        <v>397</v>
      </c>
      <c r="G593" s="1223"/>
      <c r="H593" s="1223"/>
      <c r="I593" s="1223"/>
      <c r="J593" s="1223"/>
      <c r="K593" s="1223"/>
      <c r="L593" s="1223"/>
      <c r="M593" s="1223"/>
      <c r="N593" s="1223"/>
      <c r="O593" s="1223"/>
      <c r="P593" s="1223"/>
      <c r="Q593" s="1223"/>
      <c r="R593" s="1223"/>
      <c r="T593" s="4"/>
      <c r="U593" t="s">
        <v>397</v>
      </c>
      <c r="Z593" s="1223"/>
      <c r="AA593" s="1223"/>
      <c r="AB593" s="1223"/>
      <c r="AC593" s="1223"/>
      <c r="AD593" s="1223"/>
      <c r="AE593" s="1223"/>
      <c r="AF593" s="1223"/>
      <c r="AG593" s="1223"/>
      <c r="AH593" s="1223"/>
      <c r="AI593" s="1223"/>
      <c r="AJ593" s="1223"/>
      <c r="AK593" s="1223"/>
      <c r="AZ593" s="5" t="s">
        <v>366</v>
      </c>
      <c r="BA593" s="41"/>
      <c r="BB593" s="41"/>
      <c r="BC593" s="41"/>
      <c r="BD593" s="41"/>
      <c r="BE593" s="1241">
        <f t="shared" si="9"/>
        <v>0</v>
      </c>
      <c r="BF593" s="1243"/>
      <c r="BG593" s="1235">
        <f t="shared" si="7"/>
        <v>0</v>
      </c>
      <c r="BH593" s="1237"/>
      <c r="BI593" s="1241">
        <f t="shared" si="10"/>
        <v>1</v>
      </c>
      <c r="BJ593" s="1243"/>
      <c r="BK593" s="1235">
        <f t="shared" si="8"/>
        <v>5</v>
      </c>
      <c r="BL593" s="1237"/>
      <c r="BN593" s="1235">
        <f t="shared" si="1"/>
        <v>0</v>
      </c>
      <c r="BO593" s="1236"/>
      <c r="BP593" s="1236"/>
      <c r="BQ593" s="1236"/>
      <c r="BR593" s="1246"/>
      <c r="BS593" s="1235">
        <f t="shared" si="2"/>
        <v>0</v>
      </c>
      <c r="BT593" s="1236"/>
      <c r="BU593" s="1236"/>
      <c r="BV593" s="1236"/>
      <c r="BW593" s="1237"/>
      <c r="BX593" s="1235">
        <f t="shared" si="3"/>
        <v>5</v>
      </c>
      <c r="BY593" s="1236"/>
      <c r="BZ593" s="1236"/>
      <c r="CA593" s="1236"/>
      <c r="CB593" s="1237"/>
      <c r="CC593" s="1235">
        <f t="shared" si="4"/>
        <v>0</v>
      </c>
      <c r="CD593" s="1236"/>
      <c r="CE593" s="1236"/>
      <c r="CF593" s="1236"/>
      <c r="CG593" s="1237"/>
      <c r="CH593" s="1235">
        <f t="shared" si="5"/>
        <v>0</v>
      </c>
      <c r="CI593" s="1236"/>
      <c r="CJ593" s="1236"/>
      <c r="CK593" s="1236"/>
      <c r="CL593" s="1237"/>
      <c r="CM593" s="1235">
        <f t="shared" si="6"/>
        <v>0</v>
      </c>
      <c r="CN593" s="1236"/>
      <c r="CO593" s="1236"/>
      <c r="CP593" s="1236"/>
      <c r="CQ593" s="1237"/>
      <c r="CS593" s="1247">
        <f t="shared" si="11"/>
        <v>0</v>
      </c>
      <c r="CT593" s="1248"/>
      <c r="CU593" s="1248"/>
      <c r="CV593" s="1248"/>
      <c r="CW593" s="1249"/>
      <c r="CX593" s="1247">
        <f t="shared" si="12"/>
        <v>0</v>
      </c>
      <c r="CY593" s="1248"/>
      <c r="CZ593" s="1248"/>
      <c r="DA593" s="1248"/>
      <c r="DB593" s="1249"/>
      <c r="DC593" s="1247">
        <f t="shared" si="13"/>
        <v>5</v>
      </c>
      <c r="DD593" s="1248"/>
      <c r="DE593" s="1248"/>
      <c r="DF593" s="1248"/>
      <c r="DG593" s="1249"/>
      <c r="DH593" s="1247">
        <f t="shared" si="14"/>
        <v>0</v>
      </c>
      <c r="DI593" s="1248"/>
      <c r="DJ593" s="1248"/>
      <c r="DK593" s="1248"/>
      <c r="DL593" s="1249"/>
      <c r="DM593" s="1247">
        <f t="shared" si="15"/>
        <v>0</v>
      </c>
      <c r="DN593" s="1248"/>
      <c r="DO593" s="1248"/>
      <c r="DP593" s="1248"/>
      <c r="DQ593" s="1249"/>
      <c r="DR593" s="1247">
        <f t="shared" si="16"/>
        <v>0</v>
      </c>
      <c r="DS593" s="1248"/>
      <c r="DT593" s="1248"/>
      <c r="DU593" s="1248"/>
      <c r="DV593" s="1249"/>
    </row>
    <row r="594" spans="1:126" ht="12.95" customHeight="1">
      <c r="A594" s="4"/>
      <c r="B594" t="s">
        <v>459</v>
      </c>
      <c r="G594" s="1223"/>
      <c r="H594" s="1223"/>
      <c r="I594" s="1223"/>
      <c r="J594" s="1223"/>
      <c r="K594" s="1223"/>
      <c r="L594" s="1223"/>
      <c r="M594" s="1223"/>
      <c r="N594" s="1223"/>
      <c r="O594" s="1223"/>
      <c r="P594" s="1223"/>
      <c r="Q594" s="1223"/>
      <c r="R594" s="1223"/>
      <c r="T594" s="4"/>
      <c r="U594" t="s">
        <v>459</v>
      </c>
      <c r="Z594" s="1224"/>
      <c r="AA594" s="1224"/>
      <c r="AB594" s="1224"/>
      <c r="AC594" s="1224"/>
      <c r="AD594" s="1224"/>
      <c r="AE594" s="1224"/>
      <c r="AF594" s="1224"/>
      <c r="AG594" s="1224"/>
      <c r="AH594" s="1224"/>
      <c r="AI594" s="1224"/>
      <c r="AJ594" s="1224"/>
      <c r="AK594" s="1224"/>
      <c r="AZ594" s="41"/>
      <c r="BA594" s="41"/>
      <c r="BB594" s="41"/>
      <c r="BC594" s="41"/>
      <c r="BD594" s="41"/>
      <c r="BE594" s="1241">
        <f t="shared" si="9"/>
        <v>0</v>
      </c>
      <c r="BF594" s="1243"/>
      <c r="BG594" s="1235">
        <f t="shared" si="7"/>
        <v>0</v>
      </c>
      <c r="BH594" s="1237"/>
      <c r="BI594" s="1241">
        <f t="shared" si="10"/>
        <v>1</v>
      </c>
      <c r="BJ594" s="1243"/>
      <c r="BK594" s="1235">
        <f t="shared" si="8"/>
        <v>5</v>
      </c>
      <c r="BL594" s="1237"/>
      <c r="BN594" s="1235">
        <f t="shared" si="1"/>
        <v>0</v>
      </c>
      <c r="BO594" s="1236"/>
      <c r="BP594" s="1236"/>
      <c r="BQ594" s="1236"/>
      <c r="BR594" s="1246"/>
      <c r="BS594" s="1235">
        <f t="shared" si="2"/>
        <v>0</v>
      </c>
      <c r="BT594" s="1236"/>
      <c r="BU594" s="1236"/>
      <c r="BV594" s="1236"/>
      <c r="BW594" s="1237"/>
      <c r="BX594" s="1235">
        <f t="shared" si="3"/>
        <v>5</v>
      </c>
      <c r="BY594" s="1236"/>
      <c r="BZ594" s="1236"/>
      <c r="CA594" s="1236"/>
      <c r="CB594" s="1237"/>
      <c r="CC594" s="1235">
        <f t="shared" si="4"/>
        <v>0</v>
      </c>
      <c r="CD594" s="1236"/>
      <c r="CE594" s="1236"/>
      <c r="CF594" s="1236"/>
      <c r="CG594" s="1237"/>
      <c r="CH594" s="1235">
        <f t="shared" si="5"/>
        <v>0</v>
      </c>
      <c r="CI594" s="1236"/>
      <c r="CJ594" s="1236"/>
      <c r="CK594" s="1236"/>
      <c r="CL594" s="1237"/>
      <c r="CM594" s="1235">
        <f t="shared" si="6"/>
        <v>0</v>
      </c>
      <c r="CN594" s="1236"/>
      <c r="CO594" s="1236"/>
      <c r="CP594" s="1236"/>
      <c r="CQ594" s="1237"/>
      <c r="CS594" s="1247">
        <f t="shared" si="11"/>
        <v>0</v>
      </c>
      <c r="CT594" s="1248"/>
      <c r="CU594" s="1248"/>
      <c r="CV594" s="1248"/>
      <c r="CW594" s="1249"/>
      <c r="CX594" s="1247">
        <f t="shared" si="12"/>
        <v>0</v>
      </c>
      <c r="CY594" s="1248"/>
      <c r="CZ594" s="1248"/>
      <c r="DA594" s="1248"/>
      <c r="DB594" s="1249"/>
      <c r="DC594" s="1247">
        <f t="shared" si="13"/>
        <v>0</v>
      </c>
      <c r="DD594" s="1248"/>
      <c r="DE594" s="1248"/>
      <c r="DF594" s="1248"/>
      <c r="DG594" s="1249"/>
      <c r="DH594" s="1247">
        <f t="shared" si="14"/>
        <v>0</v>
      </c>
      <c r="DI594" s="1248"/>
      <c r="DJ594" s="1248"/>
      <c r="DK594" s="1248"/>
      <c r="DL594" s="1249"/>
      <c r="DM594" s="1247">
        <f t="shared" si="15"/>
        <v>0</v>
      </c>
      <c r="DN594" s="1248"/>
      <c r="DO594" s="1248"/>
      <c r="DP594" s="1248"/>
      <c r="DQ594" s="1249"/>
      <c r="DR594" s="1247">
        <f t="shared" si="16"/>
        <v>0</v>
      </c>
      <c r="DS594" s="1248"/>
      <c r="DT594" s="1248"/>
      <c r="DU594" s="1248"/>
      <c r="DV594" s="1249"/>
    </row>
    <row r="595" spans="1:126" ht="12.95" customHeight="1">
      <c r="A595" s="4"/>
      <c r="B595" t="s">
        <v>874</v>
      </c>
      <c r="G595" s="1223"/>
      <c r="H595" s="1223"/>
      <c r="I595" s="1223"/>
      <c r="J595" s="1223"/>
      <c r="K595" s="1223"/>
      <c r="L595" s="1223"/>
      <c r="M595" s="1223"/>
      <c r="N595" s="1223"/>
      <c r="O595" s="1223"/>
      <c r="P595" s="1223"/>
      <c r="Q595" s="1223"/>
      <c r="R595" s="1223"/>
      <c r="T595" s="4"/>
      <c r="U595" t="s">
        <v>874</v>
      </c>
      <c r="Z595" s="1224"/>
      <c r="AA595" s="1224"/>
      <c r="AB595" s="1224"/>
      <c r="AC595" s="1224"/>
      <c r="AD595" s="1224"/>
      <c r="AE595" s="1224"/>
      <c r="AF595" s="1224"/>
      <c r="AG595" s="1224"/>
      <c r="AH595" s="1224"/>
      <c r="AI595" s="1224"/>
      <c r="AJ595" s="1224"/>
      <c r="AK595" s="1224"/>
      <c r="AZ595" s="41"/>
      <c r="BA595" s="41"/>
      <c r="BB595" s="41"/>
      <c r="BC595" s="41"/>
      <c r="BD595" s="41"/>
      <c r="BE595" s="1241">
        <f t="shared" si="9"/>
        <v>1</v>
      </c>
      <c r="BF595" s="1243"/>
      <c r="BG595" s="1235">
        <f t="shared" si="7"/>
        <v>5</v>
      </c>
      <c r="BH595" s="1237"/>
      <c r="BI595" s="1241">
        <f t="shared" si="10"/>
        <v>0</v>
      </c>
      <c r="BJ595" s="1243"/>
      <c r="BK595" s="1235">
        <f t="shared" si="8"/>
        <v>0</v>
      </c>
      <c r="BL595" s="1237"/>
      <c r="BN595" s="1235">
        <f t="shared" si="1"/>
        <v>0</v>
      </c>
      <c r="BO595" s="1236"/>
      <c r="BP595" s="1236"/>
      <c r="BQ595" s="1236"/>
      <c r="BR595" s="1246"/>
      <c r="BS595" s="1235">
        <f t="shared" si="2"/>
        <v>0</v>
      </c>
      <c r="BT595" s="1236"/>
      <c r="BU595" s="1236"/>
      <c r="BV595" s="1236"/>
      <c r="BW595" s="1237"/>
      <c r="BX595" s="1235">
        <f t="shared" si="3"/>
        <v>8</v>
      </c>
      <c r="BY595" s="1236"/>
      <c r="BZ595" s="1236"/>
      <c r="CA595" s="1236"/>
      <c r="CB595" s="1237"/>
      <c r="CC595" s="1235">
        <f t="shared" si="4"/>
        <v>0</v>
      </c>
      <c r="CD595" s="1236"/>
      <c r="CE595" s="1236"/>
      <c r="CF595" s="1236"/>
      <c r="CG595" s="1237"/>
      <c r="CH595" s="1235">
        <f t="shared" si="5"/>
        <v>0</v>
      </c>
      <c r="CI595" s="1236"/>
      <c r="CJ595" s="1236"/>
      <c r="CK595" s="1236"/>
      <c r="CL595" s="1237"/>
      <c r="CM595" s="1235">
        <f t="shared" si="6"/>
        <v>0</v>
      </c>
      <c r="CN595" s="1236"/>
      <c r="CO595" s="1236"/>
      <c r="CP595" s="1236"/>
      <c r="CQ595" s="1237"/>
      <c r="CS595" s="1247">
        <f t="shared" si="11"/>
        <v>0</v>
      </c>
      <c r="CT595" s="1248"/>
      <c r="CU595" s="1248"/>
      <c r="CV595" s="1248"/>
      <c r="CW595" s="1249"/>
      <c r="CX595" s="1247">
        <f t="shared" si="12"/>
        <v>0</v>
      </c>
      <c r="CY595" s="1248"/>
      <c r="CZ595" s="1248"/>
      <c r="DA595" s="1248"/>
      <c r="DB595" s="1249"/>
      <c r="DC595" s="1247">
        <f t="shared" si="13"/>
        <v>0</v>
      </c>
      <c r="DD595" s="1248"/>
      <c r="DE595" s="1248"/>
      <c r="DF595" s="1248"/>
      <c r="DG595" s="1249"/>
      <c r="DH595" s="1247">
        <f t="shared" si="14"/>
        <v>0</v>
      </c>
      <c r="DI595" s="1248"/>
      <c r="DJ595" s="1248"/>
      <c r="DK595" s="1248"/>
      <c r="DL595" s="1249"/>
      <c r="DM595" s="1247">
        <f t="shared" si="15"/>
        <v>0</v>
      </c>
      <c r="DN595" s="1248"/>
      <c r="DO595" s="1248"/>
      <c r="DP595" s="1248"/>
      <c r="DQ595" s="1249"/>
      <c r="DR595" s="1247">
        <f t="shared" si="16"/>
        <v>0</v>
      </c>
      <c r="DS595" s="1248"/>
      <c r="DT595" s="1248"/>
      <c r="DU595" s="1248"/>
      <c r="DV595" s="1249"/>
    </row>
    <row r="596" spans="1:126" ht="12.95" customHeight="1">
      <c r="A596" s="4"/>
      <c r="B596" t="s">
        <v>686</v>
      </c>
      <c r="G596" s="1226"/>
      <c r="H596" s="1226"/>
      <c r="I596" s="1226"/>
      <c r="J596" s="1226"/>
      <c r="K596" s="1226"/>
      <c r="L596" s="1226"/>
      <c r="O596" s="42" t="s">
        <v>859</v>
      </c>
      <c r="P596" s="1233"/>
      <c r="Q596" s="1233"/>
      <c r="R596" s="1233"/>
      <c r="T596" s="4"/>
      <c r="U596" t="s">
        <v>686</v>
      </c>
      <c r="Z596" s="1226"/>
      <c r="AA596" s="1226"/>
      <c r="AB596" s="1226"/>
      <c r="AC596" s="1226"/>
      <c r="AD596" s="1226"/>
      <c r="AE596" s="1226"/>
      <c r="AH596" s="42" t="s">
        <v>859</v>
      </c>
      <c r="AI596" s="1233"/>
      <c r="AJ596" s="1233"/>
      <c r="AK596" s="1233"/>
      <c r="AZ596" s="41"/>
      <c r="BA596" s="41"/>
      <c r="BB596" s="41"/>
      <c r="BC596" s="41"/>
      <c r="BD596" s="41"/>
      <c r="BE596" s="1241">
        <f t="shared" si="9"/>
        <v>0</v>
      </c>
      <c r="BF596" s="1243"/>
      <c r="BG596" s="1235">
        <f t="shared" si="7"/>
        <v>0</v>
      </c>
      <c r="BH596" s="1237"/>
      <c r="BI596" s="1241">
        <f t="shared" si="10"/>
        <v>0</v>
      </c>
      <c r="BJ596" s="1243"/>
      <c r="BK596" s="1235">
        <f t="shared" si="8"/>
        <v>0</v>
      </c>
      <c r="BL596" s="1237"/>
      <c r="BN596" s="1235">
        <f t="shared" si="1"/>
        <v>0</v>
      </c>
      <c r="BO596" s="1236"/>
      <c r="BP596" s="1236"/>
      <c r="BQ596" s="1236"/>
      <c r="BR596" s="1246"/>
      <c r="BS596" s="1235">
        <f t="shared" si="2"/>
        <v>0</v>
      </c>
      <c r="BT596" s="1236"/>
      <c r="BU596" s="1236"/>
      <c r="BV596" s="1236"/>
      <c r="BW596" s="1237"/>
      <c r="BX596" s="1235">
        <f t="shared" si="3"/>
        <v>0</v>
      </c>
      <c r="BY596" s="1236"/>
      <c r="BZ596" s="1236"/>
      <c r="CA596" s="1236"/>
      <c r="CB596" s="1237"/>
      <c r="CC596" s="1235">
        <f t="shared" si="4"/>
        <v>4</v>
      </c>
      <c r="CD596" s="1236"/>
      <c r="CE596" s="1236"/>
      <c r="CF596" s="1236"/>
      <c r="CG596" s="1237"/>
      <c r="CH596" s="1235">
        <f t="shared" si="5"/>
        <v>0</v>
      </c>
      <c r="CI596" s="1236"/>
      <c r="CJ596" s="1236"/>
      <c r="CK596" s="1236"/>
      <c r="CL596" s="1237"/>
      <c r="CM596" s="1235">
        <f t="shared" si="6"/>
        <v>0</v>
      </c>
      <c r="CN596" s="1236"/>
      <c r="CO596" s="1236"/>
      <c r="CP596" s="1236"/>
      <c r="CQ596" s="1237"/>
      <c r="CS596" s="1247">
        <f t="shared" si="11"/>
        <v>0</v>
      </c>
      <c r="CT596" s="1248"/>
      <c r="CU596" s="1248"/>
      <c r="CV596" s="1248"/>
      <c r="CW596" s="1249"/>
      <c r="CX596" s="1247">
        <f t="shared" si="12"/>
        <v>0</v>
      </c>
      <c r="CY596" s="1248"/>
      <c r="CZ596" s="1248"/>
      <c r="DA596" s="1248"/>
      <c r="DB596" s="1249"/>
      <c r="DC596" s="1247">
        <f t="shared" si="13"/>
        <v>0</v>
      </c>
      <c r="DD596" s="1248"/>
      <c r="DE596" s="1248"/>
      <c r="DF596" s="1248"/>
      <c r="DG596" s="1249"/>
      <c r="DH596" s="1247">
        <f t="shared" si="14"/>
        <v>0</v>
      </c>
      <c r="DI596" s="1248"/>
      <c r="DJ596" s="1248"/>
      <c r="DK596" s="1248"/>
      <c r="DL596" s="1249"/>
      <c r="DM596" s="1247">
        <f t="shared" si="15"/>
        <v>0</v>
      </c>
      <c r="DN596" s="1248"/>
      <c r="DO596" s="1248"/>
      <c r="DP596" s="1248"/>
      <c r="DQ596" s="1249"/>
      <c r="DR596" s="1247">
        <f t="shared" si="16"/>
        <v>0</v>
      </c>
      <c r="DS596" s="1248"/>
      <c r="DT596" s="1248"/>
      <c r="DU596" s="1248"/>
      <c r="DV596" s="1249"/>
    </row>
    <row r="597" spans="1:126" s="5" customFormat="1" ht="12.95" customHeight="1">
      <c r="A597" s="4"/>
      <c r="B597" t="s">
        <v>875</v>
      </c>
      <c r="C597"/>
      <c r="D597"/>
      <c r="E597"/>
      <c r="F597"/>
      <c r="G597"/>
      <c r="H597" s="1223"/>
      <c r="I597" s="1223"/>
      <c r="J597" s="1223"/>
      <c r="K597" s="1223"/>
      <c r="L597" s="1223"/>
      <c r="M597" s="1223"/>
      <c r="N597" s="1223"/>
      <c r="O597" s="1223"/>
      <c r="P597" s="1223"/>
      <c r="Q597" s="1223"/>
      <c r="R597" s="1223"/>
      <c r="S597"/>
      <c r="T597" s="4"/>
      <c r="U597" t="s">
        <v>875</v>
      </c>
      <c r="V597"/>
      <c r="W597"/>
      <c r="X597"/>
      <c r="Y597"/>
      <c r="Z597"/>
      <c r="AA597" s="1223"/>
      <c r="AB597" s="1223"/>
      <c r="AC597" s="1223"/>
      <c r="AD597" s="1223"/>
      <c r="AE597" s="1223"/>
      <c r="AF597" s="1223"/>
      <c r="AG597" s="1223"/>
      <c r="AH597" s="1223"/>
      <c r="AI597" s="1223"/>
      <c r="AJ597" s="1223"/>
      <c r="AK597" s="1223"/>
      <c r="AL597"/>
      <c r="AZ597" s="41"/>
      <c r="BA597" s="41"/>
      <c r="BB597" s="41"/>
      <c r="BC597" s="41"/>
      <c r="BD597" s="41"/>
      <c r="BE597" s="1241">
        <f t="shared" si="9"/>
        <v>0</v>
      </c>
      <c r="BF597" s="1243"/>
      <c r="BG597" s="1235">
        <f t="shared" si="7"/>
        <v>0</v>
      </c>
      <c r="BH597" s="1237"/>
      <c r="BI597" s="1241">
        <f t="shared" si="10"/>
        <v>1</v>
      </c>
      <c r="BJ597" s="1243"/>
      <c r="BK597" s="1235">
        <f t="shared" si="8"/>
        <v>4</v>
      </c>
      <c r="BL597" s="1237"/>
      <c r="BN597" s="1235">
        <f t="shared" si="1"/>
        <v>0</v>
      </c>
      <c r="BO597" s="1236"/>
      <c r="BP597" s="1236"/>
      <c r="BQ597" s="1236"/>
      <c r="BR597" s="1246"/>
      <c r="BS597" s="1235">
        <f t="shared" si="2"/>
        <v>0</v>
      </c>
      <c r="BT597" s="1236"/>
      <c r="BU597" s="1236"/>
      <c r="BV597" s="1236"/>
      <c r="BW597" s="1237"/>
      <c r="BX597" s="1235">
        <f t="shared" si="3"/>
        <v>0</v>
      </c>
      <c r="BY597" s="1236"/>
      <c r="BZ597" s="1236"/>
      <c r="CA597" s="1236"/>
      <c r="CB597" s="1237"/>
      <c r="CC597" s="1235">
        <f t="shared" si="4"/>
        <v>3</v>
      </c>
      <c r="CD597" s="1236"/>
      <c r="CE597" s="1236"/>
      <c r="CF597" s="1236"/>
      <c r="CG597" s="1237"/>
      <c r="CH597" s="1235">
        <f t="shared" si="5"/>
        <v>0</v>
      </c>
      <c r="CI597" s="1236"/>
      <c r="CJ597" s="1236"/>
      <c r="CK597" s="1236"/>
      <c r="CL597" s="1237"/>
      <c r="CM597" s="1235">
        <f t="shared" si="6"/>
        <v>0</v>
      </c>
      <c r="CN597" s="1236"/>
      <c r="CO597" s="1236"/>
      <c r="CP597" s="1236"/>
      <c r="CQ597" s="1237"/>
      <c r="CS597" s="1247">
        <f t="shared" si="11"/>
        <v>0</v>
      </c>
      <c r="CT597" s="1248"/>
      <c r="CU597" s="1248"/>
      <c r="CV597" s="1248"/>
      <c r="CW597" s="1249"/>
      <c r="CX597" s="1247">
        <f t="shared" si="12"/>
        <v>0</v>
      </c>
      <c r="CY597" s="1248"/>
      <c r="CZ597" s="1248"/>
      <c r="DA597" s="1248"/>
      <c r="DB597" s="1249"/>
      <c r="DC597" s="1247">
        <f t="shared" si="13"/>
        <v>0</v>
      </c>
      <c r="DD597" s="1248"/>
      <c r="DE597" s="1248"/>
      <c r="DF597" s="1248"/>
      <c r="DG597" s="1249"/>
      <c r="DH597" s="1247">
        <f t="shared" si="14"/>
        <v>4</v>
      </c>
      <c r="DI597" s="1248"/>
      <c r="DJ597" s="1248"/>
      <c r="DK597" s="1248"/>
      <c r="DL597" s="1249"/>
      <c r="DM597" s="1247">
        <f t="shared" si="15"/>
        <v>0</v>
      </c>
      <c r="DN597" s="1248"/>
      <c r="DO597" s="1248"/>
      <c r="DP597" s="1248"/>
      <c r="DQ597" s="1249"/>
      <c r="DR597" s="1247">
        <f t="shared" si="16"/>
        <v>0</v>
      </c>
      <c r="DS597" s="1248"/>
      <c r="DT597" s="1248"/>
      <c r="DU597" s="1248"/>
      <c r="DV597" s="1249"/>
    </row>
    <row r="598" spans="1:126" s="5" customFormat="1" ht="12.95" customHeight="1">
      <c r="A598" s="4"/>
      <c r="B598" t="s">
        <v>877</v>
      </c>
      <c r="C598"/>
      <c r="D598"/>
      <c r="E598"/>
      <c r="F598"/>
      <c r="G598"/>
      <c r="H598"/>
      <c r="I598"/>
      <c r="J598"/>
      <c r="K598"/>
      <c r="L598"/>
      <c r="M598"/>
      <c r="N598" s="1143" t="s">
        <v>511</v>
      </c>
      <c r="O598" s="1143"/>
      <c r="P598"/>
      <c r="Q598"/>
      <c r="R598"/>
      <c r="S598"/>
      <c r="T598" s="4"/>
      <c r="U598" t="s">
        <v>877</v>
      </c>
      <c r="V598"/>
      <c r="W598"/>
      <c r="X598"/>
      <c r="Y598"/>
      <c r="Z598"/>
      <c r="AA598"/>
      <c r="AB598"/>
      <c r="AC598"/>
      <c r="AD598"/>
      <c r="AE598"/>
      <c r="AF598"/>
      <c r="AG598" s="1143" t="s">
        <v>511</v>
      </c>
      <c r="AH598" s="1143"/>
      <c r="AI598"/>
      <c r="AJ598"/>
      <c r="AK598"/>
      <c r="AL598"/>
      <c r="AZ598" s="41"/>
      <c r="BA598" s="41"/>
      <c r="BB598" s="41"/>
      <c r="BC598" s="41"/>
      <c r="BD598" s="41"/>
      <c r="BE598" s="1241">
        <f t="shared" si="9"/>
        <v>0</v>
      </c>
      <c r="BF598" s="1243"/>
      <c r="BG598" s="1235">
        <f t="shared" si="7"/>
        <v>0</v>
      </c>
      <c r="BH598" s="1237"/>
      <c r="BI598" s="1241">
        <f t="shared" si="10"/>
        <v>1</v>
      </c>
      <c r="BJ598" s="1243"/>
      <c r="BK598" s="1235">
        <f t="shared" si="8"/>
        <v>3</v>
      </c>
      <c r="BL598" s="1237"/>
      <c r="BN598" s="1235">
        <f t="shared" si="1"/>
        <v>0</v>
      </c>
      <c r="BO598" s="1236"/>
      <c r="BP598" s="1236"/>
      <c r="BQ598" s="1236"/>
      <c r="BR598" s="1246"/>
      <c r="BS598" s="1235">
        <f t="shared" si="2"/>
        <v>0</v>
      </c>
      <c r="BT598" s="1236"/>
      <c r="BU598" s="1236"/>
      <c r="BV598" s="1236"/>
      <c r="BW598" s="1237"/>
      <c r="BX598" s="1235">
        <f t="shared" si="3"/>
        <v>0</v>
      </c>
      <c r="BY598" s="1236"/>
      <c r="BZ598" s="1236"/>
      <c r="CA598" s="1236"/>
      <c r="CB598" s="1237"/>
      <c r="CC598" s="1235">
        <f t="shared" si="4"/>
        <v>3</v>
      </c>
      <c r="CD598" s="1236"/>
      <c r="CE598" s="1236"/>
      <c r="CF598" s="1236"/>
      <c r="CG598" s="1237"/>
      <c r="CH598" s="1235">
        <f t="shared" si="5"/>
        <v>0</v>
      </c>
      <c r="CI598" s="1236"/>
      <c r="CJ598" s="1236"/>
      <c r="CK598" s="1236"/>
      <c r="CL598" s="1237"/>
      <c r="CM598" s="1235">
        <f t="shared" si="6"/>
        <v>0</v>
      </c>
      <c r="CN598" s="1236"/>
      <c r="CO598" s="1236"/>
      <c r="CP598" s="1236"/>
      <c r="CQ598" s="1237"/>
      <c r="CS598" s="1247">
        <f t="shared" si="11"/>
        <v>0</v>
      </c>
      <c r="CT598" s="1248"/>
      <c r="CU598" s="1248"/>
      <c r="CV598" s="1248"/>
      <c r="CW598" s="1249"/>
      <c r="CX598" s="1247">
        <f t="shared" si="12"/>
        <v>0</v>
      </c>
      <c r="CY598" s="1248"/>
      <c r="CZ598" s="1248"/>
      <c r="DA598" s="1248"/>
      <c r="DB598" s="1249"/>
      <c r="DC598" s="1247">
        <f t="shared" si="13"/>
        <v>0</v>
      </c>
      <c r="DD598" s="1248"/>
      <c r="DE598" s="1248"/>
      <c r="DF598" s="1248"/>
      <c r="DG598" s="1249"/>
      <c r="DH598" s="1247">
        <f t="shared" si="14"/>
        <v>0</v>
      </c>
      <c r="DI598" s="1248"/>
      <c r="DJ598" s="1248"/>
      <c r="DK598" s="1248"/>
      <c r="DL598" s="1249"/>
      <c r="DM598" s="1247">
        <f t="shared" si="15"/>
        <v>0</v>
      </c>
      <c r="DN598" s="1248"/>
      <c r="DO598" s="1248"/>
      <c r="DP598" s="1248"/>
      <c r="DQ598" s="1249"/>
      <c r="DR598" s="1247">
        <f t="shared" si="16"/>
        <v>0</v>
      </c>
      <c r="DS598" s="1248"/>
      <c r="DT598" s="1248"/>
      <c r="DU598" s="1248"/>
      <c r="DV598" s="1249"/>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1">
        <f t="shared" si="9"/>
        <v>1</v>
      </c>
      <c r="BF599" s="1243"/>
      <c r="BG599" s="1235">
        <f t="shared" si="7"/>
        <v>3</v>
      </c>
      <c r="BH599" s="1237"/>
      <c r="BI599" s="1241">
        <f t="shared" si="10"/>
        <v>0</v>
      </c>
      <c r="BJ599" s="1243"/>
      <c r="BK599" s="1235">
        <f t="shared" si="8"/>
        <v>0</v>
      </c>
      <c r="BL599" s="1237"/>
      <c r="BN599" s="1235">
        <f t="shared" si="1"/>
        <v>0</v>
      </c>
      <c r="BO599" s="1236"/>
      <c r="BP599" s="1236"/>
      <c r="BQ599" s="1236"/>
      <c r="BR599" s="1246"/>
      <c r="BS599" s="1235">
        <f t="shared" si="2"/>
        <v>0</v>
      </c>
      <c r="BT599" s="1236"/>
      <c r="BU599" s="1236"/>
      <c r="BV599" s="1236"/>
      <c r="BW599" s="1237"/>
      <c r="BX599" s="1235">
        <f t="shared" si="3"/>
        <v>0</v>
      </c>
      <c r="BY599" s="1236"/>
      <c r="BZ599" s="1236"/>
      <c r="CA599" s="1236"/>
      <c r="CB599" s="1237"/>
      <c r="CC599" s="1235">
        <f t="shared" si="4"/>
        <v>8</v>
      </c>
      <c r="CD599" s="1236"/>
      <c r="CE599" s="1236"/>
      <c r="CF599" s="1236"/>
      <c r="CG599" s="1237"/>
      <c r="CH599" s="1235">
        <f t="shared" si="5"/>
        <v>0</v>
      </c>
      <c r="CI599" s="1236"/>
      <c r="CJ599" s="1236"/>
      <c r="CK599" s="1236"/>
      <c r="CL599" s="1237"/>
      <c r="CM599" s="1235">
        <f t="shared" si="6"/>
        <v>0</v>
      </c>
      <c r="CN599" s="1236"/>
      <c r="CO599" s="1236"/>
      <c r="CP599" s="1236"/>
      <c r="CQ599" s="1237"/>
      <c r="CS599" s="1247">
        <f t="shared" si="11"/>
        <v>0</v>
      </c>
      <c r="CT599" s="1248"/>
      <c r="CU599" s="1248"/>
      <c r="CV599" s="1248"/>
      <c r="CW599" s="1249"/>
      <c r="CX599" s="1247">
        <f t="shared" si="12"/>
        <v>0</v>
      </c>
      <c r="CY599" s="1248"/>
      <c r="CZ599" s="1248"/>
      <c r="DA599" s="1248"/>
      <c r="DB599" s="1249"/>
      <c r="DC599" s="1247">
        <f t="shared" si="13"/>
        <v>0</v>
      </c>
      <c r="DD599" s="1248"/>
      <c r="DE599" s="1248"/>
      <c r="DF599" s="1248"/>
      <c r="DG599" s="1249"/>
      <c r="DH599" s="1247">
        <f t="shared" si="14"/>
        <v>0</v>
      </c>
      <c r="DI599" s="1248"/>
      <c r="DJ599" s="1248"/>
      <c r="DK599" s="1248"/>
      <c r="DL599" s="1249"/>
      <c r="DM599" s="1247">
        <f t="shared" si="15"/>
        <v>0</v>
      </c>
      <c r="DN599" s="1248"/>
      <c r="DO599" s="1248"/>
      <c r="DP599" s="1248"/>
      <c r="DQ599" s="1249"/>
      <c r="DR599" s="1247">
        <f t="shared" si="16"/>
        <v>0</v>
      </c>
      <c r="DS599" s="1248"/>
      <c r="DT599" s="1248"/>
      <c r="DU599" s="1248"/>
      <c r="DV599" s="1249"/>
    </row>
    <row r="600" spans="1:126" ht="12.95" customHeight="1">
      <c r="A600" s="61" t="s">
        <v>36</v>
      </c>
      <c r="B600" t="s">
        <v>90</v>
      </c>
      <c r="G600" s="1184">
        <f>C556</f>
        <v>0</v>
      </c>
      <c r="H600" s="1184"/>
      <c r="I600" s="1184"/>
      <c r="J600" s="1184"/>
      <c r="K600" s="1184"/>
      <c r="L600" s="1184"/>
      <c r="M600" s="1184"/>
      <c r="N600" s="1184"/>
      <c r="O600" s="1184"/>
      <c r="P600" s="1184"/>
      <c r="Q600" s="1184"/>
      <c r="R600" s="1184"/>
      <c r="T600" s="61" t="s">
        <v>37</v>
      </c>
      <c r="U600" t="s">
        <v>90</v>
      </c>
      <c r="Z600" s="1184">
        <f>C557</f>
        <v>0</v>
      </c>
      <c r="AA600" s="1184"/>
      <c r="AB600" s="1184"/>
      <c r="AC600" s="1184"/>
      <c r="AD600" s="1184"/>
      <c r="AE600" s="1184"/>
      <c r="AF600" s="1184"/>
      <c r="AG600" s="1184"/>
      <c r="AH600" s="1184"/>
      <c r="AI600" s="1184"/>
      <c r="AJ600" s="1184"/>
      <c r="AK600" s="1184"/>
      <c r="AZ600" s="41"/>
      <c r="BA600" s="41"/>
      <c r="BB600" s="41"/>
      <c r="BC600" s="41"/>
      <c r="BD600" s="41"/>
      <c r="BE600" s="1241">
        <f t="shared" si="9"/>
        <v>0</v>
      </c>
      <c r="BF600" s="1243"/>
      <c r="BG600" s="1235">
        <f t="shared" si="7"/>
        <v>0</v>
      </c>
      <c r="BH600" s="1237"/>
      <c r="BI600" s="1241">
        <f t="shared" si="10"/>
        <v>0</v>
      </c>
      <c r="BJ600" s="1243"/>
      <c r="BK600" s="1235">
        <f t="shared" si="8"/>
        <v>0</v>
      </c>
      <c r="BL600" s="1237"/>
      <c r="BN600" s="1235">
        <f t="shared" si="1"/>
        <v>0</v>
      </c>
      <c r="BO600" s="1236"/>
      <c r="BP600" s="1236"/>
      <c r="BQ600" s="1236"/>
      <c r="BR600" s="1246"/>
      <c r="BS600" s="1235">
        <f t="shared" si="2"/>
        <v>0</v>
      </c>
      <c r="BT600" s="1236"/>
      <c r="BU600" s="1236"/>
      <c r="BV600" s="1236"/>
      <c r="BW600" s="1237"/>
      <c r="BX600" s="1235">
        <f t="shared" si="3"/>
        <v>0</v>
      </c>
      <c r="BY600" s="1236"/>
      <c r="BZ600" s="1236"/>
      <c r="CA600" s="1236"/>
      <c r="CB600" s="1237"/>
      <c r="CC600" s="1235">
        <f t="shared" si="4"/>
        <v>0</v>
      </c>
      <c r="CD600" s="1236"/>
      <c r="CE600" s="1236"/>
      <c r="CF600" s="1236"/>
      <c r="CG600" s="1237"/>
      <c r="CH600" s="1235">
        <f t="shared" si="5"/>
        <v>0</v>
      </c>
      <c r="CI600" s="1236"/>
      <c r="CJ600" s="1236"/>
      <c r="CK600" s="1236"/>
      <c r="CL600" s="1237"/>
      <c r="CM600" s="1235">
        <f t="shared" si="6"/>
        <v>0</v>
      </c>
      <c r="CN600" s="1236"/>
      <c r="CO600" s="1236"/>
      <c r="CP600" s="1236"/>
      <c r="CQ600" s="1237"/>
      <c r="CS600" s="1247">
        <f t="shared" si="11"/>
        <v>0</v>
      </c>
      <c r="CT600" s="1248"/>
      <c r="CU600" s="1248"/>
      <c r="CV600" s="1248"/>
      <c r="CW600" s="1249"/>
      <c r="CX600" s="1247">
        <f t="shared" si="12"/>
        <v>0</v>
      </c>
      <c r="CY600" s="1248"/>
      <c r="CZ600" s="1248"/>
      <c r="DA600" s="1248"/>
      <c r="DB600" s="1249"/>
      <c r="DC600" s="1247">
        <f t="shared" si="13"/>
        <v>0</v>
      </c>
      <c r="DD600" s="1248"/>
      <c r="DE600" s="1248"/>
      <c r="DF600" s="1248"/>
      <c r="DG600" s="1249"/>
      <c r="DH600" s="1247">
        <f t="shared" si="14"/>
        <v>0</v>
      </c>
      <c r="DI600" s="1248"/>
      <c r="DJ600" s="1248"/>
      <c r="DK600" s="1248"/>
      <c r="DL600" s="1249"/>
      <c r="DM600" s="1247">
        <f t="shared" si="15"/>
        <v>0</v>
      </c>
      <c r="DN600" s="1248"/>
      <c r="DO600" s="1248"/>
      <c r="DP600" s="1248"/>
      <c r="DQ600" s="1249"/>
      <c r="DR600" s="1247">
        <f t="shared" si="16"/>
        <v>0</v>
      </c>
      <c r="DS600" s="1248"/>
      <c r="DT600" s="1248"/>
      <c r="DU600" s="1248"/>
      <c r="DV600" s="1249"/>
    </row>
    <row r="601" spans="1:126" ht="12.95" customHeight="1">
      <c r="B601" t="s">
        <v>397</v>
      </c>
      <c r="G601" s="1223"/>
      <c r="H601" s="1223"/>
      <c r="I601" s="1223"/>
      <c r="J601" s="1223"/>
      <c r="K601" s="1223"/>
      <c r="L601" s="1223"/>
      <c r="M601" s="1223"/>
      <c r="N601" s="1223"/>
      <c r="O601" s="1223"/>
      <c r="P601" s="1223"/>
      <c r="Q601" s="1223"/>
      <c r="R601" s="1223"/>
      <c r="U601" t="s">
        <v>397</v>
      </c>
      <c r="Z601" s="1223"/>
      <c r="AA601" s="1223"/>
      <c r="AB601" s="1223"/>
      <c r="AC601" s="1223"/>
      <c r="AD601" s="1223"/>
      <c r="AE601" s="1223"/>
      <c r="AF601" s="1223"/>
      <c r="AG601" s="1223"/>
      <c r="AH601" s="1223"/>
      <c r="AI601" s="1223"/>
      <c r="AJ601" s="1223"/>
      <c r="AK601" s="1223"/>
      <c r="AZ601" s="41"/>
      <c r="BA601" s="41"/>
      <c r="BB601" s="41"/>
      <c r="BC601" s="41"/>
      <c r="BD601" s="41"/>
      <c r="BE601" s="1241">
        <f t="shared" si="9"/>
        <v>0</v>
      </c>
      <c r="BF601" s="1243"/>
      <c r="BG601" s="1235">
        <f t="shared" si="7"/>
        <v>0</v>
      </c>
      <c r="BH601" s="1237"/>
      <c r="BI601" s="1241">
        <f t="shared" si="10"/>
        <v>0</v>
      </c>
      <c r="BJ601" s="1243"/>
      <c r="BK601" s="1235">
        <f t="shared" si="8"/>
        <v>0</v>
      </c>
      <c r="BL601" s="1237"/>
      <c r="BN601" s="1235">
        <f t="shared" si="1"/>
        <v>0</v>
      </c>
      <c r="BO601" s="1236"/>
      <c r="BP601" s="1236"/>
      <c r="BQ601" s="1236"/>
      <c r="BR601" s="1246"/>
      <c r="BS601" s="1235">
        <f t="shared" si="2"/>
        <v>0</v>
      </c>
      <c r="BT601" s="1236"/>
      <c r="BU601" s="1236"/>
      <c r="BV601" s="1236"/>
      <c r="BW601" s="1237"/>
      <c r="BX601" s="1235">
        <f t="shared" si="3"/>
        <v>0</v>
      </c>
      <c r="BY601" s="1236"/>
      <c r="BZ601" s="1236"/>
      <c r="CA601" s="1236"/>
      <c r="CB601" s="1237"/>
      <c r="CC601" s="1235">
        <f t="shared" si="4"/>
        <v>0</v>
      </c>
      <c r="CD601" s="1236"/>
      <c r="CE601" s="1236"/>
      <c r="CF601" s="1236"/>
      <c r="CG601" s="1237"/>
      <c r="CH601" s="1235">
        <f t="shared" si="5"/>
        <v>0</v>
      </c>
      <c r="CI601" s="1236"/>
      <c r="CJ601" s="1236"/>
      <c r="CK601" s="1236"/>
      <c r="CL601" s="1237"/>
      <c r="CM601" s="1235">
        <f t="shared" si="6"/>
        <v>0</v>
      </c>
      <c r="CN601" s="1236"/>
      <c r="CO601" s="1236"/>
      <c r="CP601" s="1236"/>
      <c r="CQ601" s="1237"/>
      <c r="CS601" s="1247">
        <f t="shared" si="11"/>
        <v>0</v>
      </c>
      <c r="CT601" s="1248"/>
      <c r="CU601" s="1248"/>
      <c r="CV601" s="1248"/>
      <c r="CW601" s="1249"/>
      <c r="CX601" s="1247">
        <f t="shared" si="12"/>
        <v>0</v>
      </c>
      <c r="CY601" s="1248"/>
      <c r="CZ601" s="1248"/>
      <c r="DA601" s="1248"/>
      <c r="DB601" s="1249"/>
      <c r="DC601" s="1247">
        <f t="shared" si="13"/>
        <v>0</v>
      </c>
      <c r="DD601" s="1248"/>
      <c r="DE601" s="1248"/>
      <c r="DF601" s="1248"/>
      <c r="DG601" s="1249"/>
      <c r="DH601" s="1247">
        <f t="shared" si="14"/>
        <v>0</v>
      </c>
      <c r="DI601" s="1248"/>
      <c r="DJ601" s="1248"/>
      <c r="DK601" s="1248"/>
      <c r="DL601" s="1249"/>
      <c r="DM601" s="1247">
        <f t="shared" si="15"/>
        <v>0</v>
      </c>
      <c r="DN601" s="1248"/>
      <c r="DO601" s="1248"/>
      <c r="DP601" s="1248"/>
      <c r="DQ601" s="1249"/>
      <c r="DR601" s="1247">
        <f t="shared" si="16"/>
        <v>0</v>
      </c>
      <c r="DS601" s="1248"/>
      <c r="DT601" s="1248"/>
      <c r="DU601" s="1248"/>
      <c r="DV601" s="1249"/>
    </row>
    <row r="602" spans="1:126" ht="12.95" customHeight="1">
      <c r="B602" t="s">
        <v>459</v>
      </c>
      <c r="G602" s="1223"/>
      <c r="H602" s="1223"/>
      <c r="I602" s="1223"/>
      <c r="J602" s="1223"/>
      <c r="K602" s="1223"/>
      <c r="L602" s="1223"/>
      <c r="M602" s="1223"/>
      <c r="N602" s="1223"/>
      <c r="O602" s="1223"/>
      <c r="P602" s="1223"/>
      <c r="Q602" s="1223"/>
      <c r="R602" s="1223"/>
      <c r="U602" t="s">
        <v>459</v>
      </c>
      <c r="Z602" s="1224"/>
      <c r="AA602" s="1224"/>
      <c r="AB602" s="1224"/>
      <c r="AC602" s="1224"/>
      <c r="AD602" s="1224"/>
      <c r="AE602" s="1224"/>
      <c r="AF602" s="1224"/>
      <c r="AG602" s="1224"/>
      <c r="AH602" s="1224"/>
      <c r="AI602" s="1224"/>
      <c r="AJ602" s="1224"/>
      <c r="AK602" s="1224"/>
      <c r="AL602" s="306"/>
      <c r="BA602" s="41"/>
      <c r="BB602" s="41"/>
      <c r="BC602" s="41"/>
      <c r="BD602" s="41"/>
      <c r="BE602" s="1241">
        <f t="shared" si="9"/>
        <v>0</v>
      </c>
      <c r="BF602" s="1243"/>
      <c r="BG602" s="1235">
        <f t="shared" si="7"/>
        <v>0</v>
      </c>
      <c r="BH602" s="1237"/>
      <c r="BI602" s="1241">
        <f t="shared" si="10"/>
        <v>0</v>
      </c>
      <c r="BJ602" s="1243"/>
      <c r="BK602" s="1235">
        <f t="shared" si="8"/>
        <v>0</v>
      </c>
      <c r="BL602" s="1237"/>
      <c r="BN602" s="1235">
        <f t="shared" si="1"/>
        <v>0</v>
      </c>
      <c r="BO602" s="1236"/>
      <c r="BP602" s="1236"/>
      <c r="BQ602" s="1236"/>
      <c r="BR602" s="1246"/>
      <c r="BS602" s="1235">
        <f t="shared" si="2"/>
        <v>0</v>
      </c>
      <c r="BT602" s="1236"/>
      <c r="BU602" s="1236"/>
      <c r="BV602" s="1236"/>
      <c r="BW602" s="1237"/>
      <c r="BX602" s="1235">
        <f t="shared" si="3"/>
        <v>0</v>
      </c>
      <c r="BY602" s="1236"/>
      <c r="BZ602" s="1236"/>
      <c r="CA602" s="1236"/>
      <c r="CB602" s="1237"/>
      <c r="CC602" s="1235">
        <f t="shared" si="4"/>
        <v>0</v>
      </c>
      <c r="CD602" s="1236"/>
      <c r="CE602" s="1236"/>
      <c r="CF602" s="1236"/>
      <c r="CG602" s="1237"/>
      <c r="CH602" s="1235">
        <f t="shared" si="5"/>
        <v>0</v>
      </c>
      <c r="CI602" s="1236"/>
      <c r="CJ602" s="1236"/>
      <c r="CK602" s="1236"/>
      <c r="CL602" s="1237"/>
      <c r="CM602" s="1235">
        <f t="shared" si="6"/>
        <v>0</v>
      </c>
      <c r="CN602" s="1236"/>
      <c r="CO602" s="1236"/>
      <c r="CP602" s="1236"/>
      <c r="CQ602" s="1237"/>
      <c r="CS602" s="1247">
        <f t="shared" si="11"/>
        <v>0</v>
      </c>
      <c r="CT602" s="1248"/>
      <c r="CU602" s="1248"/>
      <c r="CV602" s="1248"/>
      <c r="CW602" s="1249"/>
      <c r="CX602" s="1247">
        <f t="shared" si="12"/>
        <v>0</v>
      </c>
      <c r="CY602" s="1248"/>
      <c r="CZ602" s="1248"/>
      <c r="DA602" s="1248"/>
      <c r="DB602" s="1249"/>
      <c r="DC602" s="1247">
        <f t="shared" si="13"/>
        <v>0</v>
      </c>
      <c r="DD602" s="1248"/>
      <c r="DE602" s="1248"/>
      <c r="DF602" s="1248"/>
      <c r="DG602" s="1249"/>
      <c r="DH602" s="1247">
        <f t="shared" si="14"/>
        <v>0</v>
      </c>
      <c r="DI602" s="1248"/>
      <c r="DJ602" s="1248"/>
      <c r="DK602" s="1248"/>
      <c r="DL602" s="1249"/>
      <c r="DM602" s="1247">
        <f t="shared" si="15"/>
        <v>0</v>
      </c>
      <c r="DN602" s="1248"/>
      <c r="DO602" s="1248"/>
      <c r="DP602" s="1248"/>
      <c r="DQ602" s="1249"/>
      <c r="DR602" s="1247">
        <f t="shared" si="16"/>
        <v>0</v>
      </c>
      <c r="DS602" s="1248"/>
      <c r="DT602" s="1248"/>
      <c r="DU602" s="1248"/>
      <c r="DV602" s="1249"/>
    </row>
    <row r="603" spans="1:126" ht="12.95" customHeight="1">
      <c r="B603" t="s">
        <v>874</v>
      </c>
      <c r="G603" s="1223"/>
      <c r="H603" s="1223"/>
      <c r="I603" s="1223"/>
      <c r="J603" s="1223"/>
      <c r="K603" s="1223"/>
      <c r="L603" s="1223"/>
      <c r="M603" s="1223"/>
      <c r="N603" s="1223"/>
      <c r="O603" s="1223"/>
      <c r="P603" s="1223"/>
      <c r="Q603" s="1223"/>
      <c r="R603" s="1223"/>
      <c r="U603" t="s">
        <v>874</v>
      </c>
      <c r="Z603" s="1224"/>
      <c r="AA603" s="1224"/>
      <c r="AB603" s="1224"/>
      <c r="AC603" s="1224"/>
      <c r="AD603" s="1224"/>
      <c r="AE603" s="1224"/>
      <c r="AF603" s="1224"/>
      <c r="AG603" s="1224"/>
      <c r="AH603" s="1224"/>
      <c r="AI603" s="1224"/>
      <c r="AJ603" s="1224"/>
      <c r="AK603" s="1224"/>
      <c r="AL603" s="306"/>
      <c r="BA603" s="41"/>
      <c r="BB603" s="41"/>
      <c r="BC603" s="41"/>
      <c r="BD603" s="41"/>
      <c r="BE603" s="1241">
        <f t="shared" si="9"/>
        <v>0</v>
      </c>
      <c r="BF603" s="1243"/>
      <c r="BG603" s="1235">
        <f t="shared" si="7"/>
        <v>0</v>
      </c>
      <c r="BH603" s="1237"/>
      <c r="BI603" s="1241">
        <f t="shared" si="10"/>
        <v>0</v>
      </c>
      <c r="BJ603" s="1243"/>
      <c r="BK603" s="1235">
        <f t="shared" si="8"/>
        <v>0</v>
      </c>
      <c r="BL603" s="1237"/>
      <c r="BN603" s="1235">
        <f t="shared" si="1"/>
        <v>0</v>
      </c>
      <c r="BO603" s="1236"/>
      <c r="BP603" s="1236"/>
      <c r="BQ603" s="1236"/>
      <c r="BR603" s="1246"/>
      <c r="BS603" s="1235">
        <f t="shared" si="2"/>
        <v>0</v>
      </c>
      <c r="BT603" s="1236"/>
      <c r="BU603" s="1236"/>
      <c r="BV603" s="1236"/>
      <c r="BW603" s="1237"/>
      <c r="BX603" s="1235">
        <f t="shared" si="3"/>
        <v>0</v>
      </c>
      <c r="BY603" s="1236"/>
      <c r="BZ603" s="1236"/>
      <c r="CA603" s="1236"/>
      <c r="CB603" s="1237"/>
      <c r="CC603" s="1235">
        <f t="shared" si="4"/>
        <v>0</v>
      </c>
      <c r="CD603" s="1236"/>
      <c r="CE603" s="1236"/>
      <c r="CF603" s="1236"/>
      <c r="CG603" s="1237"/>
      <c r="CH603" s="1235">
        <f t="shared" si="5"/>
        <v>0</v>
      </c>
      <c r="CI603" s="1236"/>
      <c r="CJ603" s="1236"/>
      <c r="CK603" s="1236"/>
      <c r="CL603" s="1237"/>
      <c r="CM603" s="1235">
        <f t="shared" si="6"/>
        <v>0</v>
      </c>
      <c r="CN603" s="1236"/>
      <c r="CO603" s="1236"/>
      <c r="CP603" s="1236"/>
      <c r="CQ603" s="1237"/>
      <c r="CS603" s="1247">
        <f t="shared" si="11"/>
        <v>0</v>
      </c>
      <c r="CT603" s="1248"/>
      <c r="CU603" s="1248"/>
      <c r="CV603" s="1248"/>
      <c r="CW603" s="1249"/>
      <c r="CX603" s="1247">
        <f t="shared" si="12"/>
        <v>0</v>
      </c>
      <c r="CY603" s="1248"/>
      <c r="CZ603" s="1248"/>
      <c r="DA603" s="1248"/>
      <c r="DB603" s="1249"/>
      <c r="DC603" s="1247">
        <f t="shared" si="13"/>
        <v>0</v>
      </c>
      <c r="DD603" s="1248"/>
      <c r="DE603" s="1248"/>
      <c r="DF603" s="1248"/>
      <c r="DG603" s="1249"/>
      <c r="DH603" s="1247">
        <f t="shared" si="14"/>
        <v>0</v>
      </c>
      <c r="DI603" s="1248"/>
      <c r="DJ603" s="1248"/>
      <c r="DK603" s="1248"/>
      <c r="DL603" s="1249"/>
      <c r="DM603" s="1247">
        <f t="shared" si="15"/>
        <v>0</v>
      </c>
      <c r="DN603" s="1248"/>
      <c r="DO603" s="1248"/>
      <c r="DP603" s="1248"/>
      <c r="DQ603" s="1249"/>
      <c r="DR603" s="1247">
        <f t="shared" si="16"/>
        <v>0</v>
      </c>
      <c r="DS603" s="1248"/>
      <c r="DT603" s="1248"/>
      <c r="DU603" s="1248"/>
      <c r="DV603" s="1249"/>
    </row>
    <row r="604" spans="1:126" ht="12.95" customHeight="1">
      <c r="B604" t="s">
        <v>686</v>
      </c>
      <c r="G604" s="1226"/>
      <c r="H604" s="1226"/>
      <c r="I604" s="1226"/>
      <c r="J604" s="1226"/>
      <c r="K604" s="1226"/>
      <c r="L604" s="1226"/>
      <c r="O604" s="42" t="s">
        <v>859</v>
      </c>
      <c r="P604" s="1233"/>
      <c r="Q604" s="1233"/>
      <c r="R604" s="1233"/>
      <c r="U604" t="s">
        <v>686</v>
      </c>
      <c r="Z604" s="1226"/>
      <c r="AA604" s="1226"/>
      <c r="AB604" s="1226"/>
      <c r="AC604" s="1226"/>
      <c r="AD604" s="1226"/>
      <c r="AE604" s="1226"/>
      <c r="AH604" s="42" t="s">
        <v>859</v>
      </c>
      <c r="AI604" s="1233"/>
      <c r="AJ604" s="1233"/>
      <c r="AK604" s="1233"/>
      <c r="AZ604" s="41"/>
      <c r="BA604" s="41"/>
      <c r="BB604" s="41"/>
      <c r="BC604" s="41"/>
      <c r="BD604" s="41"/>
      <c r="BE604" s="1241">
        <f t="shared" si="9"/>
        <v>0</v>
      </c>
      <c r="BF604" s="1243"/>
      <c r="BG604" s="1235">
        <f t="shared" si="7"/>
        <v>0</v>
      </c>
      <c r="BH604" s="1237"/>
      <c r="BI604" s="1241">
        <f t="shared" si="10"/>
        <v>0</v>
      </c>
      <c r="BJ604" s="1243"/>
      <c r="BK604" s="1235">
        <f t="shared" si="8"/>
        <v>0</v>
      </c>
      <c r="BL604" s="1237"/>
      <c r="BN604" s="1235">
        <f t="shared" si="1"/>
        <v>0</v>
      </c>
      <c r="BO604" s="1236"/>
      <c r="BP604" s="1236"/>
      <c r="BQ604" s="1236"/>
      <c r="BR604" s="1246"/>
      <c r="BS604" s="1235">
        <f t="shared" si="2"/>
        <v>0</v>
      </c>
      <c r="BT604" s="1236"/>
      <c r="BU604" s="1236"/>
      <c r="BV604" s="1236"/>
      <c r="BW604" s="1237"/>
      <c r="BX604" s="1235">
        <f t="shared" si="3"/>
        <v>0</v>
      </c>
      <c r="BY604" s="1236"/>
      <c r="BZ604" s="1236"/>
      <c r="CA604" s="1236"/>
      <c r="CB604" s="1237"/>
      <c r="CC604" s="1235">
        <f t="shared" si="4"/>
        <v>0</v>
      </c>
      <c r="CD604" s="1236"/>
      <c r="CE604" s="1236"/>
      <c r="CF604" s="1236"/>
      <c r="CG604" s="1237"/>
      <c r="CH604" s="1235">
        <f t="shared" si="5"/>
        <v>0</v>
      </c>
      <c r="CI604" s="1236"/>
      <c r="CJ604" s="1236"/>
      <c r="CK604" s="1236"/>
      <c r="CL604" s="1237"/>
      <c r="CM604" s="1235">
        <f t="shared" si="6"/>
        <v>0</v>
      </c>
      <c r="CN604" s="1236"/>
      <c r="CO604" s="1236"/>
      <c r="CP604" s="1236"/>
      <c r="CQ604" s="1237"/>
      <c r="CS604" s="1247">
        <f t="shared" si="11"/>
        <v>0</v>
      </c>
      <c r="CT604" s="1248"/>
      <c r="CU604" s="1248"/>
      <c r="CV604" s="1248"/>
      <c r="CW604" s="1249"/>
      <c r="CX604" s="1247">
        <f t="shared" si="12"/>
        <v>0</v>
      </c>
      <c r="CY604" s="1248"/>
      <c r="CZ604" s="1248"/>
      <c r="DA604" s="1248"/>
      <c r="DB604" s="1249"/>
      <c r="DC604" s="1247">
        <f t="shared" si="13"/>
        <v>0</v>
      </c>
      <c r="DD604" s="1248"/>
      <c r="DE604" s="1248"/>
      <c r="DF604" s="1248"/>
      <c r="DG604" s="1249"/>
      <c r="DH604" s="1247">
        <f t="shared" si="14"/>
        <v>0</v>
      </c>
      <c r="DI604" s="1248"/>
      <c r="DJ604" s="1248"/>
      <c r="DK604" s="1248"/>
      <c r="DL604" s="1249"/>
      <c r="DM604" s="1247">
        <f t="shared" si="15"/>
        <v>0</v>
      </c>
      <c r="DN604" s="1248"/>
      <c r="DO604" s="1248"/>
      <c r="DP604" s="1248"/>
      <c r="DQ604" s="1249"/>
      <c r="DR604" s="1247">
        <f t="shared" si="16"/>
        <v>0</v>
      </c>
      <c r="DS604" s="1248"/>
      <c r="DT604" s="1248"/>
      <c r="DU604" s="1248"/>
      <c r="DV604" s="1249"/>
    </row>
    <row r="605" spans="1:126" ht="12.95" customHeight="1">
      <c r="B605" t="s">
        <v>875</v>
      </c>
      <c r="H605" s="1223"/>
      <c r="I605" s="1223"/>
      <c r="J605" s="1223"/>
      <c r="K605" s="1223"/>
      <c r="L605" s="1223"/>
      <c r="M605" s="1223"/>
      <c r="N605" s="1223"/>
      <c r="O605" s="1223"/>
      <c r="P605" s="1223"/>
      <c r="Q605" s="1223"/>
      <c r="R605" s="1223"/>
      <c r="U605" t="s">
        <v>875</v>
      </c>
      <c r="AA605" s="1223"/>
      <c r="AB605" s="1223"/>
      <c r="AC605" s="1223"/>
      <c r="AD605" s="1223"/>
      <c r="AE605" s="1223"/>
      <c r="AF605" s="1223"/>
      <c r="AG605" s="1223"/>
      <c r="AH605" s="1223"/>
      <c r="AI605" s="1223"/>
      <c r="AJ605" s="1223"/>
      <c r="AK605" s="1223"/>
      <c r="AZ605" s="41"/>
      <c r="BA605" s="41"/>
      <c r="BB605" s="41"/>
      <c r="BC605" s="41"/>
      <c r="BD605" s="41"/>
      <c r="BE605" s="1241">
        <f t="shared" si="9"/>
        <v>0</v>
      </c>
      <c r="BF605" s="1243"/>
      <c r="BG605" s="1235">
        <f t="shared" si="7"/>
        <v>0</v>
      </c>
      <c r="BH605" s="1237"/>
      <c r="BI605" s="1241">
        <f t="shared" si="10"/>
        <v>0</v>
      </c>
      <c r="BJ605" s="1243"/>
      <c r="BK605" s="1235">
        <f t="shared" si="8"/>
        <v>0</v>
      </c>
      <c r="BL605" s="1237"/>
      <c r="BN605" s="1235">
        <f t="shared" si="1"/>
        <v>0</v>
      </c>
      <c r="BO605" s="1236"/>
      <c r="BP605" s="1236"/>
      <c r="BQ605" s="1236"/>
      <c r="BR605" s="1246"/>
      <c r="BS605" s="1235">
        <f t="shared" si="2"/>
        <v>0</v>
      </c>
      <c r="BT605" s="1236"/>
      <c r="BU605" s="1236"/>
      <c r="BV605" s="1236"/>
      <c r="BW605" s="1237"/>
      <c r="BX605" s="1235">
        <f t="shared" si="3"/>
        <v>0</v>
      </c>
      <c r="BY605" s="1236"/>
      <c r="BZ605" s="1236"/>
      <c r="CA605" s="1236"/>
      <c r="CB605" s="1237"/>
      <c r="CC605" s="1235">
        <f t="shared" si="4"/>
        <v>0</v>
      </c>
      <c r="CD605" s="1236"/>
      <c r="CE605" s="1236"/>
      <c r="CF605" s="1236"/>
      <c r="CG605" s="1237"/>
      <c r="CH605" s="1235">
        <f t="shared" si="5"/>
        <v>0</v>
      </c>
      <c r="CI605" s="1236"/>
      <c r="CJ605" s="1236"/>
      <c r="CK605" s="1236"/>
      <c r="CL605" s="1237"/>
      <c r="CM605" s="1235">
        <f t="shared" si="6"/>
        <v>0</v>
      </c>
      <c r="CN605" s="1236"/>
      <c r="CO605" s="1236"/>
      <c r="CP605" s="1236"/>
      <c r="CQ605" s="1237"/>
      <c r="CS605" s="1247">
        <f t="shared" si="11"/>
        <v>0</v>
      </c>
      <c r="CT605" s="1248"/>
      <c r="CU605" s="1248"/>
      <c r="CV605" s="1248"/>
      <c r="CW605" s="1249"/>
      <c r="CX605" s="1247">
        <f t="shared" si="12"/>
        <v>0</v>
      </c>
      <c r="CY605" s="1248"/>
      <c r="CZ605" s="1248"/>
      <c r="DA605" s="1248"/>
      <c r="DB605" s="1249"/>
      <c r="DC605" s="1247">
        <f t="shared" si="13"/>
        <v>0</v>
      </c>
      <c r="DD605" s="1248"/>
      <c r="DE605" s="1248"/>
      <c r="DF605" s="1248"/>
      <c r="DG605" s="1249"/>
      <c r="DH605" s="1247">
        <f t="shared" si="14"/>
        <v>0</v>
      </c>
      <c r="DI605" s="1248"/>
      <c r="DJ605" s="1248"/>
      <c r="DK605" s="1248"/>
      <c r="DL605" s="1249"/>
      <c r="DM605" s="1247">
        <f t="shared" si="15"/>
        <v>0</v>
      </c>
      <c r="DN605" s="1248"/>
      <c r="DO605" s="1248"/>
      <c r="DP605" s="1248"/>
      <c r="DQ605" s="1249"/>
      <c r="DR605" s="1247">
        <f t="shared" si="16"/>
        <v>0</v>
      </c>
      <c r="DS605" s="1248"/>
      <c r="DT605" s="1248"/>
      <c r="DU605" s="1248"/>
      <c r="DV605" s="1249"/>
    </row>
    <row r="606" spans="1:126" ht="12.95" customHeight="1">
      <c r="B606" t="s">
        <v>877</v>
      </c>
      <c r="N606" s="1225" t="s">
        <v>511</v>
      </c>
      <c r="O606" s="1225"/>
      <c r="U606" t="s">
        <v>877</v>
      </c>
      <c r="AG606" s="1225" t="s">
        <v>511</v>
      </c>
      <c r="AH606" s="1225"/>
      <c r="AZ606" s="41"/>
      <c r="BA606" s="41"/>
      <c r="BB606" s="41"/>
      <c r="BC606" s="41"/>
      <c r="BD606" s="41"/>
      <c r="BE606" s="1241">
        <f t="shared" si="9"/>
        <v>0</v>
      </c>
      <c r="BF606" s="1243"/>
      <c r="BG606" s="1235">
        <f t="shared" si="7"/>
        <v>0</v>
      </c>
      <c r="BH606" s="1237"/>
      <c r="BI606" s="1241">
        <f t="shared" si="10"/>
        <v>0</v>
      </c>
      <c r="BJ606" s="1243"/>
      <c r="BK606" s="1235">
        <f t="shared" si="8"/>
        <v>0</v>
      </c>
      <c r="BL606" s="1237"/>
      <c r="BN606" s="1235">
        <f t="shared" si="1"/>
        <v>0</v>
      </c>
      <c r="BO606" s="1236"/>
      <c r="BP606" s="1236"/>
      <c r="BQ606" s="1236"/>
      <c r="BR606" s="1246"/>
      <c r="BS606" s="1235">
        <f t="shared" si="2"/>
        <v>0</v>
      </c>
      <c r="BT606" s="1236"/>
      <c r="BU606" s="1236"/>
      <c r="BV606" s="1236"/>
      <c r="BW606" s="1237"/>
      <c r="BX606" s="1235">
        <f t="shared" si="3"/>
        <v>0</v>
      </c>
      <c r="BY606" s="1236"/>
      <c r="BZ606" s="1236"/>
      <c r="CA606" s="1236"/>
      <c r="CB606" s="1237"/>
      <c r="CC606" s="1235">
        <f t="shared" si="4"/>
        <v>0</v>
      </c>
      <c r="CD606" s="1236"/>
      <c r="CE606" s="1236"/>
      <c r="CF606" s="1236"/>
      <c r="CG606" s="1237"/>
      <c r="CH606" s="1235">
        <f t="shared" si="5"/>
        <v>0</v>
      </c>
      <c r="CI606" s="1236"/>
      <c r="CJ606" s="1236"/>
      <c r="CK606" s="1236"/>
      <c r="CL606" s="1237"/>
      <c r="CM606" s="1235">
        <f t="shared" si="6"/>
        <v>0</v>
      </c>
      <c r="CN606" s="1236"/>
      <c r="CO606" s="1236"/>
      <c r="CP606" s="1236"/>
      <c r="CQ606" s="1237"/>
      <c r="CS606" s="1247">
        <f t="shared" si="11"/>
        <v>0</v>
      </c>
      <c r="CT606" s="1248"/>
      <c r="CU606" s="1248"/>
      <c r="CV606" s="1248"/>
      <c r="CW606" s="1249"/>
      <c r="CX606" s="1247">
        <f t="shared" si="12"/>
        <v>0</v>
      </c>
      <c r="CY606" s="1248"/>
      <c r="CZ606" s="1248"/>
      <c r="DA606" s="1248"/>
      <c r="DB606" s="1249"/>
      <c r="DC606" s="1247">
        <f t="shared" si="13"/>
        <v>0</v>
      </c>
      <c r="DD606" s="1248"/>
      <c r="DE606" s="1248"/>
      <c r="DF606" s="1248"/>
      <c r="DG606" s="1249"/>
      <c r="DH606" s="1247">
        <f t="shared" si="14"/>
        <v>0</v>
      </c>
      <c r="DI606" s="1248"/>
      <c r="DJ606" s="1248"/>
      <c r="DK606" s="1248"/>
      <c r="DL606" s="1249"/>
      <c r="DM606" s="1247">
        <f t="shared" si="15"/>
        <v>0</v>
      </c>
      <c r="DN606" s="1248"/>
      <c r="DO606" s="1248"/>
      <c r="DP606" s="1248"/>
      <c r="DQ606" s="1249"/>
      <c r="DR606" s="1247">
        <f t="shared" si="16"/>
        <v>0</v>
      </c>
      <c r="DS606" s="1248"/>
      <c r="DT606" s="1248"/>
      <c r="DU606" s="1248"/>
      <c r="DV606" s="1249"/>
    </row>
    <row r="607" spans="1:126" ht="12.95" customHeight="1">
      <c r="AZ607" s="41"/>
      <c r="BA607" s="41"/>
      <c r="BB607" s="41"/>
      <c r="BC607" s="41"/>
      <c r="BD607" s="41"/>
      <c r="BE607" s="1241">
        <f t="shared" si="9"/>
        <v>0</v>
      </c>
      <c r="BF607" s="1243"/>
      <c r="BG607" s="1235">
        <f t="shared" si="7"/>
        <v>0</v>
      </c>
      <c r="BH607" s="1237"/>
      <c r="BI607" s="1241">
        <f t="shared" si="10"/>
        <v>0</v>
      </c>
      <c r="BJ607" s="1243"/>
      <c r="BK607" s="1235">
        <f t="shared" si="8"/>
        <v>0</v>
      </c>
      <c r="BL607" s="1237"/>
      <c r="BN607" s="1235">
        <f t="shared" si="1"/>
        <v>0</v>
      </c>
      <c r="BO607" s="1236"/>
      <c r="BP607" s="1236"/>
      <c r="BQ607" s="1236"/>
      <c r="BR607" s="1246"/>
      <c r="BS607" s="1235">
        <f t="shared" si="2"/>
        <v>0</v>
      </c>
      <c r="BT607" s="1236"/>
      <c r="BU607" s="1236"/>
      <c r="BV607" s="1236"/>
      <c r="BW607" s="1237"/>
      <c r="BX607" s="1235">
        <f t="shared" si="3"/>
        <v>0</v>
      </c>
      <c r="BY607" s="1236"/>
      <c r="BZ607" s="1236"/>
      <c r="CA607" s="1236"/>
      <c r="CB607" s="1237"/>
      <c r="CC607" s="1235">
        <f t="shared" si="4"/>
        <v>0</v>
      </c>
      <c r="CD607" s="1236"/>
      <c r="CE607" s="1236"/>
      <c r="CF607" s="1236"/>
      <c r="CG607" s="1237"/>
      <c r="CH607" s="1235">
        <f t="shared" si="5"/>
        <v>0</v>
      </c>
      <c r="CI607" s="1236"/>
      <c r="CJ607" s="1236"/>
      <c r="CK607" s="1236"/>
      <c r="CL607" s="1237"/>
      <c r="CM607" s="1235">
        <f t="shared" si="6"/>
        <v>0</v>
      </c>
      <c r="CN607" s="1236"/>
      <c r="CO607" s="1236"/>
      <c r="CP607" s="1236"/>
      <c r="CQ607" s="1237"/>
      <c r="CS607" s="1247">
        <f t="shared" si="11"/>
        <v>0</v>
      </c>
      <c r="CT607" s="1248"/>
      <c r="CU607" s="1248"/>
      <c r="CV607" s="1248"/>
      <c r="CW607" s="1249"/>
      <c r="CX607" s="1247">
        <f t="shared" si="12"/>
        <v>0</v>
      </c>
      <c r="CY607" s="1248"/>
      <c r="CZ607" s="1248"/>
      <c r="DA607" s="1248"/>
      <c r="DB607" s="1249"/>
      <c r="DC607" s="1247">
        <f t="shared" si="13"/>
        <v>0</v>
      </c>
      <c r="DD607" s="1248"/>
      <c r="DE607" s="1248"/>
      <c r="DF607" s="1248"/>
      <c r="DG607" s="1249"/>
      <c r="DH607" s="1247">
        <f t="shared" si="14"/>
        <v>0</v>
      </c>
      <c r="DI607" s="1248"/>
      <c r="DJ607" s="1248"/>
      <c r="DK607" s="1248"/>
      <c r="DL607" s="1249"/>
      <c r="DM607" s="1247">
        <f t="shared" si="15"/>
        <v>0</v>
      </c>
      <c r="DN607" s="1248"/>
      <c r="DO607" s="1248"/>
      <c r="DP607" s="1248"/>
      <c r="DQ607" s="1249"/>
      <c r="DR607" s="1247">
        <f t="shared" si="16"/>
        <v>0</v>
      </c>
      <c r="DS607" s="1248"/>
      <c r="DT607" s="1248"/>
      <c r="DU607" s="1248"/>
      <c r="DV607" s="1249"/>
    </row>
    <row r="608" spans="1:126" ht="12.95" customHeight="1">
      <c r="A608" s="983" t="s">
        <v>134</v>
      </c>
      <c r="B608" s="983"/>
      <c r="C608" s="983"/>
      <c r="D608" s="983"/>
      <c r="E608" s="983"/>
      <c r="F608" s="983"/>
      <c r="G608" s="983"/>
      <c r="H608" s="983"/>
      <c r="I608" s="983"/>
      <c r="J608" s="983"/>
      <c r="K608" s="983"/>
      <c r="L608" s="983"/>
      <c r="M608" s="983"/>
      <c r="N608" s="983"/>
      <c r="O608" s="983"/>
      <c r="P608" s="983"/>
      <c r="Q608" s="983"/>
      <c r="R608" s="983"/>
      <c r="S608" s="983"/>
      <c r="T608" s="983"/>
      <c r="U608" s="983"/>
      <c r="V608" s="983"/>
      <c r="W608" s="983"/>
      <c r="X608" s="983"/>
      <c r="Y608" s="983"/>
      <c r="Z608" s="983"/>
      <c r="AA608" s="983"/>
      <c r="AB608" s="983"/>
      <c r="AC608" s="983"/>
      <c r="AD608" s="983"/>
      <c r="AE608" s="983"/>
      <c r="AF608" s="983"/>
      <c r="AG608" s="983"/>
      <c r="AH608" s="983"/>
      <c r="AI608" s="983"/>
      <c r="AJ608" s="983"/>
      <c r="AK608" s="983"/>
      <c r="AL608" s="983"/>
      <c r="AM608" s="983"/>
      <c r="AN608" s="983"/>
      <c r="AO608" s="983"/>
      <c r="AP608" s="983"/>
      <c r="AQ608" s="983"/>
      <c r="AR608" s="983"/>
      <c r="AS608" s="983"/>
      <c r="AZ608" s="41"/>
      <c r="BA608" s="41"/>
      <c r="BB608" s="41"/>
      <c r="BC608" s="41"/>
      <c r="BD608" s="41"/>
      <c r="BE608" s="1241">
        <f t="shared" si="9"/>
        <v>0</v>
      </c>
      <c r="BF608" s="1243"/>
      <c r="BG608" s="1235">
        <f t="shared" si="7"/>
        <v>0</v>
      </c>
      <c r="BH608" s="1237"/>
      <c r="BI608" s="1241">
        <f t="shared" si="10"/>
        <v>0</v>
      </c>
      <c r="BJ608" s="1243"/>
      <c r="BK608" s="1235">
        <f t="shared" si="8"/>
        <v>0</v>
      </c>
      <c r="BL608" s="1237"/>
      <c r="BN608" s="1235">
        <f t="shared" si="1"/>
        <v>0</v>
      </c>
      <c r="BO608" s="1236"/>
      <c r="BP608" s="1236"/>
      <c r="BQ608" s="1236"/>
      <c r="BR608" s="1246"/>
      <c r="BS608" s="1235">
        <f t="shared" si="2"/>
        <v>0</v>
      </c>
      <c r="BT608" s="1236"/>
      <c r="BU608" s="1236"/>
      <c r="BV608" s="1236"/>
      <c r="BW608" s="1237"/>
      <c r="BX608" s="1235">
        <f t="shared" si="3"/>
        <v>0</v>
      </c>
      <c r="BY608" s="1236"/>
      <c r="BZ608" s="1236"/>
      <c r="CA608" s="1236"/>
      <c r="CB608" s="1237"/>
      <c r="CC608" s="1235">
        <f t="shared" si="4"/>
        <v>0</v>
      </c>
      <c r="CD608" s="1236"/>
      <c r="CE608" s="1236"/>
      <c r="CF608" s="1236"/>
      <c r="CG608" s="1237"/>
      <c r="CH608" s="1235">
        <f t="shared" si="5"/>
        <v>0</v>
      </c>
      <c r="CI608" s="1236"/>
      <c r="CJ608" s="1236"/>
      <c r="CK608" s="1236"/>
      <c r="CL608" s="1237"/>
      <c r="CM608" s="1235">
        <f t="shared" si="6"/>
        <v>0</v>
      </c>
      <c r="CN608" s="1236"/>
      <c r="CO608" s="1236"/>
      <c r="CP608" s="1236"/>
      <c r="CQ608" s="1237"/>
      <c r="CS608" s="1247">
        <f t="shared" si="11"/>
        <v>0</v>
      </c>
      <c r="CT608" s="1248"/>
      <c r="CU608" s="1248"/>
      <c r="CV608" s="1248"/>
      <c r="CW608" s="1249"/>
      <c r="CX608" s="1247">
        <f t="shared" si="12"/>
        <v>0</v>
      </c>
      <c r="CY608" s="1248"/>
      <c r="CZ608" s="1248"/>
      <c r="DA608" s="1248"/>
      <c r="DB608" s="1249"/>
      <c r="DC608" s="1247">
        <f t="shared" si="13"/>
        <v>0</v>
      </c>
      <c r="DD608" s="1248"/>
      <c r="DE608" s="1248"/>
      <c r="DF608" s="1248"/>
      <c r="DG608" s="1249"/>
      <c r="DH608" s="1247">
        <f t="shared" si="14"/>
        <v>0</v>
      </c>
      <c r="DI608" s="1248"/>
      <c r="DJ608" s="1248"/>
      <c r="DK608" s="1248"/>
      <c r="DL608" s="1249"/>
      <c r="DM608" s="1247">
        <f t="shared" si="15"/>
        <v>0</v>
      </c>
      <c r="DN608" s="1248"/>
      <c r="DO608" s="1248"/>
      <c r="DP608" s="1248"/>
      <c r="DQ608" s="1249"/>
      <c r="DR608" s="1247">
        <f t="shared" si="16"/>
        <v>0</v>
      </c>
      <c r="DS608" s="1248"/>
      <c r="DT608" s="1248"/>
      <c r="DU608" s="1248"/>
      <c r="DV608" s="1249"/>
    </row>
    <row r="609" spans="1:126" ht="12.95" customHeight="1">
      <c r="A609" s="983"/>
      <c r="B609" s="983"/>
      <c r="C609" s="983"/>
      <c r="D609" s="983"/>
      <c r="E609" s="983"/>
      <c r="F609" s="983"/>
      <c r="G609" s="983"/>
      <c r="H609" s="983"/>
      <c r="I609" s="983"/>
      <c r="J609" s="983"/>
      <c r="K609" s="983"/>
      <c r="L609" s="983"/>
      <c r="M609" s="983"/>
      <c r="N609" s="983"/>
      <c r="O609" s="983"/>
      <c r="P609" s="983"/>
      <c r="Q609" s="983"/>
      <c r="R609" s="983"/>
      <c r="S609" s="983"/>
      <c r="T609" s="983"/>
      <c r="U609" s="983"/>
      <c r="V609" s="983"/>
      <c r="W609" s="983"/>
      <c r="X609" s="983"/>
      <c r="Y609" s="983"/>
      <c r="Z609" s="983"/>
      <c r="AA609" s="983"/>
      <c r="AB609" s="983"/>
      <c r="AC609" s="983"/>
      <c r="AD609" s="983"/>
      <c r="AE609" s="983"/>
      <c r="AF609" s="983"/>
      <c r="AG609" s="983"/>
      <c r="AH609" s="983"/>
      <c r="AI609" s="983"/>
      <c r="AJ609" s="983"/>
      <c r="AK609" s="983"/>
      <c r="AL609" s="983"/>
      <c r="AM609" s="983"/>
      <c r="AN609" s="983"/>
      <c r="AO609" s="983"/>
      <c r="AP609" s="983"/>
      <c r="AQ609" s="983"/>
      <c r="AR609" s="983"/>
      <c r="AS609" s="983"/>
      <c r="AZ609" s="41"/>
      <c r="BA609" s="41"/>
      <c r="BB609" s="41"/>
      <c r="BC609" s="41"/>
      <c r="BD609" s="41"/>
      <c r="BE609" s="1241">
        <f t="shared" si="9"/>
        <v>0</v>
      </c>
      <c r="BF609" s="1243"/>
      <c r="BG609" s="1235">
        <f t="shared" si="7"/>
        <v>0</v>
      </c>
      <c r="BH609" s="1237"/>
      <c r="BI609" s="1241">
        <f t="shared" si="10"/>
        <v>0</v>
      </c>
      <c r="BJ609" s="1243"/>
      <c r="BK609" s="1235">
        <f t="shared" si="8"/>
        <v>0</v>
      </c>
      <c r="BL609" s="1237"/>
      <c r="BN609" s="1235">
        <f t="shared" si="1"/>
        <v>0</v>
      </c>
      <c r="BO609" s="1236"/>
      <c r="BP609" s="1236"/>
      <c r="BQ609" s="1236"/>
      <c r="BR609" s="1246"/>
      <c r="BS609" s="1235">
        <f t="shared" si="2"/>
        <v>0</v>
      </c>
      <c r="BT609" s="1236"/>
      <c r="BU609" s="1236"/>
      <c r="BV609" s="1236"/>
      <c r="BW609" s="1237"/>
      <c r="BX609" s="1235">
        <f t="shared" si="3"/>
        <v>0</v>
      </c>
      <c r="BY609" s="1236"/>
      <c r="BZ609" s="1236"/>
      <c r="CA609" s="1236"/>
      <c r="CB609" s="1237"/>
      <c r="CC609" s="1235">
        <f t="shared" si="4"/>
        <v>0</v>
      </c>
      <c r="CD609" s="1236"/>
      <c r="CE609" s="1236"/>
      <c r="CF609" s="1236"/>
      <c r="CG609" s="1237"/>
      <c r="CH609" s="1235">
        <f t="shared" si="5"/>
        <v>0</v>
      </c>
      <c r="CI609" s="1236"/>
      <c r="CJ609" s="1236"/>
      <c r="CK609" s="1236"/>
      <c r="CL609" s="1237"/>
      <c r="CM609" s="1235">
        <f t="shared" si="6"/>
        <v>0</v>
      </c>
      <c r="CN609" s="1236"/>
      <c r="CO609" s="1236"/>
      <c r="CP609" s="1236"/>
      <c r="CQ609" s="1237"/>
      <c r="CS609" s="1247">
        <f t="shared" si="11"/>
        <v>0</v>
      </c>
      <c r="CT609" s="1248"/>
      <c r="CU609" s="1248"/>
      <c r="CV609" s="1248"/>
      <c r="CW609" s="1249"/>
      <c r="CX609" s="1247">
        <f t="shared" si="12"/>
        <v>0</v>
      </c>
      <c r="CY609" s="1248"/>
      <c r="CZ609" s="1248"/>
      <c r="DA609" s="1248"/>
      <c r="DB609" s="1249"/>
      <c r="DC609" s="1247">
        <f t="shared" si="13"/>
        <v>0</v>
      </c>
      <c r="DD609" s="1248"/>
      <c r="DE609" s="1248"/>
      <c r="DF609" s="1248"/>
      <c r="DG609" s="1249"/>
      <c r="DH609" s="1247">
        <f t="shared" si="14"/>
        <v>0</v>
      </c>
      <c r="DI609" s="1248"/>
      <c r="DJ609" s="1248"/>
      <c r="DK609" s="1248"/>
      <c r="DL609" s="1249"/>
      <c r="DM609" s="1247">
        <f t="shared" si="15"/>
        <v>0</v>
      </c>
      <c r="DN609" s="1248"/>
      <c r="DO609" s="1248"/>
      <c r="DP609" s="1248"/>
      <c r="DQ609" s="1249"/>
      <c r="DR609" s="1247">
        <f t="shared" si="16"/>
        <v>0</v>
      </c>
      <c r="DS609" s="1248"/>
      <c r="DT609" s="1248"/>
      <c r="DU609" s="1248"/>
      <c r="DV609" s="1249"/>
    </row>
    <row r="610" spans="1:126" ht="12.95" customHeight="1">
      <c r="AZ610" s="41"/>
      <c r="BA610" s="41"/>
      <c r="BB610" s="41"/>
      <c r="BC610" s="41"/>
      <c r="BD610" s="41"/>
      <c r="BE610" s="1241">
        <f t="shared" si="9"/>
        <v>0</v>
      </c>
      <c r="BF610" s="1243"/>
      <c r="BG610" s="1235">
        <f t="shared" si="7"/>
        <v>0</v>
      </c>
      <c r="BH610" s="1237"/>
      <c r="BI610" s="1241">
        <f t="shared" si="10"/>
        <v>0</v>
      </c>
      <c r="BJ610" s="1243"/>
      <c r="BK610" s="1235">
        <f t="shared" si="8"/>
        <v>0</v>
      </c>
      <c r="BL610" s="1237"/>
      <c r="BN610" s="1235">
        <f t="shared" si="1"/>
        <v>0</v>
      </c>
      <c r="BO610" s="1236"/>
      <c r="BP610" s="1236"/>
      <c r="BQ610" s="1236"/>
      <c r="BR610" s="1246"/>
      <c r="BS610" s="1235">
        <f t="shared" si="2"/>
        <v>0</v>
      </c>
      <c r="BT610" s="1236"/>
      <c r="BU610" s="1236"/>
      <c r="BV610" s="1236"/>
      <c r="BW610" s="1237"/>
      <c r="BX610" s="1235">
        <f t="shared" si="3"/>
        <v>0</v>
      </c>
      <c r="BY610" s="1236"/>
      <c r="BZ610" s="1236"/>
      <c r="CA610" s="1236"/>
      <c r="CB610" s="1237"/>
      <c r="CC610" s="1235">
        <f t="shared" si="4"/>
        <v>0</v>
      </c>
      <c r="CD610" s="1236"/>
      <c r="CE610" s="1236"/>
      <c r="CF610" s="1236"/>
      <c r="CG610" s="1237"/>
      <c r="CH610" s="1235">
        <f t="shared" si="5"/>
        <v>0</v>
      </c>
      <c r="CI610" s="1236"/>
      <c r="CJ610" s="1236"/>
      <c r="CK610" s="1236"/>
      <c r="CL610" s="1237"/>
      <c r="CM610" s="1235">
        <f t="shared" si="6"/>
        <v>0</v>
      </c>
      <c r="CN610" s="1236"/>
      <c r="CO610" s="1236"/>
      <c r="CP610" s="1236"/>
      <c r="CQ610" s="1237"/>
      <c r="CS610" s="1247">
        <f t="shared" si="11"/>
        <v>0</v>
      </c>
      <c r="CT610" s="1248"/>
      <c r="CU610" s="1248"/>
      <c r="CV610" s="1248"/>
      <c r="CW610" s="1249"/>
      <c r="CX610" s="1247">
        <f t="shared" si="12"/>
        <v>0</v>
      </c>
      <c r="CY610" s="1248"/>
      <c r="CZ610" s="1248"/>
      <c r="DA610" s="1248"/>
      <c r="DB610" s="1249"/>
      <c r="DC610" s="1247">
        <f t="shared" si="13"/>
        <v>0</v>
      </c>
      <c r="DD610" s="1248"/>
      <c r="DE610" s="1248"/>
      <c r="DF610" s="1248"/>
      <c r="DG610" s="1249"/>
      <c r="DH610" s="1247">
        <f t="shared" si="14"/>
        <v>0</v>
      </c>
      <c r="DI610" s="1248"/>
      <c r="DJ610" s="1248"/>
      <c r="DK610" s="1248"/>
      <c r="DL610" s="1249"/>
      <c r="DM610" s="1247">
        <f t="shared" si="15"/>
        <v>0</v>
      </c>
      <c r="DN610" s="1248"/>
      <c r="DO610" s="1248"/>
      <c r="DP610" s="1248"/>
      <c r="DQ610" s="1249"/>
      <c r="DR610" s="1247">
        <f t="shared" si="16"/>
        <v>0</v>
      </c>
      <c r="DS610" s="1248"/>
      <c r="DT610" s="1248"/>
      <c r="DU610" s="1248"/>
      <c r="DV610" s="1249"/>
    </row>
    <row r="611" spans="1:126" ht="12.95" customHeight="1">
      <c r="A611" s="3" t="s">
        <v>689</v>
      </c>
      <c r="B611" s="3"/>
      <c r="C611" s="3" t="s">
        <v>878</v>
      </c>
      <c r="AZ611" s="41"/>
      <c r="BA611" s="41"/>
      <c r="BB611" s="41"/>
      <c r="BC611" s="41"/>
      <c r="BD611" s="41"/>
      <c r="BE611" s="1241">
        <f t="shared" si="9"/>
        <v>0</v>
      </c>
      <c r="BF611" s="1243"/>
      <c r="BG611" s="1235">
        <f t="shared" si="7"/>
        <v>0</v>
      </c>
      <c r="BH611" s="1237"/>
      <c r="BI611" s="1241">
        <f t="shared" si="10"/>
        <v>0</v>
      </c>
      <c r="BJ611" s="1243"/>
      <c r="BK611" s="1235">
        <f t="shared" si="8"/>
        <v>0</v>
      </c>
      <c r="BL611" s="1237"/>
      <c r="BN611" s="1235">
        <f t="shared" si="1"/>
        <v>0</v>
      </c>
      <c r="BO611" s="1236"/>
      <c r="BP611" s="1236"/>
      <c r="BQ611" s="1236"/>
      <c r="BR611" s="1246"/>
      <c r="BS611" s="1235">
        <f t="shared" si="2"/>
        <v>0</v>
      </c>
      <c r="BT611" s="1236"/>
      <c r="BU611" s="1236"/>
      <c r="BV611" s="1236"/>
      <c r="BW611" s="1237"/>
      <c r="BX611" s="1235">
        <f t="shared" si="3"/>
        <v>0</v>
      </c>
      <c r="BY611" s="1236"/>
      <c r="BZ611" s="1236"/>
      <c r="CA611" s="1236"/>
      <c r="CB611" s="1237"/>
      <c r="CC611" s="1235">
        <f t="shared" si="4"/>
        <v>0</v>
      </c>
      <c r="CD611" s="1236"/>
      <c r="CE611" s="1236"/>
      <c r="CF611" s="1236"/>
      <c r="CG611" s="1237"/>
      <c r="CH611" s="1235">
        <f t="shared" si="5"/>
        <v>0</v>
      </c>
      <c r="CI611" s="1236"/>
      <c r="CJ611" s="1236"/>
      <c r="CK611" s="1236"/>
      <c r="CL611" s="1237"/>
      <c r="CM611" s="1235">
        <f t="shared" si="6"/>
        <v>0</v>
      </c>
      <c r="CN611" s="1236"/>
      <c r="CO611" s="1236"/>
      <c r="CP611" s="1236"/>
      <c r="CQ611" s="1237"/>
      <c r="CS611" s="1247">
        <f t="shared" si="11"/>
        <v>0</v>
      </c>
      <c r="CT611" s="1248"/>
      <c r="CU611" s="1248"/>
      <c r="CV611" s="1248"/>
      <c r="CW611" s="1249"/>
      <c r="CX611" s="1247">
        <f t="shared" si="12"/>
        <v>0</v>
      </c>
      <c r="CY611" s="1248"/>
      <c r="CZ611" s="1248"/>
      <c r="DA611" s="1248"/>
      <c r="DB611" s="1249"/>
      <c r="DC611" s="1247">
        <f t="shared" si="13"/>
        <v>0</v>
      </c>
      <c r="DD611" s="1248"/>
      <c r="DE611" s="1248"/>
      <c r="DF611" s="1248"/>
      <c r="DG611" s="1249"/>
      <c r="DH611" s="1247">
        <f t="shared" si="14"/>
        <v>0</v>
      </c>
      <c r="DI611" s="1248"/>
      <c r="DJ611" s="1248"/>
      <c r="DK611" s="1248"/>
      <c r="DL611" s="1249"/>
      <c r="DM611" s="1247">
        <f t="shared" si="15"/>
        <v>0</v>
      </c>
      <c r="DN611" s="1248"/>
      <c r="DO611" s="1248"/>
      <c r="DP611" s="1248"/>
      <c r="DQ611" s="1249"/>
      <c r="DR611" s="1247">
        <f t="shared" si="16"/>
        <v>0</v>
      </c>
      <c r="DS611" s="1248"/>
      <c r="DT611" s="1248"/>
      <c r="DU611" s="1248"/>
      <c r="DV611" s="1249"/>
    </row>
    <row r="612" spans="1:126" ht="12.95" customHeight="1">
      <c r="A612" s="3"/>
      <c r="B612" s="3"/>
      <c r="C612" s="3"/>
      <c r="AZ612" s="41"/>
      <c r="BA612" s="41"/>
      <c r="BB612" s="41"/>
      <c r="BC612" s="41"/>
      <c r="BD612" s="41"/>
      <c r="BE612" s="1241">
        <f t="shared" si="9"/>
        <v>0</v>
      </c>
      <c r="BF612" s="1243"/>
      <c r="BG612" s="1235">
        <f t="shared" si="7"/>
        <v>0</v>
      </c>
      <c r="BH612" s="1237"/>
      <c r="BI612" s="1241">
        <f t="shared" si="10"/>
        <v>0</v>
      </c>
      <c r="BJ612" s="1243"/>
      <c r="BK612" s="1235">
        <f t="shared" si="8"/>
        <v>0</v>
      </c>
      <c r="BL612" s="1237"/>
      <c r="BN612" s="1235">
        <f t="shared" si="1"/>
        <v>0</v>
      </c>
      <c r="BO612" s="1236"/>
      <c r="BP612" s="1236"/>
      <c r="BQ612" s="1236"/>
      <c r="BR612" s="1246"/>
      <c r="BS612" s="1235">
        <f t="shared" si="2"/>
        <v>0</v>
      </c>
      <c r="BT612" s="1236"/>
      <c r="BU612" s="1236"/>
      <c r="BV612" s="1236"/>
      <c r="BW612" s="1237"/>
      <c r="BX612" s="1235">
        <f t="shared" si="3"/>
        <v>0</v>
      </c>
      <c r="BY612" s="1236"/>
      <c r="BZ612" s="1236"/>
      <c r="CA612" s="1236"/>
      <c r="CB612" s="1237"/>
      <c r="CC612" s="1235">
        <f t="shared" si="4"/>
        <v>0</v>
      </c>
      <c r="CD612" s="1236"/>
      <c r="CE612" s="1236"/>
      <c r="CF612" s="1236"/>
      <c r="CG612" s="1237"/>
      <c r="CH612" s="1235">
        <f t="shared" si="5"/>
        <v>0</v>
      </c>
      <c r="CI612" s="1236"/>
      <c r="CJ612" s="1236"/>
      <c r="CK612" s="1236"/>
      <c r="CL612" s="1237"/>
      <c r="CM612" s="1235">
        <f t="shared" si="6"/>
        <v>0</v>
      </c>
      <c r="CN612" s="1236"/>
      <c r="CO612" s="1236"/>
      <c r="CP612" s="1236"/>
      <c r="CQ612" s="1237"/>
      <c r="CS612" s="1247">
        <f t="shared" si="11"/>
        <v>0</v>
      </c>
      <c r="CT612" s="1248"/>
      <c r="CU612" s="1248"/>
      <c r="CV612" s="1248"/>
      <c r="CW612" s="1249"/>
      <c r="CX612" s="1247">
        <f t="shared" si="12"/>
        <v>0</v>
      </c>
      <c r="CY612" s="1248"/>
      <c r="CZ612" s="1248"/>
      <c r="DA612" s="1248"/>
      <c r="DB612" s="1249"/>
      <c r="DC612" s="1247">
        <f t="shared" si="13"/>
        <v>0</v>
      </c>
      <c r="DD612" s="1248"/>
      <c r="DE612" s="1248"/>
      <c r="DF612" s="1248"/>
      <c r="DG612" s="1249"/>
      <c r="DH612" s="1247">
        <f t="shared" si="14"/>
        <v>0</v>
      </c>
      <c r="DI612" s="1248"/>
      <c r="DJ612" s="1248"/>
      <c r="DK612" s="1248"/>
      <c r="DL612" s="1249"/>
      <c r="DM612" s="1247">
        <f t="shared" si="15"/>
        <v>0</v>
      </c>
      <c r="DN612" s="1248"/>
      <c r="DO612" s="1248"/>
      <c r="DP612" s="1248"/>
      <c r="DQ612" s="1249"/>
      <c r="DR612" s="1247">
        <f t="shared" si="16"/>
        <v>0</v>
      </c>
      <c r="DS612" s="1248"/>
      <c r="DT612" s="1248"/>
      <c r="DU612" s="1248"/>
      <c r="DV612" s="1249"/>
    </row>
    <row r="613" spans="1:126" ht="12.95" customHeight="1">
      <c r="C613" s="3" t="s">
        <v>2255</v>
      </c>
      <c r="AZ613" s="41"/>
      <c r="BA613" s="41"/>
      <c r="BB613" s="41"/>
      <c r="BC613" s="41"/>
      <c r="BD613" s="41"/>
      <c r="BE613" s="1241">
        <f t="shared" si="9"/>
        <v>0</v>
      </c>
      <c r="BF613" s="1243"/>
      <c r="BG613" s="1235">
        <f t="shared" si="7"/>
        <v>0</v>
      </c>
      <c r="BH613" s="1237"/>
      <c r="BI613" s="1241">
        <f t="shared" si="10"/>
        <v>0</v>
      </c>
      <c r="BJ613" s="1243"/>
      <c r="BK613" s="1235">
        <f t="shared" si="8"/>
        <v>0</v>
      </c>
      <c r="BL613" s="1237"/>
      <c r="BN613" s="1241">
        <f>SUM(BN588:BR612)</f>
        <v>0</v>
      </c>
      <c r="BO613" s="1242"/>
      <c r="BP613" s="1242"/>
      <c r="BQ613" s="1242"/>
      <c r="BR613" s="1243"/>
      <c r="BS613" s="1241">
        <f>SUM(BS588:BW612)</f>
        <v>18</v>
      </c>
      <c r="BT613" s="1242"/>
      <c r="BU613" s="1242"/>
      <c r="BV613" s="1242"/>
      <c r="BW613" s="1243"/>
      <c r="BX613" s="1241">
        <f>SUM(BX588:CB612)</f>
        <v>23</v>
      </c>
      <c r="BY613" s="1242"/>
      <c r="BZ613" s="1242"/>
      <c r="CA613" s="1242"/>
      <c r="CB613" s="1243"/>
      <c r="CC613" s="1241">
        <f>SUM(CC588:CG612)</f>
        <v>18</v>
      </c>
      <c r="CD613" s="1242"/>
      <c r="CE613" s="1242"/>
      <c r="CF613" s="1242"/>
      <c r="CG613" s="1243"/>
      <c r="CH613" s="1241">
        <f>SUM(CH588:CL612)</f>
        <v>0</v>
      </c>
      <c r="CI613" s="1242"/>
      <c r="CJ613" s="1242"/>
      <c r="CK613" s="1242"/>
      <c r="CL613" s="1243"/>
      <c r="CM613" s="1241">
        <f>SUM(CM588:CQ612)</f>
        <v>0</v>
      </c>
      <c r="CN613" s="1242"/>
      <c r="CO613" s="1242"/>
      <c r="CP613" s="1242"/>
      <c r="CQ613" s="1243"/>
      <c r="CS613" s="1247">
        <f t="shared" si="11"/>
        <v>0</v>
      </c>
      <c r="CT613" s="1248"/>
      <c r="CU613" s="1248"/>
      <c r="CV613" s="1248"/>
      <c r="CW613" s="1249"/>
      <c r="CX613" s="1247">
        <f t="shared" si="12"/>
        <v>0</v>
      </c>
      <c r="CY613" s="1248"/>
      <c r="CZ613" s="1248"/>
      <c r="DA613" s="1248"/>
      <c r="DB613" s="1249"/>
      <c r="DC613" s="1247">
        <f t="shared" si="13"/>
        <v>0</v>
      </c>
      <c r="DD613" s="1248"/>
      <c r="DE613" s="1248"/>
      <c r="DF613" s="1248"/>
      <c r="DG613" s="1249"/>
      <c r="DH613" s="1247">
        <f t="shared" si="14"/>
        <v>0</v>
      </c>
      <c r="DI613" s="1248"/>
      <c r="DJ613" s="1248"/>
      <c r="DK613" s="1248"/>
      <c r="DL613" s="1249"/>
      <c r="DM613" s="1247">
        <f t="shared" si="15"/>
        <v>0</v>
      </c>
      <c r="DN613" s="1248"/>
      <c r="DO613" s="1248"/>
      <c r="DP613" s="1248"/>
      <c r="DQ613" s="1249"/>
      <c r="DR613" s="1247">
        <f t="shared" si="16"/>
        <v>0</v>
      </c>
      <c r="DS613" s="1248"/>
      <c r="DT613" s="1248"/>
      <c r="DU613" s="1248"/>
      <c r="DV613" s="1249"/>
    </row>
    <row r="614" spans="1:126" ht="12.95" customHeight="1" thickBot="1">
      <c r="B614" s="859"/>
      <c r="C614" s="3"/>
      <c r="AZ614" s="41"/>
      <c r="BA614" s="41"/>
      <c r="BB614" s="41"/>
      <c r="BC614" s="41"/>
      <c r="BD614" s="41"/>
      <c r="BE614" s="41"/>
      <c r="BF614" s="41"/>
      <c r="BG614" s="1241">
        <f>SUM(BG589:BH613)</f>
        <v>11</v>
      </c>
      <c r="BH614" s="1243"/>
      <c r="BI614" s="41"/>
      <c r="BJ614" s="41"/>
      <c r="BK614" s="1241">
        <f>SUM(BK589:BL613)</f>
        <v>24</v>
      </c>
      <c r="BL614" s="1243"/>
      <c r="BN614" s="41" t="s">
        <v>1800</v>
      </c>
      <c r="BO614" s="41"/>
      <c r="BP614" s="41"/>
      <c r="BQ614" s="41"/>
      <c r="BR614" s="480">
        <f>BN613*1</f>
        <v>0</v>
      </c>
      <c r="BS614" s="41"/>
      <c r="BT614" s="41"/>
      <c r="BU614" s="41"/>
      <c r="BV614" s="41"/>
      <c r="BW614" s="480">
        <f>BS613*1</f>
        <v>18</v>
      </c>
      <c r="BX614" s="41"/>
      <c r="BY614" s="41"/>
      <c r="BZ614" s="41"/>
      <c r="CA614" s="41"/>
      <c r="CB614" s="480">
        <f>BX613*2</f>
        <v>46</v>
      </c>
      <c r="CC614" s="41"/>
      <c r="CD614" s="41"/>
      <c r="CE614" s="41"/>
      <c r="CF614" s="41"/>
      <c r="CG614" s="480">
        <f>CC613*3</f>
        <v>54</v>
      </c>
      <c r="CH614" s="41"/>
      <c r="CI614" s="41"/>
      <c r="CJ614" s="41"/>
      <c r="CK614" s="41"/>
      <c r="CL614" s="480">
        <f>CH613*4</f>
        <v>0</v>
      </c>
      <c r="CM614" s="41"/>
      <c r="CN614" s="41"/>
      <c r="CO614" s="41"/>
      <c r="CP614" s="41"/>
      <c r="CQ614" s="479">
        <f>CM613*5</f>
        <v>0</v>
      </c>
      <c r="CS614" s="1241">
        <f>SUM(CS589:CW613)</f>
        <v>0</v>
      </c>
      <c r="CT614" s="1242"/>
      <c r="CU614" s="1242"/>
      <c r="CV614" s="1242"/>
      <c r="CW614" s="1243"/>
      <c r="CX614" s="1241">
        <f>SUM(CX589:DB613)</f>
        <v>3</v>
      </c>
      <c r="CY614" s="1242"/>
      <c r="CZ614" s="1242"/>
      <c r="DA614" s="1242"/>
      <c r="DB614" s="1243"/>
      <c r="DC614" s="1241">
        <f>SUM(DC589:DG613)</f>
        <v>5</v>
      </c>
      <c r="DD614" s="1242"/>
      <c r="DE614" s="1242"/>
      <c r="DF614" s="1242"/>
      <c r="DG614" s="1243"/>
      <c r="DH614" s="1241">
        <f>SUM(DH589:DL613)</f>
        <v>4</v>
      </c>
      <c r="DI614" s="1242"/>
      <c r="DJ614" s="1242"/>
      <c r="DK614" s="1242"/>
      <c r="DL614" s="1243"/>
      <c r="DM614" s="1241">
        <f>SUM(DM589:DQ613)</f>
        <v>0</v>
      </c>
      <c r="DN614" s="1242"/>
      <c r="DO614" s="1242"/>
      <c r="DP614" s="1242"/>
      <c r="DQ614" s="1243"/>
      <c r="DR614" s="1241">
        <f>SUM(DR589:DV613)</f>
        <v>0</v>
      </c>
      <c r="DS614" s="1242"/>
      <c r="DT614" s="1242"/>
      <c r="DU614" s="1242"/>
      <c r="DV614" s="1243"/>
    </row>
    <row r="615" spans="1:126" ht="12.95" customHeight="1" thickBot="1">
      <c r="B615" s="1513" t="s">
        <v>2325</v>
      </c>
      <c r="C615" s="1514"/>
      <c r="D615" s="1514"/>
      <c r="E615" s="1514"/>
      <c r="F615" s="1514"/>
      <c r="G615" s="1514"/>
      <c r="H615" s="1514"/>
      <c r="I615" s="1514"/>
      <c r="J615" s="1514"/>
      <c r="K615" s="1514"/>
      <c r="L615" s="1514"/>
      <c r="M615" s="1404" t="s">
        <v>2299</v>
      </c>
      <c r="N615" s="1404"/>
      <c r="O615" s="1404"/>
      <c r="P615" s="1404"/>
      <c r="Q615" s="1331" t="s">
        <v>2329</v>
      </c>
      <c r="R615" s="1332"/>
      <c r="S615" s="1333"/>
      <c r="T615" s="1331" t="s">
        <v>2328</v>
      </c>
      <c r="U615" s="1332"/>
      <c r="V615" s="1333"/>
      <c r="W615" s="1571" t="s">
        <v>776</v>
      </c>
      <c r="X615" s="1571"/>
      <c r="Y615" s="1572"/>
      <c r="Z615" s="1404" t="s">
        <v>2326</v>
      </c>
      <c r="AA615" s="1404"/>
      <c r="AB615" s="1404"/>
      <c r="AC615" s="1553" t="s">
        <v>2090</v>
      </c>
      <c r="AD615" s="1554"/>
      <c r="AE615" s="1555"/>
      <c r="AF615" s="1331" t="s">
        <v>2256</v>
      </c>
      <c r="AG615" s="1332"/>
      <c r="AH615" s="1332"/>
      <c r="AI615" s="1332"/>
      <c r="AJ615" s="1333"/>
      <c r="AK615" s="1562" t="s">
        <v>2257</v>
      </c>
      <c r="AL615" s="1563"/>
      <c r="AM615" s="1563"/>
      <c r="AN615" s="1564"/>
      <c r="AO615" s="1404" t="s">
        <v>777</v>
      </c>
      <c r="AP615" s="1404"/>
      <c r="AQ615" s="1404"/>
      <c r="AR615" s="1404"/>
      <c r="AS615" s="1404"/>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1801</v>
      </c>
      <c r="CQ615" s="481">
        <f>BR614+BW614+CB614+CG614+CL614+CQ614</f>
        <v>118</v>
      </c>
      <c r="CR615" s="41"/>
      <c r="CS615" s="41"/>
    </row>
    <row r="616" spans="1:126" ht="12.95" customHeight="1">
      <c r="B616" s="1515"/>
      <c r="C616" s="1508"/>
      <c r="D616" s="1508"/>
      <c r="E616" s="1508"/>
      <c r="F616" s="1508"/>
      <c r="G616" s="1508"/>
      <c r="H616" s="1508"/>
      <c r="I616" s="1508"/>
      <c r="J616" s="1508"/>
      <c r="K616" s="1508"/>
      <c r="L616" s="1508"/>
      <c r="M616" s="1404"/>
      <c r="N616" s="1404"/>
      <c r="O616" s="1404"/>
      <c r="P616" s="1404"/>
      <c r="Q616" s="1334"/>
      <c r="R616" s="1335"/>
      <c r="S616" s="1336"/>
      <c r="T616" s="1334"/>
      <c r="U616" s="1335"/>
      <c r="V616" s="1336"/>
      <c r="W616" s="1573"/>
      <c r="X616" s="1573"/>
      <c r="Y616" s="1574"/>
      <c r="Z616" s="1404"/>
      <c r="AA616" s="1404"/>
      <c r="AB616" s="1404"/>
      <c r="AC616" s="1556"/>
      <c r="AD616" s="1557"/>
      <c r="AE616" s="1558"/>
      <c r="AF616" s="1334"/>
      <c r="AG616" s="1335"/>
      <c r="AH616" s="1335"/>
      <c r="AI616" s="1335"/>
      <c r="AJ616" s="1336"/>
      <c r="AK616" s="1565"/>
      <c r="AL616" s="1566"/>
      <c r="AM616" s="1566"/>
      <c r="AN616" s="1567"/>
      <c r="AO616" s="1404"/>
      <c r="AP616" s="1404"/>
      <c r="AQ616" s="1404"/>
      <c r="AR616" s="1404"/>
      <c r="AS616" s="1404"/>
      <c r="AT616" s="41"/>
      <c r="AU616" s="41"/>
      <c r="AV616" s="41"/>
      <c r="AW616" s="41"/>
      <c r="AX616" s="41"/>
      <c r="AY616" s="41"/>
      <c r="AZ616" s="41"/>
      <c r="BN616" s="1235">
        <f>IF(J738="SRO/Studio",O738,0)</f>
        <v>0</v>
      </c>
      <c r="BO616" s="1236"/>
      <c r="BP616" s="1236"/>
      <c r="BQ616" s="1236"/>
      <c r="BR616" s="1237"/>
      <c r="BS616" s="1235">
        <f>IF(J738="1 Bedroom",O738,0)</f>
        <v>0</v>
      </c>
      <c r="BT616" s="1236"/>
      <c r="BU616" s="1236"/>
      <c r="BV616" s="1236"/>
      <c r="BW616" s="1237"/>
      <c r="BX616" s="1235">
        <f>IF(J738="2 Bedrooms",O738,0)</f>
        <v>1</v>
      </c>
      <c r="BY616" s="1236"/>
      <c r="BZ616" s="1236"/>
      <c r="CA616" s="1236"/>
      <c r="CB616" s="1237"/>
      <c r="CC616" s="1235">
        <f>IF(J738="3 Bedrooms",O738,0)</f>
        <v>0</v>
      </c>
      <c r="CD616" s="1236"/>
      <c r="CE616" s="1236"/>
      <c r="CF616" s="1236"/>
      <c r="CG616" s="1237"/>
      <c r="CH616" s="1235">
        <f>IF(J738="4 Bedrooms",O738,0)</f>
        <v>0</v>
      </c>
      <c r="CI616" s="1236"/>
      <c r="CJ616" s="1236"/>
      <c r="CK616" s="1236"/>
      <c r="CL616" s="1237"/>
      <c r="CM616" s="1244">
        <f>IF(J738="5 Bedrooms",O738,0)</f>
        <v>0</v>
      </c>
      <c r="CN616" s="1245"/>
      <c r="CO616" s="1245"/>
      <c r="CP616" s="1245"/>
      <c r="CQ616" s="1246"/>
      <c r="CR616" s="41"/>
      <c r="CS616" s="41"/>
    </row>
    <row r="617" spans="1:126" ht="12.95" customHeight="1">
      <c r="B617" s="1516"/>
      <c r="C617" s="1517"/>
      <c r="D617" s="1517"/>
      <c r="E617" s="1517"/>
      <c r="F617" s="1517"/>
      <c r="G617" s="1517"/>
      <c r="H617" s="1517"/>
      <c r="I617" s="1517"/>
      <c r="J617" s="1517"/>
      <c r="K617" s="1517"/>
      <c r="L617" s="1517"/>
      <c r="M617" s="1404"/>
      <c r="N617" s="1404"/>
      <c r="O617" s="1404"/>
      <c r="P617" s="1404"/>
      <c r="Q617" s="1345"/>
      <c r="R617" s="1346"/>
      <c r="S617" s="1347"/>
      <c r="T617" s="1345"/>
      <c r="U617" s="1346"/>
      <c r="V617" s="1347"/>
      <c r="W617" s="1575"/>
      <c r="X617" s="1575"/>
      <c r="Y617" s="1576"/>
      <c r="Z617" s="1404"/>
      <c r="AA617" s="1404"/>
      <c r="AB617" s="1404"/>
      <c r="AC617" s="1559"/>
      <c r="AD617" s="1560"/>
      <c r="AE617" s="1561"/>
      <c r="AF617" s="1345"/>
      <c r="AG617" s="1346"/>
      <c r="AH617" s="1346"/>
      <c r="AI617" s="1346"/>
      <c r="AJ617" s="1347"/>
      <c r="AK617" s="1568"/>
      <c r="AL617" s="1569"/>
      <c r="AM617" s="1569"/>
      <c r="AN617" s="1570"/>
      <c r="AO617" s="1404"/>
      <c r="AP617" s="1404"/>
      <c r="AQ617" s="1404"/>
      <c r="AR617" s="1404"/>
      <c r="AS617" s="1404"/>
      <c r="AT617" s="43"/>
      <c r="AU617" s="43"/>
      <c r="AV617" s="43"/>
      <c r="AW617" s="43"/>
      <c r="AX617" s="43"/>
      <c r="AY617" s="43"/>
      <c r="AZ617" s="43"/>
      <c r="BN617" s="1235">
        <f>IF(J739="SRO/Studio",O739,0)</f>
        <v>0</v>
      </c>
      <c r="BO617" s="1236"/>
      <c r="BP617" s="1236"/>
      <c r="BQ617" s="1236"/>
      <c r="BR617" s="1237"/>
      <c r="BS617" s="1235">
        <f>IF(J739="1 Bedroom",O739,0)</f>
        <v>0</v>
      </c>
      <c r="BT617" s="1236"/>
      <c r="BU617" s="1236"/>
      <c r="BV617" s="1236"/>
      <c r="BW617" s="1237"/>
      <c r="BX617" s="1235">
        <f>IF(J739="2 Bedrooms",O739,0)</f>
        <v>0</v>
      </c>
      <c r="BY617" s="1236"/>
      <c r="BZ617" s="1236"/>
      <c r="CA617" s="1236"/>
      <c r="CB617" s="1237"/>
      <c r="CC617" s="1235">
        <f>IF(J739="3 Bedrooms",O739,0)</f>
        <v>0</v>
      </c>
      <c r="CD617" s="1236"/>
      <c r="CE617" s="1236"/>
      <c r="CF617" s="1236"/>
      <c r="CG617" s="1237"/>
      <c r="CH617" s="1235">
        <f>IF(J739="4 Bedrooms",O739,0)</f>
        <v>0</v>
      </c>
      <c r="CI617" s="1236"/>
      <c r="CJ617" s="1236"/>
      <c r="CK617" s="1236"/>
      <c r="CL617" s="1237"/>
      <c r="CM617" s="1244">
        <f>IF(J739="5 Bedrooms",O739,0)</f>
        <v>0</v>
      </c>
      <c r="CN617" s="1245"/>
      <c r="CO617" s="1245"/>
      <c r="CP617" s="1245"/>
      <c r="CQ617" s="1246"/>
      <c r="CR617" s="41"/>
      <c r="CS617" s="41"/>
    </row>
    <row r="618" spans="1:126" ht="12.95" customHeight="1">
      <c r="B618" s="57" t="s">
        <v>944</v>
      </c>
      <c r="C618" s="1344" t="s">
        <v>2492</v>
      </c>
      <c r="D618" s="1344"/>
      <c r="E618" s="1344"/>
      <c r="F618" s="1344"/>
      <c r="G618" s="1344"/>
      <c r="H618" s="1344"/>
      <c r="I618" s="1344"/>
      <c r="J618" s="1344"/>
      <c r="K618" s="1344"/>
      <c r="L618" s="1344"/>
      <c r="M618" s="1408" t="s">
        <v>2309</v>
      </c>
      <c r="N618" s="1408"/>
      <c r="O618" s="1408"/>
      <c r="P618" s="1408"/>
      <c r="Q618" s="1409">
        <v>204</v>
      </c>
      <c r="R618" s="1410"/>
      <c r="S618" s="1411"/>
      <c r="T618" s="1354">
        <v>420</v>
      </c>
      <c r="U618" s="1355"/>
      <c r="V618" s="1356"/>
      <c r="W618" s="1405">
        <v>7.2700000000000001E-2</v>
      </c>
      <c r="X618" s="1406"/>
      <c r="Y618" s="1407"/>
      <c r="Z618" s="1351" t="s">
        <v>2327</v>
      </c>
      <c r="AA618" s="1352"/>
      <c r="AB618" s="1353"/>
      <c r="AC618" s="1318">
        <v>1</v>
      </c>
      <c r="AD618" s="1319"/>
      <c r="AE618" s="1320"/>
      <c r="AF618" s="1178">
        <v>108156</v>
      </c>
      <c r="AG618" s="1179"/>
      <c r="AH618" s="1179"/>
      <c r="AI618" s="1179"/>
      <c r="AJ618" s="1180"/>
      <c r="AK618" s="1348">
        <v>0</v>
      </c>
      <c r="AL618" s="1349"/>
      <c r="AM618" s="1349"/>
      <c r="AN618" s="1350"/>
      <c r="AO618" s="1125">
        <v>1370000</v>
      </c>
      <c r="AP618" s="1125"/>
      <c r="AQ618" s="1125"/>
      <c r="AR618" s="1125"/>
      <c r="AS618" s="1125"/>
      <c r="AT618" s="966" t="str">
        <f t="shared" ref="AT618:AT629" si="17">IF(AND(NOT(C617=""),C618="",NOT(C619="")),"!","")</f>
        <v/>
      </c>
      <c r="AU618" s="43"/>
      <c r="AV618" s="43"/>
      <c r="AW618" s="43"/>
      <c r="AX618" s="43"/>
      <c r="AY618" s="43"/>
      <c r="BA618" s="41" t="s">
        <v>2077</v>
      </c>
      <c r="BC618" s="43"/>
      <c r="BD618" s="43"/>
      <c r="BN618" s="1235">
        <f>IF(J740="SRO/Studio",O740,0)</f>
        <v>0</v>
      </c>
      <c r="BO618" s="1236"/>
      <c r="BP618" s="1236"/>
      <c r="BQ618" s="1236"/>
      <c r="BR618" s="1237"/>
      <c r="BS618" s="1235">
        <f>IF(J740="1 Bedroom",O740,0)</f>
        <v>0</v>
      </c>
      <c r="BT618" s="1236"/>
      <c r="BU618" s="1236"/>
      <c r="BV618" s="1236"/>
      <c r="BW618" s="1237"/>
      <c r="BX618" s="1235">
        <f>IF(J740="2 Bedrooms",O740,0)</f>
        <v>0</v>
      </c>
      <c r="BY618" s="1236"/>
      <c r="BZ618" s="1236"/>
      <c r="CA618" s="1236"/>
      <c r="CB618" s="1237"/>
      <c r="CC618" s="1235">
        <f>IF(J740="3 Bedrooms",O740,0)</f>
        <v>0</v>
      </c>
      <c r="CD618" s="1236"/>
      <c r="CE618" s="1236"/>
      <c r="CF618" s="1236"/>
      <c r="CG618" s="1237"/>
      <c r="CH618" s="1235">
        <f>IF(J740="4 Bedrooms",O740,0)</f>
        <v>0</v>
      </c>
      <c r="CI618" s="1236"/>
      <c r="CJ618" s="1236"/>
      <c r="CK618" s="1236"/>
      <c r="CL618" s="1237"/>
      <c r="CM618" s="1244">
        <f>IF(J740="5 Bedrooms",O740,0)</f>
        <v>0</v>
      </c>
      <c r="CN618" s="1245"/>
      <c r="CO618" s="1245"/>
      <c r="CP618" s="1245"/>
      <c r="CQ618" s="1246"/>
      <c r="CR618" s="41"/>
      <c r="CS618" s="41"/>
    </row>
    <row r="619" spans="1:126" ht="12.95" customHeight="1">
      <c r="B619" s="58" t="s">
        <v>945</v>
      </c>
      <c r="C619" s="1344" t="s">
        <v>2493</v>
      </c>
      <c r="D619" s="1344"/>
      <c r="E619" s="1344"/>
      <c r="F619" s="1344"/>
      <c r="G619" s="1344"/>
      <c r="H619" s="1344"/>
      <c r="I619" s="1344"/>
      <c r="J619" s="1344"/>
      <c r="K619" s="1344"/>
      <c r="L619" s="1344"/>
      <c r="M619" s="1408" t="s">
        <v>2311</v>
      </c>
      <c r="N619" s="1408"/>
      <c r="O619" s="1408"/>
      <c r="P619" s="1408"/>
      <c r="Q619" s="1409">
        <v>660</v>
      </c>
      <c r="R619" s="1410"/>
      <c r="S619" s="1411"/>
      <c r="T619" s="1354">
        <v>660</v>
      </c>
      <c r="U619" s="1355"/>
      <c r="V619" s="1356"/>
      <c r="W619" s="1405">
        <v>0.03</v>
      </c>
      <c r="X619" s="1406"/>
      <c r="Y619" s="1407"/>
      <c r="Z619" s="1351" t="s">
        <v>826</v>
      </c>
      <c r="AA619" s="1352"/>
      <c r="AB619" s="1353"/>
      <c r="AC619" s="1318">
        <v>3</v>
      </c>
      <c r="AD619" s="1319"/>
      <c r="AE619" s="1320"/>
      <c r="AF619" s="1178">
        <v>0</v>
      </c>
      <c r="AG619" s="1179"/>
      <c r="AH619" s="1179"/>
      <c r="AI619" s="1179"/>
      <c r="AJ619" s="1180"/>
      <c r="AK619" s="1348">
        <v>0</v>
      </c>
      <c r="AL619" s="1349"/>
      <c r="AM619" s="1349"/>
      <c r="AN619" s="1350"/>
      <c r="AO619" s="1125">
        <v>400000</v>
      </c>
      <c r="AP619" s="1125"/>
      <c r="AQ619" s="1125"/>
      <c r="AR619" s="1125"/>
      <c r="AS619" s="1125"/>
      <c r="AT619" s="966" t="str">
        <f t="shared" si="17"/>
        <v/>
      </c>
      <c r="AU619" s="43"/>
      <c r="AV619" s="43"/>
      <c r="AW619" s="43"/>
      <c r="AX619" s="43"/>
      <c r="AY619" s="43"/>
      <c r="BA619" s="41" t="s">
        <v>827</v>
      </c>
      <c r="BC619" s="43"/>
      <c r="BD619" s="43"/>
      <c r="BN619" s="1235">
        <f>IF(J741="SRO/Studio",O741,0)</f>
        <v>0</v>
      </c>
      <c r="BO619" s="1236"/>
      <c r="BP619" s="1236"/>
      <c r="BQ619" s="1236"/>
      <c r="BR619" s="1237"/>
      <c r="BS619" s="1235">
        <f>IF(J741="1 Bedroom",O741,0)</f>
        <v>0</v>
      </c>
      <c r="BT619" s="1236"/>
      <c r="BU619" s="1236"/>
      <c r="BV619" s="1236"/>
      <c r="BW619" s="1237"/>
      <c r="BX619" s="1235">
        <f>IF(J741="2 Bedrooms",O741,0)</f>
        <v>0</v>
      </c>
      <c r="BY619" s="1236"/>
      <c r="BZ619" s="1236"/>
      <c r="CA619" s="1236"/>
      <c r="CB619" s="1237"/>
      <c r="CC619" s="1235">
        <f>IF(J741="3 Bedrooms",O741,0)</f>
        <v>0</v>
      </c>
      <c r="CD619" s="1236"/>
      <c r="CE619" s="1236"/>
      <c r="CF619" s="1236"/>
      <c r="CG619" s="1237"/>
      <c r="CH619" s="1235">
        <f>IF(J741="4 Bedrooms",O741,0)</f>
        <v>0</v>
      </c>
      <c r="CI619" s="1236"/>
      <c r="CJ619" s="1236"/>
      <c r="CK619" s="1236"/>
      <c r="CL619" s="1237"/>
      <c r="CM619" s="1244">
        <f>IF(J741="5 Bedrooms",O741,0)</f>
        <v>0</v>
      </c>
      <c r="CN619" s="1245"/>
      <c r="CO619" s="1245"/>
      <c r="CP619" s="1245"/>
      <c r="CQ619" s="1246"/>
      <c r="CR619" s="41"/>
      <c r="CS619" s="41"/>
    </row>
    <row r="620" spans="1:126" ht="12.95" customHeight="1">
      <c r="B620" s="58" t="s">
        <v>951</v>
      </c>
      <c r="C620" s="1344" t="s">
        <v>2476</v>
      </c>
      <c r="D620" s="1344"/>
      <c r="E620" s="1344"/>
      <c r="F620" s="1344"/>
      <c r="G620" s="1344"/>
      <c r="H620" s="1344"/>
      <c r="I620" s="1344"/>
      <c r="J620" s="1344"/>
      <c r="K620" s="1344"/>
      <c r="L620" s="1344"/>
      <c r="M620" s="1408" t="s">
        <v>2311</v>
      </c>
      <c r="N620" s="1408"/>
      <c r="O620" s="1408"/>
      <c r="P620" s="1408"/>
      <c r="Q620" s="1409">
        <v>660</v>
      </c>
      <c r="R620" s="1410"/>
      <c r="S620" s="1411"/>
      <c r="T620" s="1354">
        <v>660</v>
      </c>
      <c r="U620" s="1355"/>
      <c r="V620" s="1356"/>
      <c r="W620" s="1405">
        <v>0.03</v>
      </c>
      <c r="X620" s="1406"/>
      <c r="Y620" s="1407"/>
      <c r="Z620" s="1351" t="s">
        <v>826</v>
      </c>
      <c r="AA620" s="1352"/>
      <c r="AB620" s="1353"/>
      <c r="AC620" s="1318">
        <v>2</v>
      </c>
      <c r="AD620" s="1319"/>
      <c r="AE620" s="1320"/>
      <c r="AF620" s="1178">
        <v>18481</v>
      </c>
      <c r="AG620" s="1179"/>
      <c r="AH620" s="1179"/>
      <c r="AI620" s="1179"/>
      <c r="AJ620" s="1180"/>
      <c r="AK620" s="1348">
        <v>0</v>
      </c>
      <c r="AL620" s="1349"/>
      <c r="AM620" s="1349"/>
      <c r="AN620" s="1350"/>
      <c r="AO620" s="1125">
        <v>4400310</v>
      </c>
      <c r="AP620" s="1125"/>
      <c r="AQ620" s="1125"/>
      <c r="AR620" s="1125"/>
      <c r="AS620" s="1125"/>
      <c r="AT620" s="966" t="str">
        <f t="shared" si="17"/>
        <v/>
      </c>
      <c r="AU620" s="43"/>
      <c r="AV620" s="43"/>
      <c r="AW620" s="43"/>
      <c r="AX620" s="43"/>
      <c r="AY620" s="43"/>
      <c r="AZ620" s="43"/>
      <c r="BA620" s="41" t="s">
        <v>826</v>
      </c>
      <c r="BB620" s="43"/>
      <c r="BC620" s="43"/>
      <c r="BD620" s="43"/>
      <c r="BN620" s="1238">
        <f>SUM(BN616:BR619)</f>
        <v>0</v>
      </c>
      <c r="BO620" s="1239"/>
      <c r="BP620" s="1239"/>
      <c r="BQ620" s="1239"/>
      <c r="BR620" s="1240"/>
      <c r="BS620" s="1238">
        <f>SUM(BS616:BW619)</f>
        <v>0</v>
      </c>
      <c r="BT620" s="1239"/>
      <c r="BU620" s="1239"/>
      <c r="BV620" s="1239"/>
      <c r="BW620" s="1240"/>
      <c r="BX620" s="1238">
        <f>SUM(BX616:CB619)</f>
        <v>1</v>
      </c>
      <c r="BY620" s="1239"/>
      <c r="BZ620" s="1239"/>
      <c r="CA620" s="1239"/>
      <c r="CB620" s="1240"/>
      <c r="CC620" s="1238">
        <f>SUM(CC616:CG619)</f>
        <v>0</v>
      </c>
      <c r="CD620" s="1239"/>
      <c r="CE620" s="1239"/>
      <c r="CF620" s="1239"/>
      <c r="CG620" s="1240"/>
      <c r="CH620" s="1238">
        <f>SUM(CH616:CL619)</f>
        <v>0</v>
      </c>
      <c r="CI620" s="1239"/>
      <c r="CJ620" s="1239"/>
      <c r="CK620" s="1239"/>
      <c r="CL620" s="1240"/>
      <c r="CM620" s="1238">
        <f>SUM(CM616:CQ619)</f>
        <v>0</v>
      </c>
      <c r="CN620" s="1239"/>
      <c r="CO620" s="1239"/>
      <c r="CP620" s="1239"/>
      <c r="CQ620" s="1240"/>
      <c r="CS620" s="480">
        <f>BN620+BS620+BX620+CC620+CH620+CM620</f>
        <v>1</v>
      </c>
      <c r="CT620" s="63" t="s">
        <v>2081</v>
      </c>
      <c r="CU620" s="41"/>
    </row>
    <row r="621" spans="1:126" ht="12.95" customHeight="1">
      <c r="B621" s="58" t="s">
        <v>460</v>
      </c>
      <c r="C621" s="1344" t="s">
        <v>2496</v>
      </c>
      <c r="D621" s="1344"/>
      <c r="E621" s="1344"/>
      <c r="F621" s="1344"/>
      <c r="G621" s="1344"/>
      <c r="H621" s="1344"/>
      <c r="I621" s="1344"/>
      <c r="J621" s="1344"/>
      <c r="K621" s="1344"/>
      <c r="L621" s="1344"/>
      <c r="M621" s="1408" t="s">
        <v>2302</v>
      </c>
      <c r="N621" s="1408"/>
      <c r="O621" s="1408"/>
      <c r="P621" s="1408"/>
      <c r="Q621" s="1409">
        <v>156</v>
      </c>
      <c r="R621" s="1410"/>
      <c r="S621" s="1411"/>
      <c r="T621" s="1354">
        <v>180</v>
      </c>
      <c r="U621" s="1355"/>
      <c r="V621" s="1356"/>
      <c r="W621" s="1405">
        <v>0</v>
      </c>
      <c r="X621" s="1406"/>
      <c r="Y621" s="1407"/>
      <c r="Z621" s="1351" t="s">
        <v>827</v>
      </c>
      <c r="AA621" s="1352"/>
      <c r="AB621" s="1353"/>
      <c r="AC621" s="1318"/>
      <c r="AD621" s="1319"/>
      <c r="AE621" s="1320"/>
      <c r="AF621" s="1178">
        <v>0</v>
      </c>
      <c r="AG621" s="1179"/>
      <c r="AH621" s="1179"/>
      <c r="AI621" s="1179"/>
      <c r="AJ621" s="1180"/>
      <c r="AK621" s="1348">
        <v>0</v>
      </c>
      <c r="AL621" s="1349"/>
      <c r="AM621" s="1349"/>
      <c r="AN621" s="1350"/>
      <c r="AO621" s="1125">
        <v>5548.6468008980155</v>
      </c>
      <c r="AP621" s="1125"/>
      <c r="AQ621" s="1125"/>
      <c r="AR621" s="1125"/>
      <c r="AS621" s="1125"/>
      <c r="AT621" s="966" t="str">
        <f t="shared" si="17"/>
        <v/>
      </c>
      <c r="AU621" s="43"/>
      <c r="AV621" s="43"/>
      <c r="AW621" s="43"/>
      <c r="AX621" s="43"/>
      <c r="AY621" s="43"/>
      <c r="AZ621" s="43"/>
      <c r="BA621" s="41" t="s">
        <v>2327</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344" t="s">
        <v>2498</v>
      </c>
      <c r="D622" s="1344"/>
      <c r="E622" s="1344"/>
      <c r="F622" s="1344"/>
      <c r="G622" s="1344"/>
      <c r="H622" s="1344"/>
      <c r="I622" s="1344"/>
      <c r="J622" s="1344"/>
      <c r="K622" s="1344"/>
      <c r="L622" s="1344"/>
      <c r="M622" s="1408" t="s">
        <v>2306</v>
      </c>
      <c r="N622" s="1408"/>
      <c r="O622" s="1408"/>
      <c r="P622" s="1408"/>
      <c r="Q622" s="1409">
        <v>0</v>
      </c>
      <c r="R622" s="1410"/>
      <c r="S622" s="1411"/>
      <c r="T622" s="1354">
        <v>0</v>
      </c>
      <c r="U622" s="1355"/>
      <c r="V622" s="1356"/>
      <c r="W622" s="1405">
        <v>0</v>
      </c>
      <c r="X622" s="1406"/>
      <c r="Y622" s="1407"/>
      <c r="Z622" s="1351" t="s">
        <v>528</v>
      </c>
      <c r="AA622" s="1352"/>
      <c r="AB622" s="1353"/>
      <c r="AC622" s="1318"/>
      <c r="AD622" s="1319"/>
      <c r="AE622" s="1320"/>
      <c r="AF622" s="1178">
        <v>0</v>
      </c>
      <c r="AG622" s="1179"/>
      <c r="AH622" s="1179"/>
      <c r="AI622" s="1179"/>
      <c r="AJ622" s="1180"/>
      <c r="AK622" s="1348">
        <v>0</v>
      </c>
      <c r="AL622" s="1349"/>
      <c r="AM622" s="1349"/>
      <c r="AN622" s="1350"/>
      <c r="AO622" s="1125">
        <v>164911.54500000001</v>
      </c>
      <c r="AP622" s="1125"/>
      <c r="AQ622" s="1125"/>
      <c r="AR622" s="1125"/>
      <c r="AS622" s="1125"/>
      <c r="AT622" s="966" t="str">
        <f t="shared" si="17"/>
        <v/>
      </c>
      <c r="AU622" s="43"/>
      <c r="AV622" s="43"/>
      <c r="AW622" s="43"/>
      <c r="AX622" s="43"/>
      <c r="AY622" s="43"/>
      <c r="AZ622" s="43"/>
      <c r="BA622" s="41" t="s">
        <v>528</v>
      </c>
      <c r="BN622" s="1235">
        <f t="shared" ref="BN622:BN631" si="18">IF(J752="SRO/Studio",O752,0)</f>
        <v>0</v>
      </c>
      <c r="BO622" s="1236"/>
      <c r="BP622" s="1236"/>
      <c r="BQ622" s="1236"/>
      <c r="BR622" s="1237"/>
      <c r="BS622" s="1235">
        <f t="shared" ref="BS622:BS631" si="19">IF(J752="1 Bedroom",O752,0)</f>
        <v>0</v>
      </c>
      <c r="BT622" s="1236"/>
      <c r="BU622" s="1236"/>
      <c r="BV622" s="1236"/>
      <c r="BW622" s="1237"/>
      <c r="BX622" s="1235">
        <f t="shared" ref="BX622:BX631" si="20">IF(J752="2 Bedrooms",O752,0)</f>
        <v>0</v>
      </c>
      <c r="BY622" s="1236"/>
      <c r="BZ622" s="1236"/>
      <c r="CA622" s="1236"/>
      <c r="CB622" s="1237"/>
      <c r="CC622" s="1235">
        <f t="shared" ref="CC622:CC631" si="21">IF(J752="3 Bedrooms",O752,0)</f>
        <v>0</v>
      </c>
      <c r="CD622" s="1236"/>
      <c r="CE622" s="1236"/>
      <c r="CF622" s="1236"/>
      <c r="CG622" s="1237"/>
      <c r="CH622" s="1235">
        <f t="shared" ref="CH622:CH631" si="22">IF(J752="4 Bedrooms",O752,0)</f>
        <v>0</v>
      </c>
      <c r="CI622" s="1236"/>
      <c r="CJ622" s="1236"/>
      <c r="CK622" s="1236"/>
      <c r="CL622" s="1237"/>
      <c r="CM622" s="1235">
        <f t="shared" ref="CM622:CM631" si="23">IF(J752="5 Bedrooms",O752,0)</f>
        <v>0</v>
      </c>
      <c r="CN622" s="1236"/>
      <c r="CO622" s="1236"/>
      <c r="CP622" s="1236"/>
      <c r="CQ622" s="1237"/>
      <c r="CR622" s="41"/>
      <c r="CS622" s="41"/>
    </row>
    <row r="623" spans="1:126" ht="12.95" customHeight="1">
      <c r="B623" s="58" t="s">
        <v>463</v>
      </c>
      <c r="C623" s="1344"/>
      <c r="D623" s="1344"/>
      <c r="E623" s="1344"/>
      <c r="F623" s="1344"/>
      <c r="G623" s="1344"/>
      <c r="H623" s="1344"/>
      <c r="I623" s="1344"/>
      <c r="J623" s="1344"/>
      <c r="K623" s="1344"/>
      <c r="L623" s="1344"/>
      <c r="M623" s="1408" t="s">
        <v>2077</v>
      </c>
      <c r="N623" s="1408"/>
      <c r="O623" s="1408"/>
      <c r="P623" s="1408"/>
      <c r="Q623" s="1409"/>
      <c r="R623" s="1410"/>
      <c r="S623" s="1411"/>
      <c r="T623" s="1354"/>
      <c r="U623" s="1355"/>
      <c r="V623" s="1356"/>
      <c r="W623" s="1405"/>
      <c r="X623" s="1406"/>
      <c r="Y623" s="1407"/>
      <c r="Z623" s="1351" t="s">
        <v>2077</v>
      </c>
      <c r="AA623" s="1352"/>
      <c r="AB623" s="1353"/>
      <c r="AC623" s="1318"/>
      <c r="AD623" s="1319"/>
      <c r="AE623" s="1320"/>
      <c r="AF623" s="1178"/>
      <c r="AG623" s="1179"/>
      <c r="AH623" s="1179"/>
      <c r="AI623" s="1179"/>
      <c r="AJ623" s="1180"/>
      <c r="AK623" s="1348"/>
      <c r="AL623" s="1349"/>
      <c r="AM623" s="1349"/>
      <c r="AN623" s="1350"/>
      <c r="AO623" s="1125"/>
      <c r="AP623" s="1125"/>
      <c r="AQ623" s="1125"/>
      <c r="AR623" s="1125"/>
      <c r="AS623" s="1125"/>
      <c r="AT623" s="966" t="str">
        <f t="shared" si="17"/>
        <v/>
      </c>
      <c r="AU623" s="43"/>
      <c r="AV623" s="43"/>
      <c r="AW623" s="43"/>
      <c r="AX623" s="43"/>
      <c r="AY623" s="43"/>
      <c r="AZ623" s="43"/>
      <c r="BN623" s="1235">
        <f t="shared" si="18"/>
        <v>0</v>
      </c>
      <c r="BO623" s="1236"/>
      <c r="BP623" s="1236"/>
      <c r="BQ623" s="1236"/>
      <c r="BR623" s="1237"/>
      <c r="BS623" s="1235">
        <f t="shared" si="19"/>
        <v>0</v>
      </c>
      <c r="BT623" s="1236"/>
      <c r="BU623" s="1236"/>
      <c r="BV623" s="1236"/>
      <c r="BW623" s="1237"/>
      <c r="BX623" s="1235">
        <f t="shared" si="20"/>
        <v>0</v>
      </c>
      <c r="BY623" s="1236"/>
      <c r="BZ623" s="1236"/>
      <c r="CA623" s="1236"/>
      <c r="CB623" s="1237"/>
      <c r="CC623" s="1235">
        <f t="shared" si="21"/>
        <v>0</v>
      </c>
      <c r="CD623" s="1236"/>
      <c r="CE623" s="1236"/>
      <c r="CF623" s="1236"/>
      <c r="CG623" s="1237"/>
      <c r="CH623" s="1235">
        <f t="shared" si="22"/>
        <v>0</v>
      </c>
      <c r="CI623" s="1236"/>
      <c r="CJ623" s="1236"/>
      <c r="CK623" s="1236"/>
      <c r="CL623" s="1237"/>
      <c r="CM623" s="1235">
        <f t="shared" si="23"/>
        <v>0</v>
      </c>
      <c r="CN623" s="1236"/>
      <c r="CO623" s="1236"/>
      <c r="CP623" s="1236"/>
      <c r="CQ623" s="1237"/>
      <c r="CR623" s="41"/>
      <c r="CS623" s="41"/>
    </row>
    <row r="624" spans="1:126" ht="12.95" customHeight="1">
      <c r="B624" s="58" t="s">
        <v>778</v>
      </c>
      <c r="C624" s="1344"/>
      <c r="D624" s="1344"/>
      <c r="E624" s="1344"/>
      <c r="F624" s="1344"/>
      <c r="G624" s="1344"/>
      <c r="H624" s="1344"/>
      <c r="I624" s="1344"/>
      <c r="J624" s="1344"/>
      <c r="K624" s="1344"/>
      <c r="L624" s="1344"/>
      <c r="M624" s="1408" t="s">
        <v>2077</v>
      </c>
      <c r="N624" s="1408"/>
      <c r="O624" s="1408"/>
      <c r="P624" s="1408"/>
      <c r="Q624" s="1409"/>
      <c r="R624" s="1410"/>
      <c r="S624" s="1411"/>
      <c r="T624" s="1354"/>
      <c r="U624" s="1355"/>
      <c r="V624" s="1356"/>
      <c r="W624" s="1405"/>
      <c r="X624" s="1406"/>
      <c r="Y624" s="1407"/>
      <c r="Z624" s="1351" t="s">
        <v>2077</v>
      </c>
      <c r="AA624" s="1352"/>
      <c r="AB624" s="1353"/>
      <c r="AC624" s="1318"/>
      <c r="AD624" s="1319"/>
      <c r="AE624" s="1320"/>
      <c r="AF624" s="1178"/>
      <c r="AG624" s="1179"/>
      <c r="AH624" s="1179"/>
      <c r="AI624" s="1179"/>
      <c r="AJ624" s="1180"/>
      <c r="AK624" s="1348"/>
      <c r="AL624" s="1349"/>
      <c r="AM624" s="1349"/>
      <c r="AN624" s="1350"/>
      <c r="AO624" s="1125"/>
      <c r="AP624" s="1125"/>
      <c r="AQ624" s="1125"/>
      <c r="AR624" s="1125"/>
      <c r="AS624" s="1125"/>
      <c r="AT624" s="966" t="str">
        <f t="shared" si="17"/>
        <v/>
      </c>
      <c r="AU624" s="43"/>
      <c r="AV624" s="43"/>
      <c r="AW624" s="43"/>
      <c r="AX624" s="43"/>
      <c r="AY624" s="43"/>
      <c r="AZ624" s="43"/>
      <c r="BN624" s="1235">
        <f t="shared" si="18"/>
        <v>0</v>
      </c>
      <c r="BO624" s="1236"/>
      <c r="BP624" s="1236"/>
      <c r="BQ624" s="1236"/>
      <c r="BR624" s="1237"/>
      <c r="BS624" s="1235">
        <f t="shared" si="19"/>
        <v>0</v>
      </c>
      <c r="BT624" s="1236"/>
      <c r="BU624" s="1236"/>
      <c r="BV624" s="1236"/>
      <c r="BW624" s="1237"/>
      <c r="BX624" s="1235">
        <f t="shared" si="20"/>
        <v>0</v>
      </c>
      <c r="BY624" s="1236"/>
      <c r="BZ624" s="1236"/>
      <c r="CA624" s="1236"/>
      <c r="CB624" s="1237"/>
      <c r="CC624" s="1235">
        <f t="shared" si="21"/>
        <v>0</v>
      </c>
      <c r="CD624" s="1236"/>
      <c r="CE624" s="1236"/>
      <c r="CF624" s="1236"/>
      <c r="CG624" s="1237"/>
      <c r="CH624" s="1235">
        <f t="shared" si="22"/>
        <v>0</v>
      </c>
      <c r="CI624" s="1236"/>
      <c r="CJ624" s="1236"/>
      <c r="CK624" s="1236"/>
      <c r="CL624" s="1237"/>
      <c r="CM624" s="1235">
        <f t="shared" si="23"/>
        <v>0</v>
      </c>
      <c r="CN624" s="1236"/>
      <c r="CO624" s="1236"/>
      <c r="CP624" s="1236"/>
      <c r="CQ624" s="1237"/>
      <c r="CR624" s="41"/>
      <c r="CS624" s="41"/>
    </row>
    <row r="625" spans="1:97" ht="12.95" customHeight="1">
      <c r="B625" s="58" t="s">
        <v>779</v>
      </c>
      <c r="C625" s="1344"/>
      <c r="D625" s="1344"/>
      <c r="E625" s="1344"/>
      <c r="F625" s="1344"/>
      <c r="G625" s="1344"/>
      <c r="H625" s="1344"/>
      <c r="I625" s="1344"/>
      <c r="J625" s="1344"/>
      <c r="K625" s="1344"/>
      <c r="L625" s="1344"/>
      <c r="M625" s="1408" t="s">
        <v>2077</v>
      </c>
      <c r="N625" s="1408"/>
      <c r="O625" s="1408"/>
      <c r="P625" s="1408"/>
      <c r="Q625" s="1409"/>
      <c r="R625" s="1410"/>
      <c r="S625" s="1411"/>
      <c r="T625" s="1354"/>
      <c r="U625" s="1355"/>
      <c r="V625" s="1356"/>
      <c r="W625" s="1405"/>
      <c r="X625" s="1406"/>
      <c r="Y625" s="1407"/>
      <c r="Z625" s="1351" t="s">
        <v>2077</v>
      </c>
      <c r="AA625" s="1352"/>
      <c r="AB625" s="1353"/>
      <c r="AC625" s="1318"/>
      <c r="AD625" s="1319"/>
      <c r="AE625" s="1320"/>
      <c r="AF625" s="1178"/>
      <c r="AG625" s="1179"/>
      <c r="AH625" s="1179"/>
      <c r="AI625" s="1179"/>
      <c r="AJ625" s="1180"/>
      <c r="AK625" s="1348"/>
      <c r="AL625" s="1349"/>
      <c r="AM625" s="1349"/>
      <c r="AN625" s="1350"/>
      <c r="AO625" s="1125"/>
      <c r="AP625" s="1125"/>
      <c r="AQ625" s="1125"/>
      <c r="AR625" s="1125"/>
      <c r="AS625" s="1125"/>
      <c r="AT625" s="966" t="str">
        <f t="shared" si="17"/>
        <v/>
      </c>
      <c r="AU625" s="43"/>
      <c r="AV625" s="43"/>
      <c r="AW625" s="43"/>
      <c r="AX625" s="43"/>
      <c r="AY625" s="43"/>
      <c r="AZ625" s="43"/>
      <c r="BN625" s="1235">
        <f t="shared" si="18"/>
        <v>0</v>
      </c>
      <c r="BO625" s="1236"/>
      <c r="BP625" s="1236"/>
      <c r="BQ625" s="1236"/>
      <c r="BR625" s="1237"/>
      <c r="BS625" s="1235">
        <f t="shared" si="19"/>
        <v>0</v>
      </c>
      <c r="BT625" s="1236"/>
      <c r="BU625" s="1236"/>
      <c r="BV625" s="1236"/>
      <c r="BW625" s="1237"/>
      <c r="BX625" s="1235">
        <f t="shared" si="20"/>
        <v>0</v>
      </c>
      <c r="BY625" s="1236"/>
      <c r="BZ625" s="1236"/>
      <c r="CA625" s="1236"/>
      <c r="CB625" s="1237"/>
      <c r="CC625" s="1235">
        <f t="shared" si="21"/>
        <v>0</v>
      </c>
      <c r="CD625" s="1236"/>
      <c r="CE625" s="1236"/>
      <c r="CF625" s="1236"/>
      <c r="CG625" s="1237"/>
      <c r="CH625" s="1235">
        <f t="shared" si="22"/>
        <v>0</v>
      </c>
      <c r="CI625" s="1236"/>
      <c r="CJ625" s="1236"/>
      <c r="CK625" s="1236"/>
      <c r="CL625" s="1237"/>
      <c r="CM625" s="1235">
        <f t="shared" si="23"/>
        <v>0</v>
      </c>
      <c r="CN625" s="1236"/>
      <c r="CO625" s="1236"/>
      <c r="CP625" s="1236"/>
      <c r="CQ625" s="1237"/>
      <c r="CR625" s="41"/>
      <c r="CS625" s="41"/>
    </row>
    <row r="626" spans="1:97" ht="12.95" customHeight="1">
      <c r="B626" s="58" t="s">
        <v>577</v>
      </c>
      <c r="C626" s="1344"/>
      <c r="D626" s="1344"/>
      <c r="E626" s="1344"/>
      <c r="F626" s="1344"/>
      <c r="G626" s="1344"/>
      <c r="H626" s="1344"/>
      <c r="I626" s="1344"/>
      <c r="J626" s="1344"/>
      <c r="K626" s="1344"/>
      <c r="L626" s="1344"/>
      <c r="M626" s="1408" t="s">
        <v>2077</v>
      </c>
      <c r="N626" s="1408"/>
      <c r="O626" s="1408"/>
      <c r="P626" s="1408"/>
      <c r="Q626" s="1409"/>
      <c r="R626" s="1410"/>
      <c r="S626" s="1411"/>
      <c r="T626" s="1354"/>
      <c r="U626" s="1355"/>
      <c r="V626" s="1356"/>
      <c r="W626" s="1405"/>
      <c r="X626" s="1406"/>
      <c r="Y626" s="1407"/>
      <c r="Z626" s="1351" t="s">
        <v>2077</v>
      </c>
      <c r="AA626" s="1352"/>
      <c r="AB626" s="1353"/>
      <c r="AC626" s="1318"/>
      <c r="AD626" s="1319"/>
      <c r="AE626" s="1320"/>
      <c r="AF626" s="1178"/>
      <c r="AG626" s="1179"/>
      <c r="AH626" s="1179"/>
      <c r="AI626" s="1179"/>
      <c r="AJ626" s="1180"/>
      <c r="AK626" s="1348"/>
      <c r="AL626" s="1349"/>
      <c r="AM626" s="1349"/>
      <c r="AN626" s="1350"/>
      <c r="AO626" s="1125"/>
      <c r="AP626" s="1125"/>
      <c r="AQ626" s="1125"/>
      <c r="AR626" s="1125"/>
      <c r="AS626" s="1125"/>
      <c r="AT626" s="966" t="str">
        <f t="shared" si="17"/>
        <v/>
      </c>
      <c r="AU626" s="41"/>
      <c r="AV626" s="41"/>
      <c r="AW626" s="41"/>
      <c r="AX626" s="41"/>
      <c r="AY626" s="41"/>
      <c r="AZ626" s="41"/>
      <c r="BN626" s="1235">
        <f t="shared" si="18"/>
        <v>0</v>
      </c>
      <c r="BO626" s="1236"/>
      <c r="BP626" s="1236"/>
      <c r="BQ626" s="1236"/>
      <c r="BR626" s="1237"/>
      <c r="BS626" s="1235">
        <f t="shared" si="19"/>
        <v>0</v>
      </c>
      <c r="BT626" s="1236"/>
      <c r="BU626" s="1236"/>
      <c r="BV626" s="1236"/>
      <c r="BW626" s="1237"/>
      <c r="BX626" s="1235">
        <f t="shared" si="20"/>
        <v>0</v>
      </c>
      <c r="BY626" s="1236"/>
      <c r="BZ626" s="1236"/>
      <c r="CA626" s="1236"/>
      <c r="CB626" s="1237"/>
      <c r="CC626" s="1235">
        <f t="shared" si="21"/>
        <v>0</v>
      </c>
      <c r="CD626" s="1236"/>
      <c r="CE626" s="1236"/>
      <c r="CF626" s="1236"/>
      <c r="CG626" s="1237"/>
      <c r="CH626" s="1235">
        <f t="shared" si="22"/>
        <v>0</v>
      </c>
      <c r="CI626" s="1236"/>
      <c r="CJ626" s="1236"/>
      <c r="CK626" s="1236"/>
      <c r="CL626" s="1237"/>
      <c r="CM626" s="1235">
        <f t="shared" si="23"/>
        <v>0</v>
      </c>
      <c r="CN626" s="1236"/>
      <c r="CO626" s="1236"/>
      <c r="CP626" s="1236"/>
      <c r="CQ626" s="1237"/>
      <c r="CR626" s="41"/>
      <c r="CS626" s="41"/>
    </row>
    <row r="627" spans="1:97" ht="12.95" customHeight="1">
      <c r="B627" s="58" t="s">
        <v>185</v>
      </c>
      <c r="C627" s="1344"/>
      <c r="D627" s="1344"/>
      <c r="E627" s="1344"/>
      <c r="F627" s="1344"/>
      <c r="G627" s="1344"/>
      <c r="H627" s="1344"/>
      <c r="I627" s="1344"/>
      <c r="J627" s="1344"/>
      <c r="K627" s="1344"/>
      <c r="L627" s="1344"/>
      <c r="M627" s="1408" t="s">
        <v>2077</v>
      </c>
      <c r="N627" s="1408"/>
      <c r="O627" s="1408"/>
      <c r="P627" s="1408"/>
      <c r="Q627" s="1409"/>
      <c r="R627" s="1410"/>
      <c r="S627" s="1411"/>
      <c r="T627" s="1354"/>
      <c r="U627" s="1355"/>
      <c r="V627" s="1356"/>
      <c r="W627" s="1405"/>
      <c r="X627" s="1406"/>
      <c r="Y627" s="1407"/>
      <c r="Z627" s="1351" t="s">
        <v>2077</v>
      </c>
      <c r="AA627" s="1352"/>
      <c r="AB627" s="1353"/>
      <c r="AC627" s="1318"/>
      <c r="AD627" s="1319"/>
      <c r="AE627" s="1320"/>
      <c r="AF627" s="1178"/>
      <c r="AG627" s="1179"/>
      <c r="AH627" s="1179"/>
      <c r="AI627" s="1179"/>
      <c r="AJ627" s="1180"/>
      <c r="AK627" s="1348"/>
      <c r="AL627" s="1349"/>
      <c r="AM627" s="1349"/>
      <c r="AN627" s="1350"/>
      <c r="AO627" s="1125"/>
      <c r="AP627" s="1125"/>
      <c r="AQ627" s="1125"/>
      <c r="AR627" s="1125"/>
      <c r="AS627" s="1125"/>
      <c r="AT627" s="966" t="str">
        <f t="shared" si="17"/>
        <v/>
      </c>
      <c r="AU627" s="41"/>
      <c r="AV627" s="41"/>
      <c r="AW627" s="41"/>
      <c r="AX627" s="41"/>
      <c r="AY627" s="41"/>
      <c r="AZ627" s="41"/>
      <c r="BN627" s="1235">
        <f t="shared" si="18"/>
        <v>0</v>
      </c>
      <c r="BO627" s="1236"/>
      <c r="BP627" s="1236"/>
      <c r="BQ627" s="1236"/>
      <c r="BR627" s="1237"/>
      <c r="BS627" s="1235">
        <f t="shared" si="19"/>
        <v>0</v>
      </c>
      <c r="BT627" s="1236"/>
      <c r="BU627" s="1236"/>
      <c r="BV627" s="1236"/>
      <c r="BW627" s="1237"/>
      <c r="BX627" s="1235">
        <f t="shared" si="20"/>
        <v>0</v>
      </c>
      <c r="BY627" s="1236"/>
      <c r="BZ627" s="1236"/>
      <c r="CA627" s="1236"/>
      <c r="CB627" s="1237"/>
      <c r="CC627" s="1235">
        <f t="shared" si="21"/>
        <v>0</v>
      </c>
      <c r="CD627" s="1236"/>
      <c r="CE627" s="1236"/>
      <c r="CF627" s="1236"/>
      <c r="CG627" s="1237"/>
      <c r="CH627" s="1235">
        <f t="shared" si="22"/>
        <v>0</v>
      </c>
      <c r="CI627" s="1236"/>
      <c r="CJ627" s="1236"/>
      <c r="CK627" s="1236"/>
      <c r="CL627" s="1237"/>
      <c r="CM627" s="1235">
        <f t="shared" si="23"/>
        <v>0</v>
      </c>
      <c r="CN627" s="1236"/>
      <c r="CO627" s="1236"/>
      <c r="CP627" s="1236"/>
      <c r="CQ627" s="1237"/>
      <c r="CR627" s="41"/>
      <c r="CS627" s="41"/>
    </row>
    <row r="628" spans="1:97" ht="12.95" customHeight="1">
      <c r="B628" s="58" t="s">
        <v>36</v>
      </c>
      <c r="C628" s="1344"/>
      <c r="D628" s="1344"/>
      <c r="E628" s="1344"/>
      <c r="F628" s="1344"/>
      <c r="G628" s="1344"/>
      <c r="H628" s="1344"/>
      <c r="I628" s="1344"/>
      <c r="J628" s="1344"/>
      <c r="K628" s="1344"/>
      <c r="L628" s="1344"/>
      <c r="M628" s="1408" t="s">
        <v>2077</v>
      </c>
      <c r="N628" s="1408"/>
      <c r="O628" s="1408"/>
      <c r="P628" s="1408"/>
      <c r="Q628" s="1409"/>
      <c r="R628" s="1410"/>
      <c r="S628" s="1411"/>
      <c r="T628" s="1354"/>
      <c r="U628" s="1355"/>
      <c r="V628" s="1356"/>
      <c r="W628" s="1405"/>
      <c r="X628" s="1406"/>
      <c r="Y628" s="1407"/>
      <c r="Z628" s="1351" t="s">
        <v>2077</v>
      </c>
      <c r="AA628" s="1352"/>
      <c r="AB628" s="1353"/>
      <c r="AC628" s="1318"/>
      <c r="AD628" s="1319"/>
      <c r="AE628" s="1320"/>
      <c r="AF628" s="1178"/>
      <c r="AG628" s="1179"/>
      <c r="AH628" s="1179"/>
      <c r="AI628" s="1179"/>
      <c r="AJ628" s="1180"/>
      <c r="AK628" s="1348"/>
      <c r="AL628" s="1349"/>
      <c r="AM628" s="1349"/>
      <c r="AN628" s="1350"/>
      <c r="AO628" s="1125"/>
      <c r="AP628" s="1125"/>
      <c r="AQ628" s="1125"/>
      <c r="AR628" s="1125"/>
      <c r="AS628" s="1125"/>
      <c r="AT628" s="966" t="str">
        <f t="shared" si="17"/>
        <v/>
      </c>
      <c r="AU628" s="41"/>
      <c r="AV628" s="41"/>
      <c r="AW628" s="41"/>
      <c r="AX628" s="41"/>
      <c r="AY628" s="41"/>
      <c r="AZ628" s="41"/>
      <c r="BN628" s="1235">
        <f t="shared" si="18"/>
        <v>0</v>
      </c>
      <c r="BO628" s="1236"/>
      <c r="BP628" s="1236"/>
      <c r="BQ628" s="1236"/>
      <c r="BR628" s="1237"/>
      <c r="BS628" s="1235">
        <f t="shared" si="19"/>
        <v>0</v>
      </c>
      <c r="BT628" s="1236"/>
      <c r="BU628" s="1236"/>
      <c r="BV628" s="1236"/>
      <c r="BW628" s="1237"/>
      <c r="BX628" s="1235">
        <f t="shared" si="20"/>
        <v>0</v>
      </c>
      <c r="BY628" s="1236"/>
      <c r="BZ628" s="1236"/>
      <c r="CA628" s="1236"/>
      <c r="CB628" s="1237"/>
      <c r="CC628" s="1235">
        <f t="shared" si="21"/>
        <v>0</v>
      </c>
      <c r="CD628" s="1236"/>
      <c r="CE628" s="1236"/>
      <c r="CF628" s="1236"/>
      <c r="CG628" s="1237"/>
      <c r="CH628" s="1235">
        <f t="shared" si="22"/>
        <v>0</v>
      </c>
      <c r="CI628" s="1236"/>
      <c r="CJ628" s="1236"/>
      <c r="CK628" s="1236"/>
      <c r="CL628" s="1237"/>
      <c r="CM628" s="1235">
        <f t="shared" si="23"/>
        <v>0</v>
      </c>
      <c r="CN628" s="1236"/>
      <c r="CO628" s="1236"/>
      <c r="CP628" s="1236"/>
      <c r="CQ628" s="1237"/>
      <c r="CR628" s="41"/>
      <c r="CS628" s="41"/>
    </row>
    <row r="629" spans="1:97" ht="12.95" customHeight="1">
      <c r="B629" s="58" t="s">
        <v>37</v>
      </c>
      <c r="C629" s="1344"/>
      <c r="D629" s="1344"/>
      <c r="E629" s="1344"/>
      <c r="F629" s="1344"/>
      <c r="G629" s="1344"/>
      <c r="H629" s="1344"/>
      <c r="I629" s="1344"/>
      <c r="J629" s="1344"/>
      <c r="K629" s="1344"/>
      <c r="L629" s="1344"/>
      <c r="M629" s="1408" t="s">
        <v>2077</v>
      </c>
      <c r="N629" s="1408"/>
      <c r="O629" s="1408"/>
      <c r="P629" s="1408"/>
      <c r="Q629" s="1409"/>
      <c r="R629" s="1410"/>
      <c r="S629" s="1411"/>
      <c r="T629" s="1354"/>
      <c r="U629" s="1355"/>
      <c r="V629" s="1356"/>
      <c r="W629" s="1405"/>
      <c r="X629" s="1406"/>
      <c r="Y629" s="1407"/>
      <c r="Z629" s="1351" t="s">
        <v>2077</v>
      </c>
      <c r="AA629" s="1352"/>
      <c r="AB629" s="1353"/>
      <c r="AC629" s="1318"/>
      <c r="AD629" s="1319"/>
      <c r="AE629" s="1320"/>
      <c r="AF629" s="1178"/>
      <c r="AG629" s="1179"/>
      <c r="AH629" s="1179"/>
      <c r="AI629" s="1179"/>
      <c r="AJ629" s="1180"/>
      <c r="AK629" s="1348"/>
      <c r="AL629" s="1349"/>
      <c r="AM629" s="1349"/>
      <c r="AN629" s="1350"/>
      <c r="AO629" s="1125"/>
      <c r="AP629" s="1125"/>
      <c r="AQ629" s="1125"/>
      <c r="AR629" s="1125"/>
      <c r="AS629" s="1125"/>
      <c r="AT629" s="966" t="str">
        <f t="shared" si="17"/>
        <v/>
      </c>
      <c r="AU629" s="43"/>
      <c r="AV629" s="43"/>
      <c r="AW629" s="43"/>
      <c r="AX629" s="43"/>
      <c r="AY629" s="43"/>
      <c r="AZ629" s="43"/>
      <c r="BN629" s="1235">
        <f t="shared" si="18"/>
        <v>0</v>
      </c>
      <c r="BO629" s="1236"/>
      <c r="BP629" s="1236"/>
      <c r="BQ629" s="1236"/>
      <c r="BR629" s="1237"/>
      <c r="BS629" s="1235">
        <f t="shared" si="19"/>
        <v>0</v>
      </c>
      <c r="BT629" s="1236"/>
      <c r="BU629" s="1236"/>
      <c r="BV629" s="1236"/>
      <c r="BW629" s="1237"/>
      <c r="BX629" s="1235">
        <f t="shared" si="20"/>
        <v>0</v>
      </c>
      <c r="BY629" s="1236"/>
      <c r="BZ629" s="1236"/>
      <c r="CA629" s="1236"/>
      <c r="CB629" s="1237"/>
      <c r="CC629" s="1235">
        <f t="shared" si="21"/>
        <v>0</v>
      </c>
      <c r="CD629" s="1236"/>
      <c r="CE629" s="1236"/>
      <c r="CF629" s="1236"/>
      <c r="CG629" s="1237"/>
      <c r="CH629" s="1235">
        <f t="shared" si="22"/>
        <v>0</v>
      </c>
      <c r="CI629" s="1236"/>
      <c r="CJ629" s="1236"/>
      <c r="CK629" s="1236"/>
      <c r="CL629" s="1237"/>
      <c r="CM629" s="1235">
        <f t="shared" si="23"/>
        <v>0</v>
      </c>
      <c r="CN629" s="1236"/>
      <c r="CO629" s="1236"/>
      <c r="CP629" s="1236"/>
      <c r="CQ629" s="1237"/>
      <c r="CR629" s="41"/>
      <c r="CS629" s="41"/>
    </row>
    <row r="630" spans="1:97" ht="12.95" customHeight="1">
      <c r="B630" s="1136" t="s">
        <v>383</v>
      </c>
      <c r="C630" s="1137"/>
      <c r="D630" s="1137"/>
      <c r="E630" s="1137"/>
      <c r="F630" s="1137"/>
      <c r="G630" s="1137"/>
      <c r="H630" s="1137"/>
      <c r="I630" s="1137"/>
      <c r="J630" s="1137"/>
      <c r="K630" s="1137"/>
      <c r="L630" s="1137"/>
      <c r="M630" s="1137"/>
      <c r="N630" s="1137"/>
      <c r="O630" s="1137"/>
      <c r="P630" s="1137"/>
      <c r="Q630" s="1137"/>
      <c r="R630" s="1137"/>
      <c r="S630" s="1137"/>
      <c r="T630" s="1137"/>
      <c r="U630" s="1137"/>
      <c r="V630" s="1137"/>
      <c r="W630" s="1137"/>
      <c r="X630" s="1137"/>
      <c r="Y630" s="1137"/>
      <c r="Z630" s="1137"/>
      <c r="AA630" s="1137"/>
      <c r="AB630" s="1137"/>
      <c r="AC630" s="1137"/>
      <c r="AD630" s="1137"/>
      <c r="AE630" s="1137"/>
      <c r="AF630" s="1137"/>
      <c r="AG630" s="1137"/>
      <c r="AH630" s="1137"/>
      <c r="AI630" s="1137"/>
      <c r="AJ630" s="1137"/>
      <c r="AK630" s="1137"/>
      <c r="AL630" s="1137"/>
      <c r="AM630" s="1137"/>
      <c r="AN630" s="1138"/>
      <c r="AO630" s="1153">
        <f>SUM(AO618:AS629)</f>
        <v>6340770.1918008979</v>
      </c>
      <c r="AP630" s="1154"/>
      <c r="AQ630" s="1154"/>
      <c r="AR630" s="1154"/>
      <c r="AS630" s="1155"/>
      <c r="AT630" s="43"/>
      <c r="AU630" s="43"/>
      <c r="AV630" s="43"/>
      <c r="AW630" s="43"/>
      <c r="AX630" s="43"/>
      <c r="AY630" s="43"/>
      <c r="AZ630" s="43"/>
      <c r="BN630" s="1235">
        <f t="shared" si="18"/>
        <v>0</v>
      </c>
      <c r="BO630" s="1236"/>
      <c r="BP630" s="1236"/>
      <c r="BQ630" s="1236"/>
      <c r="BR630" s="1237"/>
      <c r="BS630" s="1235">
        <f t="shared" si="19"/>
        <v>0</v>
      </c>
      <c r="BT630" s="1236"/>
      <c r="BU630" s="1236"/>
      <c r="BV630" s="1236"/>
      <c r="BW630" s="1237"/>
      <c r="BX630" s="1235">
        <f t="shared" si="20"/>
        <v>0</v>
      </c>
      <c r="BY630" s="1236"/>
      <c r="BZ630" s="1236"/>
      <c r="CA630" s="1236"/>
      <c r="CB630" s="1237"/>
      <c r="CC630" s="1235">
        <f t="shared" si="21"/>
        <v>0</v>
      </c>
      <c r="CD630" s="1236"/>
      <c r="CE630" s="1236"/>
      <c r="CF630" s="1236"/>
      <c r="CG630" s="1237"/>
      <c r="CH630" s="1235">
        <f t="shared" si="22"/>
        <v>0</v>
      </c>
      <c r="CI630" s="1236"/>
      <c r="CJ630" s="1236"/>
      <c r="CK630" s="1236"/>
      <c r="CL630" s="1237"/>
      <c r="CM630" s="1235">
        <f t="shared" si="23"/>
        <v>0</v>
      </c>
      <c r="CN630" s="1236"/>
      <c r="CO630" s="1236"/>
      <c r="CP630" s="1236"/>
      <c r="CQ630" s="1237"/>
      <c r="CR630" s="41"/>
      <c r="CS630" s="41"/>
    </row>
    <row r="631" spans="1:97" ht="12.95" customHeight="1">
      <c r="B631" s="1136" t="s">
        <v>384</v>
      </c>
      <c r="C631" s="1137"/>
      <c r="D631" s="1137"/>
      <c r="E631" s="1137"/>
      <c r="F631" s="1137"/>
      <c r="G631" s="1137"/>
      <c r="H631" s="1137"/>
      <c r="I631" s="1137"/>
      <c r="J631" s="1137"/>
      <c r="K631" s="1137"/>
      <c r="L631" s="1137"/>
      <c r="M631" s="1137"/>
      <c r="N631" s="1137"/>
      <c r="O631" s="1137"/>
      <c r="P631" s="1137"/>
      <c r="Q631" s="1137"/>
      <c r="R631" s="1137"/>
      <c r="S631" s="1137"/>
      <c r="T631" s="1137"/>
      <c r="U631" s="1137"/>
      <c r="V631" s="1137"/>
      <c r="W631" s="1137"/>
      <c r="X631" s="1137"/>
      <c r="Y631" s="1137"/>
      <c r="Z631" s="1137"/>
      <c r="AA631" s="1137"/>
      <c r="AB631" s="1137"/>
      <c r="AC631" s="1137"/>
      <c r="AD631" s="1137"/>
      <c r="AE631" s="1137"/>
      <c r="AF631" s="1137"/>
      <c r="AG631" s="1137"/>
      <c r="AH631" s="1137"/>
      <c r="AI631" s="1137"/>
      <c r="AJ631" s="1137"/>
      <c r="AK631" s="1137"/>
      <c r="AL631" s="1137"/>
      <c r="AM631" s="1137"/>
      <c r="AN631" s="1138"/>
      <c r="AO631" s="1159">
        <v>21037655.785965543</v>
      </c>
      <c r="AP631" s="1160"/>
      <c r="AQ631" s="1160"/>
      <c r="AR631" s="1160"/>
      <c r="AS631" s="1161"/>
      <c r="AT631" s="43"/>
      <c r="AU631" s="43"/>
      <c r="AV631" s="43"/>
      <c r="AW631" s="43"/>
      <c r="AX631" s="43"/>
      <c r="AY631" s="43"/>
      <c r="AZ631" s="43"/>
      <c r="BN631" s="1235">
        <f t="shared" si="18"/>
        <v>0</v>
      </c>
      <c r="BO631" s="1236"/>
      <c r="BP631" s="1236"/>
      <c r="BQ631" s="1236"/>
      <c r="BR631" s="1237"/>
      <c r="BS631" s="1235">
        <f t="shared" si="19"/>
        <v>0</v>
      </c>
      <c r="BT631" s="1236"/>
      <c r="BU631" s="1236"/>
      <c r="BV631" s="1236"/>
      <c r="BW631" s="1237"/>
      <c r="BX631" s="1235">
        <f t="shared" si="20"/>
        <v>0</v>
      </c>
      <c r="BY631" s="1236"/>
      <c r="BZ631" s="1236"/>
      <c r="CA631" s="1236"/>
      <c r="CB631" s="1237"/>
      <c r="CC631" s="1235">
        <f t="shared" si="21"/>
        <v>0</v>
      </c>
      <c r="CD631" s="1236"/>
      <c r="CE631" s="1236"/>
      <c r="CF631" s="1236"/>
      <c r="CG631" s="1237"/>
      <c r="CH631" s="1235">
        <f t="shared" si="22"/>
        <v>0</v>
      </c>
      <c r="CI631" s="1236"/>
      <c r="CJ631" s="1236"/>
      <c r="CK631" s="1236"/>
      <c r="CL631" s="1237"/>
      <c r="CM631" s="1235">
        <f t="shared" si="23"/>
        <v>0</v>
      </c>
      <c r="CN631" s="1236"/>
      <c r="CO631" s="1236"/>
      <c r="CP631" s="1236"/>
      <c r="CQ631" s="1237"/>
      <c r="CR631" s="41"/>
      <c r="CS631" s="41"/>
    </row>
    <row r="632" spans="1:97" ht="12.95" customHeight="1">
      <c r="B632" s="1401" t="s">
        <v>984</v>
      </c>
      <c r="C632" s="1402"/>
      <c r="D632" s="1402"/>
      <c r="E632" s="1402"/>
      <c r="F632" s="1402"/>
      <c r="G632" s="1402"/>
      <c r="H632" s="1402"/>
      <c r="I632" s="1402"/>
      <c r="J632" s="1402"/>
      <c r="K632" s="1402"/>
      <c r="L632" s="1402"/>
      <c r="M632" s="1402"/>
      <c r="N632" s="1402"/>
      <c r="O632" s="1402"/>
      <c r="P632" s="1402"/>
      <c r="Q632" s="1402"/>
      <c r="R632" s="1402"/>
      <c r="S632" s="1402"/>
      <c r="T632" s="1402"/>
      <c r="U632" s="1402"/>
      <c r="V632" s="1402"/>
      <c r="W632" s="1402"/>
      <c r="X632" s="1402"/>
      <c r="Y632" s="1402"/>
      <c r="Z632" s="1402"/>
      <c r="AA632" s="1402"/>
      <c r="AB632" s="1402"/>
      <c r="AC632" s="1402"/>
      <c r="AD632" s="1402"/>
      <c r="AE632" s="1402"/>
      <c r="AF632" s="1402"/>
      <c r="AG632" s="1402"/>
      <c r="AH632" s="1402"/>
      <c r="AI632" s="1402"/>
      <c r="AJ632" s="1402"/>
      <c r="AK632" s="1402"/>
      <c r="AL632" s="1402"/>
      <c r="AM632" s="1402"/>
      <c r="AN632" s="1403"/>
      <c r="AO632" s="1153">
        <f>AO630+AO631</f>
        <v>27378425.977766439</v>
      </c>
      <c r="AP632" s="1154"/>
      <c r="AQ632" s="1154"/>
      <c r="AR632" s="1154"/>
      <c r="AS632" s="1155"/>
      <c r="AT632" s="43"/>
      <c r="AU632" s="43"/>
      <c r="AV632" s="43"/>
      <c r="AW632" s="43"/>
      <c r="AX632" s="43"/>
      <c r="AY632" s="43"/>
      <c r="AZ632" s="43"/>
      <c r="BN632" s="1238">
        <f>SUM(BN622:BR631)</f>
        <v>0</v>
      </c>
      <c r="BO632" s="1239"/>
      <c r="BP632" s="1239"/>
      <c r="BQ632" s="1239"/>
      <c r="BR632" s="1240"/>
      <c r="BS632" s="1238">
        <f>SUM(BS622:BW631)</f>
        <v>0</v>
      </c>
      <c r="BT632" s="1239"/>
      <c r="BU632" s="1239"/>
      <c r="BV632" s="1239"/>
      <c r="BW632" s="1240"/>
      <c r="BX632" s="1238">
        <f>SUM(BX622:CB631)</f>
        <v>0</v>
      </c>
      <c r="BY632" s="1239"/>
      <c r="BZ632" s="1239"/>
      <c r="CA632" s="1239"/>
      <c r="CB632" s="1240"/>
      <c r="CC632" s="1238">
        <f>SUM(CC622:CG631)</f>
        <v>0</v>
      </c>
      <c r="CD632" s="1239"/>
      <c r="CE632" s="1239"/>
      <c r="CF632" s="1239"/>
      <c r="CG632" s="1240"/>
      <c r="CH632" s="1238">
        <f>SUM(CH622:CL631)</f>
        <v>0</v>
      </c>
      <c r="CI632" s="1239"/>
      <c r="CJ632" s="1239"/>
      <c r="CK632" s="1239"/>
      <c r="CL632" s="1240"/>
      <c r="CM632" s="1238">
        <f>SUM(CM622:CQ631)</f>
        <v>0</v>
      </c>
      <c r="CN632" s="1239"/>
      <c r="CO632" s="1239"/>
      <c r="CP632" s="1239"/>
      <c r="CQ632" s="1240"/>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1803</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5" customHeight="1" thickBot="1">
      <c r="A634" s="61" t="s">
        <v>944</v>
      </c>
      <c r="B634" t="s">
        <v>90</v>
      </c>
      <c r="G634" s="1184" t="str">
        <f>C618</f>
        <v>Citi Community Capital - Permanent Loan</v>
      </c>
      <c r="H634" s="1184"/>
      <c r="I634" s="1184"/>
      <c r="J634" s="1184"/>
      <c r="K634" s="1184"/>
      <c r="L634" s="1184"/>
      <c r="M634" s="1184"/>
      <c r="N634" s="1184"/>
      <c r="O634" s="1184"/>
      <c r="P634" s="1184"/>
      <c r="Q634" s="1184"/>
      <c r="R634" s="1184"/>
      <c r="S634" s="12"/>
      <c r="T634" s="61" t="s">
        <v>945</v>
      </c>
      <c r="U634" t="s">
        <v>90</v>
      </c>
      <c r="Z634" s="1184" t="str">
        <f>C619</f>
        <v>City of Atwater, Housing Successor Loan</v>
      </c>
      <c r="AA634" s="1184"/>
      <c r="AB634" s="1184"/>
      <c r="AC634" s="1184"/>
      <c r="AD634" s="1184"/>
      <c r="AE634" s="1184"/>
      <c r="AF634" s="1184"/>
      <c r="AG634" s="1184"/>
      <c r="AH634" s="1184"/>
      <c r="AI634" s="1184"/>
      <c r="AJ634" s="1184"/>
      <c r="AK634" s="1184"/>
      <c r="AM634" s="43"/>
      <c r="AN634" s="43"/>
      <c r="AO634" s="43"/>
      <c r="AP634" s="43"/>
      <c r="AQ634" s="43"/>
      <c r="AR634" s="43"/>
      <c r="AS634" s="43"/>
      <c r="AT634" s="43"/>
      <c r="AU634" s="43"/>
      <c r="AV634" s="43"/>
      <c r="AW634" s="43"/>
      <c r="AX634" s="43"/>
      <c r="AY634" s="43"/>
      <c r="AZ634" s="43"/>
      <c r="CP634" s="62" t="s">
        <v>1802</v>
      </c>
      <c r="CQ634" s="481">
        <f>BN632+BS632+BX632+CC632+CH632+CM632</f>
        <v>0</v>
      </c>
      <c r="CR634" s="41"/>
      <c r="CS634" s="41"/>
    </row>
    <row r="635" spans="1:97" ht="12.95" customHeight="1" thickBot="1">
      <c r="A635" s="4"/>
      <c r="B635" t="s">
        <v>397</v>
      </c>
      <c r="G635" s="1223" t="s">
        <v>2470</v>
      </c>
      <c r="H635" s="1223"/>
      <c r="I635" s="1223"/>
      <c r="J635" s="1223"/>
      <c r="K635" s="1223"/>
      <c r="L635" s="1223"/>
      <c r="M635" s="1223"/>
      <c r="N635" s="1223"/>
      <c r="O635" s="1223"/>
      <c r="P635" s="1223"/>
      <c r="Q635" s="1223"/>
      <c r="R635" s="1223"/>
      <c r="S635" s="12"/>
      <c r="T635" s="4"/>
      <c r="U635" t="s">
        <v>397</v>
      </c>
      <c r="Z635" s="1223" t="s">
        <v>2365</v>
      </c>
      <c r="AA635" s="1223"/>
      <c r="AB635" s="1223"/>
      <c r="AC635" s="1223"/>
      <c r="AD635" s="1223"/>
      <c r="AE635" s="1223"/>
      <c r="AF635" s="1223"/>
      <c r="AG635" s="1223"/>
      <c r="AH635" s="1223"/>
      <c r="AI635" s="1223"/>
      <c r="AJ635" s="1223"/>
      <c r="AK635" s="1223"/>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459</v>
      </c>
      <c r="G636" s="1223" t="s">
        <v>2471</v>
      </c>
      <c r="H636" s="1223"/>
      <c r="I636" s="1223"/>
      <c r="J636" s="1223"/>
      <c r="K636" s="1223"/>
      <c r="L636" s="1223"/>
      <c r="M636" s="1223"/>
      <c r="N636" s="1223"/>
      <c r="O636" s="1223"/>
      <c r="P636" s="1223"/>
      <c r="Q636" s="1223"/>
      <c r="R636" s="1223"/>
      <c r="T636" s="4"/>
      <c r="U636" t="s">
        <v>459</v>
      </c>
      <c r="Z636" s="1224" t="s">
        <v>2366</v>
      </c>
      <c r="AA636" s="1224"/>
      <c r="AB636" s="1224"/>
      <c r="AC636" s="1224"/>
      <c r="AD636" s="1224"/>
      <c r="AE636" s="1224"/>
      <c r="AF636" s="1224"/>
      <c r="AG636" s="1224"/>
      <c r="AH636" s="1224"/>
      <c r="AI636" s="1224"/>
      <c r="AJ636" s="1224"/>
      <c r="AK636" s="1224"/>
      <c r="AM636" s="43"/>
      <c r="AN636" s="43"/>
      <c r="AO636" s="43"/>
      <c r="AP636" s="43"/>
      <c r="AQ636" s="43"/>
      <c r="AR636" s="43"/>
      <c r="AS636" s="43"/>
      <c r="AT636" s="43"/>
      <c r="AU636" s="43"/>
      <c r="AV636" s="43"/>
      <c r="AW636" s="43"/>
      <c r="AX636" s="43"/>
      <c r="AY636" s="43"/>
      <c r="AZ636" s="43"/>
      <c r="CP636" s="62" t="s">
        <v>1804</v>
      </c>
      <c r="CQ636" s="481">
        <f>CQ634+CQ615</f>
        <v>118</v>
      </c>
      <c r="CR636" s="41"/>
      <c r="CS636" s="41"/>
    </row>
    <row r="637" spans="1:97" ht="12.95" customHeight="1">
      <c r="A637" s="4"/>
      <c r="B637" t="s">
        <v>874</v>
      </c>
      <c r="G637" s="1223" t="s">
        <v>2472</v>
      </c>
      <c r="H637" s="1223"/>
      <c r="I637" s="1223"/>
      <c r="J637" s="1223"/>
      <c r="K637" s="1223"/>
      <c r="L637" s="1223"/>
      <c r="M637" s="1223"/>
      <c r="N637" s="1223"/>
      <c r="O637" s="1223"/>
      <c r="P637" s="1223"/>
      <c r="Q637" s="1223"/>
      <c r="R637" s="1223"/>
      <c r="S637" s="12"/>
      <c r="T637" s="4"/>
      <c r="U637" t="s">
        <v>874</v>
      </c>
      <c r="Z637" s="1224" t="s">
        <v>2483</v>
      </c>
      <c r="AA637" s="1224"/>
      <c r="AB637" s="1224"/>
      <c r="AC637" s="1224"/>
      <c r="AD637" s="1224"/>
      <c r="AE637" s="1224"/>
      <c r="AF637" s="1224"/>
      <c r="AG637" s="1224"/>
      <c r="AH637" s="1224"/>
      <c r="AI637" s="1224"/>
      <c r="AJ637" s="1224"/>
      <c r="AK637" s="1224"/>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686</v>
      </c>
      <c r="G638" s="1234" t="s">
        <v>2473</v>
      </c>
      <c r="H638" s="1226"/>
      <c r="I638" s="1226"/>
      <c r="J638" s="1226"/>
      <c r="K638" s="1226"/>
      <c r="L638" s="1226"/>
      <c r="O638" s="42" t="s">
        <v>859</v>
      </c>
      <c r="P638" s="1233"/>
      <c r="Q638" s="1233"/>
      <c r="R638" s="1233"/>
      <c r="S638" s="14"/>
      <c r="T638" s="4"/>
      <c r="U638" t="s">
        <v>686</v>
      </c>
      <c r="Z638" s="1226" t="s">
        <v>2484</v>
      </c>
      <c r="AA638" s="1226"/>
      <c r="AB638" s="1226"/>
      <c r="AC638" s="1226"/>
      <c r="AD638" s="1226"/>
      <c r="AE638" s="1226"/>
      <c r="AH638" s="42" t="s">
        <v>859</v>
      </c>
      <c r="AI638" s="1233"/>
      <c r="AJ638" s="1233"/>
      <c r="AK638" s="1233"/>
      <c r="AM638" s="43"/>
      <c r="AN638" s="43"/>
      <c r="AO638" s="43"/>
      <c r="AP638" s="43"/>
      <c r="AQ638" s="43"/>
      <c r="AR638" s="43"/>
      <c r="AS638" s="43"/>
      <c r="AT638" s="43"/>
      <c r="AU638" s="43"/>
      <c r="AV638" s="43"/>
      <c r="AW638" s="43"/>
      <c r="AX638" s="43"/>
      <c r="AY638" s="43"/>
      <c r="AZ638" s="43"/>
      <c r="BN638" s="1238">
        <f>BN613+BN620+BN632</f>
        <v>0</v>
      </c>
      <c r="BO638" s="1239"/>
      <c r="BP638" s="1239"/>
      <c r="BQ638" s="1239"/>
      <c r="BR638" s="1240"/>
      <c r="BS638" s="1238">
        <f>BS613+BS620+BS632</f>
        <v>18</v>
      </c>
      <c r="BT638" s="1239"/>
      <c r="BU638" s="1239"/>
      <c r="BV638" s="1239"/>
      <c r="BW638" s="1240"/>
      <c r="BX638" s="1238">
        <f>BX613+BX620+BX632</f>
        <v>24</v>
      </c>
      <c r="BY638" s="1239"/>
      <c r="BZ638" s="1239"/>
      <c r="CA638" s="1239"/>
      <c r="CB638" s="1240"/>
      <c r="CC638" s="1238">
        <f>CC613+CC620+CC632</f>
        <v>18</v>
      </c>
      <c r="CD638" s="1239"/>
      <c r="CE638" s="1239"/>
      <c r="CF638" s="1239"/>
      <c r="CG638" s="1240"/>
      <c r="CH638" s="1238">
        <f>CH613+CH620+CH632</f>
        <v>0</v>
      </c>
      <c r="CI638" s="1239"/>
      <c r="CJ638" s="1239"/>
      <c r="CK638" s="1239"/>
      <c r="CL638" s="1240"/>
      <c r="CM638" s="1241">
        <f>CM632+CM620+CM613</f>
        <v>0</v>
      </c>
      <c r="CN638" s="1242"/>
      <c r="CO638" s="1242"/>
      <c r="CP638" s="1242"/>
      <c r="CQ638" s="1243"/>
      <c r="CR638" s="41"/>
      <c r="CS638" s="41"/>
    </row>
    <row r="639" spans="1:97" ht="12.95" customHeight="1">
      <c r="A639" s="4"/>
      <c r="B639" t="s">
        <v>875</v>
      </c>
      <c r="H639" s="1223" t="s">
        <v>2494</v>
      </c>
      <c r="I639" s="1223"/>
      <c r="J639" s="1223"/>
      <c r="K639" s="1223"/>
      <c r="L639" s="1223"/>
      <c r="M639" s="1223"/>
      <c r="N639" s="1223"/>
      <c r="O639" s="1223"/>
      <c r="P639" s="1223"/>
      <c r="Q639" s="1223"/>
      <c r="R639" s="1223"/>
      <c r="S639" s="12"/>
      <c r="T639" s="4"/>
      <c r="U639" t="s">
        <v>875</v>
      </c>
      <c r="AA639" s="1223" t="s">
        <v>2495</v>
      </c>
      <c r="AB639" s="1223"/>
      <c r="AC639" s="1223"/>
      <c r="AD639" s="1223"/>
      <c r="AE639" s="1223"/>
      <c r="AF639" s="1223"/>
      <c r="AG639" s="1223"/>
      <c r="AH639" s="1223"/>
      <c r="AI639" s="1223"/>
      <c r="AJ639" s="1223"/>
      <c r="AK639" s="1223"/>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877</v>
      </c>
      <c r="N640" s="1225" t="s">
        <v>116</v>
      </c>
      <c r="O640" s="1225"/>
      <c r="T640" s="4"/>
      <c r="U640" t="s">
        <v>877</v>
      </c>
      <c r="AG640" s="1225" t="s">
        <v>116</v>
      </c>
      <c r="AH640" s="1225"/>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951</v>
      </c>
      <c r="B642" t="s">
        <v>90</v>
      </c>
      <c r="G642" s="1184" t="str">
        <f>C620</f>
        <v>Joe Serna, FWHG</v>
      </c>
      <c r="H642" s="1184"/>
      <c r="I642" s="1184"/>
      <c r="J642" s="1184"/>
      <c r="K642" s="1184"/>
      <c r="L642" s="1184"/>
      <c r="M642" s="1184"/>
      <c r="N642" s="1184"/>
      <c r="O642" s="1184"/>
      <c r="P642" s="1184"/>
      <c r="Q642" s="1184"/>
      <c r="R642" s="1184"/>
      <c r="T642" s="61" t="s">
        <v>460</v>
      </c>
      <c r="U642" t="s">
        <v>90</v>
      </c>
      <c r="Z642" s="1184" t="str">
        <f>C621</f>
        <v>Deferred Developer Fee</v>
      </c>
      <c r="AA642" s="1184"/>
      <c r="AB642" s="1184"/>
      <c r="AC642" s="1184"/>
      <c r="AD642" s="1184"/>
      <c r="AE642" s="1184"/>
      <c r="AF642" s="1184"/>
      <c r="AG642" s="1184"/>
      <c r="AH642" s="1184"/>
      <c r="AI642" s="1184"/>
      <c r="AJ642" s="1184"/>
      <c r="AK642" s="1184"/>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397</v>
      </c>
      <c r="G643" s="1223" t="s">
        <v>2478</v>
      </c>
      <c r="H643" s="1223"/>
      <c r="I643" s="1223"/>
      <c r="J643" s="1223"/>
      <c r="K643" s="1223"/>
      <c r="L643" s="1223"/>
      <c r="M643" s="1223"/>
      <c r="N643" s="1223"/>
      <c r="O643" s="1223"/>
      <c r="P643" s="1223"/>
      <c r="Q643" s="1223"/>
      <c r="R643" s="1223"/>
      <c r="T643" s="4"/>
      <c r="U643" t="s">
        <v>397</v>
      </c>
      <c r="Z643" s="1223" t="s">
        <v>2378</v>
      </c>
      <c r="AA643" s="1223"/>
      <c r="AB643" s="1223"/>
      <c r="AC643" s="1223"/>
      <c r="AD643" s="1223"/>
      <c r="AE643" s="1223"/>
      <c r="AF643" s="1223"/>
      <c r="AG643" s="1223"/>
      <c r="AH643" s="1223"/>
      <c r="AI643" s="1223"/>
      <c r="AJ643" s="1223"/>
      <c r="AK643" s="1223"/>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459</v>
      </c>
      <c r="G644" s="1224" t="s">
        <v>118</v>
      </c>
      <c r="H644" s="1224"/>
      <c r="I644" s="1224"/>
      <c r="J644" s="1224"/>
      <c r="K644" s="1224"/>
      <c r="L644" s="1224"/>
      <c r="M644" s="1224"/>
      <c r="N644" s="1224"/>
      <c r="O644" s="1224"/>
      <c r="P644" s="1224"/>
      <c r="Q644" s="1224"/>
      <c r="R644" s="1224"/>
      <c r="T644" s="4"/>
      <c r="U644" t="s">
        <v>459</v>
      </c>
      <c r="Z644" s="1224" t="s">
        <v>2379</v>
      </c>
      <c r="AA644" s="1224"/>
      <c r="AB644" s="1224"/>
      <c r="AC644" s="1224"/>
      <c r="AD644" s="1224"/>
      <c r="AE644" s="1224"/>
      <c r="AF644" s="1224"/>
      <c r="AG644" s="1224"/>
      <c r="AH644" s="1224"/>
      <c r="AI644" s="1224"/>
      <c r="AJ644" s="1224"/>
      <c r="AK644" s="1224"/>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874</v>
      </c>
      <c r="G645" s="1224" t="s">
        <v>2479</v>
      </c>
      <c r="H645" s="1224"/>
      <c r="I645" s="1224"/>
      <c r="J645" s="1224"/>
      <c r="K645" s="1224"/>
      <c r="L645" s="1224"/>
      <c r="M645" s="1224"/>
      <c r="N645" s="1224"/>
      <c r="O645" s="1224"/>
      <c r="P645" s="1224"/>
      <c r="Q645" s="1224"/>
      <c r="R645" s="1224"/>
      <c r="T645" s="4"/>
      <c r="U645" t="s">
        <v>874</v>
      </c>
      <c r="Z645" s="1224" t="s">
        <v>2497</v>
      </c>
      <c r="AA645" s="1224"/>
      <c r="AB645" s="1224"/>
      <c r="AC645" s="1224"/>
      <c r="AD645" s="1224"/>
      <c r="AE645" s="1224"/>
      <c r="AF645" s="1224"/>
      <c r="AG645" s="1224"/>
      <c r="AH645" s="1224"/>
      <c r="AI645" s="1224"/>
      <c r="AJ645" s="1224"/>
      <c r="AK645" s="1224"/>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686</v>
      </c>
      <c r="G646" s="1226" t="s">
        <v>2480</v>
      </c>
      <c r="H646" s="1226"/>
      <c r="I646" s="1226"/>
      <c r="J646" s="1226"/>
      <c r="K646" s="1226"/>
      <c r="L646" s="1226"/>
      <c r="O646" s="42" t="s">
        <v>859</v>
      </c>
      <c r="P646" s="1233"/>
      <c r="Q646" s="1233"/>
      <c r="R646" s="1233"/>
      <c r="T646" s="4"/>
      <c r="U646" t="s">
        <v>686</v>
      </c>
      <c r="Z646" s="1226">
        <v>7604566000</v>
      </c>
      <c r="AA646" s="1226"/>
      <c r="AB646" s="1226"/>
      <c r="AC646" s="1226"/>
      <c r="AD646" s="1226"/>
      <c r="AE646" s="1226"/>
      <c r="AH646" s="42" t="s">
        <v>859</v>
      </c>
      <c r="AI646" s="1233"/>
      <c r="AJ646" s="1233"/>
      <c r="AK646" s="1233"/>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875</v>
      </c>
      <c r="H647" s="1223" t="s">
        <v>2481</v>
      </c>
      <c r="I647" s="1223"/>
      <c r="J647" s="1223"/>
      <c r="K647" s="1223"/>
      <c r="L647" s="1223"/>
      <c r="M647" s="1223"/>
      <c r="N647" s="1223"/>
      <c r="O647" s="1223"/>
      <c r="P647" s="1223"/>
      <c r="Q647" s="1223"/>
      <c r="R647" s="1223"/>
      <c r="T647" s="4"/>
      <c r="U647" t="s">
        <v>875</v>
      </c>
      <c r="AA647" s="1223" t="s">
        <v>2496</v>
      </c>
      <c r="AB647" s="1223"/>
      <c r="AC647" s="1223"/>
      <c r="AD647" s="1223"/>
      <c r="AE647" s="1223"/>
      <c r="AF647" s="1223"/>
      <c r="AG647" s="1223"/>
      <c r="AH647" s="1223"/>
      <c r="AI647" s="1223"/>
      <c r="AJ647" s="1223"/>
      <c r="AK647" s="1223"/>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877</v>
      </c>
      <c r="N648" s="1225" t="s">
        <v>116</v>
      </c>
      <c r="O648" s="1225"/>
      <c r="T648" s="4"/>
      <c r="U648" t="s">
        <v>877</v>
      </c>
      <c r="AG648" s="1225" t="s">
        <v>116</v>
      </c>
      <c r="AH648" s="1225"/>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184" t="str">
        <f>C622</f>
        <v>Solar Tax Credit Equity - The Richman Group</v>
      </c>
      <c r="H650" s="1184"/>
      <c r="I650" s="1184"/>
      <c r="J650" s="1184"/>
      <c r="K650" s="1184"/>
      <c r="L650" s="1184"/>
      <c r="M650" s="1184"/>
      <c r="N650" s="1184"/>
      <c r="O650" s="1184"/>
      <c r="P650" s="1184"/>
      <c r="Q650" s="1184"/>
      <c r="R650" s="1184"/>
      <c r="T650" s="61" t="s">
        <v>463</v>
      </c>
      <c r="U650" t="s">
        <v>90</v>
      </c>
      <c r="Z650" s="1184">
        <f>C623</f>
        <v>0</v>
      </c>
      <c r="AA650" s="1184"/>
      <c r="AB650" s="1184"/>
      <c r="AC650" s="1184"/>
      <c r="AD650" s="1184"/>
      <c r="AE650" s="1184"/>
      <c r="AF650" s="1184"/>
      <c r="AG650" s="1184"/>
      <c r="AH650" s="1184"/>
      <c r="AI650" s="1184"/>
      <c r="AJ650" s="1184"/>
      <c r="AK650" s="1184"/>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397</v>
      </c>
      <c r="G651" s="1223" t="s">
        <v>2485</v>
      </c>
      <c r="H651" s="1223"/>
      <c r="I651" s="1223"/>
      <c r="J651" s="1223"/>
      <c r="K651" s="1223"/>
      <c r="L651" s="1223"/>
      <c r="M651" s="1223"/>
      <c r="N651" s="1223"/>
      <c r="O651" s="1223"/>
      <c r="P651" s="1223"/>
      <c r="Q651" s="1223"/>
      <c r="R651" s="1223"/>
      <c r="T651" s="4"/>
      <c r="U651" t="s">
        <v>397</v>
      </c>
      <c r="Z651" s="1223"/>
      <c r="AA651" s="1223"/>
      <c r="AB651" s="1223"/>
      <c r="AC651" s="1223"/>
      <c r="AD651" s="1223"/>
      <c r="AE651" s="1223"/>
      <c r="AF651" s="1223"/>
      <c r="AG651" s="1223"/>
      <c r="AH651" s="1223"/>
      <c r="AI651" s="1223"/>
      <c r="AJ651" s="1223"/>
      <c r="AK651" s="1223"/>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459</v>
      </c>
      <c r="G652" s="1223" t="s">
        <v>2486</v>
      </c>
      <c r="H652" s="1223"/>
      <c r="I652" s="1223"/>
      <c r="J652" s="1223"/>
      <c r="K652" s="1223"/>
      <c r="L652" s="1223"/>
      <c r="M652" s="1223"/>
      <c r="N652" s="1223"/>
      <c r="O652" s="1223"/>
      <c r="P652" s="1223"/>
      <c r="Q652" s="1223"/>
      <c r="R652" s="1223"/>
      <c r="T652" s="4"/>
      <c r="U652" t="s">
        <v>459</v>
      </c>
      <c r="Z652" s="1224"/>
      <c r="AA652" s="1224"/>
      <c r="AB652" s="1224"/>
      <c r="AC652" s="1224"/>
      <c r="AD652" s="1224"/>
      <c r="AE652" s="1224"/>
      <c r="AF652" s="1224"/>
      <c r="AG652" s="1224"/>
      <c r="AH652" s="1224"/>
      <c r="AI652" s="1224"/>
      <c r="AJ652" s="1224"/>
      <c r="AK652" s="1224"/>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874</v>
      </c>
      <c r="G653" s="1223" t="s">
        <v>2487</v>
      </c>
      <c r="H653" s="1223"/>
      <c r="I653" s="1223"/>
      <c r="J653" s="1223"/>
      <c r="K653" s="1223"/>
      <c r="L653" s="1223"/>
      <c r="M653" s="1223"/>
      <c r="N653" s="1223"/>
      <c r="O653" s="1223"/>
      <c r="P653" s="1223"/>
      <c r="Q653" s="1223"/>
      <c r="R653" s="1223"/>
      <c r="T653" s="4"/>
      <c r="U653" t="s">
        <v>874</v>
      </c>
      <c r="Z653" s="1224"/>
      <c r="AA653" s="1224"/>
      <c r="AB653" s="1224"/>
      <c r="AC653" s="1224"/>
      <c r="AD653" s="1224"/>
      <c r="AE653" s="1224"/>
      <c r="AF653" s="1224"/>
      <c r="AG653" s="1224"/>
      <c r="AH653" s="1224"/>
      <c r="AI653" s="1224"/>
      <c r="AJ653" s="1224"/>
      <c r="AK653" s="1224"/>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686</v>
      </c>
      <c r="G654" s="1226" t="s">
        <v>2488</v>
      </c>
      <c r="H654" s="1226"/>
      <c r="I654" s="1226"/>
      <c r="J654" s="1226"/>
      <c r="K654" s="1226"/>
      <c r="L654" s="1226"/>
      <c r="O654" s="42" t="s">
        <v>859</v>
      </c>
      <c r="P654" s="1233"/>
      <c r="Q654" s="1233"/>
      <c r="R654" s="1233"/>
      <c r="T654" s="4"/>
      <c r="U654" t="s">
        <v>686</v>
      </c>
      <c r="Z654" s="1226"/>
      <c r="AA654" s="1226"/>
      <c r="AB654" s="1226"/>
      <c r="AC654" s="1226"/>
      <c r="AD654" s="1226"/>
      <c r="AE654" s="1226"/>
      <c r="AH654" s="42" t="s">
        <v>859</v>
      </c>
      <c r="AI654" s="1233"/>
      <c r="AJ654" s="1233"/>
      <c r="AK654" s="1233"/>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875</v>
      </c>
      <c r="H655" s="1223" t="s">
        <v>2499</v>
      </c>
      <c r="I655" s="1223"/>
      <c r="J655" s="1223"/>
      <c r="K655" s="1223"/>
      <c r="L655" s="1223"/>
      <c r="M655" s="1223"/>
      <c r="N655" s="1223"/>
      <c r="O655" s="1223"/>
      <c r="P655" s="1223"/>
      <c r="Q655" s="1223"/>
      <c r="R655" s="1223"/>
      <c r="T655" s="4"/>
      <c r="U655" t="s">
        <v>875</v>
      </c>
      <c r="AA655" s="1223"/>
      <c r="AB655" s="1223"/>
      <c r="AC655" s="1223"/>
      <c r="AD655" s="1223"/>
      <c r="AE655" s="1223"/>
      <c r="AF655" s="1223"/>
      <c r="AG655" s="1223"/>
      <c r="AH655" s="1223"/>
      <c r="AI655" s="1223"/>
      <c r="AJ655" s="1223"/>
      <c r="AK655" s="1223"/>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877</v>
      </c>
      <c r="N656" s="1225" t="s">
        <v>116</v>
      </c>
      <c r="O656" s="1225"/>
      <c r="T656" s="4"/>
      <c r="U656" t="s">
        <v>877</v>
      </c>
      <c r="AG656" s="1225" t="s">
        <v>511</v>
      </c>
      <c r="AH656" s="1225"/>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778</v>
      </c>
      <c r="B658" t="s">
        <v>90</v>
      </c>
      <c r="G658" s="1184">
        <f>C624</f>
        <v>0</v>
      </c>
      <c r="H658" s="1184"/>
      <c r="I658" s="1184"/>
      <c r="J658" s="1184"/>
      <c r="K658" s="1184"/>
      <c r="L658" s="1184"/>
      <c r="M658" s="1184"/>
      <c r="N658" s="1184"/>
      <c r="O658" s="1184"/>
      <c r="P658" s="1184"/>
      <c r="Q658" s="1184"/>
      <c r="R658" s="1184"/>
      <c r="T658" s="61" t="s">
        <v>779</v>
      </c>
      <c r="U658" t="s">
        <v>90</v>
      </c>
      <c r="Z658" s="1184">
        <f>C625</f>
        <v>0</v>
      </c>
      <c r="AA658" s="1184"/>
      <c r="AB658" s="1184"/>
      <c r="AC658" s="1184"/>
      <c r="AD658" s="1184"/>
      <c r="AE658" s="1184"/>
      <c r="AF658" s="1184"/>
      <c r="AG658" s="1184"/>
      <c r="AH658" s="1184"/>
      <c r="AI658" s="1184"/>
      <c r="AJ658" s="1184"/>
      <c r="AK658" s="1184"/>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397</v>
      </c>
      <c r="G659" s="1223"/>
      <c r="H659" s="1223"/>
      <c r="I659" s="1223"/>
      <c r="J659" s="1223"/>
      <c r="K659" s="1223"/>
      <c r="L659" s="1223"/>
      <c r="M659" s="1223"/>
      <c r="N659" s="1223"/>
      <c r="O659" s="1223"/>
      <c r="P659" s="1223"/>
      <c r="Q659" s="1223"/>
      <c r="R659" s="1223"/>
      <c r="T659" s="4"/>
      <c r="U659" t="s">
        <v>397</v>
      </c>
      <c r="Z659" s="1223"/>
      <c r="AA659" s="1223"/>
      <c r="AB659" s="1223"/>
      <c r="AC659" s="1223"/>
      <c r="AD659" s="1223"/>
      <c r="AE659" s="1223"/>
      <c r="AF659" s="1223"/>
      <c r="AG659" s="1223"/>
      <c r="AH659" s="1223"/>
      <c r="AI659" s="1223"/>
      <c r="AJ659" s="1223"/>
      <c r="AK659" s="1223"/>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459</v>
      </c>
      <c r="G660" s="1223"/>
      <c r="H660" s="1223"/>
      <c r="I660" s="1223"/>
      <c r="J660" s="1223"/>
      <c r="K660" s="1223"/>
      <c r="L660" s="1223"/>
      <c r="M660" s="1223"/>
      <c r="N660" s="1223"/>
      <c r="O660" s="1223"/>
      <c r="P660" s="1223"/>
      <c r="Q660" s="1223"/>
      <c r="R660" s="1223"/>
      <c r="T660" s="4"/>
      <c r="U660" t="s">
        <v>459</v>
      </c>
      <c r="Z660" s="1224"/>
      <c r="AA660" s="1224"/>
      <c r="AB660" s="1224"/>
      <c r="AC660" s="1224"/>
      <c r="AD660" s="1224"/>
      <c r="AE660" s="1224"/>
      <c r="AF660" s="1224"/>
      <c r="AG660" s="1224"/>
      <c r="AH660" s="1224"/>
      <c r="AI660" s="1224"/>
      <c r="AJ660" s="1224"/>
      <c r="AK660" s="1224"/>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874</v>
      </c>
      <c r="G661" s="1223"/>
      <c r="H661" s="1223"/>
      <c r="I661" s="1223"/>
      <c r="J661" s="1223"/>
      <c r="K661" s="1223"/>
      <c r="L661" s="1223"/>
      <c r="M661" s="1223"/>
      <c r="N661" s="1223"/>
      <c r="O661" s="1223"/>
      <c r="P661" s="1223"/>
      <c r="Q661" s="1223"/>
      <c r="R661" s="1223"/>
      <c r="T661" s="4"/>
      <c r="U661" t="s">
        <v>874</v>
      </c>
      <c r="Z661" s="1224"/>
      <c r="AA661" s="1224"/>
      <c r="AB661" s="1224"/>
      <c r="AC661" s="1224"/>
      <c r="AD661" s="1224"/>
      <c r="AE661" s="1224"/>
      <c r="AF661" s="1224"/>
      <c r="AG661" s="1224"/>
      <c r="AH661" s="1224"/>
      <c r="AI661" s="1224"/>
      <c r="AJ661" s="1224"/>
      <c r="AK661" s="122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686</v>
      </c>
      <c r="G662" s="1226"/>
      <c r="H662" s="1226"/>
      <c r="I662" s="1226"/>
      <c r="J662" s="1226"/>
      <c r="K662" s="1226"/>
      <c r="L662" s="1226"/>
      <c r="O662" s="42" t="s">
        <v>859</v>
      </c>
      <c r="P662" s="1233"/>
      <c r="Q662" s="1233"/>
      <c r="R662" s="1233"/>
      <c r="T662" s="4"/>
      <c r="U662" t="s">
        <v>686</v>
      </c>
      <c r="Z662" s="1226"/>
      <c r="AA662" s="1226"/>
      <c r="AB662" s="1226"/>
      <c r="AC662" s="1226"/>
      <c r="AD662" s="1226"/>
      <c r="AE662" s="1226"/>
      <c r="AH662" s="42" t="s">
        <v>859</v>
      </c>
      <c r="AI662" s="1233"/>
      <c r="AJ662" s="1233"/>
      <c r="AK662" s="1233"/>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875</v>
      </c>
      <c r="H663" s="1223"/>
      <c r="I663" s="1223"/>
      <c r="J663" s="1223"/>
      <c r="K663" s="1223"/>
      <c r="L663" s="1223"/>
      <c r="M663" s="1223"/>
      <c r="N663" s="1223"/>
      <c r="O663" s="1223"/>
      <c r="P663" s="1223"/>
      <c r="Q663" s="1223"/>
      <c r="R663" s="1223"/>
      <c r="T663" s="4"/>
      <c r="U663" t="s">
        <v>875</v>
      </c>
      <c r="AA663" s="1223"/>
      <c r="AB663" s="1223"/>
      <c r="AC663" s="1223"/>
      <c r="AD663" s="1223"/>
      <c r="AE663" s="1223"/>
      <c r="AF663" s="1223"/>
      <c r="AG663" s="1223"/>
      <c r="AH663" s="1223"/>
      <c r="AI663" s="1223"/>
      <c r="AJ663" s="1223"/>
      <c r="AK663" s="122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877</v>
      </c>
      <c r="N664" s="1225" t="s">
        <v>511</v>
      </c>
      <c r="O664" s="1225"/>
      <c r="T664" s="4"/>
      <c r="U664" t="s">
        <v>877</v>
      </c>
      <c r="AG664" s="1225" t="s">
        <v>511</v>
      </c>
      <c r="AH664" s="1225"/>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577</v>
      </c>
      <c r="B666" t="s">
        <v>90</v>
      </c>
      <c r="G666" s="1184">
        <f>C626</f>
        <v>0</v>
      </c>
      <c r="H666" s="1184"/>
      <c r="I666" s="1184"/>
      <c r="J666" s="1184"/>
      <c r="K666" s="1184"/>
      <c r="L666" s="1184"/>
      <c r="M666" s="1184"/>
      <c r="N666" s="1184"/>
      <c r="O666" s="1184"/>
      <c r="P666" s="1184"/>
      <c r="Q666" s="1184"/>
      <c r="R666" s="1184"/>
      <c r="T666" s="61" t="s">
        <v>185</v>
      </c>
      <c r="U666" t="s">
        <v>90</v>
      </c>
      <c r="Z666" s="1184">
        <f>C627</f>
        <v>0</v>
      </c>
      <c r="AA666" s="1184"/>
      <c r="AB666" s="1184"/>
      <c r="AC666" s="1184"/>
      <c r="AD666" s="1184"/>
      <c r="AE666" s="1184"/>
      <c r="AF666" s="1184"/>
      <c r="AG666" s="1184"/>
      <c r="AH666" s="1184"/>
      <c r="AI666" s="1184"/>
      <c r="AJ666" s="1184"/>
      <c r="AK666" s="1184"/>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397</v>
      </c>
      <c r="G667" s="1223"/>
      <c r="H667" s="1223"/>
      <c r="I667" s="1223"/>
      <c r="J667" s="1223"/>
      <c r="K667" s="1223"/>
      <c r="L667" s="1223"/>
      <c r="M667" s="1223"/>
      <c r="N667" s="1223"/>
      <c r="O667" s="1223"/>
      <c r="P667" s="1223"/>
      <c r="Q667" s="1223"/>
      <c r="R667" s="1223"/>
      <c r="T667" s="4"/>
      <c r="U667" t="s">
        <v>397</v>
      </c>
      <c r="Z667" s="1223"/>
      <c r="AA667" s="1223"/>
      <c r="AB667" s="1223"/>
      <c r="AC667" s="1223"/>
      <c r="AD667" s="1223"/>
      <c r="AE667" s="1223"/>
      <c r="AF667" s="1223"/>
      <c r="AG667" s="1223"/>
      <c r="AH667" s="1223"/>
      <c r="AI667" s="1223"/>
      <c r="AJ667" s="1223"/>
      <c r="AK667" s="1223"/>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459</v>
      </c>
      <c r="G668" s="1223"/>
      <c r="H668" s="1223"/>
      <c r="I668" s="1223"/>
      <c r="J668" s="1223"/>
      <c r="K668" s="1223"/>
      <c r="L668" s="1223"/>
      <c r="M668" s="1223"/>
      <c r="N668" s="1223"/>
      <c r="O668" s="1223"/>
      <c r="P668" s="1223"/>
      <c r="Q668" s="1223"/>
      <c r="R668" s="1223"/>
      <c r="T668" s="4"/>
      <c r="U668" t="s">
        <v>459</v>
      </c>
      <c r="Z668" s="1224"/>
      <c r="AA668" s="1224"/>
      <c r="AB668" s="1224"/>
      <c r="AC668" s="1224"/>
      <c r="AD668" s="1224"/>
      <c r="AE668" s="1224"/>
      <c r="AF668" s="1224"/>
      <c r="AG668" s="1224"/>
      <c r="AH668" s="1224"/>
      <c r="AI668" s="1224"/>
      <c r="AJ668" s="1224"/>
      <c r="AK668" s="1224"/>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874</v>
      </c>
      <c r="G669" s="1223"/>
      <c r="H669" s="1223"/>
      <c r="I669" s="1223"/>
      <c r="J669" s="1223"/>
      <c r="K669" s="1223"/>
      <c r="L669" s="1223"/>
      <c r="M669" s="1223"/>
      <c r="N669" s="1223"/>
      <c r="O669" s="1223"/>
      <c r="P669" s="1223"/>
      <c r="Q669" s="1223"/>
      <c r="R669" s="1223"/>
      <c r="T669" s="4"/>
      <c r="U669" t="s">
        <v>874</v>
      </c>
      <c r="Z669" s="1224"/>
      <c r="AA669" s="1224"/>
      <c r="AB669" s="1224"/>
      <c r="AC669" s="1224"/>
      <c r="AD669" s="1224"/>
      <c r="AE669" s="1224"/>
      <c r="AF669" s="1224"/>
      <c r="AG669" s="1224"/>
      <c r="AH669" s="1224"/>
      <c r="AI669" s="1224"/>
      <c r="AJ669" s="1224"/>
      <c r="AK669" s="1224"/>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686</v>
      </c>
      <c r="G670" s="1226"/>
      <c r="H670" s="1226"/>
      <c r="I670" s="1226"/>
      <c r="J670" s="1226"/>
      <c r="K670" s="1226"/>
      <c r="L670" s="1226"/>
      <c r="O670" s="42" t="s">
        <v>859</v>
      </c>
      <c r="P670" s="1233"/>
      <c r="Q670" s="1233"/>
      <c r="R670" s="1233"/>
      <c r="T670" s="4"/>
      <c r="U670" t="s">
        <v>686</v>
      </c>
      <c r="Z670" s="1226"/>
      <c r="AA670" s="1226"/>
      <c r="AB670" s="1226"/>
      <c r="AC670" s="1226"/>
      <c r="AD670" s="1226"/>
      <c r="AE670" s="1226"/>
      <c r="AH670" s="42" t="s">
        <v>859</v>
      </c>
      <c r="AI670" s="1233"/>
      <c r="AJ670" s="1233"/>
      <c r="AK670" s="1233"/>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875</v>
      </c>
      <c r="H671" s="1223"/>
      <c r="I671" s="1223"/>
      <c r="J671" s="1223"/>
      <c r="K671" s="1223"/>
      <c r="L671" s="1223"/>
      <c r="M671" s="1223"/>
      <c r="N671" s="1223"/>
      <c r="O671" s="1223"/>
      <c r="P671" s="1223"/>
      <c r="Q671" s="1223"/>
      <c r="R671" s="1223"/>
      <c r="T671" s="4"/>
      <c r="U671" t="s">
        <v>875</v>
      </c>
      <c r="AA671" s="1223"/>
      <c r="AB671" s="1223"/>
      <c r="AC671" s="1223"/>
      <c r="AD671" s="1223"/>
      <c r="AE671" s="1223"/>
      <c r="AF671" s="1223"/>
      <c r="AG671" s="1223"/>
      <c r="AH671" s="1223"/>
      <c r="AI671" s="1223"/>
      <c r="AJ671" s="1223"/>
      <c r="AK671" s="1223"/>
      <c r="AM671" s="43"/>
      <c r="BA671" s="43"/>
      <c r="BB671" s="43"/>
      <c r="BC671" s="43"/>
      <c r="BD671" s="43"/>
      <c r="BE671" s="43"/>
      <c r="BF671" s="43"/>
      <c r="BG671" s="43"/>
      <c r="BH671" s="43"/>
      <c r="BI671" s="43"/>
      <c r="BJ671" s="43"/>
      <c r="BK671" s="43"/>
      <c r="BL671" s="43"/>
      <c r="BM671" s="41"/>
      <c r="BN671" s="41"/>
      <c r="BO671" s="41"/>
      <c r="BP671" s="470" t="s">
        <v>2201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877</v>
      </c>
      <c r="N672" s="1225" t="s">
        <v>511</v>
      </c>
      <c r="O672" s="1225"/>
      <c r="T672" s="4"/>
      <c r="U672" t="s">
        <v>877</v>
      </c>
      <c r="AG672" s="1225" t="s">
        <v>511</v>
      </c>
      <c r="AH672" s="1225"/>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184">
        <f>C628</f>
        <v>0</v>
      </c>
      <c r="H674" s="1184"/>
      <c r="I674" s="1184"/>
      <c r="J674" s="1184"/>
      <c r="K674" s="1184"/>
      <c r="L674" s="1184"/>
      <c r="M674" s="1184"/>
      <c r="N674" s="1184"/>
      <c r="O674" s="1184"/>
      <c r="P674" s="1184"/>
      <c r="Q674" s="1184"/>
      <c r="R674" s="1184"/>
      <c r="T674" s="61" t="s">
        <v>37</v>
      </c>
      <c r="U674" t="s">
        <v>90</v>
      </c>
      <c r="Z674" s="1184">
        <f>C629</f>
        <v>0</v>
      </c>
      <c r="AA674" s="1184"/>
      <c r="AB674" s="1184"/>
      <c r="AC674" s="1184"/>
      <c r="AD674" s="1184"/>
      <c r="AE674" s="1184"/>
      <c r="AF674" s="1184"/>
      <c r="AG674" s="1184"/>
      <c r="AH674" s="1184"/>
      <c r="AI674" s="1184"/>
      <c r="AJ674" s="1184"/>
      <c r="AK674" s="1184"/>
      <c r="AM674" s="43"/>
      <c r="BA674" s="262" t="s">
        <v>320</v>
      </c>
      <c r="BB674" s="43"/>
      <c r="BC674" s="43"/>
      <c r="BD674" s="43"/>
      <c r="BE674" s="43"/>
      <c r="BF674" s="43"/>
      <c r="BG674" s="3" t="s">
        <v>1183</v>
      </c>
      <c r="BH674" s="43"/>
      <c r="BI674" s="43"/>
      <c r="BJ674" s="43"/>
      <c r="BK674" s="43"/>
      <c r="BL674" s="43"/>
      <c r="BM674" s="41"/>
      <c r="BN674" s="41"/>
      <c r="BO674" s="41"/>
      <c r="BP674" s="585" t="s">
        <v>319</v>
      </c>
      <c r="BQ674" s="586" t="s">
        <v>470</v>
      </c>
      <c r="BR674" s="586" t="s">
        <v>471</v>
      </c>
      <c r="BS674" s="586" t="s">
        <v>817</v>
      </c>
      <c r="BT674" s="586" t="s">
        <v>818</v>
      </c>
      <c r="BU674" s="586" t="s">
        <v>819</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397</v>
      </c>
      <c r="G675" s="1223"/>
      <c r="H675" s="1223"/>
      <c r="I675" s="1223"/>
      <c r="J675" s="1223"/>
      <c r="K675" s="1223"/>
      <c r="L675" s="1223"/>
      <c r="M675" s="1223"/>
      <c r="N675" s="1223"/>
      <c r="O675" s="1223"/>
      <c r="P675" s="1223"/>
      <c r="Q675" s="1223"/>
      <c r="R675" s="1223"/>
      <c r="T675" s="4"/>
      <c r="U675" t="s">
        <v>397</v>
      </c>
      <c r="Z675" s="1223"/>
      <c r="AA675" s="1223"/>
      <c r="AB675" s="1223"/>
      <c r="AC675" s="1223"/>
      <c r="AD675" s="1223"/>
      <c r="AE675" s="1223"/>
      <c r="AF675" s="1223"/>
      <c r="AG675" s="1223"/>
      <c r="AH675" s="1223"/>
      <c r="AI675" s="1223"/>
      <c r="AJ675" s="1223"/>
      <c r="AK675" s="1223"/>
      <c r="AM675" s="43"/>
      <c r="BA675" s="43">
        <f>IF($G692=0,"N/A",VLOOKUP($T$189,TC_Rent,(MATCH($B692,bedrooms,FALSE))))</f>
        <v>1462</v>
      </c>
      <c r="BB675" s="43"/>
      <c r="BC675" s="43"/>
      <c r="BD675" s="43"/>
      <c r="BE675" s="43"/>
      <c r="BF675" s="43"/>
      <c r="BG675" s="462" t="s">
        <v>1184</v>
      </c>
      <c r="BH675" s="477" t="s">
        <v>1185</v>
      </c>
      <c r="BI675" s="476" t="s">
        <v>1186</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459</v>
      </c>
      <c r="G676" s="1223"/>
      <c r="H676" s="1223"/>
      <c r="I676" s="1223"/>
      <c r="J676" s="1223"/>
      <c r="K676" s="1223"/>
      <c r="L676" s="1223"/>
      <c r="M676" s="1223"/>
      <c r="N676" s="1223"/>
      <c r="O676" s="1223"/>
      <c r="P676" s="1223"/>
      <c r="Q676" s="1223"/>
      <c r="R676" s="1223"/>
      <c r="U676" t="s">
        <v>459</v>
      </c>
      <c r="Z676" s="1224"/>
      <c r="AA676" s="1224"/>
      <c r="AB676" s="1224"/>
      <c r="AC676" s="1224"/>
      <c r="AD676" s="1224"/>
      <c r="AE676" s="1224"/>
      <c r="AF676" s="1224"/>
      <c r="AG676" s="1224"/>
      <c r="AH676" s="1224"/>
      <c r="AI676" s="1224"/>
      <c r="AJ676" s="1224"/>
      <c r="AK676" s="1224"/>
      <c r="AM676" s="43"/>
      <c r="BA676" s="43">
        <f t="shared" ref="BA676:BA699" si="24">IF($G693=0,"N/A",VLOOKUP($T$189,TC_Rent,(MATCH($B693,bedrooms,FALSE))))</f>
        <v>1462</v>
      </c>
      <c r="BB676" s="43"/>
      <c r="BC676" s="43"/>
      <c r="BD676" s="43"/>
      <c r="BE676" s="43"/>
      <c r="BF676" s="43"/>
      <c r="BG676" s="457">
        <f>G692</f>
        <v>3</v>
      </c>
      <c r="BH676" s="464">
        <f>BG676/$BG$701</f>
        <v>5.0847457627118647E-2</v>
      </c>
      <c r="BI676" s="466">
        <f>IF(BH676=0," ",BH676*AH692)</f>
        <v>1.5254237288135594E-2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874</v>
      </c>
      <c r="G677" s="1223"/>
      <c r="H677" s="1223"/>
      <c r="I677" s="1223"/>
      <c r="J677" s="1223"/>
      <c r="K677" s="1223"/>
      <c r="L677" s="1223"/>
      <c r="M677" s="1223"/>
      <c r="N677" s="1223"/>
      <c r="O677" s="1223"/>
      <c r="P677" s="1223"/>
      <c r="Q677" s="1223"/>
      <c r="R677" s="1223"/>
      <c r="U677" t="s">
        <v>874</v>
      </c>
      <c r="Z677" s="1224"/>
      <c r="AA677" s="1224"/>
      <c r="AB677" s="1224"/>
      <c r="AC677" s="1224"/>
      <c r="AD677" s="1224"/>
      <c r="AE677" s="1224"/>
      <c r="AF677" s="1224"/>
      <c r="AG677" s="1224"/>
      <c r="AH677" s="1224"/>
      <c r="AI677" s="1224"/>
      <c r="AJ677" s="1224"/>
      <c r="AK677" s="1224"/>
      <c r="AM677" s="43"/>
      <c r="BA677" s="43">
        <f t="shared" si="24"/>
        <v>1462</v>
      </c>
      <c r="BB677" s="43"/>
      <c r="BC677" s="43"/>
      <c r="BD677" s="43"/>
      <c r="BE677" s="43"/>
      <c r="BF677" s="43"/>
      <c r="BG677" s="458">
        <f t="shared" ref="BG677:BG700" si="25">G693</f>
        <v>4</v>
      </c>
      <c r="BH677" s="464">
        <f t="shared" ref="BH677:BH700" si="26">BG677/$BG$701</f>
        <v>6.7796610169491525E-2</v>
      </c>
      <c r="BI677" s="466">
        <f t="shared" ref="BI677:BI700" si="27">IF(BH677=0," ",BH677*AH693)</f>
        <v>2.3728813559322031E-2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686</v>
      </c>
      <c r="G678" s="1226"/>
      <c r="H678" s="1226"/>
      <c r="I678" s="1226"/>
      <c r="J678" s="1226"/>
      <c r="K678" s="1226"/>
      <c r="L678" s="1226"/>
      <c r="O678" s="42" t="s">
        <v>859</v>
      </c>
      <c r="P678" s="1233"/>
      <c r="Q678" s="1233"/>
      <c r="R678" s="1233"/>
      <c r="U678" t="s">
        <v>686</v>
      </c>
      <c r="Z678" s="1226"/>
      <c r="AA678" s="1226"/>
      <c r="AB678" s="1226"/>
      <c r="AC678" s="1226"/>
      <c r="AD678" s="1226"/>
      <c r="AE678" s="1226"/>
      <c r="AH678" s="42" t="s">
        <v>859</v>
      </c>
      <c r="AI678" s="1233"/>
      <c r="AJ678" s="1233"/>
      <c r="AK678" s="1233"/>
      <c r="AM678" s="43"/>
      <c r="BA678" s="43">
        <f t="shared" si="24"/>
        <v>1462</v>
      </c>
      <c r="BB678" s="41"/>
      <c r="BC678" s="41"/>
      <c r="BD678" s="41"/>
      <c r="BE678" s="41"/>
      <c r="BF678" s="41"/>
      <c r="BG678" s="458">
        <f t="shared" si="25"/>
        <v>3</v>
      </c>
      <c r="BH678" s="464">
        <f t="shared" si="26"/>
        <v>5.0847457627118647E-2</v>
      </c>
      <c r="BI678" s="466">
        <f t="shared" si="27"/>
        <v>2.033898305084746E-2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875</v>
      </c>
      <c r="H679" s="1223"/>
      <c r="I679" s="1223"/>
      <c r="J679" s="1223"/>
      <c r="K679" s="1223"/>
      <c r="L679" s="1223"/>
      <c r="M679" s="1223"/>
      <c r="N679" s="1223"/>
      <c r="O679" s="1223"/>
      <c r="P679" s="1223"/>
      <c r="Q679" s="1223"/>
      <c r="R679" s="1223"/>
      <c r="U679" t="s">
        <v>875</v>
      </c>
      <c r="AA679" s="1223"/>
      <c r="AB679" s="1223"/>
      <c r="AC679" s="1223"/>
      <c r="AD679" s="1223"/>
      <c r="AE679" s="1223"/>
      <c r="AF679" s="1223"/>
      <c r="AG679" s="1223"/>
      <c r="AH679" s="1223"/>
      <c r="AI679" s="1223"/>
      <c r="AJ679" s="1223"/>
      <c r="AK679" s="1223"/>
      <c r="AM679" s="41"/>
      <c r="BA679" s="43">
        <f t="shared" si="24"/>
        <v>1754</v>
      </c>
      <c r="BB679" s="41"/>
      <c r="BC679" s="41"/>
      <c r="BD679" s="41"/>
      <c r="BE679" s="41"/>
      <c r="BF679" s="41"/>
      <c r="BG679" s="458">
        <f t="shared" si="25"/>
        <v>8</v>
      </c>
      <c r="BH679" s="464">
        <f t="shared" si="26"/>
        <v>0.13559322033898305</v>
      </c>
      <c r="BI679" s="466">
        <f t="shared" si="27"/>
        <v>8.1355932203389825E-2</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877</v>
      </c>
      <c r="N680" s="1225" t="s">
        <v>511</v>
      </c>
      <c r="O680" s="1225"/>
      <c r="U680" t="s">
        <v>877</v>
      </c>
      <c r="AG680" s="1225" t="s">
        <v>511</v>
      </c>
      <c r="AH680" s="1225"/>
      <c r="AM680" s="41"/>
      <c r="BA680" s="43">
        <f t="shared" si="24"/>
        <v>1754</v>
      </c>
      <c r="BB680" s="41"/>
      <c r="BC680" s="41"/>
      <c r="BD680" s="41"/>
      <c r="BE680" s="41"/>
      <c r="BF680" s="41"/>
      <c r="BG680" s="458">
        <f t="shared" si="25"/>
        <v>5</v>
      </c>
      <c r="BH680" s="464">
        <f t="shared" si="26"/>
        <v>8.4745762711864403E-2</v>
      </c>
      <c r="BI680" s="466">
        <f t="shared" si="27"/>
        <v>2.542372881355932E-2</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1754</v>
      </c>
      <c r="BB681" s="41"/>
      <c r="BC681" s="41"/>
      <c r="BD681" s="41"/>
      <c r="BE681" s="41"/>
      <c r="BF681" s="41"/>
      <c r="BG681" s="458">
        <f t="shared" si="25"/>
        <v>5</v>
      </c>
      <c r="BH681" s="464">
        <f t="shared" si="26"/>
        <v>8.4745762711864403E-2</v>
      </c>
      <c r="BI681" s="466">
        <f t="shared" si="27"/>
        <v>2.966101694915254E-2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1754</v>
      </c>
      <c r="BB682" s="41"/>
      <c r="BC682" s="41"/>
      <c r="BD682" s="41"/>
      <c r="BE682" s="41"/>
      <c r="BF682" s="41"/>
      <c r="BG682" s="458">
        <f t="shared" si="25"/>
        <v>5</v>
      </c>
      <c r="BH682" s="464">
        <f t="shared" si="26"/>
        <v>8.4745762711864403E-2</v>
      </c>
      <c r="BI682" s="466">
        <f t="shared" si="27"/>
        <v>3.3898305084745763E-2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72" t="s">
        <v>135</v>
      </c>
      <c r="B683" s="1172"/>
      <c r="C683" s="1172"/>
      <c r="D683" s="1172"/>
      <c r="E683" s="1172"/>
      <c r="F683" s="1172"/>
      <c r="G683" s="1172"/>
      <c r="H683" s="1172"/>
      <c r="I683" s="1172"/>
      <c r="J683" s="1172"/>
      <c r="K683" s="1172"/>
      <c r="L683" s="1172"/>
      <c r="M683" s="1172"/>
      <c r="N683" s="1172"/>
      <c r="O683" s="1172"/>
      <c r="P683" s="1172"/>
      <c r="Q683" s="1172"/>
      <c r="R683" s="1172"/>
      <c r="S683" s="1172"/>
      <c r="T683" s="1172"/>
      <c r="U683" s="1172"/>
      <c r="V683" s="1172"/>
      <c r="W683" s="1172"/>
      <c r="X683" s="1172"/>
      <c r="Y683" s="1172"/>
      <c r="Z683" s="1172"/>
      <c r="AA683" s="1172"/>
      <c r="AB683" s="1172"/>
      <c r="AC683" s="1172"/>
      <c r="AD683" s="1172"/>
      <c r="AE683" s="1172"/>
      <c r="AF683" s="1172"/>
      <c r="AG683" s="1172"/>
      <c r="AH683" s="1172"/>
      <c r="AI683" s="1172"/>
      <c r="AJ683" s="1172"/>
      <c r="AK683" s="1172"/>
      <c r="AL683" s="1172"/>
      <c r="AM683" s="1172"/>
      <c r="AN683" s="1172"/>
      <c r="AO683" s="1172"/>
      <c r="AP683" s="1172"/>
      <c r="AQ683" s="1172"/>
      <c r="AR683" s="1172"/>
      <c r="AS683" s="1172"/>
      <c r="BA683" s="43">
        <f t="shared" si="24"/>
        <v>2026</v>
      </c>
      <c r="BB683" s="41"/>
      <c r="BC683" s="41"/>
      <c r="BD683" s="41"/>
      <c r="BE683" s="41"/>
      <c r="BF683" s="41"/>
      <c r="BG683" s="458">
        <f t="shared" si="25"/>
        <v>8</v>
      </c>
      <c r="BH683" s="464">
        <f t="shared" si="26"/>
        <v>0.13559322033898305</v>
      </c>
      <c r="BI683" s="466">
        <f t="shared" si="27"/>
        <v>8.1355932203389825E-2</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72"/>
      <c r="B684" s="1172"/>
      <c r="C684" s="1172"/>
      <c r="D684" s="1172"/>
      <c r="E684" s="1172"/>
      <c r="F684" s="1172"/>
      <c r="G684" s="1172"/>
      <c r="H684" s="1172"/>
      <c r="I684" s="1172"/>
      <c r="J684" s="1172"/>
      <c r="K684" s="1172"/>
      <c r="L684" s="1172"/>
      <c r="M684" s="1172"/>
      <c r="N684" s="1172"/>
      <c r="O684" s="1172"/>
      <c r="P684" s="1172"/>
      <c r="Q684" s="1172"/>
      <c r="R684" s="1172"/>
      <c r="S684" s="1172"/>
      <c r="T684" s="1172"/>
      <c r="U684" s="1172"/>
      <c r="V684" s="1172"/>
      <c r="W684" s="1172"/>
      <c r="X684" s="1172"/>
      <c r="Y684" s="1172"/>
      <c r="Z684" s="1172"/>
      <c r="AA684" s="1172"/>
      <c r="AB684" s="1172"/>
      <c r="AC684" s="1172"/>
      <c r="AD684" s="1172"/>
      <c r="AE684" s="1172"/>
      <c r="AF684" s="1172"/>
      <c r="AG684" s="1172"/>
      <c r="AH684" s="1172"/>
      <c r="AI684" s="1172"/>
      <c r="AJ684" s="1172"/>
      <c r="AK684" s="1172"/>
      <c r="AL684" s="1172"/>
      <c r="AM684" s="1172"/>
      <c r="AN684" s="1172"/>
      <c r="AO684" s="1172"/>
      <c r="AP684" s="1172"/>
      <c r="AQ684" s="1172"/>
      <c r="AR684" s="1172"/>
      <c r="AS684" s="1172"/>
      <c r="BA684" s="43">
        <f t="shared" si="24"/>
        <v>2026</v>
      </c>
      <c r="BE684" s="41"/>
      <c r="BF684" s="41"/>
      <c r="BG684" s="458">
        <f t="shared" si="25"/>
        <v>4</v>
      </c>
      <c r="BH684" s="464">
        <f t="shared" si="26"/>
        <v>6.7796610169491525E-2</v>
      </c>
      <c r="BI684" s="466">
        <f t="shared" si="27"/>
        <v>2.0338983050847456E-2</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72"/>
      <c r="B685" s="1172"/>
      <c r="C685" s="1172"/>
      <c r="D685" s="1172"/>
      <c r="E685" s="1172"/>
      <c r="F685" s="1172"/>
      <c r="G685" s="1172"/>
      <c r="H685" s="1172"/>
      <c r="I685" s="1172"/>
      <c r="J685" s="1172"/>
      <c r="K685" s="1172"/>
      <c r="L685" s="1172"/>
      <c r="M685" s="1172"/>
      <c r="N685" s="1172"/>
      <c r="O685" s="1172"/>
      <c r="P685" s="1172"/>
      <c r="Q685" s="1172"/>
      <c r="R685" s="1172"/>
      <c r="S685" s="1172"/>
      <c r="T685" s="1172"/>
      <c r="U685" s="1172"/>
      <c r="V685" s="1172"/>
      <c r="W685" s="1172"/>
      <c r="X685" s="1172"/>
      <c r="Y685" s="1172"/>
      <c r="Z685" s="1172"/>
      <c r="AA685" s="1172"/>
      <c r="AB685" s="1172"/>
      <c r="AC685" s="1172"/>
      <c r="AD685" s="1172"/>
      <c r="AE685" s="1172"/>
      <c r="AF685" s="1172"/>
      <c r="AG685" s="1172"/>
      <c r="AH685" s="1172"/>
      <c r="AI685" s="1172"/>
      <c r="AJ685" s="1172"/>
      <c r="AK685" s="1172"/>
      <c r="AL685" s="1172"/>
      <c r="AM685" s="1172"/>
      <c r="AN685" s="1172"/>
      <c r="AO685" s="1172"/>
      <c r="AP685" s="1172"/>
      <c r="AQ685" s="1172"/>
      <c r="AR685" s="1172"/>
      <c r="AS685" s="1172"/>
      <c r="BA685" s="43">
        <f t="shared" si="24"/>
        <v>2026</v>
      </c>
      <c r="BE685" s="41"/>
      <c r="BF685" s="41"/>
      <c r="BG685" s="458">
        <f t="shared" si="25"/>
        <v>3</v>
      </c>
      <c r="BH685" s="464">
        <f t="shared" si="26"/>
        <v>5.0847457627118647E-2</v>
      </c>
      <c r="BI685" s="466">
        <f t="shared" si="27"/>
        <v>1.7796610169491526E-2</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689</v>
      </c>
      <c r="B686" s="3"/>
      <c r="C686" s="3" t="s">
        <v>876</v>
      </c>
      <c r="BA686" s="43">
        <f t="shared" si="24"/>
        <v>2026</v>
      </c>
      <c r="BE686" s="41"/>
      <c r="BF686" s="41"/>
      <c r="BG686" s="458">
        <f t="shared" si="25"/>
        <v>3</v>
      </c>
      <c r="BH686" s="464">
        <f t="shared" si="26"/>
        <v>5.0847457627118647E-2</v>
      </c>
      <c r="BI686" s="466">
        <f t="shared" si="27"/>
        <v>2.033898305084746E-2</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9"/>
      <c r="C687" s="3"/>
      <c r="BA687" s="43" t="str">
        <f t="shared" si="24"/>
        <v>N/A</v>
      </c>
      <c r="BE687" s="41"/>
      <c r="BF687" s="41"/>
      <c r="BG687" s="458">
        <f t="shared" si="25"/>
        <v>8</v>
      </c>
      <c r="BH687" s="464">
        <f t="shared" si="26"/>
        <v>0.13559322033898305</v>
      </c>
      <c r="BI687" s="466">
        <f t="shared" si="27"/>
        <v>8.1355932203389825E-2</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04" t="s">
        <v>58</v>
      </c>
      <c r="C688" s="1205"/>
      <c r="D688" s="1205"/>
      <c r="E688" s="1205"/>
      <c r="F688" s="1206"/>
      <c r="G688" s="1204" t="s">
        <v>271</v>
      </c>
      <c r="H688" s="1205"/>
      <c r="I688" s="1205"/>
      <c r="J688" s="1206"/>
      <c r="K688" s="1195" t="s">
        <v>2093</v>
      </c>
      <c r="L688" s="1196"/>
      <c r="M688" s="1196"/>
      <c r="N688" s="1197"/>
      <c r="O688" s="1204" t="s">
        <v>625</v>
      </c>
      <c r="P688" s="1205"/>
      <c r="Q688" s="1205"/>
      <c r="R688" s="1205"/>
      <c r="S688" s="1206"/>
      <c r="T688" s="1204" t="s">
        <v>272</v>
      </c>
      <c r="U688" s="1205"/>
      <c r="V688" s="1205"/>
      <c r="W688" s="1205"/>
      <c r="X688" s="1206"/>
      <c r="Y688" s="1204" t="s">
        <v>273</v>
      </c>
      <c r="Z688" s="1205"/>
      <c r="AA688" s="1205"/>
      <c r="AB688" s="1206"/>
      <c r="AC688" s="1204" t="s">
        <v>274</v>
      </c>
      <c r="AD688" s="1205"/>
      <c r="AE688" s="1205"/>
      <c r="AF688" s="1205"/>
      <c r="AG688" s="1206"/>
      <c r="AH688" s="1204" t="s">
        <v>2094</v>
      </c>
      <c r="AI688" s="1205"/>
      <c r="AJ688" s="1205"/>
      <c r="AK688" s="1205"/>
      <c r="AL688" s="1206"/>
      <c r="AM688" s="1204" t="s">
        <v>2095</v>
      </c>
      <c r="AN688" s="1205"/>
      <c r="AO688" s="1206"/>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07"/>
      <c r="C689" s="1208"/>
      <c r="D689" s="1208"/>
      <c r="E689" s="1208"/>
      <c r="F689" s="1209"/>
      <c r="G689" s="1207"/>
      <c r="H689" s="1208"/>
      <c r="I689" s="1208"/>
      <c r="J689" s="1209"/>
      <c r="K689" s="1198"/>
      <c r="L689" s="1199"/>
      <c r="M689" s="1199"/>
      <c r="N689" s="1200"/>
      <c r="O689" s="1207"/>
      <c r="P689" s="1208"/>
      <c r="Q689" s="1208"/>
      <c r="R689" s="1208"/>
      <c r="S689" s="1209"/>
      <c r="T689" s="1207"/>
      <c r="U689" s="1208"/>
      <c r="V689" s="1208"/>
      <c r="W689" s="1208"/>
      <c r="X689" s="1209"/>
      <c r="Y689" s="1207"/>
      <c r="Z689" s="1208"/>
      <c r="AA689" s="1208"/>
      <c r="AB689" s="1209"/>
      <c r="AC689" s="1207"/>
      <c r="AD689" s="1208"/>
      <c r="AE689" s="1208"/>
      <c r="AF689" s="1208"/>
      <c r="AG689" s="1209"/>
      <c r="AH689" s="1207"/>
      <c r="AI689" s="1208"/>
      <c r="AJ689" s="1208"/>
      <c r="AK689" s="1208"/>
      <c r="AL689" s="1209"/>
      <c r="AM689" s="1207"/>
      <c r="AN689" s="1208"/>
      <c r="AO689" s="1209"/>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07"/>
      <c r="C690" s="1208"/>
      <c r="D690" s="1208"/>
      <c r="E690" s="1208"/>
      <c r="F690" s="1209"/>
      <c r="G690" s="1207"/>
      <c r="H690" s="1208"/>
      <c r="I690" s="1208"/>
      <c r="J690" s="1209"/>
      <c r="K690" s="1198"/>
      <c r="L690" s="1199"/>
      <c r="M690" s="1199"/>
      <c r="N690" s="1200"/>
      <c r="O690" s="1207"/>
      <c r="P690" s="1208"/>
      <c r="Q690" s="1208"/>
      <c r="R690" s="1208"/>
      <c r="S690" s="1209"/>
      <c r="T690" s="1207"/>
      <c r="U690" s="1208"/>
      <c r="V690" s="1208"/>
      <c r="W690" s="1208"/>
      <c r="X690" s="1209"/>
      <c r="Y690" s="1207"/>
      <c r="Z690" s="1208"/>
      <c r="AA690" s="1208"/>
      <c r="AB690" s="1209"/>
      <c r="AC690" s="1207"/>
      <c r="AD690" s="1208"/>
      <c r="AE690" s="1208"/>
      <c r="AF690" s="1208"/>
      <c r="AG690" s="1209"/>
      <c r="AH690" s="1207"/>
      <c r="AI690" s="1208"/>
      <c r="AJ690" s="1208"/>
      <c r="AK690" s="1208"/>
      <c r="AL690" s="1209"/>
      <c r="AM690" s="1207"/>
      <c r="AN690" s="1208"/>
      <c r="AO690" s="1209"/>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0"/>
      <c r="C691" s="1211"/>
      <c r="D691" s="1211"/>
      <c r="E691" s="1211"/>
      <c r="F691" s="1212"/>
      <c r="G691" s="1210"/>
      <c r="H691" s="1211"/>
      <c r="I691" s="1211"/>
      <c r="J691" s="1212"/>
      <c r="K691" s="1198"/>
      <c r="L691" s="1199"/>
      <c r="M691" s="1199"/>
      <c r="N691" s="1200"/>
      <c r="O691" s="1210"/>
      <c r="P691" s="1211"/>
      <c r="Q691" s="1211"/>
      <c r="R691" s="1211"/>
      <c r="S691" s="1212"/>
      <c r="T691" s="1210"/>
      <c r="U691" s="1211"/>
      <c r="V691" s="1211"/>
      <c r="W691" s="1211"/>
      <c r="X691" s="1212"/>
      <c r="Y691" s="1210"/>
      <c r="Z691" s="1211"/>
      <c r="AA691" s="1211"/>
      <c r="AB691" s="1212"/>
      <c r="AC691" s="1210"/>
      <c r="AD691" s="1211"/>
      <c r="AE691" s="1211"/>
      <c r="AF691" s="1211"/>
      <c r="AG691" s="1212"/>
      <c r="AH691" s="1210"/>
      <c r="AI691" s="1211"/>
      <c r="AJ691" s="1211"/>
      <c r="AK691" s="1211"/>
      <c r="AL691" s="1212"/>
      <c r="AM691" s="1210"/>
      <c r="AN691" s="1211"/>
      <c r="AO691" s="1212"/>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63" t="s">
        <v>471</v>
      </c>
      <c r="C692" s="1264"/>
      <c r="D692" s="1264"/>
      <c r="E692" s="1264"/>
      <c r="F692" s="1284"/>
      <c r="G692" s="1227">
        <v>3</v>
      </c>
      <c r="H692" s="1228"/>
      <c r="I692" s="1228"/>
      <c r="J692" s="1229"/>
      <c r="K692" s="1213">
        <v>535</v>
      </c>
      <c r="L692" s="1214"/>
      <c r="M692" s="1214"/>
      <c r="N692" s="1215"/>
      <c r="O692" s="1216">
        <v>378</v>
      </c>
      <c r="P692" s="1217"/>
      <c r="Q692" s="1217"/>
      <c r="R692" s="1217"/>
      <c r="S692" s="1218"/>
      <c r="T692" s="1189">
        <f t="shared" ref="T692:T716" si="28">G692*O692</f>
        <v>1134</v>
      </c>
      <c r="U692" s="1190"/>
      <c r="V692" s="1190"/>
      <c r="W692" s="1190"/>
      <c r="X692" s="1191"/>
      <c r="Y692" s="1216">
        <v>60</v>
      </c>
      <c r="Z692" s="1217"/>
      <c r="AA692" s="1217"/>
      <c r="AB692" s="1218"/>
      <c r="AC692" s="1189">
        <f t="shared" ref="AC692:AC716" si="29">O692+Y692</f>
        <v>438</v>
      </c>
      <c r="AD692" s="1190"/>
      <c r="AE692" s="1190"/>
      <c r="AF692" s="1190"/>
      <c r="AG692" s="1191"/>
      <c r="AH692" s="1230">
        <v>0.3</v>
      </c>
      <c r="AI692" s="1231"/>
      <c r="AJ692" s="1231"/>
      <c r="AK692" s="1231"/>
      <c r="AL692" s="1232"/>
      <c r="AM692" s="1186">
        <f>IF($AH692&gt;0,($AC692/$BA675)," ")</f>
        <v>0.29958960328317374</v>
      </c>
      <c r="AN692" s="1187"/>
      <c r="AO692" s="1188"/>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63" t="s">
        <v>471</v>
      </c>
      <c r="C693" s="1264"/>
      <c r="D693" s="1264"/>
      <c r="E693" s="1264"/>
      <c r="F693" s="1284"/>
      <c r="G693" s="1227">
        <v>4</v>
      </c>
      <c r="H693" s="1228"/>
      <c r="I693" s="1228"/>
      <c r="J693" s="1229"/>
      <c r="K693" s="1213">
        <v>535</v>
      </c>
      <c r="L693" s="1214"/>
      <c r="M693" s="1214"/>
      <c r="N693" s="1215"/>
      <c r="O693" s="1216">
        <v>451</v>
      </c>
      <c r="P693" s="1217"/>
      <c r="Q693" s="1217"/>
      <c r="R693" s="1217"/>
      <c r="S693" s="1218"/>
      <c r="T693" s="1189">
        <f t="shared" si="28"/>
        <v>1804</v>
      </c>
      <c r="U693" s="1190"/>
      <c r="V693" s="1190"/>
      <c r="W693" s="1190"/>
      <c r="X693" s="1191"/>
      <c r="Y693" s="1216">
        <v>60</v>
      </c>
      <c r="Z693" s="1217"/>
      <c r="AA693" s="1217"/>
      <c r="AB693" s="1218"/>
      <c r="AC693" s="1189">
        <f t="shared" si="29"/>
        <v>511</v>
      </c>
      <c r="AD693" s="1190"/>
      <c r="AE693" s="1190"/>
      <c r="AF693" s="1190"/>
      <c r="AG693" s="1191"/>
      <c r="AH693" s="1220">
        <v>0.35</v>
      </c>
      <c r="AI693" s="1221"/>
      <c r="AJ693" s="1221"/>
      <c r="AK693" s="1221"/>
      <c r="AL693" s="1222"/>
      <c r="AM693" s="1186">
        <f t="shared" ref="AM693:AM716" si="30">IF($AH693&gt;0,($AC693/$BA676), " ")</f>
        <v>0.34952120383036933</v>
      </c>
      <c r="AN693" s="1187"/>
      <c r="AO693" s="1188"/>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63" t="s">
        <v>471</v>
      </c>
      <c r="C694" s="1264"/>
      <c r="D694" s="1264"/>
      <c r="E694" s="1264"/>
      <c r="F694" s="1284"/>
      <c r="G694" s="1227">
        <v>3</v>
      </c>
      <c r="H694" s="1228"/>
      <c r="I694" s="1228"/>
      <c r="J694" s="1229"/>
      <c r="K694" s="1213">
        <v>535</v>
      </c>
      <c r="L694" s="1214"/>
      <c r="M694" s="1214"/>
      <c r="N694" s="1215"/>
      <c r="O694" s="1216">
        <v>525</v>
      </c>
      <c r="P694" s="1217"/>
      <c r="Q694" s="1217"/>
      <c r="R694" s="1217"/>
      <c r="S694" s="1218"/>
      <c r="T694" s="1189">
        <f t="shared" si="28"/>
        <v>1575</v>
      </c>
      <c r="U694" s="1190"/>
      <c r="V694" s="1190"/>
      <c r="W694" s="1190"/>
      <c r="X694" s="1191"/>
      <c r="Y694" s="1216">
        <v>60</v>
      </c>
      <c r="Z694" s="1217"/>
      <c r="AA694" s="1217"/>
      <c r="AB694" s="1218"/>
      <c r="AC694" s="1189">
        <f t="shared" si="29"/>
        <v>585</v>
      </c>
      <c r="AD694" s="1190"/>
      <c r="AE694" s="1190"/>
      <c r="AF694" s="1190"/>
      <c r="AG694" s="1191"/>
      <c r="AH694" s="1220">
        <v>0.4</v>
      </c>
      <c r="AI694" s="1221"/>
      <c r="AJ694" s="1221"/>
      <c r="AK694" s="1221"/>
      <c r="AL694" s="1222"/>
      <c r="AM694" s="1186">
        <f t="shared" si="30"/>
        <v>0.40013679890560877</v>
      </c>
      <c r="AN694" s="1187"/>
      <c r="AO694" s="1188"/>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63" t="s">
        <v>471</v>
      </c>
      <c r="C695" s="1264"/>
      <c r="D695" s="1264"/>
      <c r="E695" s="1264"/>
      <c r="F695" s="1284"/>
      <c r="G695" s="1227">
        <v>8</v>
      </c>
      <c r="H695" s="1228"/>
      <c r="I695" s="1228"/>
      <c r="J695" s="1229"/>
      <c r="K695" s="1213">
        <v>535</v>
      </c>
      <c r="L695" s="1214"/>
      <c r="M695" s="1214"/>
      <c r="N695" s="1215"/>
      <c r="O695" s="1216">
        <v>817</v>
      </c>
      <c r="P695" s="1217"/>
      <c r="Q695" s="1217"/>
      <c r="R695" s="1217"/>
      <c r="S695" s="1218"/>
      <c r="T695" s="1189">
        <f t="shared" si="28"/>
        <v>6536</v>
      </c>
      <c r="U695" s="1190"/>
      <c r="V695" s="1190"/>
      <c r="W695" s="1190"/>
      <c r="X695" s="1191"/>
      <c r="Y695" s="1216">
        <v>60</v>
      </c>
      <c r="Z695" s="1217"/>
      <c r="AA695" s="1217"/>
      <c r="AB695" s="1218"/>
      <c r="AC695" s="1189">
        <f t="shared" si="29"/>
        <v>877</v>
      </c>
      <c r="AD695" s="1190"/>
      <c r="AE695" s="1190"/>
      <c r="AF695" s="1190"/>
      <c r="AG695" s="1191"/>
      <c r="AH695" s="1220">
        <v>0.6</v>
      </c>
      <c r="AI695" s="1221"/>
      <c r="AJ695" s="1221"/>
      <c r="AK695" s="1221"/>
      <c r="AL695" s="1222"/>
      <c r="AM695" s="1186">
        <f t="shared" si="30"/>
        <v>0.59986320109439129</v>
      </c>
      <c r="AN695" s="1187"/>
      <c r="AO695" s="1188"/>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63" t="s">
        <v>817</v>
      </c>
      <c r="C696" s="1264"/>
      <c r="D696" s="1264"/>
      <c r="E696" s="1264"/>
      <c r="F696" s="1284"/>
      <c r="G696" s="1227">
        <v>5</v>
      </c>
      <c r="H696" s="1228"/>
      <c r="I696" s="1228"/>
      <c r="J696" s="1229"/>
      <c r="K696" s="1213">
        <v>713</v>
      </c>
      <c r="L696" s="1214"/>
      <c r="M696" s="1214"/>
      <c r="N696" s="1215"/>
      <c r="O696" s="1216">
        <v>442</v>
      </c>
      <c r="P696" s="1217"/>
      <c r="Q696" s="1217"/>
      <c r="R696" s="1217"/>
      <c r="S696" s="1218"/>
      <c r="T696" s="1189">
        <f t="shared" si="28"/>
        <v>2210</v>
      </c>
      <c r="U696" s="1190"/>
      <c r="V696" s="1190"/>
      <c r="W696" s="1190"/>
      <c r="X696" s="1191"/>
      <c r="Y696" s="1216">
        <v>84</v>
      </c>
      <c r="Z696" s="1217"/>
      <c r="AA696" s="1217"/>
      <c r="AB696" s="1218"/>
      <c r="AC696" s="1189">
        <f t="shared" si="29"/>
        <v>526</v>
      </c>
      <c r="AD696" s="1190"/>
      <c r="AE696" s="1190"/>
      <c r="AF696" s="1190"/>
      <c r="AG696" s="1191"/>
      <c r="AH696" s="1220">
        <v>0.3</v>
      </c>
      <c r="AI696" s="1221"/>
      <c r="AJ696" s="1221"/>
      <c r="AK696" s="1221"/>
      <c r="AL696" s="1222"/>
      <c r="AM696" s="1186">
        <f t="shared" si="30"/>
        <v>0.29988597491448121</v>
      </c>
      <c r="AN696" s="1187"/>
      <c r="AO696" s="1188"/>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63" t="s">
        <v>817</v>
      </c>
      <c r="C697" s="1264"/>
      <c r="D697" s="1264"/>
      <c r="E697" s="1264"/>
      <c r="F697" s="1284"/>
      <c r="G697" s="1227">
        <v>5</v>
      </c>
      <c r="H697" s="1228"/>
      <c r="I697" s="1228"/>
      <c r="J697" s="1229"/>
      <c r="K697" s="1213">
        <v>713</v>
      </c>
      <c r="L697" s="1214"/>
      <c r="M697" s="1214"/>
      <c r="N697" s="1215"/>
      <c r="O697" s="1216">
        <v>530</v>
      </c>
      <c r="P697" s="1217"/>
      <c r="Q697" s="1217"/>
      <c r="R697" s="1217"/>
      <c r="S697" s="1218"/>
      <c r="T697" s="1189">
        <f t="shared" si="28"/>
        <v>2650</v>
      </c>
      <c r="U697" s="1190"/>
      <c r="V697" s="1190"/>
      <c r="W697" s="1190"/>
      <c r="X697" s="1191"/>
      <c r="Y697" s="1216">
        <v>84</v>
      </c>
      <c r="Z697" s="1217"/>
      <c r="AA697" s="1217"/>
      <c r="AB697" s="1218"/>
      <c r="AC697" s="1189">
        <f t="shared" si="29"/>
        <v>614</v>
      </c>
      <c r="AD697" s="1190"/>
      <c r="AE697" s="1190"/>
      <c r="AF697" s="1190"/>
      <c r="AG697" s="1191"/>
      <c r="AH697" s="1220">
        <v>0.35</v>
      </c>
      <c r="AI697" s="1221"/>
      <c r="AJ697" s="1221"/>
      <c r="AK697" s="1221"/>
      <c r="AL697" s="1222"/>
      <c r="AM697" s="1186">
        <f t="shared" si="30"/>
        <v>0.35005701254275939</v>
      </c>
      <c r="AN697" s="1187"/>
      <c r="AO697" s="1188"/>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63" t="s">
        <v>817</v>
      </c>
      <c r="C698" s="1264"/>
      <c r="D698" s="1264"/>
      <c r="E698" s="1264"/>
      <c r="F698" s="1284"/>
      <c r="G698" s="1227">
        <v>5</v>
      </c>
      <c r="H698" s="1228"/>
      <c r="I698" s="1228"/>
      <c r="J698" s="1229"/>
      <c r="K698" s="1213">
        <v>713</v>
      </c>
      <c r="L698" s="1214"/>
      <c r="M698" s="1214"/>
      <c r="N698" s="1215"/>
      <c r="O698" s="1216">
        <v>618</v>
      </c>
      <c r="P698" s="1217"/>
      <c r="Q698" s="1217"/>
      <c r="R698" s="1217"/>
      <c r="S698" s="1218"/>
      <c r="T698" s="1189">
        <f t="shared" si="28"/>
        <v>3090</v>
      </c>
      <c r="U698" s="1190"/>
      <c r="V698" s="1190"/>
      <c r="W698" s="1190"/>
      <c r="X698" s="1191"/>
      <c r="Y698" s="1216">
        <v>84</v>
      </c>
      <c r="Z698" s="1217"/>
      <c r="AA698" s="1217"/>
      <c r="AB698" s="1218"/>
      <c r="AC698" s="1189">
        <f t="shared" si="29"/>
        <v>702</v>
      </c>
      <c r="AD698" s="1190"/>
      <c r="AE698" s="1190"/>
      <c r="AF698" s="1190"/>
      <c r="AG698" s="1191"/>
      <c r="AH698" s="1220">
        <v>0.4</v>
      </c>
      <c r="AI698" s="1221"/>
      <c r="AJ698" s="1221"/>
      <c r="AK698" s="1221"/>
      <c r="AL698" s="1222"/>
      <c r="AM698" s="1186">
        <f t="shared" si="30"/>
        <v>0.40022805017103763</v>
      </c>
      <c r="AN698" s="1187"/>
      <c r="AO698" s="1188"/>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63" t="s">
        <v>817</v>
      </c>
      <c r="C699" s="1264"/>
      <c r="D699" s="1264"/>
      <c r="E699" s="1264"/>
      <c r="F699" s="1284"/>
      <c r="G699" s="1227">
        <v>8</v>
      </c>
      <c r="H699" s="1228"/>
      <c r="I699" s="1228"/>
      <c r="J699" s="1229"/>
      <c r="K699" s="1213">
        <v>713</v>
      </c>
      <c r="L699" s="1214"/>
      <c r="M699" s="1214"/>
      <c r="N699" s="1215"/>
      <c r="O699" s="1216">
        <v>969</v>
      </c>
      <c r="P699" s="1217"/>
      <c r="Q699" s="1217"/>
      <c r="R699" s="1217"/>
      <c r="S699" s="1218"/>
      <c r="T699" s="1189">
        <f t="shared" si="28"/>
        <v>7752</v>
      </c>
      <c r="U699" s="1190"/>
      <c r="V699" s="1190"/>
      <c r="W699" s="1190"/>
      <c r="X699" s="1191"/>
      <c r="Y699" s="1216">
        <v>84</v>
      </c>
      <c r="Z699" s="1217"/>
      <c r="AA699" s="1217"/>
      <c r="AB699" s="1218"/>
      <c r="AC699" s="1189">
        <f t="shared" si="29"/>
        <v>1053</v>
      </c>
      <c r="AD699" s="1190"/>
      <c r="AE699" s="1190"/>
      <c r="AF699" s="1190"/>
      <c r="AG699" s="1191"/>
      <c r="AH699" s="1220">
        <v>0.6</v>
      </c>
      <c r="AI699" s="1221"/>
      <c r="AJ699" s="1221"/>
      <c r="AK699" s="1221"/>
      <c r="AL699" s="1222"/>
      <c r="AM699" s="1186">
        <f t="shared" si="30"/>
        <v>0.60034207525655647</v>
      </c>
      <c r="AN699" s="1187"/>
      <c r="AO699" s="1188"/>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63" t="s">
        <v>818</v>
      </c>
      <c r="C700" s="1264"/>
      <c r="D700" s="1264"/>
      <c r="E700" s="1264"/>
      <c r="F700" s="1284"/>
      <c r="G700" s="1227">
        <v>4</v>
      </c>
      <c r="H700" s="1228"/>
      <c r="I700" s="1228"/>
      <c r="J700" s="1229"/>
      <c r="K700" s="1213">
        <v>948</v>
      </c>
      <c r="L700" s="1214"/>
      <c r="M700" s="1214"/>
      <c r="N700" s="1215"/>
      <c r="O700" s="1216">
        <v>501</v>
      </c>
      <c r="P700" s="1217"/>
      <c r="Q700" s="1217"/>
      <c r="R700" s="1217"/>
      <c r="S700" s="1218"/>
      <c r="T700" s="1189">
        <f t="shared" si="28"/>
        <v>2004</v>
      </c>
      <c r="U700" s="1190"/>
      <c r="V700" s="1190"/>
      <c r="W700" s="1190"/>
      <c r="X700" s="1191"/>
      <c r="Y700" s="1216">
        <v>106</v>
      </c>
      <c r="Z700" s="1217"/>
      <c r="AA700" s="1217"/>
      <c r="AB700" s="1218"/>
      <c r="AC700" s="1189">
        <f t="shared" si="29"/>
        <v>607</v>
      </c>
      <c r="AD700" s="1190"/>
      <c r="AE700" s="1190"/>
      <c r="AF700" s="1190"/>
      <c r="AG700" s="1191"/>
      <c r="AH700" s="1220">
        <v>0.3</v>
      </c>
      <c r="AI700" s="1221"/>
      <c r="AJ700" s="1221"/>
      <c r="AK700" s="1221"/>
      <c r="AL700" s="1222"/>
      <c r="AM700" s="1186">
        <f t="shared" si="30"/>
        <v>0.29960513326752219</v>
      </c>
      <c r="AN700" s="1187"/>
      <c r="AO700" s="1188"/>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63" t="s">
        <v>818</v>
      </c>
      <c r="C701" s="1264"/>
      <c r="D701" s="1264"/>
      <c r="E701" s="1264"/>
      <c r="F701" s="1284"/>
      <c r="G701" s="1227">
        <v>3</v>
      </c>
      <c r="H701" s="1228"/>
      <c r="I701" s="1228"/>
      <c r="J701" s="1229"/>
      <c r="K701" s="1213">
        <v>948</v>
      </c>
      <c r="L701" s="1214"/>
      <c r="M701" s="1214"/>
      <c r="N701" s="1215"/>
      <c r="O701" s="1216">
        <v>603</v>
      </c>
      <c r="P701" s="1217"/>
      <c r="Q701" s="1217"/>
      <c r="R701" s="1217"/>
      <c r="S701" s="1218"/>
      <c r="T701" s="1189">
        <f t="shared" si="28"/>
        <v>1809</v>
      </c>
      <c r="U701" s="1190"/>
      <c r="V701" s="1190"/>
      <c r="W701" s="1190"/>
      <c r="X701" s="1191"/>
      <c r="Y701" s="1216">
        <v>106</v>
      </c>
      <c r="Z701" s="1217"/>
      <c r="AA701" s="1217"/>
      <c r="AB701" s="1218"/>
      <c r="AC701" s="1189">
        <f t="shared" si="29"/>
        <v>709</v>
      </c>
      <c r="AD701" s="1190"/>
      <c r="AE701" s="1190"/>
      <c r="AF701" s="1190"/>
      <c r="AG701" s="1191"/>
      <c r="AH701" s="1220">
        <v>0.35</v>
      </c>
      <c r="AI701" s="1221"/>
      <c r="AJ701" s="1221"/>
      <c r="AK701" s="1221"/>
      <c r="AL701" s="1222"/>
      <c r="AM701" s="1186">
        <f t="shared" si="30"/>
        <v>0.34995064165844025</v>
      </c>
      <c r="AN701" s="1187"/>
      <c r="AO701" s="1188"/>
      <c r="BA701" s="41"/>
      <c r="BB701" s="41"/>
      <c r="BC701" s="41"/>
      <c r="BD701" s="41"/>
      <c r="BE701" s="42"/>
      <c r="BF701" s="62" t="s">
        <v>916</v>
      </c>
      <c r="BG701" s="467">
        <f>SUM(BG676:BG700)</f>
        <v>59</v>
      </c>
      <c r="BH701" s="468">
        <f>SUM(BH676:BH700)</f>
        <v>0.99999999999999989</v>
      </c>
      <c r="BI701" s="468">
        <f>SUM(BI676:BI700)</f>
        <v>0.45084745762711864</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63" t="s">
        <v>818</v>
      </c>
      <c r="C702" s="1264"/>
      <c r="D702" s="1264"/>
      <c r="E702" s="1264"/>
      <c r="F702" s="1284"/>
      <c r="G702" s="1227">
        <v>3</v>
      </c>
      <c r="H702" s="1228"/>
      <c r="I702" s="1228"/>
      <c r="J702" s="1229"/>
      <c r="K702" s="1213">
        <v>948</v>
      </c>
      <c r="L702" s="1214"/>
      <c r="M702" s="1214"/>
      <c r="N702" s="1215"/>
      <c r="O702" s="1216">
        <v>704</v>
      </c>
      <c r="P702" s="1217"/>
      <c r="Q702" s="1217"/>
      <c r="R702" s="1217"/>
      <c r="S702" s="1218"/>
      <c r="T702" s="1189">
        <f t="shared" si="28"/>
        <v>2112</v>
      </c>
      <c r="U702" s="1190"/>
      <c r="V702" s="1190"/>
      <c r="W702" s="1190"/>
      <c r="X702" s="1191"/>
      <c r="Y702" s="1216">
        <v>106</v>
      </c>
      <c r="Z702" s="1217"/>
      <c r="AA702" s="1217"/>
      <c r="AB702" s="1218"/>
      <c r="AC702" s="1189">
        <f t="shared" si="29"/>
        <v>810</v>
      </c>
      <c r="AD702" s="1190"/>
      <c r="AE702" s="1190"/>
      <c r="AF702" s="1190"/>
      <c r="AG702" s="1191"/>
      <c r="AH702" s="1220">
        <v>0.4</v>
      </c>
      <c r="AI702" s="1221"/>
      <c r="AJ702" s="1221"/>
      <c r="AK702" s="1221"/>
      <c r="AL702" s="1222"/>
      <c r="AM702" s="1186">
        <f t="shared" si="30"/>
        <v>0.39980256663376113</v>
      </c>
      <c r="AN702" s="1187"/>
      <c r="AO702" s="1188"/>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63" t="s">
        <v>818</v>
      </c>
      <c r="C703" s="1264"/>
      <c r="D703" s="1264"/>
      <c r="E703" s="1264"/>
      <c r="F703" s="1284"/>
      <c r="G703" s="1227">
        <v>8</v>
      </c>
      <c r="H703" s="1228"/>
      <c r="I703" s="1228"/>
      <c r="J703" s="1229"/>
      <c r="K703" s="1213">
        <v>948</v>
      </c>
      <c r="L703" s="1214"/>
      <c r="M703" s="1214"/>
      <c r="N703" s="1215"/>
      <c r="O703" s="1216">
        <v>1109</v>
      </c>
      <c r="P703" s="1217"/>
      <c r="Q703" s="1217"/>
      <c r="R703" s="1217"/>
      <c r="S703" s="1218"/>
      <c r="T703" s="1189">
        <f t="shared" si="28"/>
        <v>8872</v>
      </c>
      <c r="U703" s="1190"/>
      <c r="V703" s="1190"/>
      <c r="W703" s="1190"/>
      <c r="X703" s="1191"/>
      <c r="Y703" s="1216">
        <v>106</v>
      </c>
      <c r="Z703" s="1217"/>
      <c r="AA703" s="1217"/>
      <c r="AB703" s="1218"/>
      <c r="AC703" s="1189">
        <f t="shared" si="29"/>
        <v>1215</v>
      </c>
      <c r="AD703" s="1190"/>
      <c r="AE703" s="1190"/>
      <c r="AF703" s="1190"/>
      <c r="AG703" s="1191"/>
      <c r="AH703" s="1220">
        <v>0.6</v>
      </c>
      <c r="AI703" s="1221"/>
      <c r="AJ703" s="1221"/>
      <c r="AK703" s="1221"/>
      <c r="AL703" s="1222"/>
      <c r="AM703" s="1186">
        <f t="shared" si="30"/>
        <v>0.59970384995064163</v>
      </c>
      <c r="AN703" s="1187"/>
      <c r="AO703" s="1188"/>
      <c r="BA703" s="41"/>
      <c r="BB703" s="41"/>
      <c r="BC703" s="41"/>
      <c r="BD703" s="41"/>
      <c r="BE703" s="41"/>
      <c r="BF703" s="41"/>
      <c r="BG703" s="41"/>
      <c r="BH703" s="41"/>
      <c r="BI703" s="41"/>
      <c r="BJ703" s="41"/>
      <c r="BK703" s="41"/>
      <c r="BL703" s="41"/>
      <c r="BM703" s="41"/>
      <c r="BN703" s="41"/>
      <c r="BO703" s="41"/>
      <c r="BP703" s="589" t="s">
        <v>880</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63"/>
      <c r="C704" s="1264"/>
      <c r="D704" s="1264"/>
      <c r="E704" s="1264"/>
      <c r="F704" s="1284"/>
      <c r="G704" s="1227"/>
      <c r="H704" s="1228"/>
      <c r="I704" s="1228"/>
      <c r="J704" s="1229"/>
      <c r="K704" s="1213"/>
      <c r="L704" s="1214"/>
      <c r="M704" s="1214"/>
      <c r="N704" s="1215"/>
      <c r="O704" s="1216"/>
      <c r="P704" s="1217"/>
      <c r="Q704" s="1217"/>
      <c r="R704" s="1217"/>
      <c r="S704" s="1218"/>
      <c r="T704" s="1189">
        <f t="shared" si="28"/>
        <v>0</v>
      </c>
      <c r="U704" s="1190"/>
      <c r="V704" s="1190"/>
      <c r="W704" s="1190"/>
      <c r="X704" s="1191"/>
      <c r="Y704" s="1216"/>
      <c r="Z704" s="1217"/>
      <c r="AA704" s="1217"/>
      <c r="AB704" s="1218"/>
      <c r="AC704" s="1189">
        <f t="shared" si="29"/>
        <v>0</v>
      </c>
      <c r="AD704" s="1190"/>
      <c r="AE704" s="1190"/>
      <c r="AF704" s="1190"/>
      <c r="AG704" s="1191"/>
      <c r="AH704" s="1220"/>
      <c r="AI704" s="1221"/>
      <c r="AJ704" s="1221"/>
      <c r="AK704" s="1221"/>
      <c r="AL704" s="1222"/>
      <c r="AM704" s="1186" t="str">
        <f t="shared" si="30"/>
        <v xml:space="preserve"> </v>
      </c>
      <c r="AN704" s="1187"/>
      <c r="AO704" s="1188"/>
      <c r="BA704" s="41"/>
      <c r="BB704" s="41"/>
      <c r="BC704" s="41"/>
      <c r="BD704" s="41"/>
      <c r="BE704" s="41"/>
      <c r="BF704" s="41"/>
      <c r="BG704" s="41"/>
      <c r="BH704" s="41"/>
      <c r="BI704" s="41"/>
      <c r="BJ704" s="41"/>
      <c r="BK704" s="41"/>
      <c r="BL704" s="41"/>
      <c r="BM704" s="41"/>
      <c r="BN704" s="41"/>
      <c r="BO704" s="41"/>
      <c r="BP704" s="589" t="s">
        <v>881</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63"/>
      <c r="C705" s="1264"/>
      <c r="D705" s="1264"/>
      <c r="E705" s="1264"/>
      <c r="F705" s="1284"/>
      <c r="G705" s="1227"/>
      <c r="H705" s="1228"/>
      <c r="I705" s="1228"/>
      <c r="J705" s="1229"/>
      <c r="K705" s="1213"/>
      <c r="L705" s="1214"/>
      <c r="M705" s="1214"/>
      <c r="N705" s="1215"/>
      <c r="O705" s="1216"/>
      <c r="P705" s="1217"/>
      <c r="Q705" s="1217"/>
      <c r="R705" s="1217"/>
      <c r="S705" s="1218"/>
      <c r="T705" s="1189">
        <f t="shared" si="28"/>
        <v>0</v>
      </c>
      <c r="U705" s="1190"/>
      <c r="V705" s="1190"/>
      <c r="W705" s="1190"/>
      <c r="X705" s="1191"/>
      <c r="Y705" s="1216"/>
      <c r="Z705" s="1217"/>
      <c r="AA705" s="1217"/>
      <c r="AB705" s="1218"/>
      <c r="AC705" s="1189">
        <f t="shared" si="29"/>
        <v>0</v>
      </c>
      <c r="AD705" s="1190"/>
      <c r="AE705" s="1190"/>
      <c r="AF705" s="1190"/>
      <c r="AG705" s="1191"/>
      <c r="AH705" s="1220"/>
      <c r="AI705" s="1221"/>
      <c r="AJ705" s="1221"/>
      <c r="AK705" s="1221"/>
      <c r="AL705" s="1222"/>
      <c r="AM705" s="1186" t="str">
        <f t="shared" si="30"/>
        <v xml:space="preserve"> </v>
      </c>
      <c r="AN705" s="1187"/>
      <c r="AO705" s="1188"/>
      <c r="BA705" s="41"/>
      <c r="BB705" s="41"/>
      <c r="BC705" s="41"/>
      <c r="BD705" s="41"/>
      <c r="BE705" s="41"/>
      <c r="BF705" s="41"/>
      <c r="BG705" s="866" t="s">
        <v>2096</v>
      </c>
      <c r="BH705" s="867"/>
      <c r="BI705" s="867"/>
      <c r="BJ705" s="41"/>
      <c r="BK705" s="41"/>
      <c r="BL705" s="41"/>
      <c r="BM705" s="41"/>
      <c r="BN705" s="41"/>
      <c r="BO705" s="41"/>
      <c r="BP705" s="589" t="s">
        <v>882</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63"/>
      <c r="C706" s="1264"/>
      <c r="D706" s="1264"/>
      <c r="E706" s="1264"/>
      <c r="F706" s="1284"/>
      <c r="G706" s="1227"/>
      <c r="H706" s="1228"/>
      <c r="I706" s="1228"/>
      <c r="J706" s="1229"/>
      <c r="K706" s="1213"/>
      <c r="L706" s="1214"/>
      <c r="M706" s="1214"/>
      <c r="N706" s="1215"/>
      <c r="O706" s="1216"/>
      <c r="P706" s="1217"/>
      <c r="Q706" s="1217"/>
      <c r="R706" s="1217"/>
      <c r="S706" s="1218"/>
      <c r="T706" s="1189">
        <f t="shared" si="28"/>
        <v>0</v>
      </c>
      <c r="U706" s="1190"/>
      <c r="V706" s="1190"/>
      <c r="W706" s="1190"/>
      <c r="X706" s="1191"/>
      <c r="Y706" s="1216"/>
      <c r="Z706" s="1217"/>
      <c r="AA706" s="1217"/>
      <c r="AB706" s="1218"/>
      <c r="AC706" s="1189">
        <f t="shared" si="29"/>
        <v>0</v>
      </c>
      <c r="AD706" s="1190"/>
      <c r="AE706" s="1190"/>
      <c r="AF706" s="1190"/>
      <c r="AG706" s="1191"/>
      <c r="AH706" s="1220"/>
      <c r="AI706" s="1221"/>
      <c r="AJ706" s="1221"/>
      <c r="AK706" s="1221"/>
      <c r="AL706" s="1222"/>
      <c r="AM706" s="1186" t="str">
        <f t="shared" si="30"/>
        <v xml:space="preserve"> </v>
      </c>
      <c r="AN706" s="1187"/>
      <c r="AO706" s="1188"/>
      <c r="BA706" s="41"/>
      <c r="BB706" s="41"/>
      <c r="BC706" s="41"/>
      <c r="BD706" s="41"/>
      <c r="BE706" s="41"/>
      <c r="BF706" s="41"/>
      <c r="BG706" s="868" t="s">
        <v>1184</v>
      </c>
      <c r="BH706" s="869" t="s">
        <v>1185</v>
      </c>
      <c r="BI706" s="870" t="s">
        <v>1186</v>
      </c>
      <c r="BJ706" s="41"/>
      <c r="BK706" s="41"/>
      <c r="BL706" s="41"/>
      <c r="BM706" s="41"/>
      <c r="BN706" s="41"/>
      <c r="BO706" s="41"/>
      <c r="BP706" s="589" t="s">
        <v>883</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63"/>
      <c r="C707" s="1264"/>
      <c r="D707" s="1264"/>
      <c r="E707" s="1264"/>
      <c r="F707" s="1284"/>
      <c r="G707" s="1227"/>
      <c r="H707" s="1228"/>
      <c r="I707" s="1228"/>
      <c r="J707" s="1229"/>
      <c r="K707" s="1213"/>
      <c r="L707" s="1214"/>
      <c r="M707" s="1214"/>
      <c r="N707" s="1215"/>
      <c r="O707" s="1216"/>
      <c r="P707" s="1217"/>
      <c r="Q707" s="1217"/>
      <c r="R707" s="1217"/>
      <c r="S707" s="1218"/>
      <c r="T707" s="1189">
        <f t="shared" si="28"/>
        <v>0</v>
      </c>
      <c r="U707" s="1190"/>
      <c r="V707" s="1190"/>
      <c r="W707" s="1190"/>
      <c r="X707" s="1191"/>
      <c r="Y707" s="1216"/>
      <c r="Z707" s="1217"/>
      <c r="AA707" s="1217"/>
      <c r="AB707" s="1218"/>
      <c r="AC707" s="1189">
        <f t="shared" si="29"/>
        <v>0</v>
      </c>
      <c r="AD707" s="1190"/>
      <c r="AE707" s="1190"/>
      <c r="AF707" s="1190"/>
      <c r="AG707" s="1191"/>
      <c r="AH707" s="1220"/>
      <c r="AI707" s="1221"/>
      <c r="AJ707" s="1221"/>
      <c r="AK707" s="1221"/>
      <c r="AL707" s="1222"/>
      <c r="AM707" s="1186" t="str">
        <f t="shared" si="30"/>
        <v xml:space="preserve"> </v>
      </c>
      <c r="AN707" s="1187"/>
      <c r="AO707" s="1188"/>
      <c r="BA707" s="41"/>
      <c r="BB707" s="41"/>
      <c r="BC707" s="41"/>
      <c r="BD707" s="41"/>
      <c r="BE707" s="41"/>
      <c r="BF707" s="41"/>
      <c r="BG707" s="871">
        <f>G692</f>
        <v>3</v>
      </c>
      <c r="BH707" s="875">
        <f>BG707/$BG$732</f>
        <v>5.0847457627118647E-2</v>
      </c>
      <c r="BI707" s="876">
        <f>IF(BH707=0," ",BH707*AM692)</f>
        <v>1.5233369658466462E-2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63"/>
      <c r="C708" s="1264"/>
      <c r="D708" s="1264"/>
      <c r="E708" s="1264"/>
      <c r="F708" s="1284"/>
      <c r="G708" s="1227"/>
      <c r="H708" s="1228"/>
      <c r="I708" s="1228"/>
      <c r="J708" s="1229"/>
      <c r="K708" s="1213"/>
      <c r="L708" s="1214"/>
      <c r="M708" s="1214"/>
      <c r="N708" s="1215"/>
      <c r="O708" s="1216"/>
      <c r="P708" s="1217"/>
      <c r="Q708" s="1217"/>
      <c r="R708" s="1217"/>
      <c r="S708" s="1218"/>
      <c r="T708" s="1189">
        <f t="shared" si="28"/>
        <v>0</v>
      </c>
      <c r="U708" s="1190"/>
      <c r="V708" s="1190"/>
      <c r="W708" s="1190"/>
      <c r="X708" s="1191"/>
      <c r="Y708" s="1216"/>
      <c r="Z708" s="1217"/>
      <c r="AA708" s="1217"/>
      <c r="AB708" s="1218"/>
      <c r="AC708" s="1189">
        <f t="shared" si="29"/>
        <v>0</v>
      </c>
      <c r="AD708" s="1190"/>
      <c r="AE708" s="1190"/>
      <c r="AF708" s="1190"/>
      <c r="AG708" s="1191"/>
      <c r="AH708" s="1220"/>
      <c r="AI708" s="1221"/>
      <c r="AJ708" s="1221"/>
      <c r="AK708" s="1221"/>
      <c r="AL708" s="1222"/>
      <c r="AM708" s="1186" t="str">
        <f t="shared" si="30"/>
        <v xml:space="preserve"> </v>
      </c>
      <c r="AN708" s="1187"/>
      <c r="AO708" s="1188"/>
      <c r="BA708" s="41"/>
      <c r="BB708" s="41"/>
      <c r="BC708" s="41"/>
      <c r="BD708" s="41"/>
      <c r="BE708" s="41"/>
      <c r="BF708" s="41"/>
      <c r="BG708" s="871">
        <f t="shared" ref="BG708:BG731" si="31">G693</f>
        <v>4</v>
      </c>
      <c r="BH708" s="875">
        <f t="shared" ref="BH708:BH731" si="32">BG708/$BG$732</f>
        <v>6.7796610169491525E-2</v>
      </c>
      <c r="BI708" s="876">
        <f t="shared" ref="BI708:BI731" si="33">IF(BH708=0," ",BH708*AM693)</f>
        <v>2.3696352802058937E-2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63"/>
      <c r="C709" s="1264"/>
      <c r="D709" s="1264"/>
      <c r="E709" s="1264"/>
      <c r="F709" s="1284"/>
      <c r="G709" s="1227"/>
      <c r="H709" s="1228"/>
      <c r="I709" s="1228"/>
      <c r="J709" s="1229"/>
      <c r="K709" s="1213"/>
      <c r="L709" s="1214"/>
      <c r="M709" s="1214"/>
      <c r="N709" s="1215"/>
      <c r="O709" s="1216"/>
      <c r="P709" s="1217"/>
      <c r="Q709" s="1217"/>
      <c r="R709" s="1217"/>
      <c r="S709" s="1218"/>
      <c r="T709" s="1189">
        <f t="shared" si="28"/>
        <v>0</v>
      </c>
      <c r="U709" s="1190"/>
      <c r="V709" s="1190"/>
      <c r="W709" s="1190"/>
      <c r="X709" s="1191"/>
      <c r="Y709" s="1216"/>
      <c r="Z709" s="1217"/>
      <c r="AA709" s="1217"/>
      <c r="AB709" s="1218"/>
      <c r="AC709" s="1189">
        <f t="shared" si="29"/>
        <v>0</v>
      </c>
      <c r="AD709" s="1190"/>
      <c r="AE709" s="1190"/>
      <c r="AF709" s="1190"/>
      <c r="AG709" s="1191"/>
      <c r="AH709" s="1220"/>
      <c r="AI709" s="1221"/>
      <c r="AJ709" s="1221"/>
      <c r="AK709" s="1221"/>
      <c r="AL709" s="1222"/>
      <c r="AM709" s="1186" t="str">
        <f t="shared" si="30"/>
        <v xml:space="preserve"> </v>
      </c>
      <c r="AN709" s="1187"/>
      <c r="AO709" s="1188"/>
      <c r="BA709" s="43"/>
      <c r="BB709" s="43"/>
      <c r="BC709" s="43"/>
      <c r="BD709" s="43"/>
      <c r="BE709" s="43"/>
      <c r="BF709" s="43"/>
      <c r="BG709" s="871">
        <f t="shared" si="31"/>
        <v>3</v>
      </c>
      <c r="BH709" s="875">
        <f t="shared" si="32"/>
        <v>5.0847457627118647E-2</v>
      </c>
      <c r="BI709" s="876">
        <f t="shared" si="33"/>
        <v>2.0345938927403839E-2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63"/>
      <c r="C710" s="1264"/>
      <c r="D710" s="1264"/>
      <c r="E710" s="1264"/>
      <c r="F710" s="1284"/>
      <c r="G710" s="1227"/>
      <c r="H710" s="1228"/>
      <c r="I710" s="1228"/>
      <c r="J710" s="1229"/>
      <c r="K710" s="1213"/>
      <c r="L710" s="1214"/>
      <c r="M710" s="1214"/>
      <c r="N710" s="1215"/>
      <c r="O710" s="1216"/>
      <c r="P710" s="1217"/>
      <c r="Q710" s="1217"/>
      <c r="R710" s="1217"/>
      <c r="S710" s="1218"/>
      <c r="T710" s="1189">
        <f t="shared" si="28"/>
        <v>0</v>
      </c>
      <c r="U710" s="1190"/>
      <c r="V710" s="1190"/>
      <c r="W710" s="1190"/>
      <c r="X710" s="1191"/>
      <c r="Y710" s="1216"/>
      <c r="Z710" s="1217"/>
      <c r="AA710" s="1217"/>
      <c r="AB710" s="1218"/>
      <c r="AC710" s="1189">
        <f t="shared" si="29"/>
        <v>0</v>
      </c>
      <c r="AD710" s="1190"/>
      <c r="AE710" s="1190"/>
      <c r="AF710" s="1190"/>
      <c r="AG710" s="1191"/>
      <c r="AH710" s="1220"/>
      <c r="AI710" s="1221"/>
      <c r="AJ710" s="1221"/>
      <c r="AK710" s="1221"/>
      <c r="AL710" s="1222"/>
      <c r="AM710" s="1186" t="str">
        <f t="shared" si="30"/>
        <v xml:space="preserve"> </v>
      </c>
      <c r="AN710" s="1187"/>
      <c r="AO710" s="1188"/>
      <c r="BA710" s="43"/>
      <c r="BB710" s="43"/>
      <c r="BC710" s="43"/>
      <c r="BD710" s="43"/>
      <c r="BE710" s="43"/>
      <c r="BF710" s="43"/>
      <c r="BG710" s="871">
        <f t="shared" si="31"/>
        <v>8</v>
      </c>
      <c r="BH710" s="875">
        <f t="shared" si="32"/>
        <v>0.13559322033898305</v>
      </c>
      <c r="BI710" s="876">
        <f t="shared" si="33"/>
        <v>8.1337383199239499E-2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63"/>
      <c r="C711" s="1264"/>
      <c r="D711" s="1264"/>
      <c r="E711" s="1264"/>
      <c r="F711" s="1284"/>
      <c r="G711" s="1227"/>
      <c r="H711" s="1228"/>
      <c r="I711" s="1228"/>
      <c r="J711" s="1229"/>
      <c r="K711" s="1213"/>
      <c r="L711" s="1214"/>
      <c r="M711" s="1214"/>
      <c r="N711" s="1215"/>
      <c r="O711" s="1216"/>
      <c r="P711" s="1217"/>
      <c r="Q711" s="1217"/>
      <c r="R711" s="1217"/>
      <c r="S711" s="1218"/>
      <c r="T711" s="1189">
        <f t="shared" si="28"/>
        <v>0</v>
      </c>
      <c r="U711" s="1190"/>
      <c r="V711" s="1190"/>
      <c r="W711" s="1190"/>
      <c r="X711" s="1191"/>
      <c r="Y711" s="1216"/>
      <c r="Z711" s="1217"/>
      <c r="AA711" s="1217"/>
      <c r="AB711" s="1218"/>
      <c r="AC711" s="1189">
        <f t="shared" si="29"/>
        <v>0</v>
      </c>
      <c r="AD711" s="1190"/>
      <c r="AE711" s="1190"/>
      <c r="AF711" s="1190"/>
      <c r="AG711" s="1191"/>
      <c r="AH711" s="1220"/>
      <c r="AI711" s="1221"/>
      <c r="AJ711" s="1221"/>
      <c r="AK711" s="1221"/>
      <c r="AL711" s="1222"/>
      <c r="AM711" s="1186" t="str">
        <f t="shared" si="30"/>
        <v xml:space="preserve"> </v>
      </c>
      <c r="AN711" s="1187"/>
      <c r="AO711" s="1188"/>
      <c r="BA711" s="43"/>
      <c r="BB711" s="43"/>
      <c r="BC711" s="43"/>
      <c r="BD711" s="43"/>
      <c r="BE711" s="43"/>
      <c r="BF711" s="43"/>
      <c r="BG711" s="871">
        <f t="shared" si="31"/>
        <v>5</v>
      </c>
      <c r="BH711" s="875">
        <f t="shared" si="32"/>
        <v>8.4745762711864403E-2</v>
      </c>
      <c r="BI711" s="876">
        <f t="shared" si="33"/>
        <v>2.5414065670718744E-2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63"/>
      <c r="C712" s="1264"/>
      <c r="D712" s="1264"/>
      <c r="E712" s="1264"/>
      <c r="F712" s="1284"/>
      <c r="G712" s="1227"/>
      <c r="H712" s="1228"/>
      <c r="I712" s="1228"/>
      <c r="J712" s="1229"/>
      <c r="K712" s="1213"/>
      <c r="L712" s="1214"/>
      <c r="M712" s="1214"/>
      <c r="N712" s="1215"/>
      <c r="O712" s="1216"/>
      <c r="P712" s="1217"/>
      <c r="Q712" s="1217"/>
      <c r="R712" s="1217"/>
      <c r="S712" s="1218"/>
      <c r="T712" s="1189">
        <f t="shared" si="28"/>
        <v>0</v>
      </c>
      <c r="U712" s="1190"/>
      <c r="V712" s="1190"/>
      <c r="W712" s="1190"/>
      <c r="X712" s="1191"/>
      <c r="Y712" s="1216"/>
      <c r="Z712" s="1217"/>
      <c r="AA712" s="1217"/>
      <c r="AB712" s="1218"/>
      <c r="AC712" s="1189">
        <f t="shared" si="29"/>
        <v>0</v>
      </c>
      <c r="AD712" s="1190"/>
      <c r="AE712" s="1190"/>
      <c r="AF712" s="1190"/>
      <c r="AG712" s="1191"/>
      <c r="AH712" s="1220"/>
      <c r="AI712" s="1221"/>
      <c r="AJ712" s="1221"/>
      <c r="AK712" s="1221"/>
      <c r="AL712" s="1222"/>
      <c r="AM712" s="1186" t="str">
        <f t="shared" si="30"/>
        <v xml:space="preserve"> </v>
      </c>
      <c r="AN712" s="1187"/>
      <c r="AO712" s="1188"/>
      <c r="BA712" s="43"/>
      <c r="BB712" s="43"/>
      <c r="BC712" s="43"/>
      <c r="BD712" s="43"/>
      <c r="BE712" s="43"/>
      <c r="BF712" s="43"/>
      <c r="BG712" s="871">
        <f t="shared" si="31"/>
        <v>5</v>
      </c>
      <c r="BH712" s="875">
        <f t="shared" si="32"/>
        <v>8.4745762711864403E-2</v>
      </c>
      <c r="BI712" s="876">
        <f t="shared" si="33"/>
        <v>2.966584852057283E-2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63"/>
      <c r="C713" s="1264"/>
      <c r="D713" s="1264"/>
      <c r="E713" s="1264"/>
      <c r="F713" s="1284"/>
      <c r="G713" s="1227"/>
      <c r="H713" s="1228"/>
      <c r="I713" s="1228"/>
      <c r="J713" s="1229"/>
      <c r="K713" s="1213"/>
      <c r="L713" s="1214"/>
      <c r="M713" s="1214"/>
      <c r="N713" s="1215"/>
      <c r="O713" s="1216"/>
      <c r="P713" s="1217"/>
      <c r="Q713" s="1217"/>
      <c r="R713" s="1217"/>
      <c r="S713" s="1218"/>
      <c r="T713" s="1189">
        <f t="shared" si="28"/>
        <v>0</v>
      </c>
      <c r="U713" s="1190"/>
      <c r="V713" s="1190"/>
      <c r="W713" s="1190"/>
      <c r="X713" s="1191"/>
      <c r="Y713" s="1216"/>
      <c r="Z713" s="1217"/>
      <c r="AA713" s="1217"/>
      <c r="AB713" s="1218"/>
      <c r="AC713" s="1189">
        <f t="shared" si="29"/>
        <v>0</v>
      </c>
      <c r="AD713" s="1190"/>
      <c r="AE713" s="1190"/>
      <c r="AF713" s="1190"/>
      <c r="AG713" s="1191"/>
      <c r="AH713" s="1220"/>
      <c r="AI713" s="1221"/>
      <c r="AJ713" s="1221"/>
      <c r="AK713" s="1221"/>
      <c r="AL713" s="1222"/>
      <c r="AM713" s="1186" t="str">
        <f t="shared" si="30"/>
        <v xml:space="preserve"> </v>
      </c>
      <c r="AN713" s="1187"/>
      <c r="AO713" s="1188"/>
      <c r="BA713" s="43"/>
      <c r="BB713" s="43"/>
      <c r="BC713" s="43"/>
      <c r="BD713" s="43"/>
      <c r="BE713" s="43"/>
      <c r="BF713" s="43"/>
      <c r="BG713" s="871">
        <f t="shared" si="31"/>
        <v>5</v>
      </c>
      <c r="BH713" s="875">
        <f t="shared" si="32"/>
        <v>8.4745762711864403E-2</v>
      </c>
      <c r="BI713" s="876">
        <f t="shared" si="33"/>
        <v>3.3917631370426915E-2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63"/>
      <c r="C714" s="1264"/>
      <c r="D714" s="1264"/>
      <c r="E714" s="1264"/>
      <c r="F714" s="1284"/>
      <c r="G714" s="1227"/>
      <c r="H714" s="1228"/>
      <c r="I714" s="1228"/>
      <c r="J714" s="1229"/>
      <c r="K714" s="1213"/>
      <c r="L714" s="1214"/>
      <c r="M714" s="1214"/>
      <c r="N714" s="1215"/>
      <c r="O714" s="1216"/>
      <c r="P714" s="1217"/>
      <c r="Q714" s="1217"/>
      <c r="R714" s="1217"/>
      <c r="S714" s="1218"/>
      <c r="T714" s="1189">
        <f t="shared" si="28"/>
        <v>0</v>
      </c>
      <c r="U714" s="1190"/>
      <c r="V714" s="1190"/>
      <c r="W714" s="1190"/>
      <c r="X714" s="1191"/>
      <c r="Y714" s="1216"/>
      <c r="Z714" s="1217"/>
      <c r="AA714" s="1217"/>
      <c r="AB714" s="1218"/>
      <c r="AC714" s="1189">
        <f t="shared" si="29"/>
        <v>0</v>
      </c>
      <c r="AD714" s="1190"/>
      <c r="AE714" s="1190"/>
      <c r="AF714" s="1190"/>
      <c r="AG714" s="1191"/>
      <c r="AH714" s="1220"/>
      <c r="AI714" s="1221"/>
      <c r="AJ714" s="1221"/>
      <c r="AK714" s="1221"/>
      <c r="AL714" s="1222"/>
      <c r="AM714" s="1186" t="str">
        <f t="shared" si="30"/>
        <v xml:space="preserve"> </v>
      </c>
      <c r="AN714" s="1187"/>
      <c r="AO714" s="1188"/>
      <c r="BA714" s="3"/>
      <c r="BB714" s="41"/>
      <c r="BC714" s="41"/>
      <c r="BD714" s="41"/>
      <c r="BE714" s="43"/>
      <c r="BF714" s="43"/>
      <c r="BG714" s="871">
        <f t="shared" si="31"/>
        <v>8</v>
      </c>
      <c r="BH714" s="875">
        <f t="shared" si="32"/>
        <v>0.13559322033898305</v>
      </c>
      <c r="BI714" s="876">
        <f t="shared" si="33"/>
        <v>8.1402315289024613E-2</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63"/>
      <c r="C715" s="1264"/>
      <c r="D715" s="1264"/>
      <c r="E715" s="1264"/>
      <c r="F715" s="1284"/>
      <c r="G715" s="1227"/>
      <c r="H715" s="1228"/>
      <c r="I715" s="1228"/>
      <c r="J715" s="1229"/>
      <c r="K715" s="1213"/>
      <c r="L715" s="1214"/>
      <c r="M715" s="1214"/>
      <c r="N715" s="1215"/>
      <c r="O715" s="1216"/>
      <c r="P715" s="1217"/>
      <c r="Q715" s="1217"/>
      <c r="R715" s="1217"/>
      <c r="S715" s="1218"/>
      <c r="T715" s="1189">
        <f t="shared" si="28"/>
        <v>0</v>
      </c>
      <c r="U715" s="1190"/>
      <c r="V715" s="1190"/>
      <c r="W715" s="1190"/>
      <c r="X715" s="1191"/>
      <c r="Y715" s="1216"/>
      <c r="Z715" s="1217"/>
      <c r="AA715" s="1217"/>
      <c r="AB715" s="1218"/>
      <c r="AC715" s="1189">
        <f t="shared" si="29"/>
        <v>0</v>
      </c>
      <c r="AD715" s="1190"/>
      <c r="AE715" s="1190"/>
      <c r="AF715" s="1190"/>
      <c r="AG715" s="1191"/>
      <c r="AH715" s="1220"/>
      <c r="AI715" s="1221"/>
      <c r="AJ715" s="1221"/>
      <c r="AK715" s="1221"/>
      <c r="AL715" s="1222"/>
      <c r="AM715" s="1186" t="str">
        <f t="shared" si="30"/>
        <v xml:space="preserve"> </v>
      </c>
      <c r="AN715" s="1187"/>
      <c r="AO715" s="1188"/>
      <c r="BA715" s="41"/>
      <c r="BB715" s="41"/>
      <c r="BC715" s="41"/>
      <c r="BD715" s="41"/>
      <c r="BE715" s="43"/>
      <c r="BF715" s="43"/>
      <c r="BG715" s="871">
        <f t="shared" si="31"/>
        <v>4</v>
      </c>
      <c r="BH715" s="875">
        <f t="shared" si="32"/>
        <v>6.7796610169491525E-2</v>
      </c>
      <c r="BI715" s="876">
        <f t="shared" si="33"/>
        <v>2.0312212424916758E-2</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63"/>
      <c r="C716" s="1264"/>
      <c r="D716" s="1264"/>
      <c r="E716" s="1264"/>
      <c r="F716" s="1284"/>
      <c r="G716" s="1227"/>
      <c r="H716" s="1228"/>
      <c r="I716" s="1228"/>
      <c r="J716" s="1229"/>
      <c r="K716" s="1213"/>
      <c r="L716" s="1214"/>
      <c r="M716" s="1214"/>
      <c r="N716" s="1215"/>
      <c r="O716" s="1216"/>
      <c r="P716" s="1217"/>
      <c r="Q716" s="1217"/>
      <c r="R716" s="1217"/>
      <c r="S716" s="1218"/>
      <c r="T716" s="1189">
        <f t="shared" si="28"/>
        <v>0</v>
      </c>
      <c r="U716" s="1190"/>
      <c r="V716" s="1190"/>
      <c r="W716" s="1190"/>
      <c r="X716" s="1191"/>
      <c r="Y716" s="1216"/>
      <c r="Z716" s="1217"/>
      <c r="AA716" s="1217"/>
      <c r="AB716" s="1218"/>
      <c r="AC716" s="1189">
        <f t="shared" si="29"/>
        <v>0</v>
      </c>
      <c r="AD716" s="1190"/>
      <c r="AE716" s="1190"/>
      <c r="AF716" s="1190"/>
      <c r="AG716" s="1191"/>
      <c r="AH716" s="1220"/>
      <c r="AI716" s="1221"/>
      <c r="AJ716" s="1221"/>
      <c r="AK716" s="1221"/>
      <c r="AL716" s="1222"/>
      <c r="AM716" s="1186" t="str">
        <f t="shared" si="30"/>
        <v xml:space="preserve"> </v>
      </c>
      <c r="AN716" s="1187"/>
      <c r="AO716" s="1188"/>
      <c r="BA716" s="41"/>
      <c r="BB716" s="41"/>
      <c r="BC716" s="41"/>
      <c r="BD716" s="41"/>
      <c r="BE716" s="43"/>
      <c r="BF716" s="43"/>
      <c r="BG716" s="871">
        <f t="shared" si="31"/>
        <v>3</v>
      </c>
      <c r="BH716" s="875">
        <f t="shared" si="32"/>
        <v>5.0847457627118647E-2</v>
      </c>
      <c r="BI716" s="876">
        <f t="shared" si="33"/>
        <v>1.7794100423310522E-2</v>
      </c>
      <c r="BJ716" s="43"/>
      <c r="BK716" s="43"/>
      <c r="BL716" s="43"/>
      <c r="BM716" s="43"/>
      <c r="BN716" s="43"/>
      <c r="BO716" s="43"/>
      <c r="BP716" s="589" t="s">
        <v>844</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36" t="s">
        <v>918</v>
      </c>
      <c r="C717" s="1137"/>
      <c r="D717" s="1137"/>
      <c r="E717" s="1137"/>
      <c r="F717" s="1138"/>
      <c r="G717" s="1468">
        <f>SUM(G692:J716)</f>
        <v>59</v>
      </c>
      <c r="H717" s="1469"/>
      <c r="I717" s="1469"/>
      <c r="J717" s="1470"/>
      <c r="O717" s="441" t="s">
        <v>917</v>
      </c>
      <c r="P717" s="168"/>
      <c r="Q717" s="168"/>
      <c r="R717" s="168"/>
      <c r="S717" s="862"/>
      <c r="T717" s="1189">
        <f>SUM(T692:X716)</f>
        <v>41548</v>
      </c>
      <c r="U717" s="1190"/>
      <c r="V717" s="1190"/>
      <c r="W717" s="1190"/>
      <c r="X717" s="1191"/>
      <c r="AC717" s="863" t="s">
        <v>1187</v>
      </c>
      <c r="AD717" s="864"/>
      <c r="AE717" s="864"/>
      <c r="AF717" s="864"/>
      <c r="AG717" s="865"/>
      <c r="AH717" s="1192">
        <f>BI701</f>
        <v>0.45084745762711864</v>
      </c>
      <c r="AI717" s="1193"/>
      <c r="AJ717" s="1193"/>
      <c r="AK717" s="1193"/>
      <c r="AL717" s="1194"/>
      <c r="AM717" s="1192">
        <f>BI732</f>
        <v>0.45076393861675634</v>
      </c>
      <c r="AN717" s="1193"/>
      <c r="AO717" s="1194"/>
      <c r="BA717" s="41"/>
      <c r="BB717" s="41"/>
      <c r="BC717" s="41"/>
      <c r="BD717" s="41"/>
      <c r="BE717" s="43"/>
      <c r="BF717" s="43"/>
      <c r="BG717" s="871">
        <f t="shared" si="31"/>
        <v>3</v>
      </c>
      <c r="BH717" s="875">
        <f t="shared" si="32"/>
        <v>5.0847457627118647E-2</v>
      </c>
      <c r="BI717" s="876">
        <f t="shared" si="33"/>
        <v>2.0328944066123449E-2</v>
      </c>
      <c r="BJ717" s="43"/>
      <c r="BK717" s="43"/>
      <c r="BL717" s="43"/>
      <c r="BM717" s="43"/>
      <c r="BN717" s="43"/>
      <c r="BO717" s="43"/>
      <c r="BP717" s="589" t="s">
        <v>845</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508" t="s">
        <v>2162</v>
      </c>
      <c r="D718" s="1508"/>
      <c r="E718" s="1508"/>
      <c r="F718" s="1508"/>
      <c r="G718" s="1508"/>
      <c r="H718" s="1508"/>
      <c r="I718" s="1508"/>
      <c r="J718" s="1508"/>
      <c r="K718" s="1508"/>
      <c r="L718" s="1508"/>
      <c r="M718" s="1508"/>
      <c r="N718" s="1508"/>
      <c r="O718" s="1508"/>
      <c r="P718" s="1508"/>
      <c r="Q718" s="1508"/>
      <c r="R718" s="1508"/>
      <c r="S718" s="1508"/>
      <c r="T718" s="1508"/>
      <c r="U718" s="1508"/>
      <c r="V718" s="1508"/>
      <c r="W718" s="1508"/>
      <c r="X718" s="1508"/>
      <c r="Y718" s="1508"/>
      <c r="Z718" s="1508"/>
      <c r="AA718" s="1508"/>
      <c r="AB718" s="1508"/>
      <c r="AC718" s="1508"/>
      <c r="AD718" s="1508"/>
      <c r="AE718" s="1508"/>
      <c r="AF718" s="1508"/>
      <c r="AG718" s="1508"/>
      <c r="AH718" s="1508"/>
      <c r="AL718" s="41"/>
      <c r="AM718" s="43"/>
      <c r="BA718" s="41"/>
      <c r="BB718" s="41"/>
      <c r="BC718" s="41"/>
      <c r="BD718" s="41"/>
      <c r="BE718" s="41"/>
      <c r="BF718" s="41"/>
      <c r="BG718" s="871">
        <f t="shared" si="31"/>
        <v>8</v>
      </c>
      <c r="BH718" s="875">
        <f t="shared" si="32"/>
        <v>0.13559322033898305</v>
      </c>
      <c r="BI718" s="876">
        <f t="shared" si="33"/>
        <v>8.131577626449378E-2</v>
      </c>
      <c r="BJ718" s="41"/>
      <c r="BK718" s="41"/>
      <c r="BL718" s="41"/>
      <c r="BM718" s="41"/>
      <c r="BN718" s="41"/>
      <c r="BO718" s="41"/>
      <c r="BP718" s="589" t="s">
        <v>846</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508"/>
      <c r="D719" s="1508"/>
      <c r="E719" s="1508"/>
      <c r="F719" s="1508"/>
      <c r="G719" s="1508"/>
      <c r="H719" s="1508"/>
      <c r="I719" s="1508"/>
      <c r="J719" s="1508"/>
      <c r="K719" s="1508"/>
      <c r="L719" s="1508"/>
      <c r="M719" s="1508"/>
      <c r="N719" s="1508"/>
      <c r="O719" s="1508"/>
      <c r="P719" s="1508"/>
      <c r="Q719" s="1508"/>
      <c r="R719" s="1508"/>
      <c r="S719" s="1508"/>
      <c r="T719" s="1508"/>
      <c r="U719" s="1508"/>
      <c r="V719" s="1508"/>
      <c r="W719" s="1508"/>
      <c r="X719" s="1508"/>
      <c r="Y719" s="1508"/>
      <c r="Z719" s="1508"/>
      <c r="AA719" s="1508"/>
      <c r="AB719" s="1508"/>
      <c r="AC719" s="1508"/>
      <c r="AD719" s="1508"/>
      <c r="AE719" s="1508"/>
      <c r="AF719" s="1508"/>
      <c r="AG719" s="1508"/>
      <c r="AH719" s="1508"/>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847</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2163</v>
      </c>
      <c r="D720" s="942"/>
      <c r="E720" s="942"/>
      <c r="F720" s="942"/>
      <c r="G720" s="943"/>
      <c r="H720" s="943"/>
      <c r="I720" s="943"/>
      <c r="J720" s="943"/>
      <c r="K720" s="942"/>
      <c r="L720" s="942"/>
      <c r="M720" s="942"/>
      <c r="N720" s="942"/>
      <c r="O720" s="1507">
        <f>CQ615</f>
        <v>118</v>
      </c>
      <c r="P720" s="1507"/>
      <c r="Q720" s="1507"/>
      <c r="R720" s="1507"/>
      <c r="S720" s="944"/>
      <c r="T720" s="944"/>
      <c r="U720" s="270" t="s">
        <v>2164</v>
      </c>
      <c r="V720" s="942"/>
      <c r="W720" s="942"/>
      <c r="X720" s="942"/>
      <c r="Y720" s="943"/>
      <c r="Z720" s="943"/>
      <c r="AA720" s="943"/>
      <c r="AB720" s="943"/>
      <c r="AC720" s="942"/>
      <c r="AD720" s="942"/>
      <c r="AE720" s="942"/>
      <c r="AF720" s="942"/>
      <c r="AG720" s="1506"/>
      <c r="AH720" s="1506"/>
      <c r="AI720" s="1506"/>
      <c r="AJ720" s="1506"/>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848</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849</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45" t="s">
        <v>2161</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219" t="s">
        <v>132</v>
      </c>
      <c r="AA722" s="1219"/>
      <c r="AB722" s="1219"/>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850</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87" t="s">
        <v>2160</v>
      </c>
      <c r="C723" s="987"/>
      <c r="D723" s="987"/>
      <c r="E723" s="987"/>
      <c r="F723" s="987"/>
      <c r="G723" s="987"/>
      <c r="H723" s="987"/>
      <c r="I723" s="987"/>
      <c r="J723" s="987"/>
      <c r="K723" s="987"/>
      <c r="L723" s="987"/>
      <c r="M723" s="987"/>
      <c r="N723" s="987"/>
      <c r="O723" s="987"/>
      <c r="P723" s="987"/>
      <c r="Q723" s="987"/>
      <c r="R723" s="987"/>
      <c r="S723" s="987"/>
      <c r="T723" s="987"/>
      <c r="U723" s="987"/>
      <c r="V723" s="987"/>
      <c r="W723" s="987"/>
      <c r="X723" s="987"/>
      <c r="Y723" s="987"/>
      <c r="Z723" s="987"/>
      <c r="AA723" s="987"/>
      <c r="AB723" s="987"/>
      <c r="AC723" s="987"/>
      <c r="AD723" s="987"/>
      <c r="AE723" s="987"/>
      <c r="AF723" s="987"/>
      <c r="AG723" s="987"/>
      <c r="AH723" s="987"/>
      <c r="AI723" s="987"/>
      <c r="AJ723" s="987"/>
      <c r="AK723" s="987"/>
      <c r="AL723" s="987"/>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886</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3" customHeight="1">
      <c r="B724" s="987"/>
      <c r="C724" s="987"/>
      <c r="D724" s="987"/>
      <c r="E724" s="987"/>
      <c r="F724" s="987"/>
      <c r="G724" s="987"/>
      <c r="H724" s="987"/>
      <c r="I724" s="987"/>
      <c r="J724" s="987"/>
      <c r="K724" s="987"/>
      <c r="L724" s="987"/>
      <c r="M724" s="987"/>
      <c r="N724" s="987"/>
      <c r="O724" s="987"/>
      <c r="P724" s="987"/>
      <c r="Q724" s="987"/>
      <c r="R724" s="987"/>
      <c r="S724" s="987"/>
      <c r="T724" s="987"/>
      <c r="U724" s="987"/>
      <c r="V724" s="987"/>
      <c r="W724" s="987"/>
      <c r="X724" s="987"/>
      <c r="Y724" s="987"/>
      <c r="Z724" s="987"/>
      <c r="AA724" s="987"/>
      <c r="AB724" s="987"/>
      <c r="AC724" s="987"/>
      <c r="AD724" s="987"/>
      <c r="AE724" s="987"/>
      <c r="AF724" s="987"/>
      <c r="AG724" s="987"/>
      <c r="AH724" s="987"/>
      <c r="AI724" s="987"/>
      <c r="AJ724" s="987"/>
      <c r="AK724" s="987"/>
      <c r="AL724" s="987"/>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851</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852</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87" t="s">
        <v>1588</v>
      </c>
      <c r="D726" s="987"/>
      <c r="E726" s="987"/>
      <c r="F726" s="987"/>
      <c r="G726" s="987"/>
      <c r="H726" s="987"/>
      <c r="I726" s="987"/>
      <c r="J726" s="987"/>
      <c r="K726" s="987"/>
      <c r="L726" s="987"/>
      <c r="M726" s="987"/>
      <c r="N726" s="987"/>
      <c r="O726" s="987"/>
      <c r="P726" s="987"/>
      <c r="Q726" s="987"/>
      <c r="R726" s="987"/>
      <c r="S726" s="987"/>
      <c r="T726" s="987"/>
      <c r="U726" s="987"/>
      <c r="V726" s="987"/>
      <c r="W726" s="987"/>
      <c r="X726" s="987"/>
      <c r="Y726" s="987"/>
      <c r="Z726" s="987"/>
      <c r="AA726" s="987"/>
      <c r="AB726" s="987"/>
      <c r="AC726" s="987"/>
      <c r="AD726" s="987"/>
      <c r="AE726" s="987"/>
      <c r="AF726" s="987"/>
      <c r="AG726" s="987"/>
      <c r="AH726" s="987"/>
      <c r="AI726" s="987"/>
      <c r="AJ726" s="987"/>
      <c r="AK726" s="987"/>
      <c r="AL726" s="987"/>
      <c r="AM726" s="987"/>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853</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87"/>
      <c r="D727" s="987"/>
      <c r="E727" s="987"/>
      <c r="F727" s="987"/>
      <c r="G727" s="987"/>
      <c r="H727" s="987"/>
      <c r="I727" s="987"/>
      <c r="J727" s="987"/>
      <c r="K727" s="987"/>
      <c r="L727" s="987"/>
      <c r="M727" s="987"/>
      <c r="N727" s="987"/>
      <c r="O727" s="987"/>
      <c r="P727" s="987"/>
      <c r="Q727" s="987"/>
      <c r="R727" s="987"/>
      <c r="S727" s="987"/>
      <c r="T727" s="987"/>
      <c r="U727" s="987"/>
      <c r="V727" s="987"/>
      <c r="W727" s="987"/>
      <c r="X727" s="987"/>
      <c r="Y727" s="987"/>
      <c r="Z727" s="987"/>
      <c r="AA727" s="987"/>
      <c r="AB727" s="987"/>
      <c r="AC727" s="987"/>
      <c r="AD727" s="987"/>
      <c r="AE727" s="987"/>
      <c r="AF727" s="987"/>
      <c r="AG727" s="987"/>
      <c r="AH727" s="987"/>
      <c r="AI727" s="987"/>
      <c r="AJ727" s="987"/>
      <c r="AK727" s="987"/>
      <c r="AL727" s="987"/>
      <c r="AM727" s="987"/>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854</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87"/>
      <c r="D728" s="987"/>
      <c r="E728" s="987"/>
      <c r="F728" s="987"/>
      <c r="G728" s="987"/>
      <c r="H728" s="987"/>
      <c r="I728" s="987"/>
      <c r="J728" s="987"/>
      <c r="K728" s="987"/>
      <c r="L728" s="987"/>
      <c r="M728" s="987"/>
      <c r="N728" s="987"/>
      <c r="O728" s="987"/>
      <c r="P728" s="987"/>
      <c r="Q728" s="987"/>
      <c r="R728" s="987"/>
      <c r="S728" s="987"/>
      <c r="T728" s="987"/>
      <c r="U728" s="987"/>
      <c r="V728" s="987"/>
      <c r="W728" s="987"/>
      <c r="X728" s="987"/>
      <c r="Y728" s="987"/>
      <c r="Z728" s="987"/>
      <c r="AA728" s="987"/>
      <c r="AB728" s="987"/>
      <c r="AC728" s="987"/>
      <c r="AD728" s="987"/>
      <c r="AE728" s="987"/>
      <c r="AF728" s="987"/>
      <c r="AG728" s="987"/>
      <c r="AH728" s="987"/>
      <c r="AI728" s="987"/>
      <c r="AJ728" s="987"/>
      <c r="AK728" s="987"/>
      <c r="AL728" s="987"/>
      <c r="AM728" s="987"/>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855</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87"/>
      <c r="D729" s="987"/>
      <c r="E729" s="987"/>
      <c r="F729" s="987"/>
      <c r="G729" s="987"/>
      <c r="H729" s="987"/>
      <c r="I729" s="987"/>
      <c r="J729" s="987"/>
      <c r="K729" s="987"/>
      <c r="L729" s="987"/>
      <c r="M729" s="987"/>
      <c r="N729" s="987"/>
      <c r="O729" s="987"/>
      <c r="P729" s="987"/>
      <c r="Q729" s="987"/>
      <c r="R729" s="987"/>
      <c r="S729" s="987"/>
      <c r="T729" s="987"/>
      <c r="U729" s="987"/>
      <c r="V729" s="987"/>
      <c r="W729" s="987"/>
      <c r="X729" s="987"/>
      <c r="Y729" s="987"/>
      <c r="Z729" s="987"/>
      <c r="AA729" s="987"/>
      <c r="AB729" s="987"/>
      <c r="AC729" s="987"/>
      <c r="AD729" s="987"/>
      <c r="AE729" s="987"/>
      <c r="AF729" s="987"/>
      <c r="AG729" s="987"/>
      <c r="AH729" s="987"/>
      <c r="AI729" s="987"/>
      <c r="AJ729" s="987"/>
      <c r="AK729" s="987"/>
      <c r="AL729" s="987"/>
      <c r="AM729" s="987"/>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87"/>
      <c r="D730" s="987"/>
      <c r="E730" s="987"/>
      <c r="F730" s="987"/>
      <c r="G730" s="987"/>
      <c r="H730" s="987"/>
      <c r="I730" s="987"/>
      <c r="J730" s="987"/>
      <c r="K730" s="987"/>
      <c r="L730" s="987"/>
      <c r="M730" s="987"/>
      <c r="N730" s="987"/>
      <c r="O730" s="987"/>
      <c r="P730" s="987"/>
      <c r="Q730" s="987"/>
      <c r="R730" s="987"/>
      <c r="S730" s="987"/>
      <c r="T730" s="987"/>
      <c r="U730" s="987"/>
      <c r="V730" s="987"/>
      <c r="W730" s="987"/>
      <c r="X730" s="987"/>
      <c r="Y730" s="987"/>
      <c r="Z730" s="987"/>
      <c r="AA730" s="987"/>
      <c r="AB730" s="987"/>
      <c r="AC730" s="987"/>
      <c r="AD730" s="987"/>
      <c r="AE730" s="987"/>
      <c r="AF730" s="987"/>
      <c r="AG730" s="987"/>
      <c r="AH730" s="987"/>
      <c r="AI730" s="987"/>
      <c r="AJ730" s="987"/>
      <c r="AK730" s="987"/>
      <c r="AL730" s="987"/>
      <c r="AM730" s="987"/>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856</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87"/>
      <c r="D731" s="987"/>
      <c r="E731" s="987"/>
      <c r="F731" s="987"/>
      <c r="G731" s="987"/>
      <c r="H731" s="987"/>
      <c r="I731" s="987"/>
      <c r="J731" s="987"/>
      <c r="K731" s="987"/>
      <c r="L731" s="987"/>
      <c r="M731" s="987"/>
      <c r="N731" s="987"/>
      <c r="O731" s="987"/>
      <c r="P731" s="987"/>
      <c r="Q731" s="987"/>
      <c r="R731" s="987"/>
      <c r="S731" s="987"/>
      <c r="T731" s="987"/>
      <c r="U731" s="987"/>
      <c r="V731" s="987"/>
      <c r="W731" s="987"/>
      <c r="X731" s="987"/>
      <c r="Y731" s="987"/>
      <c r="Z731" s="987"/>
      <c r="AA731" s="987"/>
      <c r="AB731" s="987"/>
      <c r="AC731" s="987"/>
      <c r="AD731" s="987"/>
      <c r="AE731" s="987"/>
      <c r="AF731" s="987"/>
      <c r="AG731" s="987"/>
      <c r="AH731" s="987"/>
      <c r="AI731" s="987"/>
      <c r="AJ731" s="987"/>
      <c r="AK731" s="987"/>
      <c r="AL731" s="987"/>
      <c r="AM731" s="987"/>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857</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87"/>
      <c r="D732" s="987"/>
      <c r="E732" s="987"/>
      <c r="F732" s="987"/>
      <c r="G732" s="987"/>
      <c r="H732" s="987"/>
      <c r="I732" s="987"/>
      <c r="J732" s="987"/>
      <c r="K732" s="987"/>
      <c r="L732" s="987"/>
      <c r="M732" s="987"/>
      <c r="N732" s="987"/>
      <c r="O732" s="987"/>
      <c r="P732" s="987"/>
      <c r="Q732" s="987"/>
      <c r="R732" s="987"/>
      <c r="S732" s="987"/>
      <c r="T732" s="987"/>
      <c r="U732" s="987"/>
      <c r="V732" s="987"/>
      <c r="W732" s="987"/>
      <c r="X732" s="987"/>
      <c r="Y732" s="987"/>
      <c r="Z732" s="987"/>
      <c r="AA732" s="987"/>
      <c r="AB732" s="987"/>
      <c r="AC732" s="987"/>
      <c r="AD732" s="987"/>
      <c r="AE732" s="987"/>
      <c r="AF732" s="987"/>
      <c r="AG732" s="987"/>
      <c r="AH732" s="987"/>
      <c r="AI732" s="987"/>
      <c r="AJ732" s="987"/>
      <c r="AK732" s="987"/>
      <c r="AL732" s="987"/>
      <c r="AM732" s="987"/>
      <c r="BA732" s="41"/>
      <c r="BB732" s="41"/>
      <c r="BC732" s="41"/>
      <c r="BD732" s="41"/>
      <c r="BE732" s="41"/>
      <c r="BF732" s="41"/>
      <c r="BG732" s="872">
        <f>SUM(BG707:BG731)</f>
        <v>59</v>
      </c>
      <c r="BH732" s="873">
        <f>SUM(BH707:BH731)</f>
        <v>0.99999999999999989</v>
      </c>
      <c r="BI732" s="873">
        <f>SUM(BI707:BI731)</f>
        <v>0.45076393861675634</v>
      </c>
      <c r="BJ732" s="41"/>
      <c r="BK732" s="41"/>
      <c r="BL732" s="41"/>
      <c r="BM732" s="41"/>
      <c r="BN732" s="41"/>
      <c r="BO732" s="41"/>
      <c r="BP732" s="589" t="s">
        <v>858</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87"/>
      <c r="D733" s="987"/>
      <c r="E733" s="987"/>
      <c r="F733" s="987"/>
      <c r="G733" s="987"/>
      <c r="H733" s="987"/>
      <c r="I733" s="987"/>
      <c r="J733" s="987"/>
      <c r="K733" s="987"/>
      <c r="L733" s="987"/>
      <c r="M733" s="987"/>
      <c r="N733" s="987"/>
      <c r="O733" s="987"/>
      <c r="P733" s="987"/>
      <c r="Q733" s="987"/>
      <c r="R733" s="987"/>
      <c r="S733" s="987"/>
      <c r="T733" s="987"/>
      <c r="U733" s="987"/>
      <c r="V733" s="987"/>
      <c r="W733" s="987"/>
      <c r="X733" s="987"/>
      <c r="Y733" s="987"/>
      <c r="Z733" s="987"/>
      <c r="AA733" s="987"/>
      <c r="AB733" s="987"/>
      <c r="AC733" s="987"/>
      <c r="AD733" s="987"/>
      <c r="AE733" s="987"/>
      <c r="AF733" s="987"/>
      <c r="AG733" s="987"/>
      <c r="AH733" s="987"/>
      <c r="AI733" s="987"/>
      <c r="AJ733" s="987"/>
      <c r="AK733" s="987"/>
      <c r="AL733" s="987"/>
      <c r="AM733" s="987"/>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04" t="s">
        <v>58</v>
      </c>
      <c r="K734" s="1205"/>
      <c r="L734" s="1205"/>
      <c r="M734" s="1205"/>
      <c r="N734" s="1206"/>
      <c r="O734" s="1511" t="s">
        <v>271</v>
      </c>
      <c r="P734" s="1511"/>
      <c r="Q734" s="1511"/>
      <c r="R734" s="1511"/>
      <c r="S734" s="1511"/>
      <c r="T734" s="1195" t="s">
        <v>2093</v>
      </c>
      <c r="U734" s="1196"/>
      <c r="V734" s="1196"/>
      <c r="W734" s="1197"/>
      <c r="X734" s="1204" t="s">
        <v>625</v>
      </c>
      <c r="Y734" s="1205"/>
      <c r="Z734" s="1205"/>
      <c r="AA734" s="1205"/>
      <c r="AB734" s="1206"/>
      <c r="AC734" s="1204" t="s">
        <v>272</v>
      </c>
      <c r="AD734" s="1205"/>
      <c r="AE734" s="1205"/>
      <c r="AF734" s="1205"/>
      <c r="AG734" s="1206"/>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07"/>
      <c r="K735" s="1208"/>
      <c r="L735" s="1208"/>
      <c r="M735" s="1208"/>
      <c r="N735" s="1209"/>
      <c r="O735" s="1511"/>
      <c r="P735" s="1511"/>
      <c r="Q735" s="1511"/>
      <c r="R735" s="1511"/>
      <c r="S735" s="1511"/>
      <c r="T735" s="1198"/>
      <c r="U735" s="1199"/>
      <c r="V735" s="1199"/>
      <c r="W735" s="1200"/>
      <c r="X735" s="1207"/>
      <c r="Y735" s="1208"/>
      <c r="Z735" s="1208"/>
      <c r="AA735" s="1208"/>
      <c r="AB735" s="1209"/>
      <c r="AC735" s="1207"/>
      <c r="AD735" s="1208"/>
      <c r="AE735" s="1208"/>
      <c r="AF735" s="1208"/>
      <c r="AG735" s="1209"/>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07"/>
      <c r="K736" s="1208"/>
      <c r="L736" s="1208"/>
      <c r="M736" s="1208"/>
      <c r="N736" s="1209"/>
      <c r="O736" s="1511"/>
      <c r="P736" s="1511"/>
      <c r="Q736" s="1511"/>
      <c r="R736" s="1511"/>
      <c r="S736" s="1511"/>
      <c r="T736" s="1198"/>
      <c r="U736" s="1199"/>
      <c r="V736" s="1199"/>
      <c r="W736" s="1200"/>
      <c r="X736" s="1207"/>
      <c r="Y736" s="1208"/>
      <c r="Z736" s="1208"/>
      <c r="AA736" s="1208"/>
      <c r="AB736" s="1209"/>
      <c r="AC736" s="1207"/>
      <c r="AD736" s="1208"/>
      <c r="AE736" s="1208"/>
      <c r="AF736" s="1208"/>
      <c r="AG736" s="1209"/>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2.95" customHeight="1">
      <c r="J737" s="1210"/>
      <c r="K737" s="1211"/>
      <c r="L737" s="1211"/>
      <c r="M737" s="1211"/>
      <c r="N737" s="1212"/>
      <c r="O737" s="1511"/>
      <c r="P737" s="1511"/>
      <c r="Q737" s="1511"/>
      <c r="R737" s="1511"/>
      <c r="S737" s="1511"/>
      <c r="T737" s="1201"/>
      <c r="U737" s="1202"/>
      <c r="V737" s="1202"/>
      <c r="W737" s="1203"/>
      <c r="X737" s="1210"/>
      <c r="Y737" s="1211"/>
      <c r="Z737" s="1211"/>
      <c r="AA737" s="1211"/>
      <c r="AB737" s="1212"/>
      <c r="AC737" s="1210"/>
      <c r="AD737" s="1211"/>
      <c r="AE737" s="1211"/>
      <c r="AF737" s="1211"/>
      <c r="AG737" s="1212"/>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2.95" customHeight="1">
      <c r="J738" s="1263" t="s">
        <v>817</v>
      </c>
      <c r="K738" s="1264"/>
      <c r="L738" s="1264"/>
      <c r="M738" s="1264"/>
      <c r="N738" s="1284"/>
      <c r="O738" s="1357">
        <v>1</v>
      </c>
      <c r="P738" s="1357"/>
      <c r="Q738" s="1357"/>
      <c r="R738" s="1357"/>
      <c r="S738" s="1357"/>
      <c r="T738" s="1213">
        <v>713</v>
      </c>
      <c r="U738" s="1214"/>
      <c r="V738" s="1214"/>
      <c r="W738" s="1215"/>
      <c r="X738" s="1216"/>
      <c r="Y738" s="1217"/>
      <c r="Z738" s="1217"/>
      <c r="AA738" s="1217"/>
      <c r="AB738" s="1218"/>
      <c r="AC738" s="1189">
        <f>X738*O738</f>
        <v>0</v>
      </c>
      <c r="AD738" s="1190"/>
      <c r="AE738" s="1190"/>
      <c r="AF738" s="1190"/>
      <c r="AG738" s="1191"/>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63"/>
      <c r="K739" s="1264"/>
      <c r="L739" s="1264"/>
      <c r="M739" s="1264"/>
      <c r="N739" s="1284"/>
      <c r="O739" s="1357"/>
      <c r="P739" s="1357"/>
      <c r="Q739" s="1357"/>
      <c r="R739" s="1357"/>
      <c r="S739" s="1357"/>
      <c r="T739" s="1213"/>
      <c r="U739" s="1214"/>
      <c r="V739" s="1214"/>
      <c r="W739" s="1215"/>
      <c r="X739" s="1216"/>
      <c r="Y739" s="1217"/>
      <c r="Z739" s="1217"/>
      <c r="AA739" s="1217"/>
      <c r="AB739" s="1218"/>
      <c r="AC739" s="1189">
        <f>X739*O739</f>
        <v>0</v>
      </c>
      <c r="AD739" s="1190"/>
      <c r="AE739" s="1190"/>
      <c r="AF739" s="1190"/>
      <c r="AG739" s="1191"/>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63"/>
      <c r="K740" s="1264"/>
      <c r="L740" s="1264"/>
      <c r="M740" s="1264"/>
      <c r="N740" s="1284"/>
      <c r="O740" s="1357"/>
      <c r="P740" s="1357"/>
      <c r="Q740" s="1357"/>
      <c r="R740" s="1357"/>
      <c r="S740" s="1357"/>
      <c r="T740" s="1213"/>
      <c r="U740" s="1214"/>
      <c r="V740" s="1214"/>
      <c r="W740" s="1215"/>
      <c r="X740" s="1216"/>
      <c r="Y740" s="1217"/>
      <c r="Z740" s="1217"/>
      <c r="AA740" s="1217"/>
      <c r="AB740" s="1218"/>
      <c r="AC740" s="1189">
        <f>X740*O740</f>
        <v>0</v>
      </c>
      <c r="AD740" s="1190"/>
      <c r="AE740" s="1190"/>
      <c r="AF740" s="1190"/>
      <c r="AG740" s="1191"/>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63"/>
      <c r="K741" s="1264"/>
      <c r="L741" s="1264"/>
      <c r="M741" s="1264"/>
      <c r="N741" s="1284"/>
      <c r="O741" s="1357"/>
      <c r="P741" s="1357"/>
      <c r="Q741" s="1357"/>
      <c r="R741" s="1357"/>
      <c r="S741" s="1357"/>
      <c r="T741" s="1213"/>
      <c r="U741" s="1214"/>
      <c r="V741" s="1214"/>
      <c r="W741" s="1215"/>
      <c r="X741" s="1216"/>
      <c r="Y741" s="1217"/>
      <c r="Z741" s="1217"/>
      <c r="AA741" s="1217"/>
      <c r="AB741" s="1218"/>
      <c r="AC741" s="1189">
        <f>X741*O741</f>
        <v>0</v>
      </c>
      <c r="AD741" s="1190"/>
      <c r="AE741" s="1190"/>
      <c r="AF741" s="1190"/>
      <c r="AG741" s="1191"/>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36" t="s">
        <v>918</v>
      </c>
      <c r="K742" s="1137"/>
      <c r="L742" s="1137"/>
      <c r="M742" s="1137"/>
      <c r="N742" s="1138"/>
      <c r="O742" s="1241">
        <f>SUM(O738:S741)</f>
        <v>1</v>
      </c>
      <c r="P742" s="1242"/>
      <c r="Q742" s="1242"/>
      <c r="R742" s="1242"/>
      <c r="S742" s="1243"/>
      <c r="X742" s="1136" t="s">
        <v>917</v>
      </c>
      <c r="Y742" s="1137"/>
      <c r="Z742" s="1137"/>
      <c r="AA742" s="1137"/>
      <c r="AB742" s="1138"/>
      <c r="AC742" s="1189">
        <f>SUM(AC738:AG741)</f>
        <v>0</v>
      </c>
      <c r="AD742" s="1190"/>
      <c r="AE742" s="1190"/>
      <c r="AF742" s="1190"/>
      <c r="AG742" s="1191"/>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66" t="s">
        <v>511</v>
      </c>
      <c r="K744" s="1266"/>
      <c r="L744" s="62"/>
      <c r="M744" s="431" t="s">
        <v>1318</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31" t="s">
        <v>2238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04" t="s">
        <v>58</v>
      </c>
      <c r="K748" s="1205"/>
      <c r="L748" s="1205"/>
      <c r="M748" s="1205"/>
      <c r="N748" s="1206"/>
      <c r="O748" s="1511" t="s">
        <v>271</v>
      </c>
      <c r="P748" s="1511"/>
      <c r="Q748" s="1511"/>
      <c r="R748" s="1511"/>
      <c r="S748" s="1511"/>
      <c r="T748" s="1195" t="s">
        <v>2093</v>
      </c>
      <c r="U748" s="1196"/>
      <c r="V748" s="1196"/>
      <c r="W748" s="1197"/>
      <c r="X748" s="1204" t="s">
        <v>625</v>
      </c>
      <c r="Y748" s="1205"/>
      <c r="Z748" s="1205"/>
      <c r="AA748" s="1205"/>
      <c r="AB748" s="1206"/>
      <c r="AC748" s="1204" t="s">
        <v>272</v>
      </c>
      <c r="AD748" s="1205"/>
      <c r="AE748" s="1205"/>
      <c r="AF748" s="1205"/>
      <c r="AG748" s="1206"/>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07"/>
      <c r="K749" s="1208"/>
      <c r="L749" s="1208"/>
      <c r="M749" s="1208"/>
      <c r="N749" s="1209"/>
      <c r="O749" s="1511"/>
      <c r="P749" s="1511"/>
      <c r="Q749" s="1511"/>
      <c r="R749" s="1511"/>
      <c r="S749" s="1511"/>
      <c r="T749" s="1198"/>
      <c r="U749" s="1199"/>
      <c r="V749" s="1199"/>
      <c r="W749" s="1200"/>
      <c r="X749" s="1207"/>
      <c r="Y749" s="1208"/>
      <c r="Z749" s="1208"/>
      <c r="AA749" s="1208"/>
      <c r="AB749" s="1209"/>
      <c r="AC749" s="1207"/>
      <c r="AD749" s="1208"/>
      <c r="AE749" s="1208"/>
      <c r="AF749" s="1208"/>
      <c r="AG749" s="1209"/>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07"/>
      <c r="K750" s="1208"/>
      <c r="L750" s="1208"/>
      <c r="M750" s="1208"/>
      <c r="N750" s="1209"/>
      <c r="O750" s="1511"/>
      <c r="P750" s="1511"/>
      <c r="Q750" s="1511"/>
      <c r="R750" s="1511"/>
      <c r="S750" s="1511"/>
      <c r="T750" s="1198"/>
      <c r="U750" s="1199"/>
      <c r="V750" s="1199"/>
      <c r="W750" s="1200"/>
      <c r="X750" s="1207"/>
      <c r="Y750" s="1208"/>
      <c r="Z750" s="1208"/>
      <c r="AA750" s="1208"/>
      <c r="AB750" s="1209"/>
      <c r="AC750" s="1207"/>
      <c r="AD750" s="1208"/>
      <c r="AE750" s="1208"/>
      <c r="AF750" s="1208"/>
      <c r="AG750" s="1209"/>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0"/>
      <c r="K751" s="1211"/>
      <c r="L751" s="1211"/>
      <c r="M751" s="1211"/>
      <c r="N751" s="1212"/>
      <c r="O751" s="1511"/>
      <c r="P751" s="1511"/>
      <c r="Q751" s="1511"/>
      <c r="R751" s="1511"/>
      <c r="S751" s="1511"/>
      <c r="T751" s="1201"/>
      <c r="U751" s="1202"/>
      <c r="V751" s="1202"/>
      <c r="W751" s="1203"/>
      <c r="X751" s="1210"/>
      <c r="Y751" s="1211"/>
      <c r="Z751" s="1211"/>
      <c r="AA751" s="1211"/>
      <c r="AB751" s="1212"/>
      <c r="AC751" s="1210"/>
      <c r="AD751" s="1211"/>
      <c r="AE751" s="1211"/>
      <c r="AF751" s="1211"/>
      <c r="AG751" s="1212"/>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63"/>
      <c r="K752" s="1264"/>
      <c r="L752" s="1264"/>
      <c r="M752" s="1264"/>
      <c r="N752" s="1284"/>
      <c r="O752" s="1357"/>
      <c r="P752" s="1357"/>
      <c r="Q752" s="1357"/>
      <c r="R752" s="1357"/>
      <c r="S752" s="1357"/>
      <c r="T752" s="1213"/>
      <c r="U752" s="1214"/>
      <c r="V752" s="1214"/>
      <c r="W752" s="1215"/>
      <c r="X752" s="1216"/>
      <c r="Y752" s="1217"/>
      <c r="Z752" s="1217"/>
      <c r="AA752" s="1217"/>
      <c r="AB752" s="1218"/>
      <c r="AC752" s="1189">
        <f t="shared" ref="AC752:AC761" si="34">X752*O752</f>
        <v>0</v>
      </c>
      <c r="AD752" s="1190"/>
      <c r="AE752" s="1190"/>
      <c r="AF752" s="1190"/>
      <c r="AG752" s="119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63"/>
      <c r="K753" s="1264"/>
      <c r="L753" s="1264"/>
      <c r="M753" s="1264"/>
      <c r="N753" s="1284"/>
      <c r="O753" s="1357"/>
      <c r="P753" s="1357"/>
      <c r="Q753" s="1357"/>
      <c r="R753" s="1357"/>
      <c r="S753" s="1357"/>
      <c r="T753" s="1213"/>
      <c r="U753" s="1214"/>
      <c r="V753" s="1214"/>
      <c r="W753" s="1215"/>
      <c r="X753" s="1216"/>
      <c r="Y753" s="1217"/>
      <c r="Z753" s="1217"/>
      <c r="AA753" s="1217"/>
      <c r="AB753" s="1218"/>
      <c r="AC753" s="1189">
        <f t="shared" si="34"/>
        <v>0</v>
      </c>
      <c r="AD753" s="1190"/>
      <c r="AE753" s="1190"/>
      <c r="AF753" s="1190"/>
      <c r="AG753" s="119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63"/>
      <c r="K754" s="1264"/>
      <c r="L754" s="1264"/>
      <c r="M754" s="1264"/>
      <c r="N754" s="1284"/>
      <c r="O754" s="1357"/>
      <c r="P754" s="1357"/>
      <c r="Q754" s="1357"/>
      <c r="R754" s="1357"/>
      <c r="S754" s="1357"/>
      <c r="T754" s="1213"/>
      <c r="U754" s="1214"/>
      <c r="V754" s="1214"/>
      <c r="W754" s="1215"/>
      <c r="X754" s="1216"/>
      <c r="Y754" s="1217"/>
      <c r="Z754" s="1217"/>
      <c r="AA754" s="1217"/>
      <c r="AB754" s="1218"/>
      <c r="AC754" s="1189">
        <f t="shared" si="34"/>
        <v>0</v>
      </c>
      <c r="AD754" s="1190"/>
      <c r="AE754" s="1190"/>
      <c r="AF754" s="1190"/>
      <c r="AG754" s="119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63"/>
      <c r="K755" s="1264"/>
      <c r="L755" s="1264"/>
      <c r="M755" s="1264"/>
      <c r="N755" s="1284"/>
      <c r="O755" s="1357"/>
      <c r="P755" s="1357"/>
      <c r="Q755" s="1357"/>
      <c r="R755" s="1357"/>
      <c r="S755" s="1357"/>
      <c r="T755" s="1213"/>
      <c r="U755" s="1214"/>
      <c r="V755" s="1214"/>
      <c r="W755" s="1215"/>
      <c r="X755" s="1216"/>
      <c r="Y755" s="1217"/>
      <c r="Z755" s="1217"/>
      <c r="AA755" s="1217"/>
      <c r="AB755" s="1218"/>
      <c r="AC755" s="1189">
        <f t="shared" si="34"/>
        <v>0</v>
      </c>
      <c r="AD755" s="1190"/>
      <c r="AE755" s="1190"/>
      <c r="AF755" s="1190"/>
      <c r="AG755" s="1191"/>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63"/>
      <c r="K756" s="1264"/>
      <c r="L756" s="1264"/>
      <c r="M756" s="1264"/>
      <c r="N756" s="1284"/>
      <c r="O756" s="1357"/>
      <c r="P756" s="1357"/>
      <c r="Q756" s="1357"/>
      <c r="R756" s="1357"/>
      <c r="S756" s="1357"/>
      <c r="T756" s="1213"/>
      <c r="U756" s="1214"/>
      <c r="V756" s="1214"/>
      <c r="W756" s="1215"/>
      <c r="X756" s="1216"/>
      <c r="Y756" s="1217"/>
      <c r="Z756" s="1217"/>
      <c r="AA756" s="1217"/>
      <c r="AB756" s="1218"/>
      <c r="AC756" s="1189">
        <f t="shared" si="34"/>
        <v>0</v>
      </c>
      <c r="AD756" s="1190"/>
      <c r="AE756" s="1190"/>
      <c r="AF756" s="1190"/>
      <c r="AG756" s="1191"/>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63"/>
      <c r="K757" s="1264"/>
      <c r="L757" s="1264"/>
      <c r="M757" s="1264"/>
      <c r="N757" s="1284"/>
      <c r="O757" s="1357"/>
      <c r="P757" s="1357"/>
      <c r="Q757" s="1357"/>
      <c r="R757" s="1357"/>
      <c r="S757" s="1357"/>
      <c r="T757" s="1213"/>
      <c r="U757" s="1214"/>
      <c r="V757" s="1214"/>
      <c r="W757" s="1215"/>
      <c r="X757" s="1216"/>
      <c r="Y757" s="1217"/>
      <c r="Z757" s="1217"/>
      <c r="AA757" s="1217"/>
      <c r="AB757" s="1218"/>
      <c r="AC757" s="1189">
        <f t="shared" si="34"/>
        <v>0</v>
      </c>
      <c r="AD757" s="1190"/>
      <c r="AE757" s="1190"/>
      <c r="AF757" s="1190"/>
      <c r="AG757" s="1191"/>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63"/>
      <c r="K758" s="1264"/>
      <c r="L758" s="1264"/>
      <c r="M758" s="1264"/>
      <c r="N758" s="1284"/>
      <c r="O758" s="1357"/>
      <c r="P758" s="1357"/>
      <c r="Q758" s="1357"/>
      <c r="R758" s="1357"/>
      <c r="S758" s="1357"/>
      <c r="T758" s="1213"/>
      <c r="U758" s="1214"/>
      <c r="V758" s="1214"/>
      <c r="W758" s="1215"/>
      <c r="X758" s="1216"/>
      <c r="Y758" s="1217"/>
      <c r="Z758" s="1217"/>
      <c r="AA758" s="1217"/>
      <c r="AB758" s="1218"/>
      <c r="AC758" s="1189">
        <f t="shared" si="34"/>
        <v>0</v>
      </c>
      <c r="AD758" s="1190"/>
      <c r="AE758" s="1190"/>
      <c r="AF758" s="1190"/>
      <c r="AG758" s="1191"/>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63"/>
      <c r="K759" s="1264"/>
      <c r="L759" s="1264"/>
      <c r="M759" s="1264"/>
      <c r="N759" s="1284"/>
      <c r="O759" s="1357"/>
      <c r="P759" s="1357"/>
      <c r="Q759" s="1357"/>
      <c r="R759" s="1357"/>
      <c r="S759" s="1357"/>
      <c r="T759" s="1213"/>
      <c r="U759" s="1214"/>
      <c r="V759" s="1214"/>
      <c r="W759" s="1215"/>
      <c r="X759" s="1216"/>
      <c r="Y759" s="1217"/>
      <c r="Z759" s="1217"/>
      <c r="AA759" s="1217"/>
      <c r="AB759" s="1218"/>
      <c r="AC759" s="1189">
        <f t="shared" si="34"/>
        <v>0</v>
      </c>
      <c r="AD759" s="1190"/>
      <c r="AE759" s="1190"/>
      <c r="AF759" s="1190"/>
      <c r="AG759" s="1191"/>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63"/>
      <c r="K760" s="1264"/>
      <c r="L760" s="1264"/>
      <c r="M760" s="1264"/>
      <c r="N760" s="1284"/>
      <c r="O760" s="1357"/>
      <c r="P760" s="1357"/>
      <c r="Q760" s="1357"/>
      <c r="R760" s="1357"/>
      <c r="S760" s="1357"/>
      <c r="T760" s="1213"/>
      <c r="U760" s="1214"/>
      <c r="V760" s="1214"/>
      <c r="W760" s="1215"/>
      <c r="X760" s="1216"/>
      <c r="Y760" s="1217"/>
      <c r="Z760" s="1217"/>
      <c r="AA760" s="1217"/>
      <c r="AB760" s="1218"/>
      <c r="AC760" s="1189">
        <f t="shared" si="34"/>
        <v>0</v>
      </c>
      <c r="AD760" s="1190"/>
      <c r="AE760" s="1190"/>
      <c r="AF760" s="1190"/>
      <c r="AG760" s="1191"/>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63"/>
      <c r="K761" s="1264"/>
      <c r="L761" s="1264"/>
      <c r="M761" s="1264"/>
      <c r="N761" s="1284"/>
      <c r="O761" s="1357"/>
      <c r="P761" s="1357"/>
      <c r="Q761" s="1357"/>
      <c r="R761" s="1357"/>
      <c r="S761" s="1357"/>
      <c r="T761" s="1213"/>
      <c r="U761" s="1214"/>
      <c r="V761" s="1214"/>
      <c r="W761" s="1215"/>
      <c r="X761" s="1216"/>
      <c r="Y761" s="1217"/>
      <c r="Z761" s="1217"/>
      <c r="AA761" s="1217"/>
      <c r="AB761" s="1218"/>
      <c r="AC761" s="1189">
        <f t="shared" si="34"/>
        <v>0</v>
      </c>
      <c r="AD761" s="1190"/>
      <c r="AE761" s="1190"/>
      <c r="AF761" s="1190"/>
      <c r="AG761" s="1191"/>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36" t="s">
        <v>918</v>
      </c>
      <c r="K762" s="1137"/>
      <c r="L762" s="1137"/>
      <c r="M762" s="1137"/>
      <c r="N762" s="1138"/>
      <c r="O762" s="1507">
        <f>SUM(O752:S761)</f>
        <v>0</v>
      </c>
      <c r="P762" s="1507"/>
      <c r="Q762" s="1507"/>
      <c r="R762" s="1507"/>
      <c r="S762" s="1507"/>
      <c r="X762" s="441" t="s">
        <v>917</v>
      </c>
      <c r="Y762" s="168"/>
      <c r="Z762" s="168"/>
      <c r="AA762" s="168"/>
      <c r="AB762" s="862"/>
      <c r="AC762" s="1189">
        <f>SUM(AC752:AG761)</f>
        <v>0</v>
      </c>
      <c r="AD762" s="1190"/>
      <c r="AE762" s="1190"/>
      <c r="AF762" s="1190"/>
      <c r="AG762" s="1191"/>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815</v>
      </c>
      <c r="Y764" s="1168">
        <f>T717+AC742+AC762</f>
        <v>41548</v>
      </c>
      <c r="Z764" s="1168"/>
      <c r="AA764" s="1168"/>
      <c r="AB764" s="1168"/>
      <c r="AC764" s="1168"/>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816</v>
      </c>
      <c r="Y765" s="1168">
        <f>(T717+AC742+AC762)*12</f>
        <v>498576</v>
      </c>
      <c r="Z765" s="1168"/>
      <c r="AA765" s="1168"/>
      <c r="AB765" s="1168"/>
      <c r="AC765" s="1168"/>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1220</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348</v>
      </c>
      <c r="I770" s="9"/>
      <c r="J770" s="9"/>
      <c r="K770" s="9"/>
      <c r="L770" s="9"/>
      <c r="M770" s="9"/>
      <c r="N770" s="9"/>
      <c r="O770" s="9"/>
      <c r="P770" s="9"/>
      <c r="Q770" s="9"/>
      <c r="R770" s="9"/>
      <c r="S770" s="9"/>
      <c r="T770" s="9"/>
      <c r="U770" s="9"/>
      <c r="V770" s="9"/>
      <c r="W770" s="9"/>
      <c r="X770" s="9"/>
      <c r="Y770" s="9"/>
      <c r="Z770" s="1425" t="s">
        <v>132</v>
      </c>
      <c r="AA770" s="1362"/>
      <c r="AB770" s="1362"/>
      <c r="AC770" s="1362"/>
      <c r="AD770" s="1362"/>
      <c r="AE770" s="136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349</v>
      </c>
      <c r="I771" s="9"/>
      <c r="J771" s="9"/>
      <c r="K771" s="9"/>
      <c r="L771" s="9"/>
      <c r="M771" s="9"/>
      <c r="N771" s="9"/>
      <c r="O771" s="9"/>
      <c r="P771" s="9"/>
      <c r="Q771" s="9"/>
      <c r="R771" s="9"/>
      <c r="S771" s="9"/>
      <c r="T771" s="9"/>
      <c r="U771" s="9"/>
      <c r="V771" s="9"/>
      <c r="W771" s="9"/>
      <c r="X771" s="9"/>
      <c r="Y771" s="9"/>
      <c r="Z771" s="1361"/>
      <c r="AA771" s="1362"/>
      <c r="AB771" s="1362"/>
      <c r="AC771" s="1362"/>
      <c r="AD771" s="1362"/>
      <c r="AE771" s="136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725</v>
      </c>
      <c r="I772" s="9"/>
      <c r="J772" s="9"/>
      <c r="K772" s="9"/>
      <c r="L772" s="9"/>
      <c r="M772" s="9"/>
      <c r="N772" s="9"/>
      <c r="O772" s="9"/>
      <c r="P772" s="9"/>
      <c r="Q772" s="9"/>
      <c r="R772" s="9"/>
      <c r="S772" s="9"/>
      <c r="T772" s="9"/>
      <c r="U772" s="9"/>
      <c r="V772" s="9"/>
      <c r="W772" s="9"/>
      <c r="X772" s="9"/>
      <c r="Y772" s="9"/>
      <c r="Z772" s="1358"/>
      <c r="AA772" s="1359"/>
      <c r="AB772" s="1359"/>
      <c r="AC772" s="1359"/>
      <c r="AD772" s="1359"/>
      <c r="AE772" s="1360"/>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813</v>
      </c>
      <c r="Z773" s="1539">
        <f>'Subsidy Contract Calculation'!I30</f>
        <v>0</v>
      </c>
      <c r="AA773" s="1540"/>
      <c r="AB773" s="1540"/>
      <c r="AC773" s="1540"/>
      <c r="AD773" s="1540"/>
      <c r="AE773" s="15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726</v>
      </c>
      <c r="I777" s="9"/>
      <c r="J777" s="9"/>
      <c r="K777" s="9"/>
      <c r="L777" s="9"/>
      <c r="M777" s="9"/>
      <c r="N777" s="9"/>
      <c r="O777" s="9"/>
      <c r="P777" s="9"/>
      <c r="Q777" s="9"/>
      <c r="R777" s="9"/>
      <c r="S777" s="9"/>
      <c r="T777" s="9"/>
      <c r="U777" s="9"/>
      <c r="V777" s="9"/>
      <c r="W777" s="9"/>
      <c r="X777" s="9"/>
      <c r="Y777" s="9"/>
      <c r="Z777" s="1159">
        <v>7200</v>
      </c>
      <c r="AA777" s="1160"/>
      <c r="AB777" s="1160"/>
      <c r="AC777" s="1160"/>
      <c r="AD777" s="1160"/>
      <c r="AE777" s="116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727</v>
      </c>
      <c r="I778" s="9"/>
      <c r="J778" s="9"/>
      <c r="K778" s="9"/>
      <c r="L778" s="9"/>
      <c r="M778" s="9"/>
      <c r="N778" s="9"/>
      <c r="O778" s="9"/>
      <c r="P778" s="9"/>
      <c r="Q778" s="9"/>
      <c r="R778" s="9"/>
      <c r="S778" s="9"/>
      <c r="T778" s="9"/>
      <c r="U778" s="9"/>
      <c r="V778" s="9"/>
      <c r="W778" s="9"/>
      <c r="X778" s="9"/>
      <c r="Y778" s="9"/>
      <c r="Z778" s="1159"/>
      <c r="AA778" s="1160"/>
      <c r="AB778" s="1160"/>
      <c r="AC778" s="1160"/>
      <c r="AD778" s="1160"/>
      <c r="AE778" s="116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728</v>
      </c>
      <c r="I779" s="9"/>
      <c r="J779" s="9"/>
      <c r="K779" s="9"/>
      <c r="L779" s="9"/>
      <c r="M779" s="9"/>
      <c r="N779" s="9"/>
      <c r="O779" s="9"/>
      <c r="P779" s="9"/>
      <c r="Q779" s="9"/>
      <c r="R779" s="9"/>
      <c r="S779" s="9"/>
      <c r="T779" s="9"/>
      <c r="U779" s="9"/>
      <c r="V779" s="9"/>
      <c r="W779" s="9"/>
      <c r="X779" s="9"/>
      <c r="Y779" s="9"/>
      <c r="Z779" s="1159"/>
      <c r="AA779" s="1160"/>
      <c r="AB779" s="1160"/>
      <c r="AC779" s="1160"/>
      <c r="AD779" s="1160"/>
      <c r="AE779" s="116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729</v>
      </c>
      <c r="I780" s="9"/>
      <c r="J780" s="9"/>
      <c r="K780" s="9"/>
      <c r="L780" s="9"/>
      <c r="M780" s="9"/>
      <c r="N780" s="9"/>
      <c r="O780" s="9"/>
      <c r="P780" s="1121" t="s">
        <v>2482</v>
      </c>
      <c r="Q780" s="1122"/>
      <c r="R780" s="1122"/>
      <c r="S780" s="1122"/>
      <c r="T780" s="1122"/>
      <c r="U780" s="1122"/>
      <c r="V780" s="1122"/>
      <c r="W780" s="1122"/>
      <c r="X780" s="1122"/>
      <c r="Y780" s="1123"/>
      <c r="Z780" s="1159">
        <v>7200</v>
      </c>
      <c r="AA780" s="1160"/>
      <c r="AB780" s="1160"/>
      <c r="AC780" s="1160"/>
      <c r="AD780" s="1160"/>
      <c r="AE780" s="116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814</v>
      </c>
      <c r="Z781" s="1153">
        <f>SUM(Z777:AE780)</f>
        <v>14400</v>
      </c>
      <c r="AA781" s="1154"/>
      <c r="AB781" s="1154"/>
      <c r="AC781" s="1154"/>
      <c r="AD781" s="1154"/>
      <c r="AE781" s="1155"/>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691</v>
      </c>
      <c r="Z782" s="1153">
        <f>Z781+Y765+Z773</f>
        <v>512976</v>
      </c>
      <c r="AA782" s="1154"/>
      <c r="AB782" s="1154"/>
      <c r="AC782" s="1154"/>
      <c r="AD782" s="1154"/>
      <c r="AE782" s="1155"/>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73" t="s">
        <v>919</v>
      </c>
      <c r="N787" s="1173"/>
      <c r="O787" s="1173"/>
      <c r="P787" s="1174"/>
      <c r="Q787" s="1177" t="s">
        <v>278</v>
      </c>
      <c r="R787" s="1177"/>
      <c r="S787" s="1177"/>
      <c r="T787" s="1177"/>
      <c r="U787" s="1177" t="s">
        <v>279</v>
      </c>
      <c r="V787" s="1177"/>
      <c r="W787" s="1177"/>
      <c r="X787" s="1177"/>
      <c r="Y787" s="1177" t="s">
        <v>280</v>
      </c>
      <c r="Z787" s="1177"/>
      <c r="AA787" s="1177"/>
      <c r="AB787" s="1177"/>
      <c r="AC787" s="1177" t="s">
        <v>35</v>
      </c>
      <c r="AD787" s="1177"/>
      <c r="AE787" s="1177"/>
      <c r="AF787" s="1177"/>
      <c r="AG787" s="1510" t="s">
        <v>594</v>
      </c>
      <c r="AH787" s="1510"/>
      <c r="AI787" s="1510"/>
      <c r="AJ787" s="151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75"/>
      <c r="N788" s="1175"/>
      <c r="O788" s="1175"/>
      <c r="P788" s="1176"/>
      <c r="Q788" s="1177"/>
      <c r="R788" s="1177"/>
      <c r="S788" s="1177"/>
      <c r="T788" s="1177"/>
      <c r="U788" s="1177"/>
      <c r="V788" s="1177"/>
      <c r="W788" s="1177"/>
      <c r="X788" s="1177"/>
      <c r="Y788" s="1177"/>
      <c r="Z788" s="1177"/>
      <c r="AA788" s="1177"/>
      <c r="AB788" s="1177"/>
      <c r="AC788" s="1177"/>
      <c r="AD788" s="1177"/>
      <c r="AE788" s="1177"/>
      <c r="AF788" s="1177"/>
      <c r="AG788" s="1510"/>
      <c r="AH788" s="1510"/>
      <c r="AI788" s="1510"/>
      <c r="AJ788" s="151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83" t="s">
        <v>730</v>
      </c>
      <c r="D789" s="1184"/>
      <c r="E789" s="1184"/>
      <c r="F789" s="1184"/>
      <c r="G789" s="1184"/>
      <c r="H789" s="1184"/>
      <c r="I789" s="54"/>
      <c r="J789" s="54"/>
      <c r="K789" s="54"/>
      <c r="L789" s="55"/>
      <c r="M789" s="1139"/>
      <c r="N789" s="1139"/>
      <c r="O789" s="1139"/>
      <c r="P789" s="1139"/>
      <c r="Q789" s="1139">
        <v>17</v>
      </c>
      <c r="R789" s="1139"/>
      <c r="S789" s="1139"/>
      <c r="T789" s="1139"/>
      <c r="U789" s="1139">
        <v>22</v>
      </c>
      <c r="V789" s="1139"/>
      <c r="W789" s="1139"/>
      <c r="X789" s="1139"/>
      <c r="Y789" s="1139">
        <v>26</v>
      </c>
      <c r="Z789" s="1139"/>
      <c r="AA789" s="1139"/>
      <c r="AB789" s="1139"/>
      <c r="AC789" s="1178"/>
      <c r="AD789" s="1179"/>
      <c r="AE789" s="1179"/>
      <c r="AF789" s="1180"/>
      <c r="AG789" s="1178"/>
      <c r="AH789" s="1179"/>
      <c r="AI789" s="1179"/>
      <c r="AJ789" s="1180"/>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1" t="s">
        <v>731</v>
      </c>
      <c r="D790" s="1182"/>
      <c r="E790" s="1182"/>
      <c r="F790" s="1182"/>
      <c r="G790" s="1182"/>
      <c r="H790" s="1182"/>
      <c r="I790" s="9"/>
      <c r="J790" s="9"/>
      <c r="K790" s="9"/>
      <c r="L790" s="52"/>
      <c r="M790" s="1139"/>
      <c r="N790" s="1139"/>
      <c r="O790" s="1139"/>
      <c r="P790" s="1139"/>
      <c r="Q790" s="1139"/>
      <c r="R790" s="1139"/>
      <c r="S790" s="1139"/>
      <c r="T790" s="1139"/>
      <c r="U790" s="1139"/>
      <c r="V790" s="1139"/>
      <c r="W790" s="1139"/>
      <c r="X790" s="1139"/>
      <c r="Y790" s="1139"/>
      <c r="Z790" s="1139"/>
      <c r="AA790" s="1139"/>
      <c r="AB790" s="1139"/>
      <c r="AC790" s="1178"/>
      <c r="AD790" s="1179"/>
      <c r="AE790" s="1179"/>
      <c r="AF790" s="1180"/>
      <c r="AG790" s="1178"/>
      <c r="AH790" s="1179"/>
      <c r="AI790" s="1179"/>
      <c r="AJ790" s="1180"/>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1" t="s">
        <v>76</v>
      </c>
      <c r="D791" s="1182"/>
      <c r="E791" s="1182"/>
      <c r="F791" s="1182"/>
      <c r="G791" s="1182"/>
      <c r="H791" s="1182"/>
      <c r="I791" s="66"/>
      <c r="J791" s="66"/>
      <c r="K791" s="66"/>
      <c r="L791" s="67"/>
      <c r="M791" s="1139"/>
      <c r="N791" s="1139"/>
      <c r="O791" s="1139"/>
      <c r="P791" s="1139"/>
      <c r="Q791" s="1139">
        <v>7</v>
      </c>
      <c r="R791" s="1139"/>
      <c r="S791" s="1139"/>
      <c r="T791" s="1139"/>
      <c r="U791" s="1139">
        <v>11</v>
      </c>
      <c r="V791" s="1139"/>
      <c r="W791" s="1139"/>
      <c r="X791" s="1139"/>
      <c r="Y791" s="1139">
        <v>14</v>
      </c>
      <c r="Z791" s="1139"/>
      <c r="AA791" s="1139"/>
      <c r="AB791" s="1139"/>
      <c r="AC791" s="1178"/>
      <c r="AD791" s="1179"/>
      <c r="AE791" s="1179"/>
      <c r="AF791" s="1180"/>
      <c r="AG791" s="1178"/>
      <c r="AH791" s="1179"/>
      <c r="AI791" s="1179"/>
      <c r="AJ791" s="1180"/>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1" t="s">
        <v>189</v>
      </c>
      <c r="D792" s="1182"/>
      <c r="E792" s="1182"/>
      <c r="F792" s="1182"/>
      <c r="G792" s="1182"/>
      <c r="H792" s="1182"/>
      <c r="I792" s="66"/>
      <c r="J792" s="66"/>
      <c r="K792" s="66"/>
      <c r="L792" s="67"/>
      <c r="M792" s="1139"/>
      <c r="N792" s="1139"/>
      <c r="O792" s="1139"/>
      <c r="P792" s="1139"/>
      <c r="Q792" s="1139">
        <v>26</v>
      </c>
      <c r="R792" s="1139"/>
      <c r="S792" s="1139"/>
      <c r="T792" s="1139"/>
      <c r="U792" s="1139">
        <v>37</v>
      </c>
      <c r="V792" s="1139"/>
      <c r="W792" s="1139"/>
      <c r="X792" s="1139"/>
      <c r="Y792" s="1139">
        <v>48</v>
      </c>
      <c r="Z792" s="1139"/>
      <c r="AA792" s="1139"/>
      <c r="AB792" s="1139"/>
      <c r="AC792" s="1178"/>
      <c r="AD792" s="1179"/>
      <c r="AE792" s="1179"/>
      <c r="AF792" s="1180"/>
      <c r="AG792" s="1178"/>
      <c r="AH792" s="1179"/>
      <c r="AI792" s="1179"/>
      <c r="AJ792" s="1180"/>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1" t="s">
        <v>828</v>
      </c>
      <c r="D793" s="1182"/>
      <c r="E793" s="1182"/>
      <c r="F793" s="1182"/>
      <c r="G793" s="1182"/>
      <c r="H793" s="1182"/>
      <c r="I793" s="66"/>
      <c r="J793" s="66"/>
      <c r="K793" s="66"/>
      <c r="L793" s="67"/>
      <c r="M793" s="1139"/>
      <c r="N793" s="1139"/>
      <c r="O793" s="1139"/>
      <c r="P793" s="1139"/>
      <c r="Q793" s="1139">
        <v>10</v>
      </c>
      <c r="R793" s="1139"/>
      <c r="S793" s="1139"/>
      <c r="T793" s="1139"/>
      <c r="U793" s="1139">
        <v>14</v>
      </c>
      <c r="V793" s="1139"/>
      <c r="W793" s="1139"/>
      <c r="X793" s="1139"/>
      <c r="Y793" s="1139">
        <v>18</v>
      </c>
      <c r="Z793" s="1139"/>
      <c r="AA793" s="1139"/>
      <c r="AB793" s="1139"/>
      <c r="AC793" s="1178"/>
      <c r="AD793" s="1179"/>
      <c r="AE793" s="1179"/>
      <c r="AF793" s="1180"/>
      <c r="AG793" s="1178"/>
      <c r="AH793" s="1179"/>
      <c r="AI793" s="1179"/>
      <c r="AJ793" s="118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85" t="s">
        <v>987</v>
      </c>
      <c r="D794" s="1182"/>
      <c r="E794" s="1182"/>
      <c r="F794" s="1182"/>
      <c r="G794" s="1182"/>
      <c r="H794" s="1182"/>
      <c r="I794" s="66"/>
      <c r="J794" s="66"/>
      <c r="K794" s="66"/>
      <c r="L794" s="67"/>
      <c r="M794" s="1139"/>
      <c r="N794" s="1139"/>
      <c r="O794" s="1139"/>
      <c r="P794" s="1139"/>
      <c r="Q794" s="1139"/>
      <c r="R794" s="1139"/>
      <c r="S794" s="1139"/>
      <c r="T794" s="1139"/>
      <c r="U794" s="1139"/>
      <c r="V794" s="1139"/>
      <c r="W794" s="1139"/>
      <c r="X794" s="1139"/>
      <c r="Y794" s="1139"/>
      <c r="Z794" s="1139"/>
      <c r="AA794" s="1139"/>
      <c r="AB794" s="1139"/>
      <c r="AC794" s="1178"/>
      <c r="AD794" s="1179"/>
      <c r="AE794" s="1179"/>
      <c r="AF794" s="1180"/>
      <c r="AG794" s="1178"/>
      <c r="AH794" s="1179"/>
      <c r="AI794" s="1179"/>
      <c r="AJ794" s="118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281</v>
      </c>
      <c r="D795" s="66"/>
      <c r="E795" s="66"/>
      <c r="F795" s="1129" t="s">
        <v>593</v>
      </c>
      <c r="G795" s="1122"/>
      <c r="H795" s="1122"/>
      <c r="I795" s="1122"/>
      <c r="J795" s="1122"/>
      <c r="K795" s="1122"/>
      <c r="L795" s="1122"/>
      <c r="M795" s="1139"/>
      <c r="N795" s="1139"/>
      <c r="O795" s="1139"/>
      <c r="P795" s="1139"/>
      <c r="Q795" s="1139"/>
      <c r="R795" s="1139"/>
      <c r="S795" s="1139"/>
      <c r="T795" s="1139"/>
      <c r="U795" s="1139"/>
      <c r="V795" s="1139"/>
      <c r="W795" s="1139"/>
      <c r="X795" s="1139"/>
      <c r="Y795" s="1139"/>
      <c r="Z795" s="1139"/>
      <c r="AA795" s="1139"/>
      <c r="AB795" s="1139"/>
      <c r="AC795" s="1178"/>
      <c r="AD795" s="1179"/>
      <c r="AE795" s="1179"/>
      <c r="AF795" s="1180"/>
      <c r="AG795" s="1178"/>
      <c r="AH795" s="1179"/>
      <c r="AI795" s="1179"/>
      <c r="AJ795" s="118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36" t="s">
        <v>917</v>
      </c>
      <c r="D796" s="1137"/>
      <c r="E796" s="1137"/>
      <c r="F796" s="1137"/>
      <c r="G796" s="1137"/>
      <c r="H796" s="1137"/>
      <c r="I796" s="1137"/>
      <c r="J796" s="1137"/>
      <c r="K796" s="1137"/>
      <c r="L796" s="1138"/>
      <c r="M796" s="1124">
        <f>SUM(M789:P795)</f>
        <v>0</v>
      </c>
      <c r="N796" s="1124"/>
      <c r="O796" s="1124"/>
      <c r="P796" s="1124"/>
      <c r="Q796" s="1124">
        <f>SUM(Q789:T795)</f>
        <v>60</v>
      </c>
      <c r="R796" s="1124"/>
      <c r="S796" s="1124"/>
      <c r="T796" s="1124"/>
      <c r="U796" s="1124">
        <f>SUM(U789:X795)</f>
        <v>84</v>
      </c>
      <c r="V796" s="1124"/>
      <c r="W796" s="1124"/>
      <c r="X796" s="1124"/>
      <c r="Y796" s="1124">
        <f>SUM(Y789:AB795)</f>
        <v>106</v>
      </c>
      <c r="Z796" s="1124"/>
      <c r="AA796" s="1124"/>
      <c r="AB796" s="1124"/>
      <c r="AC796" s="1124">
        <f>SUM(AC789:AF795)</f>
        <v>0</v>
      </c>
      <c r="AD796" s="1124"/>
      <c r="AE796" s="1124"/>
      <c r="AF796" s="1124"/>
      <c r="AG796" s="1124">
        <f>SUM(AG789:AJ795)</f>
        <v>0</v>
      </c>
      <c r="AH796" s="1124"/>
      <c r="AI796" s="1124"/>
      <c r="AJ796" s="1124"/>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18" t="s">
        <v>2500</v>
      </c>
      <c r="D801" s="1119"/>
      <c r="E801" s="1119"/>
      <c r="F801" s="1119"/>
      <c r="G801" s="1119"/>
      <c r="H801" s="1119"/>
      <c r="I801" s="1119"/>
      <c r="J801" s="1119"/>
      <c r="K801" s="1119"/>
      <c r="L801" s="1119"/>
      <c r="M801" s="1119"/>
      <c r="N801" s="1119"/>
      <c r="O801" s="1119"/>
      <c r="P801" s="1119"/>
      <c r="Q801" s="1119"/>
      <c r="R801" s="1119"/>
      <c r="S801" s="1119"/>
      <c r="T801" s="1119"/>
      <c r="U801" s="1119"/>
      <c r="V801" s="1119"/>
      <c r="W801" s="1119"/>
      <c r="X801" s="1119"/>
      <c r="Y801" s="1119"/>
      <c r="Z801" s="1119"/>
      <c r="AA801" s="1119"/>
      <c r="AB801" s="1119"/>
      <c r="AC801" s="1119"/>
      <c r="AD801" s="1119"/>
      <c r="AE801" s="1119"/>
      <c r="AF801" s="1119"/>
      <c r="AG801" s="1119"/>
      <c r="AH801" s="1119"/>
      <c r="AI801" s="1119"/>
      <c r="AJ801" s="1120"/>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1752</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447</v>
      </c>
      <c r="AY805" s="21"/>
      <c r="AZ805" s="21"/>
      <c r="BA805" s="1521" t="s">
        <v>393</v>
      </c>
      <c r="BB805" s="1522"/>
      <c r="BC805" s="41"/>
      <c r="BD805" s="41"/>
      <c r="BE805" s="41"/>
      <c r="BF805" s="21" t="s">
        <v>449</v>
      </c>
      <c r="BG805" s="21"/>
      <c r="BH805" s="21"/>
      <c r="BI805" s="21"/>
      <c r="BJ805" s="21"/>
      <c r="BK805" s="21"/>
      <c r="BL805" s="21"/>
      <c r="BM805" s="21"/>
      <c r="BN805" s="21"/>
      <c r="BO805" s="1518" t="str">
        <f>T189</f>
        <v>Merced</v>
      </c>
      <c r="BP805" s="1519"/>
      <c r="BQ805" s="1519"/>
      <c r="BR805" s="1519"/>
      <c r="BS805" s="1519"/>
      <c r="BT805" s="1519"/>
      <c r="BU805" s="1520"/>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496</v>
      </c>
      <c r="J806" s="8" t="s">
        <v>347</v>
      </c>
      <c r="K806" s="9"/>
      <c r="L806" s="9"/>
      <c r="M806" s="9"/>
      <c r="N806" s="9"/>
      <c r="O806" s="9"/>
      <c r="P806" s="9"/>
      <c r="Q806" s="9"/>
      <c r="R806" s="9"/>
      <c r="S806" s="9"/>
      <c r="T806" s="9"/>
      <c r="U806" s="9"/>
      <c r="V806" s="52"/>
      <c r="W806" s="1125">
        <v>1500</v>
      </c>
      <c r="X806" s="1125"/>
      <c r="Y806" s="1125"/>
      <c r="Z806" s="1125"/>
      <c r="AA806" s="1125"/>
      <c r="AB806" s="1125"/>
      <c r="AC806" s="1125"/>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346</v>
      </c>
      <c r="K807" s="9"/>
      <c r="L807" s="9"/>
      <c r="M807" s="9"/>
      <c r="N807" s="9"/>
      <c r="O807" s="9"/>
      <c r="P807" s="9"/>
      <c r="Q807" s="9"/>
      <c r="R807" s="9"/>
      <c r="S807" s="9"/>
      <c r="T807" s="9"/>
      <c r="U807" s="9"/>
      <c r="V807" s="52"/>
      <c r="W807" s="1125">
        <v>2000</v>
      </c>
      <c r="X807" s="1125"/>
      <c r="Y807" s="1125"/>
      <c r="Z807" s="1125"/>
      <c r="AA807" s="1125"/>
      <c r="AB807" s="1125"/>
      <c r="AC807" s="1125"/>
      <c r="AD807"/>
      <c r="AE807"/>
      <c r="AF807"/>
      <c r="AG807"/>
      <c r="AH807"/>
      <c r="AI807"/>
      <c r="AJ807"/>
      <c r="AK807"/>
      <c r="AL807"/>
      <c r="AM807" s="38"/>
      <c r="AN807" s="38"/>
      <c r="BA807" s="75" t="s">
        <v>395</v>
      </c>
      <c r="BC807" s="40"/>
      <c r="BD807" s="40"/>
      <c r="BE807" s="40"/>
      <c r="BF807" s="40"/>
      <c r="BG807" s="40"/>
    </row>
    <row r="808" spans="1:97" s="21" customFormat="1" ht="12.95" customHeight="1">
      <c r="A808"/>
      <c r="B808"/>
      <c r="C808"/>
      <c r="D808"/>
      <c r="E808"/>
      <c r="F808"/>
      <c r="G808"/>
      <c r="H808"/>
      <c r="I808"/>
      <c r="J808" s="8" t="s">
        <v>345</v>
      </c>
      <c r="K808" s="9"/>
      <c r="L808" s="9"/>
      <c r="M808" s="9"/>
      <c r="N808" s="9"/>
      <c r="O808" s="9"/>
      <c r="P808" s="9"/>
      <c r="Q808" s="9"/>
      <c r="R808" s="9"/>
      <c r="S808" s="9"/>
      <c r="T808" s="9"/>
      <c r="U808" s="9"/>
      <c r="V808" s="52"/>
      <c r="W808" s="1125">
        <v>12000</v>
      </c>
      <c r="X808" s="1125"/>
      <c r="Y808" s="1125"/>
      <c r="Z808" s="1125"/>
      <c r="AA808" s="1125"/>
      <c r="AB808" s="1125"/>
      <c r="AC808" s="1125"/>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344</v>
      </c>
      <c r="K809" s="9"/>
      <c r="L809" s="9"/>
      <c r="M809" s="9"/>
      <c r="N809" s="9"/>
      <c r="O809" s="9"/>
      <c r="P809" s="9"/>
      <c r="Q809" s="9"/>
      <c r="R809" s="9"/>
      <c r="S809" s="9"/>
      <c r="T809" s="9"/>
      <c r="U809" s="9"/>
      <c r="V809" s="52"/>
      <c r="W809" s="1125"/>
      <c r="X809" s="1125"/>
      <c r="Y809" s="1125"/>
      <c r="Z809" s="1125"/>
      <c r="AA809" s="1125"/>
      <c r="AB809" s="1125"/>
      <c r="AC809" s="1125"/>
      <c r="AD809"/>
      <c r="AE809"/>
      <c r="AF809"/>
      <c r="AG809"/>
      <c r="AH809"/>
      <c r="AI809"/>
      <c r="AJ809"/>
      <c r="AK809"/>
      <c r="AL809"/>
      <c r="AM809" s="38"/>
      <c r="AN809" s="38"/>
      <c r="BA809" s="75" t="s">
        <v>393</v>
      </c>
      <c r="BB809" s="39" t="s">
        <v>2340</v>
      </c>
      <c r="BC809" s="40"/>
      <c r="BD809" s="40"/>
      <c r="BE809" s="40"/>
      <c r="BF809" s="40"/>
      <c r="BG809" s="40"/>
      <c r="BI809" s="39" t="s">
        <v>2341</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298</v>
      </c>
      <c r="K810" s="9"/>
      <c r="L810" s="9"/>
      <c r="M810" s="1121" t="s">
        <v>2501</v>
      </c>
      <c r="N810" s="1122"/>
      <c r="O810" s="1122"/>
      <c r="P810" s="1122"/>
      <c r="Q810" s="1122"/>
      <c r="R810" s="1122"/>
      <c r="S810" s="1122"/>
      <c r="T810" s="1122"/>
      <c r="U810" s="1122"/>
      <c r="V810" s="1123"/>
      <c r="W810" s="1125">
        <v>14500</v>
      </c>
      <c r="X810" s="1125"/>
      <c r="Y810" s="1125"/>
      <c r="Z810" s="1125"/>
      <c r="AA810" s="1125"/>
      <c r="AB810" s="1125"/>
      <c r="AC810" s="1125"/>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495</v>
      </c>
      <c r="W811" s="1153">
        <f>SUM(W806:AC810)</f>
        <v>30000</v>
      </c>
      <c r="X811" s="1154"/>
      <c r="Y811" s="1154"/>
      <c r="Z811" s="1154"/>
      <c r="AA811" s="1154"/>
      <c r="AB811" s="1154"/>
      <c r="AC811" s="1155"/>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497</v>
      </c>
      <c r="D813"/>
      <c r="E813"/>
      <c r="F813"/>
      <c r="G813"/>
      <c r="H813"/>
      <c r="I813"/>
      <c r="J813" s="1136" t="s">
        <v>498</v>
      </c>
      <c r="K813" s="1137"/>
      <c r="L813" s="1137"/>
      <c r="M813" s="1137"/>
      <c r="N813" s="1137"/>
      <c r="O813" s="1137"/>
      <c r="P813" s="1137"/>
      <c r="Q813" s="1137"/>
      <c r="R813" s="1137"/>
      <c r="S813" s="1137"/>
      <c r="T813" s="1137"/>
      <c r="U813" s="1137"/>
      <c r="V813" s="1138"/>
      <c r="W813" s="1159">
        <v>36000</v>
      </c>
      <c r="X813" s="1160"/>
      <c r="Y813" s="1160"/>
      <c r="Z813" s="1160"/>
      <c r="AA813" s="1160"/>
      <c r="AB813" s="1160"/>
      <c r="AC813" s="1161"/>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770</v>
      </c>
      <c r="D815"/>
      <c r="E815"/>
      <c r="F815"/>
      <c r="G815"/>
      <c r="H815"/>
      <c r="I815"/>
      <c r="J815" s="8" t="s">
        <v>343</v>
      </c>
      <c r="K815" s="9"/>
      <c r="L815" s="9"/>
      <c r="M815" s="9"/>
      <c r="N815" s="9"/>
      <c r="O815" s="9"/>
      <c r="P815" s="9"/>
      <c r="Q815" s="9"/>
      <c r="R815" s="9"/>
      <c r="S815" s="9"/>
      <c r="T815" s="9"/>
      <c r="U815" s="9"/>
      <c r="V815" s="52"/>
      <c r="W815" s="1152"/>
      <c r="X815" s="1152"/>
      <c r="Y815" s="1152"/>
      <c r="Z815" s="1152"/>
      <c r="AA815" s="1152"/>
      <c r="AB815" s="1152"/>
      <c r="AC815" s="1152"/>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342</v>
      </c>
      <c r="K816" s="9"/>
      <c r="L816" s="9"/>
      <c r="M816" s="9"/>
      <c r="N816" s="9"/>
      <c r="O816" s="9"/>
      <c r="P816" s="9"/>
      <c r="Q816" s="9"/>
      <c r="R816" s="9"/>
      <c r="S816" s="9"/>
      <c r="T816" s="9"/>
      <c r="U816" s="9"/>
      <c r="V816" s="52"/>
      <c r="W816" s="1152"/>
      <c r="X816" s="1152"/>
      <c r="Y816" s="1152"/>
      <c r="Z816" s="1152"/>
      <c r="AA816" s="1152"/>
      <c r="AB816" s="1152"/>
      <c r="AC816" s="1152"/>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828</v>
      </c>
      <c r="K817" s="9"/>
      <c r="L817" s="9"/>
      <c r="M817" s="9"/>
      <c r="N817" s="9"/>
      <c r="O817" s="9"/>
      <c r="P817" s="9"/>
      <c r="Q817" s="9"/>
      <c r="R817" s="9"/>
      <c r="S817" s="9"/>
      <c r="T817" s="9"/>
      <c r="U817" s="9"/>
      <c r="V817" s="52"/>
      <c r="W817" s="1152">
        <v>10000</v>
      </c>
      <c r="X817" s="1152"/>
      <c r="Y817" s="1152"/>
      <c r="Z817" s="1152"/>
      <c r="AA817" s="1152"/>
      <c r="AB817" s="1152"/>
      <c r="AC817" s="1152"/>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491</v>
      </c>
      <c r="K818" s="9"/>
      <c r="L818" s="9"/>
      <c r="M818" s="9"/>
      <c r="N818" s="9"/>
      <c r="O818" s="9"/>
      <c r="P818" s="9"/>
      <c r="Q818" s="9"/>
      <c r="R818" s="9"/>
      <c r="S818" s="9"/>
      <c r="T818" s="9"/>
      <c r="U818" s="9"/>
      <c r="V818" s="52"/>
      <c r="W818" s="1152">
        <v>30860</v>
      </c>
      <c r="X818" s="1152"/>
      <c r="Y818" s="1152"/>
      <c r="Z818" s="1152"/>
      <c r="AA818" s="1152"/>
      <c r="AB818" s="1152"/>
      <c r="AC818" s="1152"/>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36">
        <f>SUM(W815:AC818)</f>
        <v>40860</v>
      </c>
      <c r="X819" s="1536"/>
      <c r="Y819" s="1536"/>
      <c r="Z819" s="1536"/>
      <c r="AA819" s="1536"/>
      <c r="AB819" s="1536"/>
      <c r="AC819" s="1536"/>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499</v>
      </c>
      <c r="D821"/>
      <c r="E821"/>
      <c r="F821"/>
      <c r="G821"/>
      <c r="H821"/>
      <c r="I821"/>
      <c r="J821" s="8" t="s">
        <v>490</v>
      </c>
      <c r="K821" s="9"/>
      <c r="L821" s="9"/>
      <c r="M821" s="9"/>
      <c r="N821" s="9"/>
      <c r="O821" s="9"/>
      <c r="P821" s="9"/>
      <c r="Q821" s="9"/>
      <c r="R821" s="9"/>
      <c r="S821" s="9"/>
      <c r="T821" s="9"/>
      <c r="U821" s="9"/>
      <c r="V821" s="52"/>
      <c r="W821" s="1126">
        <v>49804</v>
      </c>
      <c r="X821" s="1127"/>
      <c r="Y821" s="1127"/>
      <c r="Z821" s="1127"/>
      <c r="AA821" s="1127"/>
      <c r="AB821" s="1127"/>
      <c r="AC821" s="1128"/>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2031</v>
      </c>
      <c r="K822" s="9"/>
      <c r="L822" s="9"/>
      <c r="M822" s="9"/>
      <c r="N822" s="9"/>
      <c r="O822" s="9"/>
      <c r="P822" s="9"/>
      <c r="Q822" s="9"/>
      <c r="R822" s="9"/>
      <c r="S822" s="9"/>
      <c r="T822" s="1169">
        <v>3</v>
      </c>
      <c r="U822" s="1170"/>
      <c r="V822" s="1171"/>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908</v>
      </c>
      <c r="D823"/>
      <c r="E823"/>
      <c r="F823"/>
      <c r="G823"/>
      <c r="H823"/>
      <c r="I823"/>
      <c r="J823" s="8" t="s">
        <v>489</v>
      </c>
      <c r="K823" s="9"/>
      <c r="L823" s="9"/>
      <c r="M823" s="9"/>
      <c r="N823" s="9"/>
      <c r="O823" s="9"/>
      <c r="P823" s="9"/>
      <c r="Q823" s="9"/>
      <c r="R823" s="9"/>
      <c r="S823" s="9"/>
      <c r="T823" s="9"/>
      <c r="U823" s="9"/>
      <c r="V823" s="52"/>
      <c r="W823" s="1126">
        <v>46000</v>
      </c>
      <c r="X823" s="1127"/>
      <c r="Y823" s="1127"/>
      <c r="Z823" s="1127"/>
      <c r="AA823" s="1127"/>
      <c r="AB823" s="1127"/>
      <c r="AC823" s="1128"/>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2032</v>
      </c>
      <c r="K824" s="9"/>
      <c r="L824" s="9"/>
      <c r="M824" s="9"/>
      <c r="N824" s="9"/>
      <c r="O824" s="9"/>
      <c r="P824" s="9"/>
      <c r="Q824" s="9"/>
      <c r="R824" s="9"/>
      <c r="S824" s="9"/>
      <c r="T824" s="1169">
        <v>0</v>
      </c>
      <c r="U824" s="1170"/>
      <c r="V824" s="1171"/>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298</v>
      </c>
      <c r="K825" s="9"/>
      <c r="L825" s="9"/>
      <c r="M825" s="1121" t="s">
        <v>2502</v>
      </c>
      <c r="N825" s="1122"/>
      <c r="O825" s="1122"/>
      <c r="P825" s="1122"/>
      <c r="Q825" s="1122"/>
      <c r="R825" s="1122"/>
      <c r="S825" s="1122"/>
      <c r="T825" s="1122"/>
      <c r="U825" s="1122"/>
      <c r="V825" s="1123"/>
      <c r="W825" s="1126">
        <v>15556</v>
      </c>
      <c r="X825" s="1127"/>
      <c r="Y825" s="1127"/>
      <c r="Z825" s="1127"/>
      <c r="AA825" s="1127"/>
      <c r="AB825" s="1127"/>
      <c r="AC825" s="1128"/>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33">
        <f>SUM(W821:AC825)</f>
        <v>111360</v>
      </c>
      <c r="X826" s="1534"/>
      <c r="Y826" s="1534"/>
      <c r="Z826" s="1534"/>
      <c r="AA826" s="1534"/>
      <c r="AB826" s="1534"/>
      <c r="AC826" s="1535"/>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26">
        <v>23100</v>
      </c>
      <c r="X827" s="1127"/>
      <c r="Y827" s="1127"/>
      <c r="Z827" s="1127"/>
      <c r="AA827" s="1127"/>
      <c r="AB827" s="1127"/>
      <c r="AC827" s="1128"/>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761</v>
      </c>
      <c r="K829" s="9"/>
      <c r="L829" s="9"/>
      <c r="M829" s="9"/>
      <c r="N829" s="9"/>
      <c r="O829" s="9"/>
      <c r="P829" s="9"/>
      <c r="Q829" s="9"/>
      <c r="R829" s="9"/>
      <c r="S829" s="9"/>
      <c r="T829" s="9"/>
      <c r="U829" s="9"/>
      <c r="V829" s="52"/>
      <c r="W829" s="1125">
        <v>1210</v>
      </c>
      <c r="X829" s="1125"/>
      <c r="Y829" s="1125"/>
      <c r="Z829" s="1125"/>
      <c r="AA829" s="1125"/>
      <c r="AB829" s="1125"/>
      <c r="AC829" s="1125"/>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658</v>
      </c>
      <c r="K830" s="9"/>
      <c r="L830" s="9"/>
      <c r="M830" s="9"/>
      <c r="N830" s="9"/>
      <c r="O830" s="9"/>
      <c r="P830" s="9"/>
      <c r="Q830" s="9"/>
      <c r="R830" s="9"/>
      <c r="S830" s="9"/>
      <c r="T830" s="9"/>
      <c r="U830" s="9"/>
      <c r="V830" s="52"/>
      <c r="W830" s="1125">
        <v>19868</v>
      </c>
      <c r="X830" s="1125"/>
      <c r="Y830" s="1125"/>
      <c r="Z830" s="1125"/>
      <c r="AA830" s="1125"/>
      <c r="AB830" s="1125"/>
      <c r="AC830" s="1125"/>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657</v>
      </c>
      <c r="K831" s="9"/>
      <c r="L831" s="9"/>
      <c r="M831" s="9"/>
      <c r="N831" s="9"/>
      <c r="O831" s="9"/>
      <c r="P831" s="9"/>
      <c r="Q831" s="9"/>
      <c r="R831" s="9"/>
      <c r="S831" s="9"/>
      <c r="T831" s="9"/>
      <c r="U831" s="9"/>
      <c r="V831" s="52"/>
      <c r="W831" s="1125">
        <v>12000</v>
      </c>
      <c r="X831" s="1125"/>
      <c r="Y831" s="1125"/>
      <c r="Z831" s="1125"/>
      <c r="AA831" s="1125"/>
      <c r="AB831" s="1125"/>
      <c r="AC831" s="1125"/>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656</v>
      </c>
      <c r="K832" s="9"/>
      <c r="L832" s="9"/>
      <c r="M832" s="9"/>
      <c r="N832" s="9"/>
      <c r="O832" s="9"/>
      <c r="P832" s="9"/>
      <c r="Q832" s="9"/>
      <c r="R832" s="9"/>
      <c r="S832" s="9"/>
      <c r="T832" s="9"/>
      <c r="U832" s="9"/>
      <c r="V832" s="52"/>
      <c r="W832" s="1125"/>
      <c r="X832" s="1125"/>
      <c r="Y832" s="1125"/>
      <c r="Z832" s="1125"/>
      <c r="AA832" s="1125"/>
      <c r="AB832" s="1125"/>
      <c r="AC832" s="1125"/>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655</v>
      </c>
      <c r="K833" s="9"/>
      <c r="L833" s="9"/>
      <c r="M833" s="9"/>
      <c r="N833" s="9"/>
      <c r="O833" s="9"/>
      <c r="P833" s="9"/>
      <c r="Q833" s="9"/>
      <c r="R833" s="9"/>
      <c r="S833" s="9"/>
      <c r="T833" s="9"/>
      <c r="U833" s="9"/>
      <c r="V833" s="52"/>
      <c r="W833" s="1125">
        <v>3200</v>
      </c>
      <c r="X833" s="1125"/>
      <c r="Y833" s="1125"/>
      <c r="Z833" s="1125"/>
      <c r="AA833" s="1125"/>
      <c r="AB833" s="1125"/>
      <c r="AC833" s="1125"/>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654</v>
      </c>
      <c r="K834" s="9"/>
      <c r="L834" s="9"/>
      <c r="M834" s="9"/>
      <c r="N834" s="9"/>
      <c r="O834" s="9"/>
      <c r="P834" s="9"/>
      <c r="Q834" s="9"/>
      <c r="R834" s="9"/>
      <c r="S834" s="9"/>
      <c r="T834" s="9"/>
      <c r="U834" s="9"/>
      <c r="V834" s="52"/>
      <c r="W834" s="1125"/>
      <c r="X834" s="1125"/>
      <c r="Y834" s="1125"/>
      <c r="Z834" s="1125"/>
      <c r="AA834" s="1125"/>
      <c r="AB834" s="1125"/>
      <c r="AC834" s="1125"/>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298</v>
      </c>
      <c r="K835" s="9"/>
      <c r="L835" s="9"/>
      <c r="M835" s="1121" t="s">
        <v>2503</v>
      </c>
      <c r="N835" s="1122"/>
      <c r="O835" s="1122"/>
      <c r="P835" s="1122"/>
      <c r="Q835" s="1122"/>
      <c r="R835" s="1122"/>
      <c r="S835" s="1122"/>
      <c r="T835" s="1122"/>
      <c r="U835" s="1122"/>
      <c r="V835" s="1123"/>
      <c r="W835" s="1125">
        <v>10702</v>
      </c>
      <c r="X835" s="1125"/>
      <c r="Y835" s="1125"/>
      <c r="Z835" s="1125"/>
      <c r="AA835" s="1125"/>
      <c r="AB835" s="1125"/>
      <c r="AC835" s="1125"/>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68">
        <f>SUM(W829:AC835)</f>
        <v>46980</v>
      </c>
      <c r="X836" s="1168"/>
      <c r="Y836" s="1168"/>
      <c r="Z836" s="1168"/>
      <c r="AA836" s="1168"/>
      <c r="AB836" s="1168"/>
      <c r="AC836" s="1168"/>
      <c r="AM836" s="41"/>
      <c r="AN836" s="41"/>
      <c r="AO836" s="41"/>
      <c r="AP836" s="41"/>
      <c r="AQ836" s="41"/>
      <c r="AR836" s="41"/>
      <c r="AS836" s="41"/>
      <c r="AT836" s="41"/>
      <c r="AU836" s="41"/>
      <c r="AV836" s="41"/>
      <c r="AW836" s="41"/>
      <c r="AX836" s="41"/>
      <c r="AY836" s="41"/>
      <c r="AZ836" s="41"/>
      <c r="BA836" s="41"/>
      <c r="BB836" s="30" t="s">
        <v>630</v>
      </c>
      <c r="BC836" s="557">
        <v>352022</v>
      </c>
      <c r="BD836" s="557">
        <v>405878</v>
      </c>
      <c r="BE836" s="557">
        <v>489600</v>
      </c>
      <c r="BF836" s="557">
        <v>626688</v>
      </c>
      <c r="BG836" s="557">
        <v>698170</v>
      </c>
      <c r="BH836" s="21"/>
      <c r="BI836" s="30" t="s">
        <v>630</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631</v>
      </c>
      <c r="BC837" s="558">
        <v>437727</v>
      </c>
      <c r="BD837" s="558">
        <v>504695</v>
      </c>
      <c r="BE837" s="558">
        <v>608800</v>
      </c>
      <c r="BF837" s="558">
        <v>779264</v>
      </c>
      <c r="BG837" s="558">
        <v>868149</v>
      </c>
      <c r="BH837" s="21"/>
      <c r="BI837" s="30" t="s">
        <v>631</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1958</v>
      </c>
      <c r="J838" s="8" t="s">
        <v>298</v>
      </c>
      <c r="K838" s="9"/>
      <c r="L838" s="9"/>
      <c r="M838" s="1121"/>
      <c r="N838" s="1122"/>
      <c r="O838" s="1122"/>
      <c r="P838" s="1122"/>
      <c r="Q838" s="1122"/>
      <c r="R838" s="1122"/>
      <c r="S838" s="1122"/>
      <c r="T838" s="1122"/>
      <c r="U838" s="1122"/>
      <c r="V838" s="1123"/>
      <c r="W838" s="1159"/>
      <c r="X838" s="1160"/>
      <c r="Y838" s="1160"/>
      <c r="Z838" s="1160"/>
      <c r="AA838" s="1160"/>
      <c r="AB838" s="1160"/>
      <c r="AC838" s="1161"/>
      <c r="AM838" s="41"/>
      <c r="AN838" s="41"/>
      <c r="AO838" s="41"/>
      <c r="AP838" s="41"/>
      <c r="AQ838" s="41"/>
      <c r="AR838" s="41"/>
      <c r="AS838" s="41"/>
      <c r="AT838" s="41"/>
      <c r="AU838" s="41"/>
      <c r="AV838" s="41"/>
      <c r="AW838" s="41"/>
      <c r="AX838" s="41"/>
      <c r="AY838" s="41"/>
      <c r="AZ838" s="41"/>
      <c r="BA838" s="41"/>
      <c r="BB838" s="30" t="s">
        <v>633</v>
      </c>
      <c r="BC838" s="557">
        <v>307732</v>
      </c>
      <c r="BD838" s="557">
        <v>354812</v>
      </c>
      <c r="BE838" s="557">
        <v>428000</v>
      </c>
      <c r="BF838" s="557">
        <v>547840</v>
      </c>
      <c r="BG838" s="557">
        <v>610328</v>
      </c>
      <c r="BH838" s="21"/>
      <c r="BI838" s="30" t="s">
        <v>633</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1959</v>
      </c>
      <c r="J839" s="8" t="s">
        <v>298</v>
      </c>
      <c r="K839" s="9"/>
      <c r="L839" s="9"/>
      <c r="M839" s="1129" t="s">
        <v>593</v>
      </c>
      <c r="N839" s="1122"/>
      <c r="O839" s="1122"/>
      <c r="P839" s="1122"/>
      <c r="Q839" s="1122"/>
      <c r="R839" s="1122"/>
      <c r="S839" s="1122"/>
      <c r="T839" s="1122"/>
      <c r="U839" s="1122"/>
      <c r="V839" s="1123"/>
      <c r="W839" s="1159"/>
      <c r="X839" s="1160"/>
      <c r="Y839" s="1160"/>
      <c r="Z839" s="1160"/>
      <c r="AA839" s="1160"/>
      <c r="AB839" s="1160"/>
      <c r="AC839" s="1161"/>
      <c r="AM839" s="41"/>
      <c r="AN839" s="41"/>
      <c r="AO839" s="41"/>
      <c r="AP839" s="41"/>
      <c r="AQ839" s="41"/>
      <c r="AR839" s="41"/>
      <c r="AS839" s="41"/>
      <c r="AT839" s="41"/>
      <c r="AU839" s="41"/>
      <c r="AV839" s="41"/>
      <c r="AW839" s="41"/>
      <c r="AX839" s="41"/>
      <c r="AY839" s="41"/>
      <c r="AZ839" s="41"/>
      <c r="BA839" s="41"/>
      <c r="BB839" s="30" t="s">
        <v>634</v>
      </c>
      <c r="BC839" s="558">
        <v>384234</v>
      </c>
      <c r="BD839" s="558">
        <v>443018</v>
      </c>
      <c r="BE839" s="558">
        <v>534400</v>
      </c>
      <c r="BF839" s="558">
        <v>684032</v>
      </c>
      <c r="BG839" s="558">
        <v>762054</v>
      </c>
      <c r="BH839" s="21"/>
      <c r="BI839" s="30" t="s">
        <v>634</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298</v>
      </c>
      <c r="K840" s="9"/>
      <c r="L840" s="9"/>
      <c r="M840" s="1129" t="s">
        <v>593</v>
      </c>
      <c r="N840" s="1122"/>
      <c r="O840" s="1122"/>
      <c r="P840" s="1122"/>
      <c r="Q840" s="1122"/>
      <c r="R840" s="1122"/>
      <c r="S840" s="1122"/>
      <c r="T840" s="1122"/>
      <c r="U840" s="1122"/>
      <c r="V840" s="1123"/>
      <c r="W840" s="1159"/>
      <c r="X840" s="1160"/>
      <c r="Y840" s="1160"/>
      <c r="Z840" s="1160"/>
      <c r="AA840" s="1160"/>
      <c r="AB840" s="1160"/>
      <c r="AC840" s="1161"/>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7">
        <v>352022</v>
      </c>
      <c r="BD840" s="557">
        <v>405878</v>
      </c>
      <c r="BE840" s="557">
        <v>489600</v>
      </c>
      <c r="BF840" s="557">
        <v>626688</v>
      </c>
      <c r="BG840" s="557">
        <v>698170</v>
      </c>
      <c r="BH840" s="21"/>
      <c r="BI840" s="30" t="s">
        <v>635</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298</v>
      </c>
      <c r="K841" s="9"/>
      <c r="L841" s="9"/>
      <c r="M841" s="1129" t="s">
        <v>593</v>
      </c>
      <c r="N841" s="1122"/>
      <c r="O841" s="1122"/>
      <c r="P841" s="1122"/>
      <c r="Q841" s="1122"/>
      <c r="R841" s="1122"/>
      <c r="S841" s="1122"/>
      <c r="T841" s="1122"/>
      <c r="U841" s="1122"/>
      <c r="V841" s="1123"/>
      <c r="W841" s="1159"/>
      <c r="X841" s="1160"/>
      <c r="Y841" s="1160"/>
      <c r="Z841" s="1160"/>
      <c r="AA841" s="1160"/>
      <c r="AB841" s="1160"/>
      <c r="AC841" s="1161"/>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8">
        <v>352022</v>
      </c>
      <c r="BD841" s="558">
        <v>405878</v>
      </c>
      <c r="BE841" s="558">
        <v>489600</v>
      </c>
      <c r="BF841" s="558">
        <v>626688</v>
      </c>
      <c r="BG841" s="558">
        <v>698170</v>
      </c>
      <c r="BH841" s="21"/>
      <c r="BI841" s="30" t="s">
        <v>636</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298</v>
      </c>
      <c r="K842" s="9"/>
      <c r="L842" s="9"/>
      <c r="M842" s="1129" t="s">
        <v>593</v>
      </c>
      <c r="N842" s="1122"/>
      <c r="O842" s="1122"/>
      <c r="P842" s="1122"/>
      <c r="Q842" s="1122"/>
      <c r="R842" s="1122"/>
      <c r="S842" s="1122"/>
      <c r="T842" s="1122"/>
      <c r="U842" s="1122"/>
      <c r="V842" s="1123"/>
      <c r="W842" s="1159"/>
      <c r="X842" s="1160"/>
      <c r="Y842" s="1160"/>
      <c r="Z842" s="1160"/>
      <c r="AA842" s="1160"/>
      <c r="AB842" s="1160"/>
      <c r="AC842" s="1161"/>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7">
        <v>307732</v>
      </c>
      <c r="BD842" s="557">
        <v>354812</v>
      </c>
      <c r="BE842" s="557">
        <v>428000</v>
      </c>
      <c r="BF842" s="557">
        <v>547840</v>
      </c>
      <c r="BG842" s="557">
        <v>610328</v>
      </c>
      <c r="BH842" s="21"/>
      <c r="BI842" s="30" t="s">
        <v>638</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3">
        <f>SUM(W838:AC842)</f>
        <v>0</v>
      </c>
      <c r="X843" s="1154"/>
      <c r="Y843" s="1154"/>
      <c r="Z843" s="1154"/>
      <c r="AA843" s="1154"/>
      <c r="AB843" s="1154"/>
      <c r="AC843" s="1155"/>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8">
        <v>352022</v>
      </c>
      <c r="BD843" s="558">
        <v>405878</v>
      </c>
      <c r="BE843" s="558">
        <v>489600</v>
      </c>
      <c r="BF843" s="558">
        <v>626688</v>
      </c>
      <c r="BG843" s="558">
        <v>698170</v>
      </c>
      <c r="BH843" s="21"/>
      <c r="BI843" s="30" t="s">
        <v>639</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7">
        <v>352022</v>
      </c>
      <c r="BD844" s="557">
        <v>405878</v>
      </c>
      <c r="BE844" s="557">
        <v>489600</v>
      </c>
      <c r="BF844" s="557">
        <v>626688</v>
      </c>
      <c r="BG844" s="557">
        <v>698170</v>
      </c>
      <c r="BH844" s="21"/>
      <c r="BI844" s="30" t="s">
        <v>640</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8">
        <v>387110</v>
      </c>
      <c r="BD845" s="558">
        <v>446334</v>
      </c>
      <c r="BE845" s="558">
        <v>538400</v>
      </c>
      <c r="BF845" s="558">
        <v>689152</v>
      </c>
      <c r="BG845" s="558">
        <v>767758</v>
      </c>
      <c r="BH845" s="21"/>
      <c r="BI845" s="30" t="s">
        <v>603</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7">
        <v>384234</v>
      </c>
      <c r="BD846" s="557">
        <v>443018</v>
      </c>
      <c r="BE846" s="557">
        <v>534400</v>
      </c>
      <c r="BF846" s="557">
        <v>684032</v>
      </c>
      <c r="BG846" s="557">
        <v>762054</v>
      </c>
      <c r="BH846" s="21"/>
      <c r="BI846" s="30" t="s">
        <v>605</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3">
        <f>W811+W819+W826+W827+W836+W843+W813</f>
        <v>288300</v>
      </c>
      <c r="AD847" s="1154"/>
      <c r="AE847" s="1154"/>
      <c r="AF847" s="1154"/>
      <c r="AG847" s="1154"/>
      <c r="AH847" s="1155"/>
      <c r="AI847"/>
      <c r="AJ847"/>
      <c r="AK847"/>
      <c r="AL847"/>
      <c r="AM847" s="38"/>
      <c r="AN847" s="38"/>
      <c r="AO847" s="21"/>
      <c r="AP847" s="21"/>
      <c r="AQ847" s="21"/>
      <c r="AR847" s="21"/>
      <c r="AS847" s="21"/>
      <c r="AT847" s="21"/>
      <c r="AU847" s="21"/>
      <c r="AV847" s="21"/>
      <c r="AW847" s="21"/>
      <c r="AX847" s="21"/>
      <c r="AY847" s="21"/>
      <c r="AZ847" s="21"/>
      <c r="BA847" s="21"/>
      <c r="BB847" s="30" t="s">
        <v>606</v>
      </c>
      <c r="BC847" s="558">
        <v>352022</v>
      </c>
      <c r="BD847" s="558">
        <v>405878</v>
      </c>
      <c r="BE847" s="558">
        <v>489600</v>
      </c>
      <c r="BF847" s="558">
        <v>626688</v>
      </c>
      <c r="BG847" s="558">
        <v>698170</v>
      </c>
      <c r="BH847" s="21"/>
      <c r="BI847" s="30" t="s">
        <v>606</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148">
        <f>O762+O742+G717</f>
        <v>60</v>
      </c>
      <c r="AD848" s="1149"/>
      <c r="AE848" s="1149"/>
      <c r="AF848" s="1149"/>
      <c r="AG848" s="1149"/>
      <c r="AH848" s="1150"/>
      <c r="AI848"/>
      <c r="AJ848"/>
      <c r="AK848"/>
      <c r="AL848"/>
      <c r="AM848" s="38"/>
      <c r="AN848" s="38"/>
      <c r="AO848" s="21"/>
      <c r="AP848" s="21"/>
      <c r="AQ848" s="21"/>
      <c r="AR848" s="21"/>
      <c r="AS848" s="21"/>
      <c r="AT848" s="21"/>
      <c r="AU848" s="21"/>
      <c r="AV848" s="21"/>
      <c r="AW848" s="21"/>
      <c r="AX848" s="21"/>
      <c r="AY848" s="21"/>
      <c r="AZ848" s="21"/>
      <c r="BA848" s="21"/>
      <c r="BB848" s="30" t="s">
        <v>607</v>
      </c>
      <c r="BC848" s="557">
        <v>396888</v>
      </c>
      <c r="BD848" s="557">
        <v>457608</v>
      </c>
      <c r="BE848" s="557">
        <v>552000</v>
      </c>
      <c r="BF848" s="557">
        <v>706560</v>
      </c>
      <c r="BG848" s="557">
        <v>787152</v>
      </c>
      <c r="BH848" s="21"/>
      <c r="BI848" s="30" t="s">
        <v>607</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435" t="s">
        <v>368</v>
      </c>
      <c r="F849" s="1436"/>
      <c r="G849" s="1436"/>
      <c r="H849" s="1436"/>
      <c r="I849" s="1436"/>
      <c r="J849" s="1436"/>
      <c r="K849" s="1436"/>
      <c r="L849" s="1436"/>
      <c r="M849" s="1436"/>
      <c r="N849" s="1436"/>
      <c r="O849" s="1436"/>
      <c r="P849" s="1436"/>
      <c r="Q849" s="1436"/>
      <c r="R849" s="1436"/>
      <c r="S849" s="1436"/>
      <c r="T849" s="1436"/>
      <c r="U849" s="1436"/>
      <c r="V849" s="1436"/>
      <c r="W849" s="1436"/>
      <c r="X849" s="1436"/>
      <c r="Y849" s="1436"/>
      <c r="Z849" s="1436"/>
      <c r="AA849" s="1436"/>
      <c r="AB849" s="1437"/>
      <c r="AC849" s="1166">
        <f>IF(ISERROR((ROUNDDOWN(AC847/AC848,0))),0,(ROUNDDOWN(AC847/AC848,0)))</f>
        <v>4805</v>
      </c>
      <c r="AD849" s="1167"/>
      <c r="AE849" s="1167"/>
      <c r="AF849" s="1167"/>
      <c r="AG849" s="1167"/>
      <c r="AH849" s="1167"/>
      <c r="AI849"/>
      <c r="AJ849"/>
      <c r="AK849"/>
      <c r="AL849" s="3"/>
      <c r="AM849" s="38"/>
      <c r="AN849" s="38"/>
      <c r="AO849" s="21"/>
      <c r="AP849" s="21"/>
      <c r="AQ849" s="21"/>
      <c r="AR849" s="21"/>
      <c r="AS849" s="21"/>
      <c r="AT849" s="21"/>
      <c r="AU849" s="21"/>
      <c r="AV849" s="21"/>
      <c r="AW849" s="21"/>
      <c r="AX849" s="21"/>
      <c r="AY849" s="21"/>
      <c r="AZ849" s="21"/>
      <c r="BA849" s="21"/>
      <c r="BB849" s="30" t="s">
        <v>608</v>
      </c>
      <c r="BC849" s="558">
        <v>331890</v>
      </c>
      <c r="BD849" s="558">
        <v>382666</v>
      </c>
      <c r="BE849" s="558">
        <v>461600</v>
      </c>
      <c r="BF849" s="558">
        <v>590848</v>
      </c>
      <c r="BG849" s="558">
        <v>658242</v>
      </c>
      <c r="BH849" s="21"/>
      <c r="BI849" s="30" t="s">
        <v>608</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676</v>
      </c>
      <c r="AC850" s="1131">
        <v>116631</v>
      </c>
      <c r="AD850" s="1132"/>
      <c r="AE850" s="1132"/>
      <c r="AF850" s="1132"/>
      <c r="AG850" s="1132"/>
      <c r="AH850" s="1132"/>
      <c r="AI850"/>
      <c r="AJ850"/>
      <c r="AK850"/>
      <c r="AL850"/>
      <c r="AM850" s="38"/>
      <c r="AN850" s="38"/>
      <c r="AO850" s="21"/>
      <c r="AP850" s="21"/>
      <c r="AQ850" s="21"/>
      <c r="AR850" s="21"/>
      <c r="AS850" s="21"/>
      <c r="AT850" s="21"/>
      <c r="AU850" s="21"/>
      <c r="AV850" s="21"/>
      <c r="AW850" s="21"/>
      <c r="AX850" s="21"/>
      <c r="AY850" s="21"/>
      <c r="AZ850" s="21"/>
      <c r="BA850" s="21"/>
      <c r="BB850" s="30" t="s">
        <v>610</v>
      </c>
      <c r="BC850" s="557">
        <v>352022</v>
      </c>
      <c r="BD850" s="557">
        <v>405878</v>
      </c>
      <c r="BE850" s="557">
        <v>489600</v>
      </c>
      <c r="BF850" s="557">
        <v>626688</v>
      </c>
      <c r="BG850" s="557">
        <v>698170</v>
      </c>
      <c r="BH850" s="21"/>
      <c r="BI850" s="30" t="s">
        <v>610</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1754</v>
      </c>
      <c r="AC851" s="1161">
        <v>0</v>
      </c>
      <c r="AD851" s="1125"/>
      <c r="AE851" s="1125"/>
      <c r="AF851" s="1125"/>
      <c r="AG851" s="1125"/>
      <c r="AH851" s="1125"/>
      <c r="AI851"/>
      <c r="AJ851"/>
      <c r="AK851"/>
      <c r="AL851"/>
      <c r="AM851" s="38"/>
      <c r="AN851" s="38"/>
      <c r="AO851" s="21"/>
      <c r="AP851" s="21"/>
      <c r="AQ851" s="21"/>
      <c r="AR851" s="21"/>
      <c r="AS851" s="21"/>
      <c r="AT851" s="21"/>
      <c r="AU851" s="21"/>
      <c r="AV851" s="21"/>
      <c r="AW851" s="21"/>
      <c r="AX851" s="21"/>
      <c r="AY851" s="21"/>
      <c r="AZ851" s="21"/>
      <c r="BA851" s="21"/>
      <c r="BB851" s="30" t="s">
        <v>611</v>
      </c>
      <c r="BC851" s="558">
        <v>314634</v>
      </c>
      <c r="BD851" s="558">
        <v>362770</v>
      </c>
      <c r="BE851" s="558">
        <v>437600</v>
      </c>
      <c r="BF851" s="558">
        <v>560128</v>
      </c>
      <c r="BG851" s="558">
        <v>624018</v>
      </c>
      <c r="BH851" s="21"/>
      <c r="BI851" s="30" t="s">
        <v>611</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59">
        <v>17095</v>
      </c>
      <c r="AD852" s="1160"/>
      <c r="AE852" s="1160"/>
      <c r="AF852" s="1160"/>
      <c r="AG852" s="1160"/>
      <c r="AH852" s="1161"/>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59">
        <v>30000</v>
      </c>
      <c r="AD853" s="1160"/>
      <c r="AE853" s="1160"/>
      <c r="AF853" s="1160"/>
      <c r="AG853" s="1160"/>
      <c r="AH853" s="1161"/>
      <c r="AI853"/>
      <c r="AJ853"/>
      <c r="AK853"/>
      <c r="AL853"/>
      <c r="AM853" s="38"/>
      <c r="AN853" s="38"/>
      <c r="AO853" s="21"/>
      <c r="AP853" s="21"/>
      <c r="AQ853" s="21"/>
      <c r="AR853" s="21"/>
      <c r="AS853" s="21"/>
      <c r="AT853" s="21"/>
      <c r="AU853" s="21"/>
      <c r="AV853" s="21"/>
      <c r="AW853" s="21"/>
      <c r="AX853" s="21"/>
      <c r="AY853" s="21"/>
      <c r="AZ853" s="21"/>
      <c r="BA853" s="21"/>
      <c r="BB853" s="30" t="s">
        <v>613</v>
      </c>
      <c r="BC853" s="558">
        <v>352022</v>
      </c>
      <c r="BD853" s="558">
        <v>405878</v>
      </c>
      <c r="BE853" s="558">
        <v>489600</v>
      </c>
      <c r="BF853" s="558">
        <v>626688</v>
      </c>
      <c r="BG853" s="558">
        <v>698170</v>
      </c>
      <c r="BH853" s="21"/>
      <c r="BI853" s="30" t="s">
        <v>613</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2034</v>
      </c>
      <c r="AC854" s="1159">
        <v>0</v>
      </c>
      <c r="AD854" s="1160"/>
      <c r="AE854" s="1160"/>
      <c r="AF854" s="1160"/>
      <c r="AG854" s="1160"/>
      <c r="AH854" s="1161"/>
      <c r="AI854"/>
      <c r="AJ854"/>
      <c r="AK854"/>
      <c r="AL854"/>
      <c r="AM854" s="38"/>
      <c r="AN854" s="38"/>
      <c r="BB854" s="30" t="s">
        <v>614</v>
      </c>
      <c r="BC854" s="557">
        <v>314634</v>
      </c>
      <c r="BD854" s="557">
        <v>362770</v>
      </c>
      <c r="BE854" s="557">
        <v>437600</v>
      </c>
      <c r="BF854" s="557">
        <v>560128</v>
      </c>
      <c r="BG854" s="557">
        <v>624018</v>
      </c>
      <c r="BI854" s="30" t="s">
        <v>614</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59">
        <v>3000</v>
      </c>
      <c r="AD855" s="1160"/>
      <c r="AE855" s="1160"/>
      <c r="AF855" s="1160"/>
      <c r="AG855" s="1160"/>
      <c r="AH855" s="1161"/>
      <c r="AI855"/>
      <c r="AJ855"/>
      <c r="AK855"/>
      <c r="AL855"/>
      <c r="AM855" s="38"/>
      <c r="AN855" s="38"/>
      <c r="BB855" s="30" t="s">
        <v>615</v>
      </c>
      <c r="BC855" s="558">
        <v>353173</v>
      </c>
      <c r="BD855" s="558">
        <v>407205</v>
      </c>
      <c r="BE855" s="558">
        <v>491200</v>
      </c>
      <c r="BF855" s="558">
        <v>628736</v>
      </c>
      <c r="BG855" s="558">
        <v>700451</v>
      </c>
      <c r="BI855" s="30" t="s">
        <v>615</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2033</v>
      </c>
      <c r="AC856" s="1165">
        <v>0</v>
      </c>
      <c r="AD856" s="1125"/>
      <c r="AE856" s="1125"/>
      <c r="AF856" s="1125"/>
      <c r="AG856" s="1125"/>
      <c r="AH856" s="1125"/>
      <c r="AI856"/>
      <c r="AJ856"/>
      <c r="AK856"/>
      <c r="AL856"/>
      <c r="AM856" s="38"/>
      <c r="AN856" s="38"/>
      <c r="BB856" s="30" t="s">
        <v>790</v>
      </c>
      <c r="BC856" s="557">
        <v>689665</v>
      </c>
      <c r="BD856" s="557">
        <v>795177</v>
      </c>
      <c r="BE856" s="557">
        <v>959200</v>
      </c>
      <c r="BF856" s="557">
        <v>1227776</v>
      </c>
      <c r="BG856" s="557">
        <v>1367819</v>
      </c>
      <c r="BI856" s="30" t="s">
        <v>790</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56" t="s">
        <v>1261</v>
      </c>
      <c r="F857" s="1157"/>
      <c r="G857" s="1157"/>
      <c r="H857" s="1157"/>
      <c r="I857" s="1157"/>
      <c r="J857" s="1157"/>
      <c r="K857" s="1157"/>
      <c r="L857" s="1157"/>
      <c r="M857" s="1157"/>
      <c r="N857" s="1157"/>
      <c r="O857" s="1157"/>
      <c r="P857" s="1157"/>
      <c r="Q857" s="1157"/>
      <c r="R857" s="1157"/>
      <c r="S857" s="1157"/>
      <c r="T857" s="1157"/>
      <c r="U857" s="1157"/>
      <c r="V857" s="1157"/>
      <c r="W857" s="1157"/>
      <c r="X857" s="1157"/>
      <c r="Y857" s="1157"/>
      <c r="Z857" s="1157"/>
      <c r="AA857" s="1157"/>
      <c r="AB857" s="1158"/>
      <c r="AC857" s="1125"/>
      <c r="AD857" s="1125"/>
      <c r="AE857" s="1125"/>
      <c r="AF857" s="1125"/>
      <c r="AG857" s="1125"/>
      <c r="AH857" s="1125"/>
      <c r="AI857"/>
      <c r="AJ857"/>
      <c r="AK857"/>
      <c r="AL857"/>
      <c r="AM857" s="38"/>
      <c r="AN857" s="38"/>
      <c r="BB857" s="30" t="s">
        <v>791</v>
      </c>
      <c r="BC857" s="558">
        <v>307732</v>
      </c>
      <c r="BD857" s="558">
        <v>354812</v>
      </c>
      <c r="BE857" s="558">
        <v>428000</v>
      </c>
      <c r="BF857" s="558">
        <v>547840</v>
      </c>
      <c r="BG857" s="558">
        <v>610328</v>
      </c>
      <c r="BI857" s="30" t="s">
        <v>791</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56" t="s">
        <v>1261</v>
      </c>
      <c r="F858" s="1157"/>
      <c r="G858" s="1157"/>
      <c r="H858" s="1157"/>
      <c r="I858" s="1157"/>
      <c r="J858" s="1157"/>
      <c r="K858" s="1157"/>
      <c r="L858" s="1157"/>
      <c r="M858" s="1157"/>
      <c r="N858" s="1157"/>
      <c r="O858" s="1157"/>
      <c r="P858" s="1157"/>
      <c r="Q858" s="1157"/>
      <c r="R858" s="1157"/>
      <c r="S858" s="1157"/>
      <c r="T858" s="1157"/>
      <c r="U858" s="1157"/>
      <c r="V858" s="1157"/>
      <c r="W858" s="1157"/>
      <c r="X858" s="1157"/>
      <c r="Y858" s="1157"/>
      <c r="Z858" s="1157"/>
      <c r="AA858" s="1157"/>
      <c r="AB858" s="1158"/>
      <c r="AC858" s="1125"/>
      <c r="AD858" s="1125"/>
      <c r="AE858" s="1125"/>
      <c r="AF858" s="1125"/>
      <c r="AG858" s="1125"/>
      <c r="AH858" s="1125"/>
      <c r="AI858"/>
      <c r="AJ858"/>
      <c r="AK858"/>
      <c r="AL858"/>
      <c r="AM858" s="38"/>
      <c r="AN858" s="38"/>
      <c r="BB858" s="30" t="s">
        <v>792</v>
      </c>
      <c r="BC858" s="557">
        <v>387110</v>
      </c>
      <c r="BD858" s="557">
        <v>446334</v>
      </c>
      <c r="BE858" s="557">
        <v>538400</v>
      </c>
      <c r="BF858" s="557">
        <v>689152</v>
      </c>
      <c r="BG858" s="557">
        <v>767758</v>
      </c>
      <c r="BI858" s="30" t="s">
        <v>792</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0"/>
      <c r="AD859" s="1130"/>
      <c r="AE859" s="1130"/>
      <c r="AF859" s="1130"/>
      <c r="AG859" s="1130"/>
      <c r="AH859" s="1130"/>
      <c r="AI859"/>
      <c r="AJ859"/>
      <c r="AK859"/>
      <c r="AL859"/>
      <c r="AM859" s="38"/>
      <c r="AN859" s="38"/>
      <c r="BB859" s="30" t="s">
        <v>793</v>
      </c>
      <c r="BC859" s="556">
        <v>532060</v>
      </c>
      <c r="BD859" s="556">
        <v>613460</v>
      </c>
      <c r="BE859" s="558">
        <v>740000</v>
      </c>
      <c r="BF859" s="556">
        <v>947200</v>
      </c>
      <c r="BG859" s="556">
        <v>1055240</v>
      </c>
      <c r="BI859" s="30" t="s">
        <v>793</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62"/>
      <c r="AO860" s="1162"/>
      <c r="AP860" s="1434"/>
      <c r="AQ860" s="1434"/>
      <c r="AR860" s="1434"/>
      <c r="AS860" s="1434"/>
      <c r="BB860" s="30" t="s">
        <v>794</v>
      </c>
      <c r="BC860" s="557">
        <v>387110</v>
      </c>
      <c r="BD860" s="557">
        <v>446334</v>
      </c>
      <c r="BE860" s="557">
        <v>538400</v>
      </c>
      <c r="BF860" s="557">
        <v>689152</v>
      </c>
      <c r="BG860" s="557">
        <v>767758</v>
      </c>
      <c r="BI860" s="30" t="s">
        <v>794</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34"/>
      <c r="AQ861" s="1434"/>
      <c r="AR861" s="1434"/>
      <c r="AS861" s="1434"/>
      <c r="AV861" s="1434"/>
      <c r="AW861" s="1434"/>
      <c r="AX861" s="1434"/>
      <c r="AY861" s="1434"/>
      <c r="BB861" s="30" t="s">
        <v>795</v>
      </c>
      <c r="BC861" s="556">
        <v>532060</v>
      </c>
      <c r="BD861" s="556">
        <v>613460</v>
      </c>
      <c r="BE861" s="556">
        <v>740000</v>
      </c>
      <c r="BF861" s="556">
        <v>947200</v>
      </c>
      <c r="BG861" s="556">
        <v>1055240</v>
      </c>
      <c r="BI861" s="30" t="s">
        <v>795</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59"/>
      <c r="AA862" s="1160"/>
      <c r="AB862" s="1160"/>
      <c r="AC862" s="1160"/>
      <c r="AD862" s="1160"/>
      <c r="AE862" s="1161"/>
      <c r="AF862"/>
      <c r="AG862"/>
      <c r="AH862"/>
      <c r="AI862"/>
      <c r="AJ862"/>
      <c r="AK862"/>
      <c r="AL862"/>
      <c r="AM862" s="38"/>
      <c r="AN862" s="38"/>
      <c r="BB862" s="30" t="s">
        <v>694</v>
      </c>
      <c r="BC862" s="557">
        <v>387110</v>
      </c>
      <c r="BD862" s="557">
        <v>446334</v>
      </c>
      <c r="BE862" s="557">
        <v>538400</v>
      </c>
      <c r="BF862" s="557">
        <v>689152</v>
      </c>
      <c r="BG862" s="557">
        <v>767758</v>
      </c>
      <c r="BI862" s="30" t="s">
        <v>694</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59"/>
      <c r="AA863" s="1160"/>
      <c r="AB863" s="1160"/>
      <c r="AC863" s="1160"/>
      <c r="AD863" s="1160"/>
      <c r="AE863" s="1161"/>
      <c r="AF863"/>
      <c r="AG863"/>
      <c r="AH863"/>
      <c r="AI863"/>
      <c r="AJ863"/>
      <c r="AK863"/>
      <c r="AL863"/>
      <c r="AM863" s="38"/>
      <c r="AN863" s="38"/>
      <c r="BB863" s="30" t="s">
        <v>695</v>
      </c>
      <c r="BC863" s="558">
        <v>319236</v>
      </c>
      <c r="BD863" s="558">
        <v>368076</v>
      </c>
      <c r="BE863" s="558">
        <v>444000</v>
      </c>
      <c r="BF863" s="558">
        <v>568320</v>
      </c>
      <c r="BG863" s="558">
        <v>633144</v>
      </c>
      <c r="BI863" s="30" t="s">
        <v>695</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59"/>
      <c r="AA864" s="1160"/>
      <c r="AB864" s="1160"/>
      <c r="AC864" s="1160"/>
      <c r="AD864" s="1160"/>
      <c r="AE864" s="1161"/>
      <c r="AF864"/>
      <c r="AG864"/>
      <c r="AH864"/>
      <c r="AI864"/>
      <c r="AJ864"/>
      <c r="AK864"/>
      <c r="AL864"/>
      <c r="AM864" s="38"/>
      <c r="AN864" s="38"/>
      <c r="BB864" s="30" t="s">
        <v>696</v>
      </c>
      <c r="BC864" s="557">
        <v>352022</v>
      </c>
      <c r="BD864" s="557">
        <v>405878</v>
      </c>
      <c r="BE864" s="557">
        <v>489600</v>
      </c>
      <c r="BF864" s="557">
        <v>626688</v>
      </c>
      <c r="BG864" s="557">
        <v>698170</v>
      </c>
      <c r="BI864" s="30" t="s">
        <v>696</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53">
        <f>Z862-(Z863+Z864)</f>
        <v>0</v>
      </c>
      <c r="AA865" s="1154"/>
      <c r="AB865" s="1154"/>
      <c r="AC865" s="1154"/>
      <c r="AD865" s="1154"/>
      <c r="AE865" s="1155"/>
      <c r="AF865"/>
      <c r="AG865"/>
      <c r="AH865"/>
      <c r="AI865"/>
      <c r="AJ865"/>
      <c r="AK865"/>
      <c r="AL865"/>
      <c r="AM865" s="38"/>
      <c r="AN865" s="38"/>
      <c r="BB865" s="30" t="s">
        <v>697</v>
      </c>
      <c r="BC865" s="558">
        <v>352022</v>
      </c>
      <c r="BD865" s="558">
        <v>405878</v>
      </c>
      <c r="BE865" s="558">
        <v>489600</v>
      </c>
      <c r="BF865" s="558">
        <v>626688</v>
      </c>
      <c r="BG865" s="558">
        <v>698170</v>
      </c>
      <c r="BI865" s="30" t="s">
        <v>697</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7">
        <v>384234</v>
      </c>
      <c r="BD866" s="557">
        <v>443018</v>
      </c>
      <c r="BE866" s="557">
        <v>534400</v>
      </c>
      <c r="BF866" s="557">
        <v>684032</v>
      </c>
      <c r="BG866" s="557">
        <v>762054</v>
      </c>
      <c r="BI866" s="30" t="s">
        <v>698</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8">
        <v>384234</v>
      </c>
      <c r="BD867" s="558">
        <v>443018</v>
      </c>
      <c r="BE867" s="558">
        <v>534400</v>
      </c>
      <c r="BF867" s="558">
        <v>684032</v>
      </c>
      <c r="BG867" s="558">
        <v>762054</v>
      </c>
      <c r="BI867" s="30" t="s">
        <v>941</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7">
        <v>307732</v>
      </c>
      <c r="BD868" s="557">
        <v>354812</v>
      </c>
      <c r="BE868" s="557">
        <v>428000</v>
      </c>
      <c r="BF868" s="557">
        <v>547840</v>
      </c>
      <c r="BG868" s="557">
        <v>610328</v>
      </c>
      <c r="BI868" s="30" t="s">
        <v>942</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72" t="s">
        <v>136</v>
      </c>
      <c r="B872" s="1172"/>
      <c r="C872" s="1172"/>
      <c r="D872" s="1172"/>
      <c r="E872" s="1172"/>
      <c r="F872" s="1172"/>
      <c r="G872" s="1172"/>
      <c r="H872" s="1172"/>
      <c r="I872" s="1172"/>
      <c r="J872" s="1172"/>
      <c r="K872" s="1172"/>
      <c r="L872" s="1172"/>
      <c r="M872" s="1172"/>
      <c r="N872" s="1172"/>
      <c r="O872" s="1172"/>
      <c r="P872" s="1172"/>
      <c r="Q872" s="1172"/>
      <c r="R872" s="1172"/>
      <c r="S872" s="1172"/>
      <c r="T872" s="1172"/>
      <c r="U872" s="1172"/>
      <c r="V872" s="1172"/>
      <c r="W872" s="1172"/>
      <c r="X872" s="1172"/>
      <c r="Y872" s="1172"/>
      <c r="Z872" s="1172"/>
      <c r="AA872" s="1172"/>
      <c r="AB872" s="1172"/>
      <c r="AC872" s="1172"/>
      <c r="AD872" s="1172"/>
      <c r="AE872" s="1172"/>
      <c r="AF872" s="1172"/>
      <c r="AG872" s="1172"/>
      <c r="AH872" s="1172"/>
      <c r="AI872" s="1172"/>
      <c r="AJ872" s="1172"/>
      <c r="AK872" s="1172"/>
      <c r="AL872" s="1172"/>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72"/>
      <c r="B873" s="1172"/>
      <c r="C873" s="1172"/>
      <c r="D873" s="1172"/>
      <c r="E873" s="1172"/>
      <c r="F873" s="1172"/>
      <c r="G873" s="1172"/>
      <c r="H873" s="1172"/>
      <c r="I873" s="1172"/>
      <c r="J873" s="1172"/>
      <c r="K873" s="1172"/>
      <c r="L873" s="1172"/>
      <c r="M873" s="1172"/>
      <c r="N873" s="1172"/>
      <c r="O873" s="1172"/>
      <c r="P873" s="1172"/>
      <c r="Q873" s="1172"/>
      <c r="R873" s="1172"/>
      <c r="S873" s="1172"/>
      <c r="T873" s="1172"/>
      <c r="U873" s="1172"/>
      <c r="V873" s="1172"/>
      <c r="W873" s="1172"/>
      <c r="X873" s="1172"/>
      <c r="Y873" s="1172"/>
      <c r="Z873" s="1172"/>
      <c r="AA873" s="1172"/>
      <c r="AB873" s="1172"/>
      <c r="AC873" s="1172"/>
      <c r="AD873" s="1172"/>
      <c r="AE873" s="1172"/>
      <c r="AF873" s="1172"/>
      <c r="AG873" s="1172"/>
      <c r="AH873" s="1172"/>
      <c r="AI873" s="1172"/>
      <c r="AJ873" s="1172"/>
      <c r="AK873" s="1172"/>
      <c r="AL873" s="1172"/>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33" t="s">
        <v>1005</v>
      </c>
      <c r="G877" s="1134"/>
      <c r="H877" s="1134"/>
      <c r="I877" s="1134"/>
      <c r="J877" s="1134"/>
      <c r="K877" s="1134"/>
      <c r="L877" s="1134"/>
      <c r="M877" s="1134"/>
      <c r="N877" s="1134"/>
      <c r="O877" s="1134"/>
      <c r="P877" s="1134"/>
      <c r="Q877" s="1134"/>
      <c r="R877" s="1134"/>
      <c r="S877" s="1134"/>
      <c r="T877" s="1135"/>
      <c r="U877" s="1502" t="s">
        <v>367</v>
      </c>
      <c r="V877" s="1173"/>
      <c r="W877" s="1173"/>
      <c r="X877" s="1173"/>
      <c r="Y877" s="1173"/>
      <c r="Z877" s="1173"/>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503" t="s">
        <v>1086</v>
      </c>
      <c r="G878" s="1504"/>
      <c r="H878" s="1504"/>
      <c r="I878" s="1504"/>
      <c r="J878" s="1504"/>
      <c r="K878" s="1504"/>
      <c r="L878" s="1504"/>
      <c r="M878" s="1504"/>
      <c r="N878" s="1504"/>
      <c r="O878" s="1504"/>
      <c r="P878" s="1504"/>
      <c r="Q878" s="1504"/>
      <c r="R878" s="1504"/>
      <c r="S878" s="1504"/>
      <c r="T878" s="1509"/>
      <c r="U878" s="1503"/>
      <c r="V878" s="1504"/>
      <c r="W878" s="1504"/>
      <c r="X878" s="1504"/>
      <c r="Y878" s="1504"/>
      <c r="Z878" s="1504"/>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505"/>
      <c r="G879" s="1175"/>
      <c r="H879" s="1175"/>
      <c r="I879" s="1175"/>
      <c r="J879" s="1175"/>
      <c r="K879" s="1175"/>
      <c r="L879" s="1175"/>
      <c r="M879" s="1175"/>
      <c r="N879" s="1175"/>
      <c r="O879" s="1175"/>
      <c r="P879" s="1175"/>
      <c r="Q879" s="1175"/>
      <c r="R879" s="1175"/>
      <c r="S879" s="1175"/>
      <c r="T879" s="1176"/>
      <c r="U879" s="1505"/>
      <c r="V879" s="1175"/>
      <c r="W879" s="1175"/>
      <c r="X879" s="1175"/>
      <c r="Y879" s="1175"/>
      <c r="Z879" s="1175"/>
      <c r="AA879" s="198"/>
      <c r="AB879" s="1151" t="s">
        <v>60</v>
      </c>
      <c r="AC879" s="1151"/>
      <c r="AD879" s="1151"/>
      <c r="AE879" s="1151"/>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42" t="s">
        <v>132</v>
      </c>
      <c r="V880" s="1143"/>
      <c r="W880" s="1143"/>
      <c r="X880" s="1143"/>
      <c r="Y880" s="1143"/>
      <c r="Z880" s="1144"/>
      <c r="AA880" s="1140"/>
      <c r="AB880" s="1141"/>
      <c r="AC880" s="1141"/>
      <c r="AD880" s="1141"/>
      <c r="AE880" s="1141"/>
      <c r="AF880" s="1131"/>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42" t="s">
        <v>132</v>
      </c>
      <c r="V881" s="1143"/>
      <c r="W881" s="1143"/>
      <c r="X881" s="1143"/>
      <c r="Y881" s="1143"/>
      <c r="Z881" s="1144"/>
      <c r="AA881" s="1140"/>
      <c r="AB881" s="1141"/>
      <c r="AC881" s="1141"/>
      <c r="AD881" s="1141"/>
      <c r="AE881" s="1141"/>
      <c r="AF881" s="1131"/>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990</v>
      </c>
      <c r="G882" s="9"/>
      <c r="H882" s="9"/>
      <c r="I882" s="9"/>
      <c r="J882" s="9"/>
      <c r="K882" s="9"/>
      <c r="L882" s="9"/>
      <c r="M882" s="9"/>
      <c r="N882" s="9"/>
      <c r="O882" s="9"/>
      <c r="P882" s="9"/>
      <c r="Q882" s="9"/>
      <c r="R882" s="9"/>
      <c r="S882" s="9"/>
      <c r="T882" s="52"/>
      <c r="U882" s="1142" t="s">
        <v>132</v>
      </c>
      <c r="V882" s="1143"/>
      <c r="W882" s="1143"/>
      <c r="X882" s="1143"/>
      <c r="Y882" s="1143"/>
      <c r="Z882" s="1144"/>
      <c r="AA882" s="1140"/>
      <c r="AB882" s="1141"/>
      <c r="AC882" s="1141"/>
      <c r="AD882" s="1141"/>
      <c r="AE882" s="1141"/>
      <c r="AF882" s="1131"/>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991</v>
      </c>
      <c r="G883" s="9"/>
      <c r="H883" s="9"/>
      <c r="I883" s="9"/>
      <c r="J883" s="9"/>
      <c r="K883" s="9"/>
      <c r="L883" s="9"/>
      <c r="M883" s="9"/>
      <c r="N883" s="9"/>
      <c r="O883" s="9"/>
      <c r="P883" s="9"/>
      <c r="Q883" s="9"/>
      <c r="R883" s="9"/>
      <c r="S883" s="9"/>
      <c r="T883" s="52"/>
      <c r="U883" s="1142" t="s">
        <v>132</v>
      </c>
      <c r="V883" s="1143"/>
      <c r="W883" s="1143"/>
      <c r="X883" s="1143"/>
      <c r="Y883" s="1143"/>
      <c r="Z883" s="1144"/>
      <c r="AA883" s="1140"/>
      <c r="AB883" s="1141"/>
      <c r="AC883" s="1141"/>
      <c r="AD883" s="1141"/>
      <c r="AE883" s="1141"/>
      <c r="AF883" s="1131"/>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992</v>
      </c>
      <c r="G884" s="9"/>
      <c r="H884" s="9"/>
      <c r="I884" s="9"/>
      <c r="J884" s="9"/>
      <c r="K884" s="9"/>
      <c r="L884" s="9"/>
      <c r="M884" s="9"/>
      <c r="N884" s="9"/>
      <c r="O884" s="9"/>
      <c r="P884" s="9"/>
      <c r="Q884" s="9"/>
      <c r="R884" s="9"/>
      <c r="S884" s="9"/>
      <c r="T884" s="52"/>
      <c r="U884" s="1142" t="s">
        <v>132</v>
      </c>
      <c r="V884" s="1143"/>
      <c r="W884" s="1143"/>
      <c r="X884" s="1143"/>
      <c r="Y884" s="1143"/>
      <c r="Z884" s="1144"/>
      <c r="AA884" s="1140"/>
      <c r="AB884" s="1141"/>
      <c r="AC884" s="1141"/>
      <c r="AD884" s="1141"/>
      <c r="AE884" s="1141"/>
      <c r="AF884" s="1131"/>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42" t="s">
        <v>132</v>
      </c>
      <c r="V885" s="1143"/>
      <c r="W885" s="1143"/>
      <c r="X885" s="1143"/>
      <c r="Y885" s="1143"/>
      <c r="Z885" s="1144"/>
      <c r="AA885" s="1140"/>
      <c r="AB885" s="1141"/>
      <c r="AC885" s="1141"/>
      <c r="AD885" s="1141"/>
      <c r="AE885" s="1141"/>
      <c r="AF885" s="1131"/>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42" t="s">
        <v>132</v>
      </c>
      <c r="V886" s="1143"/>
      <c r="W886" s="1143"/>
      <c r="X886" s="1143"/>
      <c r="Y886" s="1143"/>
      <c r="Z886" s="1144"/>
      <c r="AA886" s="1140"/>
      <c r="AB886" s="1141"/>
      <c r="AC886" s="1141"/>
      <c r="AD886" s="1141"/>
      <c r="AE886" s="1141"/>
      <c r="AF886" s="1131"/>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42" t="s">
        <v>132</v>
      </c>
      <c r="V887" s="1143"/>
      <c r="W887" s="1143"/>
      <c r="X887" s="1143"/>
      <c r="Y887" s="1143"/>
      <c r="Z887" s="1144"/>
      <c r="AA887" s="1140"/>
      <c r="AB887" s="1141"/>
      <c r="AC887" s="1141"/>
      <c r="AD887" s="1141"/>
      <c r="AE887" s="1141"/>
      <c r="AF887" s="1131"/>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2000</v>
      </c>
      <c r="G888" s="9"/>
      <c r="H888" s="9"/>
      <c r="I888" s="9"/>
      <c r="J888" s="9"/>
      <c r="K888" s="9"/>
      <c r="L888" s="9"/>
      <c r="M888" s="9"/>
      <c r="N888" s="9"/>
      <c r="O888" s="9"/>
      <c r="P888" s="9"/>
      <c r="Q888" s="9"/>
      <c r="R888" s="9"/>
      <c r="S888" s="9"/>
      <c r="T888" s="52"/>
      <c r="U888" s="1142" t="s">
        <v>132</v>
      </c>
      <c r="V888" s="1143"/>
      <c r="W888" s="1143"/>
      <c r="X888" s="1143"/>
      <c r="Y888" s="1143"/>
      <c r="Z888" s="1144"/>
      <c r="AA888" s="1140"/>
      <c r="AB888" s="1141"/>
      <c r="AC888" s="1141"/>
      <c r="AD888" s="1141"/>
      <c r="AE888" s="1141"/>
      <c r="AF888" s="1131"/>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1052</v>
      </c>
      <c r="G889" s="9"/>
      <c r="H889" s="9"/>
      <c r="I889" s="9"/>
      <c r="J889" s="9"/>
      <c r="K889" s="9"/>
      <c r="L889" s="9"/>
      <c r="M889" s="9"/>
      <c r="N889" s="9"/>
      <c r="O889" s="9"/>
      <c r="P889" s="9"/>
      <c r="Q889" s="9"/>
      <c r="R889" s="9"/>
      <c r="S889" s="9"/>
      <c r="T889" s="52"/>
      <c r="U889" s="1142" t="s">
        <v>132</v>
      </c>
      <c r="V889" s="1143"/>
      <c r="W889" s="1143"/>
      <c r="X889" s="1143"/>
      <c r="Y889" s="1143"/>
      <c r="Z889" s="1144"/>
      <c r="AA889" s="1140"/>
      <c r="AB889" s="1141"/>
      <c r="AC889" s="1141"/>
      <c r="AD889" s="1141"/>
      <c r="AE889" s="1141"/>
      <c r="AF889" s="1131"/>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1053</v>
      </c>
      <c r="G890" s="9"/>
      <c r="H890" s="9"/>
      <c r="I890" s="9"/>
      <c r="J890" s="9"/>
      <c r="K890" s="9"/>
      <c r="L890" s="9"/>
      <c r="M890" s="9"/>
      <c r="N890" s="9"/>
      <c r="O890" s="9"/>
      <c r="P890" s="9"/>
      <c r="Q890" s="9"/>
      <c r="R890" s="9"/>
      <c r="S890" s="9"/>
      <c r="T890" s="52"/>
      <c r="U890" s="1325" t="s">
        <v>132</v>
      </c>
      <c r="V890" s="1326"/>
      <c r="W890" s="1326"/>
      <c r="X890" s="1326"/>
      <c r="Y890" s="1326"/>
      <c r="Z890" s="1501"/>
      <c r="AA890" s="1530"/>
      <c r="AB890" s="1531"/>
      <c r="AC890" s="1531"/>
      <c r="AD890" s="1531"/>
      <c r="AE890" s="1531"/>
      <c r="AF890" s="1532"/>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1998</v>
      </c>
      <c r="G891" s="9"/>
      <c r="H891" s="9"/>
      <c r="I891" s="9"/>
      <c r="J891" s="9"/>
      <c r="K891" s="9"/>
      <c r="L891" s="9"/>
      <c r="M891" s="9"/>
      <c r="N891" s="9"/>
      <c r="O891" s="9"/>
      <c r="P891" s="9"/>
      <c r="Q891" s="9"/>
      <c r="R891" s="9"/>
      <c r="S891" s="9"/>
      <c r="T891" s="52"/>
      <c r="U891" s="1142" t="s">
        <v>132</v>
      </c>
      <c r="V891" s="1143"/>
      <c r="W891" s="1143"/>
      <c r="X891" s="1143"/>
      <c r="Y891" s="1143"/>
      <c r="Z891" s="1144"/>
      <c r="AA891" s="1140"/>
      <c r="AB891" s="1141"/>
      <c r="AC891" s="1141"/>
      <c r="AD891" s="1141"/>
      <c r="AE891" s="1141"/>
      <c r="AF891" s="1131"/>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1999</v>
      </c>
      <c r="G892" s="9"/>
      <c r="H892" s="9"/>
      <c r="I892" s="9"/>
      <c r="J892" s="9"/>
      <c r="K892" s="9"/>
      <c r="L892" s="9"/>
      <c r="M892" s="9"/>
      <c r="N892" s="9"/>
      <c r="O892" s="9"/>
      <c r="P892" s="9"/>
      <c r="Q892" s="9"/>
      <c r="R892" s="9"/>
      <c r="S892" s="9"/>
      <c r="T892" s="52"/>
      <c r="U892" s="1142" t="s">
        <v>132</v>
      </c>
      <c r="V892" s="1143"/>
      <c r="W892" s="1143"/>
      <c r="X892" s="1143"/>
      <c r="Y892" s="1143"/>
      <c r="Z892" s="1144"/>
      <c r="AA892" s="1140"/>
      <c r="AB892" s="1141"/>
      <c r="AC892" s="1141"/>
      <c r="AD892" s="1141"/>
      <c r="AE892" s="1141"/>
      <c r="AF892" s="1131"/>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42" t="s">
        <v>132</v>
      </c>
      <c r="V893" s="1143"/>
      <c r="W893" s="1143"/>
      <c r="X893" s="1143"/>
      <c r="Y893" s="1143"/>
      <c r="Z893" s="1144"/>
      <c r="AA893" s="1140"/>
      <c r="AB893" s="1141"/>
      <c r="AC893" s="1141"/>
      <c r="AD893" s="1141"/>
      <c r="AE893" s="1141"/>
      <c r="AF893" s="1131"/>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1064</v>
      </c>
      <c r="G894" s="9"/>
      <c r="H894" s="9"/>
      <c r="I894" s="9"/>
      <c r="J894" s="9"/>
      <c r="K894" s="9"/>
      <c r="L894" s="9"/>
      <c r="M894" s="9"/>
      <c r="N894" s="9"/>
      <c r="O894" s="9"/>
      <c r="P894" s="1263" t="s">
        <v>511</v>
      </c>
      <c r="Q894" s="1143"/>
      <c r="R894" s="1143"/>
      <c r="S894" s="1143"/>
      <c r="T894" s="1144"/>
      <c r="U894" s="1142" t="s">
        <v>132</v>
      </c>
      <c r="V894" s="1143"/>
      <c r="W894" s="1143"/>
      <c r="X894" s="1143"/>
      <c r="Y894" s="1143"/>
      <c r="Z894" s="1144"/>
      <c r="AA894" s="1140"/>
      <c r="AB894" s="1141"/>
      <c r="AC894" s="1141"/>
      <c r="AD894" s="1141"/>
      <c r="AE894" s="1141"/>
      <c r="AF894" s="1131"/>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398</v>
      </c>
      <c r="G895" s="54"/>
      <c r="H895" s="54"/>
      <c r="I895" s="1121" t="s">
        <v>2476</v>
      </c>
      <c r="J895" s="1499"/>
      <c r="K895" s="1499"/>
      <c r="L895" s="1499"/>
      <c r="M895" s="1499"/>
      <c r="N895" s="1499"/>
      <c r="O895" s="1499"/>
      <c r="P895" s="1499"/>
      <c r="Q895" s="1499"/>
      <c r="R895" s="1499"/>
      <c r="S895" s="1499"/>
      <c r="T895" s="1500"/>
      <c r="U895" s="1142" t="s">
        <v>116</v>
      </c>
      <c r="V895" s="1143"/>
      <c r="W895" s="1143"/>
      <c r="X895" s="1143"/>
      <c r="Y895" s="1143"/>
      <c r="Z895" s="1144"/>
      <c r="AA895" s="1140">
        <f>AO620</f>
        <v>4400310</v>
      </c>
      <c r="AB895" s="1141"/>
      <c r="AC895" s="1141"/>
      <c r="AD895" s="1141"/>
      <c r="AE895" s="1141"/>
      <c r="AF895" s="1131"/>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867</v>
      </c>
      <c r="G896" s="54"/>
      <c r="H896" s="54"/>
      <c r="I896" s="1121" t="s">
        <v>2475</v>
      </c>
      <c r="J896" s="1499"/>
      <c r="K896" s="1499"/>
      <c r="L896" s="1499"/>
      <c r="M896" s="1499"/>
      <c r="N896" s="1499"/>
      <c r="O896" s="1499"/>
      <c r="P896" s="1499"/>
      <c r="Q896" s="1499"/>
      <c r="R896" s="1499"/>
      <c r="S896" s="1499"/>
      <c r="T896" s="1500"/>
      <c r="U896" s="1142" t="s">
        <v>116</v>
      </c>
      <c r="V896" s="1143"/>
      <c r="W896" s="1143"/>
      <c r="X896" s="1143"/>
      <c r="Y896" s="1143"/>
      <c r="Z896" s="1144"/>
      <c r="AA896" s="1140">
        <f>AO619</f>
        <v>400000</v>
      </c>
      <c r="AB896" s="1141"/>
      <c r="AC896" s="1141"/>
      <c r="AD896" s="1141"/>
      <c r="AE896" s="1141"/>
      <c r="AF896" s="1131"/>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298</v>
      </c>
      <c r="G897" s="54"/>
      <c r="H897" s="54"/>
      <c r="I897" s="1121" t="s">
        <v>593</v>
      </c>
      <c r="J897" s="1499"/>
      <c r="K897" s="1499"/>
      <c r="L897" s="1499"/>
      <c r="M897" s="1499"/>
      <c r="N897" s="1499"/>
      <c r="O897" s="1499"/>
      <c r="P897" s="1499"/>
      <c r="Q897" s="1499"/>
      <c r="R897" s="1499"/>
      <c r="S897" s="1499"/>
      <c r="T897" s="1500"/>
      <c r="U897" s="1142" t="s">
        <v>132</v>
      </c>
      <c r="V897" s="1143"/>
      <c r="W897" s="1143"/>
      <c r="X897" s="1143"/>
      <c r="Y897" s="1143"/>
      <c r="Z897" s="1144"/>
      <c r="AA897" s="1140"/>
      <c r="AB897" s="1141"/>
      <c r="AC897" s="1141"/>
      <c r="AD897" s="1141"/>
      <c r="AE897" s="1141"/>
      <c r="AF897" s="1131"/>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298</v>
      </c>
      <c r="G898" s="54"/>
      <c r="H898" s="54"/>
      <c r="I898" s="1121" t="s">
        <v>593</v>
      </c>
      <c r="J898" s="1499"/>
      <c r="K898" s="1499"/>
      <c r="L898" s="1499"/>
      <c r="M898" s="1499"/>
      <c r="N898" s="1499"/>
      <c r="O898" s="1499"/>
      <c r="P898" s="1499"/>
      <c r="Q898" s="1499"/>
      <c r="R898" s="1499"/>
      <c r="S898" s="1499"/>
      <c r="T898" s="1500"/>
      <c r="U898" s="1142" t="s">
        <v>132</v>
      </c>
      <c r="V898" s="1143"/>
      <c r="W898" s="1143"/>
      <c r="X898" s="1143"/>
      <c r="Y898" s="1143"/>
      <c r="Z898" s="1144"/>
      <c r="AA898" s="1140"/>
      <c r="AB898" s="1141"/>
      <c r="AC898" s="1141"/>
      <c r="AD898" s="1141"/>
      <c r="AE898" s="1141"/>
      <c r="AF898" s="1131"/>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868</v>
      </c>
      <c r="D903" s="9"/>
      <c r="E903" s="9"/>
      <c r="F903" s="9"/>
      <c r="G903" s="9"/>
      <c r="H903" s="9"/>
      <c r="I903" s="9"/>
      <c r="J903" s="9"/>
      <c r="K903" s="9"/>
      <c r="L903" s="1145"/>
      <c r="M903" s="1146"/>
      <c r="N903" s="1146"/>
      <c r="O903" s="1146"/>
      <c r="P903" s="1146"/>
      <c r="Q903" s="1146"/>
      <c r="R903" s="1146"/>
      <c r="S903" s="1147"/>
      <c r="U903" s="72" t="s">
        <v>868</v>
      </c>
      <c r="V903" s="9"/>
      <c r="W903" s="9"/>
      <c r="X903" s="9"/>
      <c r="Y903" s="9"/>
      <c r="Z903" s="9"/>
      <c r="AA903" s="9"/>
      <c r="AB903" s="9"/>
      <c r="AC903" s="9"/>
      <c r="AD903" s="52"/>
      <c r="AE903" s="1526"/>
      <c r="AF903" s="1359"/>
      <c r="AG903" s="1359"/>
      <c r="AH903" s="1359"/>
      <c r="AI903" s="1359"/>
      <c r="AJ903" s="1359"/>
      <c r="AK903" s="1360"/>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869</v>
      </c>
      <c r="D904" s="9"/>
      <c r="E904" s="9"/>
      <c r="F904" s="9"/>
      <c r="G904" s="9"/>
      <c r="H904" s="9"/>
      <c r="I904" s="9"/>
      <c r="J904" s="9"/>
      <c r="K904" s="9"/>
      <c r="L904" s="1145"/>
      <c r="M904" s="1146"/>
      <c r="N904" s="1146"/>
      <c r="O904" s="1146"/>
      <c r="P904" s="1146"/>
      <c r="Q904" s="1146"/>
      <c r="R904" s="1146"/>
      <c r="S904" s="1147"/>
      <c r="U904" s="72" t="s">
        <v>869</v>
      </c>
      <c r="V904" s="9"/>
      <c r="W904" s="9"/>
      <c r="X904" s="9"/>
      <c r="Y904" s="9"/>
      <c r="Z904" s="9"/>
      <c r="AA904" s="9"/>
      <c r="AB904" s="9"/>
      <c r="AC904" s="9"/>
      <c r="AD904" s="52"/>
      <c r="AE904" s="1527"/>
      <c r="AF904" s="1528"/>
      <c r="AG904" s="1528"/>
      <c r="AH904" s="1528"/>
      <c r="AI904" s="1528"/>
      <c r="AJ904" s="1528"/>
      <c r="AK904" s="1529"/>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1155</v>
      </c>
      <c r="D905" s="9"/>
      <c r="E905" s="9"/>
      <c r="L905" s="1440" t="s">
        <v>84</v>
      </c>
      <c r="M905" s="1441"/>
      <c r="N905" s="1441"/>
      <c r="O905" s="1441"/>
      <c r="P905" s="1441"/>
      <c r="Q905" s="1441"/>
      <c r="R905" s="1441"/>
      <c r="S905" s="1442"/>
      <c r="U905" s="72" t="s">
        <v>1155</v>
      </c>
      <c r="V905" s="9"/>
      <c r="W905" s="9"/>
      <c r="AE905" s="1549" t="s">
        <v>84</v>
      </c>
      <c r="AF905" s="1550"/>
      <c r="AG905" s="1550"/>
      <c r="AH905" s="1550"/>
      <c r="AI905" s="1550"/>
      <c r="AJ905" s="1550"/>
      <c r="AK905" s="1551"/>
      <c r="AL905" s="74"/>
      <c r="AM905" s="43"/>
      <c r="AN905" s="43"/>
      <c r="AO905" s="43"/>
      <c r="AP905" s="43"/>
      <c r="AQ905" s="43"/>
      <c r="AR905" s="43"/>
      <c r="AS905" s="43"/>
      <c r="AT905" s="43"/>
      <c r="AU905" s="43"/>
      <c r="AV905" s="43"/>
      <c r="AW905" s="38" t="s">
        <v>620</v>
      </c>
      <c r="AX905" s="206">
        <v>20</v>
      </c>
      <c r="AY905" s="1438">
        <f>IF(AD941&gt;0,0.2,0)</f>
        <v>0</v>
      </c>
      <c r="AZ905" s="1438"/>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870</v>
      </c>
      <c r="D906" s="9"/>
      <c r="E906" s="9"/>
      <c r="F906" s="9"/>
      <c r="G906" s="9"/>
      <c r="H906" s="9"/>
      <c r="I906" s="9"/>
      <c r="J906" s="9"/>
      <c r="K906" s="9"/>
      <c r="L906" s="1443"/>
      <c r="M906" s="1444"/>
      <c r="N906" s="1444"/>
      <c r="O906" s="1444"/>
      <c r="P906" s="1444"/>
      <c r="Q906" s="1444"/>
      <c r="R906" s="1444"/>
      <c r="S906" s="1445"/>
      <c r="U906" s="72" t="s">
        <v>870</v>
      </c>
      <c r="V906" s="9"/>
      <c r="W906" s="9"/>
      <c r="X906" s="9"/>
      <c r="Y906" s="9"/>
      <c r="Z906" s="9"/>
      <c r="AA906" s="9"/>
      <c r="AB906" s="9"/>
      <c r="AC906" s="9"/>
      <c r="AD906" s="52"/>
      <c r="AE906" s="1443"/>
      <c r="AF906" s="1444"/>
      <c r="AG906" s="1444"/>
      <c r="AH906" s="1444"/>
      <c r="AI906" s="1444"/>
      <c r="AJ906" s="1444"/>
      <c r="AK906" s="1445"/>
      <c r="AL906" s="74"/>
      <c r="AM906" s="43"/>
      <c r="AN906" s="43"/>
      <c r="AO906" s="43"/>
      <c r="AP906" s="43"/>
      <c r="AQ906" s="43"/>
      <c r="AR906" s="43"/>
      <c r="AS906" s="43"/>
      <c r="AT906" s="43"/>
      <c r="AU906" s="43"/>
      <c r="AV906" s="43"/>
      <c r="AX906">
        <v>5</v>
      </c>
      <c r="AY906" s="1438">
        <f>IF(AD944&gt;0,0.05,0)</f>
        <v>0</v>
      </c>
      <c r="AZ906" s="1438"/>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871</v>
      </c>
      <c r="D907" s="9"/>
      <c r="E907" s="9"/>
      <c r="F907" s="9"/>
      <c r="G907" s="9"/>
      <c r="H907" s="9"/>
      <c r="I907" s="9"/>
      <c r="J907" s="9"/>
      <c r="K907" s="9"/>
      <c r="L907" s="1422"/>
      <c r="M907" s="1423"/>
      <c r="N907" s="1423"/>
      <c r="O907" s="1423"/>
      <c r="P907" s="1423"/>
      <c r="Q907" s="1423"/>
      <c r="R907" s="1423"/>
      <c r="S907" s="1424"/>
      <c r="U907" s="72" t="s">
        <v>871</v>
      </c>
      <c r="V907" s="9"/>
      <c r="W907" s="9"/>
      <c r="X907" s="9"/>
      <c r="Y907" s="9"/>
      <c r="Z907" s="9"/>
      <c r="AA907" s="9"/>
      <c r="AB907" s="9"/>
      <c r="AC907" s="9"/>
      <c r="AD907" s="52"/>
      <c r="AE907" s="1425"/>
      <c r="AF907" s="1362"/>
      <c r="AG907" s="1362"/>
      <c r="AH907" s="1362"/>
      <c r="AI907" s="1362"/>
      <c r="AJ907" s="1362"/>
      <c r="AK907" s="1363"/>
      <c r="AL907" s="74"/>
      <c r="AM907" s="43"/>
      <c r="AN907" s="43"/>
      <c r="AO907" s="43"/>
      <c r="AP907" s="43"/>
      <c r="AQ907" s="43"/>
      <c r="AR907" s="43"/>
      <c r="AS907" s="43"/>
      <c r="AT907" s="43"/>
      <c r="AU907" s="43"/>
      <c r="AV907" s="43"/>
      <c r="AW907" s="38" t="s">
        <v>621</v>
      </c>
      <c r="AX907" s="206">
        <v>7</v>
      </c>
      <c r="AY907" s="1453">
        <f>IF(AD948&gt;0,0.07,0)</f>
        <v>0</v>
      </c>
      <c r="AZ907" s="1453"/>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872</v>
      </c>
      <c r="D908" s="9"/>
      <c r="E908" s="9"/>
      <c r="F908" s="9"/>
      <c r="G908" s="9"/>
      <c r="H908" s="9"/>
      <c r="I908" s="9"/>
      <c r="J908" s="9"/>
      <c r="K908" s="9"/>
      <c r="L908" s="1159"/>
      <c r="M908" s="1160"/>
      <c r="N908" s="1160"/>
      <c r="O908" s="1160"/>
      <c r="P908" s="1160"/>
      <c r="Q908" s="1160"/>
      <c r="R908" s="1160"/>
      <c r="S908" s="1161"/>
      <c r="U908" s="72" t="s">
        <v>872</v>
      </c>
      <c r="V908" s="9"/>
      <c r="W908" s="9"/>
      <c r="X908" s="9"/>
      <c r="Y908" s="9"/>
      <c r="Z908" s="9"/>
      <c r="AA908" s="9"/>
      <c r="AB908" s="9"/>
      <c r="AC908" s="9"/>
      <c r="AD908" s="52"/>
      <c r="AE908" s="1140"/>
      <c r="AF908" s="1141"/>
      <c r="AG908" s="1141"/>
      <c r="AH908" s="1141"/>
      <c r="AI908" s="1141"/>
      <c r="AJ908" s="1141"/>
      <c r="AK908" s="1131"/>
      <c r="AL908" s="74"/>
      <c r="AM908" s="43"/>
      <c r="AN908" s="43"/>
      <c r="AO908" s="43"/>
      <c r="AP908" s="43"/>
      <c r="AQ908" s="43"/>
      <c r="AR908" s="43"/>
      <c r="AS908" s="43"/>
      <c r="AT908" s="43"/>
      <c r="AU908" s="43"/>
      <c r="AV908" s="43"/>
      <c r="AW908" s="38" t="s">
        <v>158</v>
      </c>
      <c r="AX908" s="206">
        <v>2</v>
      </c>
      <c r="AY908" s="1066">
        <f>IF(AD952&gt;0,0.02,0)</f>
        <v>0</v>
      </c>
      <c r="AZ908" s="1068"/>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873</v>
      </c>
      <c r="D909" s="9"/>
      <c r="E909" s="9"/>
      <c r="F909" s="9"/>
      <c r="G909" s="9"/>
      <c r="H909" s="9"/>
      <c r="I909" s="9"/>
      <c r="J909" s="9"/>
      <c r="K909" s="9"/>
      <c r="L909" s="1159"/>
      <c r="M909" s="1160"/>
      <c r="N909" s="1160"/>
      <c r="O909" s="1160"/>
      <c r="P909" s="1160"/>
      <c r="Q909" s="1160"/>
      <c r="R909" s="1160"/>
      <c r="S909" s="1161"/>
      <c r="U909" s="72" t="s">
        <v>873</v>
      </c>
      <c r="V909" s="9"/>
      <c r="W909" s="9"/>
      <c r="X909" s="9"/>
      <c r="Y909" s="9"/>
      <c r="Z909" s="9"/>
      <c r="AA909" s="9"/>
      <c r="AB909" s="9"/>
      <c r="AC909" s="9"/>
      <c r="AD909" s="52"/>
      <c r="AE909" s="1140"/>
      <c r="AF909" s="1141"/>
      <c r="AG909" s="1141"/>
      <c r="AH909" s="1141"/>
      <c r="AI909" s="1141"/>
      <c r="AJ909" s="1141"/>
      <c r="AK909" s="1131"/>
      <c r="AL909" s="74"/>
      <c r="AM909" s="43"/>
      <c r="AN909" s="43"/>
      <c r="AO909" s="43"/>
      <c r="AP909" s="43"/>
      <c r="AQ909" s="43"/>
      <c r="AR909" s="43"/>
      <c r="AS909" s="43"/>
      <c r="AT909" s="43"/>
      <c r="AU909" s="43"/>
      <c r="AV909" s="43"/>
      <c r="AW909" s="38" t="s">
        <v>622</v>
      </c>
      <c r="AX909" s="206">
        <v>2</v>
      </c>
      <c r="AY909" s="1066">
        <f>IF(AD954&gt;0,0.02,0)</f>
        <v>0</v>
      </c>
      <c r="AZ909" s="1068"/>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2071</v>
      </c>
      <c r="D910" s="9"/>
      <c r="E910" s="9"/>
      <c r="F910" s="9"/>
      <c r="G910" s="9"/>
      <c r="H910" s="9"/>
      <c r="I910" s="9"/>
      <c r="J910" s="9"/>
      <c r="K910" s="9"/>
      <c r="L910" s="1465"/>
      <c r="M910" s="1466"/>
      <c r="N910" s="1466"/>
      <c r="O910" s="1466"/>
      <c r="P910" s="1466"/>
      <c r="Q910" s="1466"/>
      <c r="R910" s="1466"/>
      <c r="S910" s="1467"/>
      <c r="U910" s="214" t="s">
        <v>2071</v>
      </c>
      <c r="V910" s="9"/>
      <c r="W910" s="9"/>
      <c r="X910" s="9"/>
      <c r="Y910" s="9"/>
      <c r="Z910" s="9"/>
      <c r="AA910" s="9"/>
      <c r="AB910" s="9"/>
      <c r="AC910" s="9"/>
      <c r="AD910" s="52"/>
      <c r="AE910" s="1465"/>
      <c r="AF910" s="1466"/>
      <c r="AG910" s="1466"/>
      <c r="AH910" s="1466"/>
      <c r="AI910" s="1466"/>
      <c r="AJ910" s="1466"/>
      <c r="AK910" s="1467"/>
      <c r="AL910" s="74"/>
      <c r="AM910" s="43"/>
      <c r="AN910" s="43"/>
      <c r="AO910" s="43"/>
      <c r="AP910" s="43"/>
      <c r="AQ910" s="43"/>
      <c r="AR910" s="43"/>
      <c r="AS910" s="43"/>
      <c r="AT910" s="43"/>
      <c r="AU910" s="43"/>
      <c r="AV910" s="43"/>
      <c r="AW910" s="38" t="s">
        <v>623</v>
      </c>
      <c r="AX910" s="206">
        <v>10</v>
      </c>
      <c r="AY910" s="1454">
        <f>AY918</f>
        <v>0</v>
      </c>
      <c r="AZ910" s="1455"/>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624</v>
      </c>
      <c r="AX911" s="206">
        <v>15</v>
      </c>
      <c r="AY911" s="1066"/>
      <c r="AZ911" s="1068"/>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448"/>
      <c r="AZ912" s="1449"/>
      <c r="BA912" s="1450"/>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066">
        <f>IF(AD971&gt;0,0.1,0)</f>
        <v>0</v>
      </c>
      <c r="AZ913" s="1068"/>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54">
        <f>SUM(AY905:AY913)</f>
        <v>0</v>
      </c>
      <c r="AZ914" s="1455"/>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888</v>
      </c>
      <c r="G915" s="9"/>
      <c r="H915" s="9"/>
      <c r="I915" s="9"/>
      <c r="J915" s="9"/>
      <c r="K915" s="9"/>
      <c r="L915" s="52"/>
      <c r="M915" s="1163"/>
      <c r="N915" s="1164"/>
      <c r="O915" s="1164"/>
      <c r="P915" s="1164"/>
      <c r="Q915" s="1164"/>
      <c r="R915" s="1164"/>
      <c r="S915" s="1165"/>
      <c r="T915" s="72" t="s">
        <v>994</v>
      </c>
      <c r="U915" s="9"/>
      <c r="V915" s="9"/>
      <c r="W915" s="9"/>
      <c r="X915" s="9"/>
      <c r="Y915" s="9"/>
      <c r="Z915" s="52"/>
      <c r="AA915" s="1163"/>
      <c r="AB915" s="1164"/>
      <c r="AC915" s="1164"/>
      <c r="AD915" s="1164"/>
      <c r="AE915" s="1164"/>
      <c r="AF915" s="1164"/>
      <c r="AG915" s="1165"/>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889</v>
      </c>
      <c r="G916" s="9"/>
      <c r="H916" s="9"/>
      <c r="I916" s="9"/>
      <c r="J916" s="9"/>
      <c r="K916" s="9"/>
      <c r="L916" s="52"/>
      <c r="M916" s="1163"/>
      <c r="N916" s="1164"/>
      <c r="O916" s="1164"/>
      <c r="P916" s="1164"/>
      <c r="Q916" s="1164"/>
      <c r="R916" s="1164"/>
      <c r="S916" s="1165"/>
      <c r="T916" s="72" t="s">
        <v>993</v>
      </c>
      <c r="U916" s="9"/>
      <c r="V916" s="9"/>
      <c r="W916" s="9"/>
      <c r="X916" s="9"/>
      <c r="Y916" s="9"/>
      <c r="Z916" s="52"/>
      <c r="AA916" s="1163"/>
      <c r="AB916" s="1164"/>
      <c r="AC916" s="1164"/>
      <c r="AD916" s="1164"/>
      <c r="AE916" s="1164"/>
      <c r="AF916" s="1164"/>
      <c r="AG916" s="1165"/>
      <c r="AL916" s="74"/>
      <c r="AM916" s="43"/>
      <c r="AN916" s="43"/>
      <c r="AO916" s="43"/>
      <c r="AP916" s="43"/>
      <c r="AQ916" s="43"/>
      <c r="AR916" s="43"/>
      <c r="AS916" s="43"/>
      <c r="AT916" s="43"/>
      <c r="AU916" s="43"/>
      <c r="AV916" s="43"/>
      <c r="AW916" s="38"/>
      <c r="AX916" s="38"/>
      <c r="AY916" s="1454">
        <f>SUM(AY905:AZ909)+AY913</f>
        <v>0</v>
      </c>
      <c r="AZ916" s="1455"/>
      <c r="BA916" s="1451">
        <v>0.39</v>
      </c>
      <c r="BB916" s="1452"/>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1188</v>
      </c>
      <c r="G917" s="9"/>
      <c r="H917" s="9"/>
      <c r="I917" s="9"/>
      <c r="J917" s="9"/>
      <c r="K917" s="9"/>
      <c r="L917" s="52"/>
      <c r="M917" s="1280" t="s">
        <v>132</v>
      </c>
      <c r="N917" s="1224"/>
      <c r="O917" s="1224"/>
      <c r="P917" s="1224"/>
      <c r="Q917" s="1224"/>
      <c r="R917" s="1224"/>
      <c r="S917" s="1281"/>
      <c r="T917" s="8" t="s">
        <v>597</v>
      </c>
      <c r="U917" s="9"/>
      <c r="V917" s="9"/>
      <c r="W917" s="9"/>
      <c r="X917" s="9"/>
      <c r="Y917" s="9"/>
      <c r="Z917" s="52"/>
      <c r="AA917" s="1163"/>
      <c r="AB917" s="1164"/>
      <c r="AC917" s="1164"/>
      <c r="AD917" s="1164"/>
      <c r="AE917" s="1164"/>
      <c r="AF917" s="1164"/>
      <c r="AG917" s="1165"/>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890</v>
      </c>
      <c r="G918" s="9"/>
      <c r="H918" s="9"/>
      <c r="I918" s="9"/>
      <c r="J918" s="9"/>
      <c r="K918" s="9"/>
      <c r="L918" s="52"/>
      <c r="M918" s="1163"/>
      <c r="N918" s="1164"/>
      <c r="O918" s="1164"/>
      <c r="P918" s="1164"/>
      <c r="Q918" s="1164"/>
      <c r="R918" s="1164"/>
      <c r="S918" s="1165"/>
      <c r="T918" s="8" t="s">
        <v>598</v>
      </c>
      <c r="U918" s="9"/>
      <c r="V918" s="9"/>
      <c r="W918" s="9"/>
      <c r="X918" s="9"/>
      <c r="Y918" s="9"/>
      <c r="Z918" s="52"/>
      <c r="AA918" s="1163"/>
      <c r="AB918" s="1164"/>
      <c r="AC918" s="1164"/>
      <c r="AD918" s="1164"/>
      <c r="AE918" s="1164"/>
      <c r="AF918" s="1164"/>
      <c r="AG918" s="1165"/>
      <c r="AL918" s="74"/>
      <c r="AM918" s="43"/>
      <c r="AN918" s="43"/>
      <c r="AO918" s="43"/>
      <c r="AP918" s="43"/>
      <c r="AQ918" s="43"/>
      <c r="AR918" s="43"/>
      <c r="AS918" s="43"/>
      <c r="AT918" s="43"/>
      <c r="AU918" s="43"/>
      <c r="AV918" s="43"/>
      <c r="AW918" s="43"/>
      <c r="AX918" s="43"/>
      <c r="AY918" s="355">
        <f>IF(SUM(BA931:BA939)&lt;=0.1,SUM(BA931:BA939),0.1)</f>
        <v>0</v>
      </c>
      <c r="AZ918" s="43"/>
      <c r="BA918" s="41" t="s">
        <v>2112</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63"/>
      <c r="N919" s="1164"/>
      <c r="O919" s="1164"/>
      <c r="P919" s="1164"/>
      <c r="Q919" s="1164"/>
      <c r="R919" s="1164"/>
      <c r="S919" s="1165"/>
      <c r="T919" s="8" t="s">
        <v>522</v>
      </c>
      <c r="U919" s="9"/>
      <c r="V919" s="9"/>
      <c r="W919" s="9"/>
      <c r="X919" s="9"/>
      <c r="Y919" s="9"/>
      <c r="Z919" s="52"/>
      <c r="AA919" s="1163"/>
      <c r="AB919" s="1164"/>
      <c r="AC919" s="1164"/>
      <c r="AD919" s="1164"/>
      <c r="AE919" s="1164"/>
      <c r="AF919" s="1164"/>
      <c r="AG919" s="1165"/>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20" t="s">
        <v>1155</v>
      </c>
      <c r="G920" s="7"/>
      <c r="H920" s="7"/>
      <c r="I920" s="7"/>
      <c r="J920" s="7"/>
      <c r="K920" s="7"/>
      <c r="L920" s="64"/>
      <c r="M920" s="1549" t="s">
        <v>84</v>
      </c>
      <c r="N920" s="1550"/>
      <c r="O920" s="1550"/>
      <c r="P920" s="1550"/>
      <c r="Q920" s="1550"/>
      <c r="R920" s="1550"/>
      <c r="S920" s="1551"/>
      <c r="T920" s="1462"/>
      <c r="U920" s="1463"/>
      <c r="V920" s="1463"/>
      <c r="W920" s="1463"/>
      <c r="X920" s="1463"/>
      <c r="Y920" s="1463"/>
      <c r="Z920" s="1464"/>
      <c r="AA920" s="1163"/>
      <c r="AB920" s="1164"/>
      <c r="AC920" s="1164"/>
      <c r="AD920" s="1164"/>
      <c r="AE920" s="1164"/>
      <c r="AF920" s="1164"/>
      <c r="AG920" s="1165"/>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63"/>
      <c r="N921" s="1164"/>
      <c r="O921" s="1164"/>
      <c r="P921" s="1164"/>
      <c r="Q921" s="1164"/>
      <c r="R921" s="1164"/>
      <c r="S921" s="1165"/>
      <c r="T921" s="1462"/>
      <c r="U921" s="1463"/>
      <c r="V921" s="1463"/>
      <c r="W921" s="1463"/>
      <c r="X921" s="1463"/>
      <c r="Y921" s="1463"/>
      <c r="Z921" s="1464"/>
      <c r="AA921" s="1163"/>
      <c r="AB921" s="1164"/>
      <c r="AC921" s="1164"/>
      <c r="AD921" s="1164"/>
      <c r="AE921" s="1164"/>
      <c r="AF921" s="1164"/>
      <c r="AG921" s="1165"/>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596</v>
      </c>
      <c r="G922" s="7"/>
      <c r="H922" s="7"/>
      <c r="I922" s="7"/>
      <c r="J922" s="7"/>
      <c r="K922" s="7"/>
      <c r="L922" s="7"/>
      <c r="M922" s="7"/>
      <c r="N922" s="7"/>
      <c r="O922" s="1280" t="s">
        <v>511</v>
      </c>
      <c r="P922" s="1281"/>
      <c r="Q922" s="146"/>
      <c r="R922" s="146"/>
      <c r="S922" s="147"/>
      <c r="T922" s="6" t="s">
        <v>298</v>
      </c>
      <c r="U922" s="7"/>
      <c r="V922" s="7"/>
      <c r="W922" s="1456" t="s">
        <v>593</v>
      </c>
      <c r="X922" s="1457"/>
      <c r="Y922" s="1457"/>
      <c r="Z922" s="1457"/>
      <c r="AA922" s="1457"/>
      <c r="AB922" s="1457"/>
      <c r="AC922" s="1457"/>
      <c r="AD922" s="1457"/>
      <c r="AE922" s="1457"/>
      <c r="AF922" s="1457"/>
      <c r="AG922" s="1458"/>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83" t="s">
        <v>241</v>
      </c>
      <c r="G923" s="1184"/>
      <c r="H923" s="1184"/>
      <c r="I923" s="1184"/>
      <c r="J923" s="1184"/>
      <c r="K923" s="1184"/>
      <c r="L923" s="1184"/>
      <c r="M923" s="1163"/>
      <c r="N923" s="1164"/>
      <c r="O923" s="1164"/>
      <c r="P923" s="1164"/>
      <c r="Q923" s="1164"/>
      <c r="R923" s="1164"/>
      <c r="S923" s="1165"/>
      <c r="T923" s="53"/>
      <c r="U923" s="54"/>
      <c r="V923" s="54"/>
      <c r="W923" s="54"/>
      <c r="X923" s="54"/>
      <c r="Y923" s="54"/>
      <c r="Z923" s="226" t="s">
        <v>242</v>
      </c>
      <c r="AA923" s="1459"/>
      <c r="AB923" s="1460"/>
      <c r="AC923" s="1460"/>
      <c r="AD923" s="1460"/>
      <c r="AE923" s="1460"/>
      <c r="AF923" s="1460"/>
      <c r="AG923" s="1461"/>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72" t="s">
        <v>137</v>
      </c>
      <c r="B927" s="1172"/>
      <c r="C927" s="1172"/>
      <c r="D927" s="1172"/>
      <c r="E927" s="1172"/>
      <c r="F927" s="1172"/>
      <c r="G927" s="1172"/>
      <c r="H927" s="1172"/>
      <c r="I927" s="1172"/>
      <c r="J927" s="1172"/>
      <c r="K927" s="1172"/>
      <c r="L927" s="1172"/>
      <c r="M927" s="1172"/>
      <c r="N927" s="1172"/>
      <c r="O927" s="1172"/>
      <c r="P927" s="1172"/>
      <c r="Q927" s="1172"/>
      <c r="R927" s="1172"/>
      <c r="S927" s="1172"/>
      <c r="T927" s="1172"/>
      <c r="U927" s="1172"/>
      <c r="V927" s="1172"/>
      <c r="W927" s="1172"/>
      <c r="X927" s="1172"/>
      <c r="Y927" s="1172"/>
      <c r="Z927" s="1172"/>
      <c r="AA927" s="1172"/>
      <c r="AB927" s="1172"/>
      <c r="AC927" s="1172"/>
      <c r="AD927" s="1172"/>
      <c r="AE927" s="1172"/>
      <c r="AF927" s="1172"/>
      <c r="AG927" s="1172"/>
      <c r="AH927" s="1172"/>
      <c r="AI927" s="1172"/>
      <c r="AJ927" s="1172"/>
      <c r="AK927" s="1172"/>
      <c r="AL927" s="1172"/>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72"/>
      <c r="B928" s="1172"/>
      <c r="C928" s="1172"/>
      <c r="D928" s="1172"/>
      <c r="E928" s="1172"/>
      <c r="F928" s="1172"/>
      <c r="G928" s="1172"/>
      <c r="H928" s="1172"/>
      <c r="I928" s="1172"/>
      <c r="J928" s="1172"/>
      <c r="K928" s="1172"/>
      <c r="L928" s="1172"/>
      <c r="M928" s="1172"/>
      <c r="N928" s="1172"/>
      <c r="O928" s="1172"/>
      <c r="P928" s="1172"/>
      <c r="Q928" s="1172"/>
      <c r="R928" s="1172"/>
      <c r="S928" s="1172"/>
      <c r="T928" s="1172"/>
      <c r="U928" s="1172"/>
      <c r="V928" s="1172"/>
      <c r="W928" s="1172"/>
      <c r="X928" s="1172"/>
      <c r="Y928" s="1172"/>
      <c r="Z928" s="1172"/>
      <c r="AA928" s="1172"/>
      <c r="AB928" s="1172"/>
      <c r="AC928" s="1172"/>
      <c r="AD928" s="1172"/>
      <c r="AE928" s="1172"/>
      <c r="AF928" s="1172"/>
      <c r="AG928" s="1172"/>
      <c r="AH928" s="1172"/>
      <c r="AI928" s="1172"/>
      <c r="AJ928" s="1172"/>
      <c r="AK928" s="1172"/>
      <c r="AL928" s="1172"/>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77"/>
      <c r="D932" s="1419" t="s">
        <v>453</v>
      </c>
      <c r="E932" s="1420"/>
      <c r="F932" s="1420"/>
      <c r="G932" s="1420"/>
      <c r="H932" s="1420"/>
      <c r="I932" s="1420"/>
      <c r="J932" s="1420"/>
      <c r="K932" s="1420"/>
      <c r="L932" s="1420"/>
      <c r="M932" s="1420"/>
      <c r="N932" s="1420"/>
      <c r="O932" s="1420"/>
      <c r="P932" s="1420"/>
      <c r="Q932" s="1421"/>
      <c r="R932" s="1419" t="s">
        <v>454</v>
      </c>
      <c r="S932" s="1420"/>
      <c r="T932" s="1420"/>
      <c r="U932" s="1420"/>
      <c r="V932" s="1420"/>
      <c r="W932" s="1420"/>
      <c r="X932" s="1420"/>
      <c r="Y932" s="1420"/>
      <c r="Z932" s="1420"/>
      <c r="AA932" s="1421"/>
      <c r="AB932" s="1419" t="s">
        <v>455</v>
      </c>
      <c r="AC932" s="1420"/>
      <c r="AD932" s="1420"/>
      <c r="AE932" s="1420"/>
      <c r="AF932" s="1420"/>
      <c r="AG932" s="1420"/>
      <c r="AH932" s="1420"/>
      <c r="AI932" s="1421"/>
      <c r="AJ932" s="1419" t="s">
        <v>456</v>
      </c>
      <c r="AK932" s="1420"/>
      <c r="AL932" s="1420"/>
      <c r="AM932" s="1420"/>
      <c r="AN932" s="1420"/>
      <c r="AO932" s="1420"/>
      <c r="AP932" s="1420"/>
      <c r="AQ932" s="1421"/>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78"/>
      <c r="D933" s="1066" t="s">
        <v>448</v>
      </c>
      <c r="E933" s="1067"/>
      <c r="F933" s="1067"/>
      <c r="G933" s="1067"/>
      <c r="H933" s="1067"/>
      <c r="I933" s="1067"/>
      <c r="J933" s="1067"/>
      <c r="K933" s="1067"/>
      <c r="L933" s="1067"/>
      <c r="M933" s="1067"/>
      <c r="N933" s="1067"/>
      <c r="O933" s="1067"/>
      <c r="P933" s="1067"/>
      <c r="Q933" s="1068"/>
      <c r="R933" s="1069">
        <f>IF(ISNA(IF($BA$805="4%",(INDEX($BC$819:$BG$876,MATCH($BO$805,$BB$819:$BB$876,0),MATCH(D933,$BC$817:$BG$817,0))),(INDEX($BJ$819:$BN$876,MATCH($BO$805,$BI$819:$BI$876,0),MATCH(D933,$BJ$817:$BN$817,0))))),0,IF($BA$805="4%",(INDEX($BC$819:$BG$876,MATCH($BO$805,$BB$819:$BB$876,0),MATCH(D933,$BC$817:$BG$817,0))),(INDEX($BJ$819:$BN$876,MATCH($BO$805,$BI$819:$BI$876,0),MATCH(D933,$BJ$817:$BN$817,0)))))</f>
        <v>307732</v>
      </c>
      <c r="S933" s="1069"/>
      <c r="T933" s="1069"/>
      <c r="U933" s="1069"/>
      <c r="V933" s="1069"/>
      <c r="W933" s="1069"/>
      <c r="X933" s="1069"/>
      <c r="Y933" s="1069"/>
      <c r="Z933" s="1069"/>
      <c r="AA933" s="1069"/>
      <c r="AB933" s="1070">
        <f>BN638</f>
        <v>0</v>
      </c>
      <c r="AC933" s="1071"/>
      <c r="AD933" s="1071"/>
      <c r="AE933" s="1071"/>
      <c r="AF933" s="1071"/>
      <c r="AG933" s="1071"/>
      <c r="AH933" s="1071"/>
      <c r="AI933" s="1072"/>
      <c r="AJ933" s="1073">
        <f>IF(ISERROR((R933*AB933)),0,(R933*AB933))</f>
        <v>0</v>
      </c>
      <c r="AK933" s="1074"/>
      <c r="AL933" s="1074"/>
      <c r="AM933" s="1074"/>
      <c r="AN933" s="1074"/>
      <c r="AO933" s="1074"/>
      <c r="AP933" s="1074"/>
      <c r="AQ933" s="1075"/>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6" t="s">
        <v>471</v>
      </c>
      <c r="E934" s="1067"/>
      <c r="F934" s="1067"/>
      <c r="G934" s="1067"/>
      <c r="H934" s="1067"/>
      <c r="I934" s="1067"/>
      <c r="J934" s="1067"/>
      <c r="K934" s="1067"/>
      <c r="L934" s="1067"/>
      <c r="M934" s="1067"/>
      <c r="N934" s="1067"/>
      <c r="O934" s="1067"/>
      <c r="P934" s="1067"/>
      <c r="Q934" s="1068"/>
      <c r="R934" s="1069">
        <f>IF(ISNA(IF($BA$805="4%",(INDEX($BC$819:$BG$876,MATCH($BO$805,$BB$819:$BB$876,0),MATCH(D934,$BC$817:$BG$817,0))),(INDEX($BJ$819:$BN$876,MATCH($BO$805,$BI$819:$BI$876,0),MATCH(D934,$BJ$817:$BN$817,0))))),0,IF($BA$805="4%",(INDEX($BC$819:$BG$876,MATCH($BO$805,$BB$819:$BB$876,0),MATCH(D934,$BC$817:$BG$817,0))),(INDEX($BJ$819:$BN$876,MATCH($BO$805,$BI$819:$BI$876,0),MATCH(D934,$BJ$817:$BN$817,0)))))</f>
        <v>354812</v>
      </c>
      <c r="S934" s="1069"/>
      <c r="T934" s="1069"/>
      <c r="U934" s="1069"/>
      <c r="V934" s="1069"/>
      <c r="W934" s="1069"/>
      <c r="X934" s="1069"/>
      <c r="Y934" s="1069"/>
      <c r="Z934" s="1069"/>
      <c r="AA934" s="1069"/>
      <c r="AB934" s="1070">
        <f>BS638</f>
        <v>18</v>
      </c>
      <c r="AC934" s="1071"/>
      <c r="AD934" s="1071"/>
      <c r="AE934" s="1071"/>
      <c r="AF934" s="1071"/>
      <c r="AG934" s="1071"/>
      <c r="AH934" s="1071"/>
      <c r="AI934" s="1072"/>
      <c r="AJ934" s="1073">
        <f>IF(ISERROR((R934*AB934)),0,(R934*AB934))</f>
        <v>6386616</v>
      </c>
      <c r="AK934" s="1074"/>
      <c r="AL934" s="1074"/>
      <c r="AM934" s="1074"/>
      <c r="AN934" s="1074"/>
      <c r="AO934" s="1074"/>
      <c r="AP934" s="1074"/>
      <c r="AQ934" s="1075"/>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6" t="s">
        <v>817</v>
      </c>
      <c r="E935" s="1067"/>
      <c r="F935" s="1067"/>
      <c r="G935" s="1067"/>
      <c r="H935" s="1067"/>
      <c r="I935" s="1067"/>
      <c r="J935" s="1067"/>
      <c r="K935" s="1067"/>
      <c r="L935" s="1067"/>
      <c r="M935" s="1067"/>
      <c r="N935" s="1067"/>
      <c r="O935" s="1067"/>
      <c r="P935" s="1067"/>
      <c r="Q935" s="1068"/>
      <c r="R935" s="1069">
        <f>IF(ISNA(IF($BA$805="4%",(INDEX($BC$819:$BG$876,MATCH($BO$805,$BB$819:$BB$876,0),MATCH(D935,$BC$817:$BG$817,0))),(INDEX($BJ$819:$BN$876,MATCH($BO$805,$BI$819:$BI$876,0),MATCH(D935,$BJ$817:$BN$817,0))))),0,IF($BA$805="4%",(INDEX($BC$819:$BG$876,MATCH($BO$805,$BB$819:$BB$876,0),MATCH(D935,$BC$817:$BG$817,0))),(INDEX($BJ$819:$BN$876,MATCH($BO$805,$BI$819:$BI$876,0),MATCH(D935,$BJ$817:$BN$817,0)))))</f>
        <v>428000</v>
      </c>
      <c r="S935" s="1069"/>
      <c r="T935" s="1069"/>
      <c r="U935" s="1069"/>
      <c r="V935" s="1069"/>
      <c r="W935" s="1069"/>
      <c r="X935" s="1069"/>
      <c r="Y935" s="1069"/>
      <c r="Z935" s="1069"/>
      <c r="AA935" s="1069"/>
      <c r="AB935" s="1070">
        <f>BX638</f>
        <v>24</v>
      </c>
      <c r="AC935" s="1071"/>
      <c r="AD935" s="1071"/>
      <c r="AE935" s="1071"/>
      <c r="AF935" s="1071"/>
      <c r="AG935" s="1071"/>
      <c r="AH935" s="1071"/>
      <c r="AI935" s="1072"/>
      <c r="AJ935" s="1073">
        <f>IF(ISERROR((R935*AB935)),0,(R935*AB935))</f>
        <v>10272000</v>
      </c>
      <c r="AK935" s="1074"/>
      <c r="AL935" s="1074"/>
      <c r="AM935" s="1074"/>
      <c r="AN935" s="1074"/>
      <c r="AO935" s="1074"/>
      <c r="AP935" s="1074"/>
      <c r="AQ935" s="1075"/>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6" t="s">
        <v>818</v>
      </c>
      <c r="E936" s="1067"/>
      <c r="F936" s="1067"/>
      <c r="G936" s="1067"/>
      <c r="H936" s="1067"/>
      <c r="I936" s="1067"/>
      <c r="J936" s="1067"/>
      <c r="K936" s="1067"/>
      <c r="L936" s="1067"/>
      <c r="M936" s="1067"/>
      <c r="N936" s="1067"/>
      <c r="O936" s="1067"/>
      <c r="P936" s="1067"/>
      <c r="Q936" s="1068"/>
      <c r="R936" s="1069">
        <f>IF(ISNA(IF($BA$805="4%",(INDEX($BC$819:$BG$876,MATCH($BO$805,$BB$819:$BB$876,0),MATCH(D936,$BC$817:$BG$817,0))),(INDEX($BJ$819:$BN$876,MATCH($BO$805,$BI$819:$BI$876,0),MATCH(D936,$BJ$817:$BN$817,0))))),0,IF($BA$805="4%",(INDEX($BC$819:$BG$876,MATCH($BO$805,$BB$819:$BB$876,0),MATCH(D936,$BC$817:$BG$817,0))),(INDEX($BJ$819:$BN$876,MATCH($BO$805,$BI$819:$BI$876,0),MATCH(D936,$BJ$817:$BN$817,0)))))</f>
        <v>547840</v>
      </c>
      <c r="S936" s="1069"/>
      <c r="T936" s="1069"/>
      <c r="U936" s="1069"/>
      <c r="V936" s="1069"/>
      <c r="W936" s="1069"/>
      <c r="X936" s="1069"/>
      <c r="Y936" s="1069"/>
      <c r="Z936" s="1069"/>
      <c r="AA936" s="1069"/>
      <c r="AB936" s="1070">
        <f>CC638</f>
        <v>18</v>
      </c>
      <c r="AC936" s="1071"/>
      <c r="AD936" s="1071"/>
      <c r="AE936" s="1071"/>
      <c r="AF936" s="1071"/>
      <c r="AG936" s="1071"/>
      <c r="AH936" s="1071"/>
      <c r="AI936" s="1072"/>
      <c r="AJ936" s="1073">
        <f>IF(ISERROR((R936*AB936)),0,(R936*AB936))</f>
        <v>9861120</v>
      </c>
      <c r="AK936" s="1074"/>
      <c r="AL936" s="1074"/>
      <c r="AM936" s="1074"/>
      <c r="AN936" s="1074"/>
      <c r="AO936" s="1074"/>
      <c r="AP936" s="1074"/>
      <c r="AQ936" s="1075"/>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6" t="s">
        <v>829</v>
      </c>
      <c r="E937" s="1067"/>
      <c r="F937" s="1067"/>
      <c r="G937" s="1067"/>
      <c r="H937" s="1067"/>
      <c r="I937" s="1067"/>
      <c r="J937" s="1067"/>
      <c r="K937" s="1067"/>
      <c r="L937" s="1067"/>
      <c r="M937" s="1067"/>
      <c r="N937" s="1067"/>
      <c r="O937" s="1067"/>
      <c r="P937" s="1067"/>
      <c r="Q937" s="1068"/>
      <c r="R937" s="1069">
        <f>IF(ISNA(IF($BA$805="4%",(INDEX($BC$819:$BG$876,MATCH($BO$805,$BB$819:$BB$876,0),MATCH(D937,$BC$817:$BG$817,0))),(INDEX($BJ$819:$BN$876,MATCH($BO$805,$BI$819:$BI$876,0),MATCH(D937,$BJ$817:$BN$817,0))))),0,IF($BA$805="4%",(INDEX($BC$819:$BG$876,MATCH($BO$805,$BB$819:$BB$876,0),MATCH(D937,$BC$817:$BG$817,0))),(INDEX($BJ$819:$BN$876,MATCH($BO$805,$BI$819:$BI$876,0),MATCH(D937,$BJ$817:$BN$817,0)))))</f>
        <v>610328</v>
      </c>
      <c r="S937" s="1069"/>
      <c r="T937" s="1069"/>
      <c r="U937" s="1069"/>
      <c r="V937" s="1069"/>
      <c r="W937" s="1069"/>
      <c r="X937" s="1069"/>
      <c r="Y937" s="1069"/>
      <c r="Z937" s="1069"/>
      <c r="AA937" s="1069"/>
      <c r="AB937" s="1070">
        <f>CM638+CH638</f>
        <v>0</v>
      </c>
      <c r="AC937" s="1071"/>
      <c r="AD937" s="1071"/>
      <c r="AE937" s="1071"/>
      <c r="AF937" s="1071"/>
      <c r="AG937" s="1071"/>
      <c r="AH937" s="1071"/>
      <c r="AI937" s="1072"/>
      <c r="AJ937" s="1073">
        <f>IF(ISERROR((R937*AB937)),0,(R937*AB937))</f>
        <v>0</v>
      </c>
      <c r="AK937" s="1074"/>
      <c r="AL937" s="1074"/>
      <c r="AM937" s="1074"/>
      <c r="AN937" s="1074"/>
      <c r="AO937" s="1074"/>
      <c r="AP937" s="1074"/>
      <c r="AQ937" s="1075"/>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3" t="s">
        <v>1004</v>
      </c>
      <c r="C938" s="1084"/>
      <c r="D938" s="1084"/>
      <c r="E938" s="1084"/>
      <c r="F938" s="1084"/>
      <c r="G938" s="1084"/>
      <c r="H938" s="1084"/>
      <c r="I938" s="1084"/>
      <c r="J938" s="1084"/>
      <c r="K938" s="1084"/>
      <c r="L938" s="1084"/>
      <c r="M938" s="1084"/>
      <c r="N938" s="1084"/>
      <c r="O938" s="1084"/>
      <c r="P938" s="1084"/>
      <c r="Q938" s="1084"/>
      <c r="R938" s="1084"/>
      <c r="S938" s="1084"/>
      <c r="T938" s="1084"/>
      <c r="U938" s="1084"/>
      <c r="V938" s="1084"/>
      <c r="W938" s="1084"/>
      <c r="X938" s="1084"/>
      <c r="Y938" s="1084"/>
      <c r="Z938" s="1084"/>
      <c r="AA938" s="1085"/>
      <c r="AB938" s="1070">
        <f>SUM(AB933:AI937)</f>
        <v>60</v>
      </c>
      <c r="AC938" s="1071"/>
      <c r="AD938" s="1071"/>
      <c r="AE938" s="1071"/>
      <c r="AF938" s="1071"/>
      <c r="AG938" s="1071"/>
      <c r="AH938" s="1071"/>
      <c r="AI938" s="1072"/>
      <c r="AJ938" s="1073"/>
      <c r="AK938" s="1074"/>
      <c r="AL938" s="1074"/>
      <c r="AM938" s="1074"/>
      <c r="AN938" s="1074"/>
      <c r="AO938" s="1074"/>
      <c r="AP938" s="1074"/>
      <c r="AQ938" s="1075"/>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6" t="s">
        <v>784</v>
      </c>
      <c r="C939" s="1087"/>
      <c r="D939" s="1087"/>
      <c r="E939" s="1087"/>
      <c r="F939" s="1087"/>
      <c r="G939" s="1087"/>
      <c r="H939" s="1087"/>
      <c r="I939" s="1087"/>
      <c r="J939" s="1087"/>
      <c r="K939" s="1087"/>
      <c r="L939" s="1087"/>
      <c r="M939" s="1087"/>
      <c r="N939" s="1087"/>
      <c r="O939" s="1087"/>
      <c r="P939" s="1087"/>
      <c r="Q939" s="1087"/>
      <c r="R939" s="1087"/>
      <c r="S939" s="1087"/>
      <c r="T939" s="1087"/>
      <c r="U939" s="1087"/>
      <c r="V939" s="1087"/>
      <c r="W939" s="1087"/>
      <c r="X939" s="1087"/>
      <c r="Y939" s="1087"/>
      <c r="Z939" s="1087"/>
      <c r="AA939" s="1087"/>
      <c r="AB939" s="1087"/>
      <c r="AC939" s="1087"/>
      <c r="AD939" s="1087"/>
      <c r="AE939" s="1087"/>
      <c r="AF939" s="1087"/>
      <c r="AG939" s="1087"/>
      <c r="AH939" s="1087"/>
      <c r="AI939" s="1088"/>
      <c r="AJ939" s="1073">
        <f>SUM(AJ933:AQ937)</f>
        <v>26519736</v>
      </c>
      <c r="AK939" s="1074"/>
      <c r="AL939" s="1074"/>
      <c r="AM939" s="1074"/>
      <c r="AN939" s="1074"/>
      <c r="AO939" s="1074"/>
      <c r="AP939" s="1074"/>
      <c r="AQ939" s="1075"/>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89"/>
      <c r="C940" s="1090"/>
      <c r="D940" s="1090"/>
      <c r="E940" s="1090"/>
      <c r="F940" s="1090"/>
      <c r="G940" s="1090"/>
      <c r="H940" s="1090"/>
      <c r="I940" s="1090"/>
      <c r="J940" s="1090"/>
      <c r="K940" s="1090"/>
      <c r="L940" s="1090"/>
      <c r="M940" s="1090"/>
      <c r="N940" s="1090"/>
      <c r="O940" s="1090"/>
      <c r="P940" s="1090"/>
      <c r="Q940" s="1090"/>
      <c r="R940" s="1090"/>
      <c r="S940" s="1090"/>
      <c r="T940" s="1090"/>
      <c r="U940" s="1090"/>
      <c r="V940" s="1090"/>
      <c r="W940" s="1090"/>
      <c r="X940" s="1090"/>
      <c r="Y940" s="1090"/>
      <c r="Z940" s="1090"/>
      <c r="AA940" s="1090"/>
      <c r="AB940" s="1090"/>
      <c r="AC940" s="1090"/>
      <c r="AD940" s="1090"/>
      <c r="AE940" s="1091"/>
      <c r="AF940" s="1092" t="s">
        <v>508</v>
      </c>
      <c r="AG940" s="1093"/>
      <c r="AH940" s="1093"/>
      <c r="AI940" s="1094"/>
      <c r="AJ940" s="1089"/>
      <c r="AK940" s="1090"/>
      <c r="AL940" s="1090"/>
      <c r="AM940" s="1090"/>
      <c r="AN940" s="1090"/>
      <c r="AO940" s="1090"/>
      <c r="AP940" s="1090"/>
      <c r="AQ940" s="1091"/>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9" t="s">
        <v>510</v>
      </c>
      <c r="D941" s="1076" t="s">
        <v>1985</v>
      </c>
      <c r="E941" s="1077"/>
      <c r="F941" s="1077"/>
      <c r="G941" s="1077"/>
      <c r="H941" s="1077"/>
      <c r="I941" s="1077"/>
      <c r="J941" s="1077"/>
      <c r="K941" s="1077"/>
      <c r="L941" s="1077"/>
      <c r="M941" s="1077"/>
      <c r="N941" s="1077"/>
      <c r="O941" s="1077"/>
      <c r="P941" s="1077"/>
      <c r="Q941" s="1077"/>
      <c r="R941" s="1077"/>
      <c r="S941" s="1077"/>
      <c r="T941" s="1077"/>
      <c r="U941" s="1077"/>
      <c r="V941" s="1077"/>
      <c r="W941" s="1077"/>
      <c r="X941" s="1077"/>
      <c r="Y941" s="1077"/>
      <c r="Z941" s="1077"/>
      <c r="AA941" s="1077"/>
      <c r="AB941" s="1077"/>
      <c r="AC941" s="1077"/>
      <c r="AD941" s="1077"/>
      <c r="AE941" s="1078"/>
      <c r="AF941" s="82"/>
      <c r="AG941" s="1081" t="s">
        <v>511</v>
      </c>
      <c r="AH941" s="1082"/>
      <c r="AI941" s="85"/>
      <c r="AJ941" s="1057">
        <f>ROUND(IF(AND(AG941="yes",D943&lt;&gt;""),AJ939*0.2,0),0)</f>
        <v>0</v>
      </c>
      <c r="AK941" s="1058"/>
      <c r="AL941" s="1058"/>
      <c r="AM941" s="1058"/>
      <c r="AN941" s="1058"/>
      <c r="AO941" s="1058"/>
      <c r="AP941" s="1058"/>
      <c r="AQ941" s="1059"/>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A942" s="21"/>
      <c r="B942" s="880"/>
      <c r="C942" s="881"/>
      <c r="D942" s="1416" t="s">
        <v>2097</v>
      </c>
      <c r="E942" s="1417"/>
      <c r="F942" s="1417"/>
      <c r="G942" s="1417"/>
      <c r="H942" s="1417"/>
      <c r="I942" s="1417"/>
      <c r="J942" s="1417"/>
      <c r="K942" s="1417"/>
      <c r="L942" s="1417"/>
      <c r="M942" s="1417"/>
      <c r="N942" s="1417"/>
      <c r="O942" s="1417"/>
      <c r="P942" s="1417"/>
      <c r="Q942" s="1417"/>
      <c r="R942" s="1417"/>
      <c r="S942" s="1417"/>
      <c r="T942" s="1417"/>
      <c r="U942" s="1417"/>
      <c r="V942" s="1417"/>
      <c r="W942" s="1417"/>
      <c r="X942" s="1417"/>
      <c r="Y942" s="1417"/>
      <c r="Z942" s="1417"/>
      <c r="AA942" s="1417"/>
      <c r="AB942" s="1417"/>
      <c r="AC942" s="1417"/>
      <c r="AD942" s="1417"/>
      <c r="AE942" s="1418"/>
      <c r="AF942" s="79"/>
      <c r="AG942" s="21"/>
      <c r="AH942" s="21"/>
      <c r="AI942" s="83"/>
      <c r="AJ942" s="1060"/>
      <c r="AK942" s="1061"/>
      <c r="AL942" s="1061"/>
      <c r="AM942" s="1061"/>
      <c r="AN942" s="1061"/>
      <c r="AO942" s="1061"/>
      <c r="AP942" s="1061"/>
      <c r="AQ942" s="106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80"/>
      <c r="C943" s="881"/>
      <c r="D943" s="1426"/>
      <c r="E943" s="1427"/>
      <c r="F943" s="1427"/>
      <c r="G943" s="1427"/>
      <c r="H943" s="1427"/>
      <c r="I943" s="1427"/>
      <c r="J943" s="1427"/>
      <c r="K943" s="1427"/>
      <c r="L943" s="1427"/>
      <c r="M943" s="1427"/>
      <c r="N943" s="1427"/>
      <c r="O943" s="1427"/>
      <c r="P943" s="1427"/>
      <c r="Q943" s="1427"/>
      <c r="R943" s="1427"/>
      <c r="S943" s="1427"/>
      <c r="T943" s="1427"/>
      <c r="U943" s="1427"/>
      <c r="V943" s="1427"/>
      <c r="W943" s="1427"/>
      <c r="X943" s="1427"/>
      <c r="Y943" s="1427"/>
      <c r="Z943" s="1427"/>
      <c r="AA943" s="1427"/>
      <c r="AB943" s="1427"/>
      <c r="AC943" s="1427"/>
      <c r="AD943" s="1427"/>
      <c r="AE943" s="1428"/>
      <c r="AF943" s="80"/>
      <c r="AG943" s="11"/>
      <c r="AH943" s="11"/>
      <c r="AI943" s="81"/>
      <c r="AJ943" s="1063"/>
      <c r="AK943" s="1064"/>
      <c r="AL943" s="1064"/>
      <c r="AM943" s="1064"/>
      <c r="AN943" s="1064"/>
      <c r="AO943" s="1064"/>
      <c r="AP943" s="1064"/>
      <c r="AQ943" s="1065"/>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82"/>
      <c r="C944" s="883"/>
      <c r="D944" s="1095" t="s">
        <v>2098</v>
      </c>
      <c r="E944" s="1096"/>
      <c r="F944" s="1096"/>
      <c r="G944" s="1096"/>
      <c r="H944" s="1096"/>
      <c r="I944" s="1096"/>
      <c r="J944" s="1096"/>
      <c r="K944" s="1096"/>
      <c r="L944" s="1096"/>
      <c r="M944" s="1096"/>
      <c r="N944" s="1096"/>
      <c r="O944" s="1096"/>
      <c r="P944" s="1096"/>
      <c r="Q944" s="1096"/>
      <c r="R944" s="1096"/>
      <c r="S944" s="1096"/>
      <c r="T944" s="1096"/>
      <c r="U944" s="1096"/>
      <c r="V944" s="1096"/>
      <c r="W944" s="1096"/>
      <c r="X944" s="1096"/>
      <c r="Y944" s="1096"/>
      <c r="Z944" s="1096"/>
      <c r="AA944" s="1096"/>
      <c r="AB944" s="1096"/>
      <c r="AC944" s="1096"/>
      <c r="AD944" s="1096"/>
      <c r="AE944" s="1097"/>
      <c r="AF944" s="82"/>
      <c r="AG944" s="1079" t="s">
        <v>511</v>
      </c>
      <c r="AH944" s="1080"/>
      <c r="AI944" s="85"/>
      <c r="AJ944" s="1057">
        <f>ROUND(IF(AG944="yes",AJ939*0.05,0),0)</f>
        <v>0</v>
      </c>
      <c r="AK944" s="1058"/>
      <c r="AL944" s="1058"/>
      <c r="AM944" s="1058"/>
      <c r="AN944" s="1058"/>
      <c r="AO944" s="1058"/>
      <c r="AP944" s="1058"/>
      <c r="AQ944" s="1059"/>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80"/>
      <c r="C945" s="884"/>
      <c r="D945" s="1416" t="s">
        <v>1986</v>
      </c>
      <c r="E945" s="1417"/>
      <c r="F945" s="1417"/>
      <c r="G945" s="1417"/>
      <c r="H945" s="1417"/>
      <c r="I945" s="1417"/>
      <c r="J945" s="1417"/>
      <c r="K945" s="1417"/>
      <c r="L945" s="1417"/>
      <c r="M945" s="1417"/>
      <c r="N945" s="1417"/>
      <c r="O945" s="1417"/>
      <c r="P945" s="1417"/>
      <c r="Q945" s="1417"/>
      <c r="R945" s="1417"/>
      <c r="S945" s="1417"/>
      <c r="T945" s="1417"/>
      <c r="U945" s="1417"/>
      <c r="V945" s="1417"/>
      <c r="W945" s="1417"/>
      <c r="X945" s="1417"/>
      <c r="Y945" s="1417"/>
      <c r="Z945" s="1417"/>
      <c r="AA945" s="1417"/>
      <c r="AB945" s="1417"/>
      <c r="AC945" s="1417"/>
      <c r="AD945" s="1417"/>
      <c r="AE945" s="1418"/>
      <c r="AF945" s="79"/>
      <c r="AG945" s="21"/>
      <c r="AH945" s="21"/>
      <c r="AI945" s="83"/>
      <c r="AJ945" s="1060"/>
      <c r="AK945" s="1061"/>
      <c r="AL945" s="1061"/>
      <c r="AM945" s="1061"/>
      <c r="AN945" s="1061"/>
      <c r="AO945" s="1061"/>
      <c r="AP945" s="1061"/>
      <c r="AQ945" s="106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80"/>
      <c r="C946" s="884"/>
      <c r="D946" s="1416"/>
      <c r="E946" s="1417"/>
      <c r="F946" s="1417"/>
      <c r="G946" s="1417"/>
      <c r="H946" s="1417"/>
      <c r="I946" s="1417"/>
      <c r="J946" s="1417"/>
      <c r="K946" s="1417"/>
      <c r="L946" s="1417"/>
      <c r="M946" s="1417"/>
      <c r="N946" s="1417"/>
      <c r="O946" s="1417"/>
      <c r="P946" s="1417"/>
      <c r="Q946" s="1417"/>
      <c r="R946" s="1417"/>
      <c r="S946" s="1417"/>
      <c r="T946" s="1417"/>
      <c r="U946" s="1417"/>
      <c r="V946" s="1417"/>
      <c r="W946" s="1417"/>
      <c r="X946" s="1417"/>
      <c r="Y946" s="1417"/>
      <c r="Z946" s="1417"/>
      <c r="AA946" s="1417"/>
      <c r="AB946" s="1417"/>
      <c r="AC946" s="1417"/>
      <c r="AD946" s="1417"/>
      <c r="AE946" s="1418"/>
      <c r="AF946" s="79"/>
      <c r="AG946" s="21"/>
      <c r="AH946" s="21"/>
      <c r="AI946" s="83"/>
      <c r="AJ946" s="1060"/>
      <c r="AK946" s="1061"/>
      <c r="AL946" s="1061"/>
      <c r="AM946" s="1061"/>
      <c r="AN946" s="1061"/>
      <c r="AO946" s="1061"/>
      <c r="AP946" s="1061"/>
      <c r="AQ946" s="106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80"/>
      <c r="C947" s="884"/>
      <c r="D947" s="1416"/>
      <c r="E947" s="1417"/>
      <c r="F947" s="1417"/>
      <c r="G947" s="1417"/>
      <c r="H947" s="1417"/>
      <c r="I947" s="1417"/>
      <c r="J947" s="1417"/>
      <c r="K947" s="1417"/>
      <c r="L947" s="1417"/>
      <c r="M947" s="1417"/>
      <c r="N947" s="1417"/>
      <c r="O947" s="1417"/>
      <c r="P947" s="1417"/>
      <c r="Q947" s="1417"/>
      <c r="R947" s="1417"/>
      <c r="S947" s="1417"/>
      <c r="T947" s="1417"/>
      <c r="U947" s="1417"/>
      <c r="V947" s="1417"/>
      <c r="W947" s="1417"/>
      <c r="X947" s="1417"/>
      <c r="Y947" s="1417"/>
      <c r="Z947" s="1417"/>
      <c r="AA947" s="1417"/>
      <c r="AB947" s="1417"/>
      <c r="AC947" s="1417"/>
      <c r="AD947" s="1417"/>
      <c r="AE947" s="1418"/>
      <c r="AF947" s="79"/>
      <c r="AG947" s="21"/>
      <c r="AH947" s="21"/>
      <c r="AI947" s="83"/>
      <c r="AJ947" s="1060"/>
      <c r="AK947" s="1061"/>
      <c r="AL947" s="1061"/>
      <c r="AM947" s="1061"/>
      <c r="AN947" s="1061"/>
      <c r="AO947" s="1061"/>
      <c r="AP947" s="1061"/>
      <c r="AQ947" s="106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80"/>
      <c r="C948" s="884"/>
      <c r="D948" s="1416"/>
      <c r="E948" s="1417"/>
      <c r="F948" s="1417"/>
      <c r="G948" s="1417"/>
      <c r="H948" s="1417"/>
      <c r="I948" s="1417"/>
      <c r="J948" s="1417"/>
      <c r="K948" s="1417"/>
      <c r="L948" s="1417"/>
      <c r="M948" s="1417"/>
      <c r="N948" s="1417"/>
      <c r="O948" s="1417"/>
      <c r="P948" s="1417"/>
      <c r="Q948" s="1417"/>
      <c r="R948" s="1417"/>
      <c r="S948" s="1417"/>
      <c r="T948" s="1417"/>
      <c r="U948" s="1417"/>
      <c r="V948" s="1417"/>
      <c r="W948" s="1417"/>
      <c r="X948" s="1417"/>
      <c r="Y948" s="1417"/>
      <c r="Z948" s="1417"/>
      <c r="AA948" s="1417"/>
      <c r="AB948" s="1417"/>
      <c r="AC948" s="1417"/>
      <c r="AD948" s="1417"/>
      <c r="AE948" s="1418"/>
      <c r="AF948" s="79"/>
      <c r="AG948" s="21"/>
      <c r="AH948" s="21"/>
      <c r="AI948" s="83"/>
      <c r="AJ948" s="1060"/>
      <c r="AK948" s="1061"/>
      <c r="AL948" s="1061"/>
      <c r="AM948" s="1061"/>
      <c r="AN948" s="1061"/>
      <c r="AO948" s="1061"/>
      <c r="AP948" s="1061"/>
      <c r="AQ948" s="106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85"/>
      <c r="C949" s="886"/>
      <c r="D949" s="1523"/>
      <c r="E949" s="1524"/>
      <c r="F949" s="1524"/>
      <c r="G949" s="1524"/>
      <c r="H949" s="1524"/>
      <c r="I949" s="1524"/>
      <c r="J949" s="1524"/>
      <c r="K949" s="1524"/>
      <c r="L949" s="1524"/>
      <c r="M949" s="1524"/>
      <c r="N949" s="1524"/>
      <c r="O949" s="1524"/>
      <c r="P949" s="1524"/>
      <c r="Q949" s="1524"/>
      <c r="R949" s="1524"/>
      <c r="S949" s="1524"/>
      <c r="T949" s="1524"/>
      <c r="U949" s="1524"/>
      <c r="V949" s="1524"/>
      <c r="W949" s="1524"/>
      <c r="X949" s="1524"/>
      <c r="Y949" s="1524"/>
      <c r="Z949" s="1524"/>
      <c r="AA949" s="1524"/>
      <c r="AB949" s="1524"/>
      <c r="AC949" s="1524"/>
      <c r="AD949" s="1524"/>
      <c r="AE949" s="1525"/>
      <c r="AF949" s="80"/>
      <c r="AG949" s="11"/>
      <c r="AH949" s="11"/>
      <c r="AI949" s="81"/>
      <c r="AJ949" s="1063"/>
      <c r="AK949" s="1064"/>
      <c r="AL949" s="1064"/>
      <c r="AM949" s="1064"/>
      <c r="AN949" s="1064"/>
      <c r="AO949" s="1064"/>
      <c r="AP949" s="1064"/>
      <c r="AQ949" s="1065"/>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82"/>
      <c r="C950" s="570" t="s">
        <v>514</v>
      </c>
      <c r="D950" s="1095" t="s">
        <v>2099</v>
      </c>
      <c r="E950" s="1096"/>
      <c r="F950" s="1096"/>
      <c r="G950" s="1096"/>
      <c r="H950" s="1096"/>
      <c r="I950" s="1096"/>
      <c r="J950" s="1096"/>
      <c r="K950" s="1096"/>
      <c r="L950" s="1096"/>
      <c r="M950" s="1096"/>
      <c r="N950" s="1096"/>
      <c r="O950" s="1096"/>
      <c r="P950" s="1096"/>
      <c r="Q950" s="1096"/>
      <c r="R950" s="1096"/>
      <c r="S950" s="1096"/>
      <c r="T950" s="1096"/>
      <c r="U950" s="1096"/>
      <c r="V950" s="1096"/>
      <c r="W950" s="1096"/>
      <c r="X950" s="1096"/>
      <c r="Y950" s="1096"/>
      <c r="Z950" s="1096"/>
      <c r="AA950" s="1096"/>
      <c r="AB950" s="1096"/>
      <c r="AC950" s="1096"/>
      <c r="AD950" s="1096"/>
      <c r="AE950" s="1097"/>
      <c r="AF950" s="84"/>
      <c r="AG950" s="1079" t="s">
        <v>511</v>
      </c>
      <c r="AH950" s="1080"/>
      <c r="AI950" s="85"/>
      <c r="AJ950" s="1057">
        <f>ROUND(IF(AG950="yes",AJ939*0.1,0),0)</f>
        <v>0</v>
      </c>
      <c r="AK950" s="1058"/>
      <c r="AL950" s="1058"/>
      <c r="AM950" s="1058"/>
      <c r="AN950" s="1058"/>
      <c r="AO950" s="1058"/>
      <c r="AP950" s="1058"/>
      <c r="AQ950" s="1059"/>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71"/>
      <c r="D951" s="1098" t="s">
        <v>2100</v>
      </c>
      <c r="E951" s="1099"/>
      <c r="F951" s="1099"/>
      <c r="G951" s="1099"/>
      <c r="H951" s="1099"/>
      <c r="I951" s="1099"/>
      <c r="J951" s="1099"/>
      <c r="K951" s="1099"/>
      <c r="L951" s="1099"/>
      <c r="M951" s="1099"/>
      <c r="N951" s="1099"/>
      <c r="O951" s="1099"/>
      <c r="P951" s="1099"/>
      <c r="Q951" s="1099"/>
      <c r="R951" s="1099"/>
      <c r="S951" s="1099"/>
      <c r="T951" s="1099"/>
      <c r="U951" s="1099"/>
      <c r="V951" s="1099"/>
      <c r="W951" s="1099"/>
      <c r="X951" s="1099"/>
      <c r="Y951" s="1099"/>
      <c r="Z951" s="1099"/>
      <c r="AA951" s="1099"/>
      <c r="AB951" s="1099"/>
      <c r="AC951" s="1099"/>
      <c r="AD951" s="1099"/>
      <c r="AE951" s="1100"/>
      <c r="AF951" s="79"/>
      <c r="AI951" s="83"/>
      <c r="AJ951" s="1060"/>
      <c r="AK951" s="1061"/>
      <c r="AL951" s="1061"/>
      <c r="AM951" s="1061"/>
      <c r="AN951" s="1061"/>
      <c r="AO951" s="1061"/>
      <c r="AP951" s="1061"/>
      <c r="AQ951" s="106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71"/>
      <c r="D952" s="1098"/>
      <c r="E952" s="1099"/>
      <c r="F952" s="1099"/>
      <c r="G952" s="1099"/>
      <c r="H952" s="1099"/>
      <c r="I952" s="1099"/>
      <c r="J952" s="1099"/>
      <c r="K952" s="1099"/>
      <c r="L952" s="1099"/>
      <c r="M952" s="1099"/>
      <c r="N952" s="1099"/>
      <c r="O952" s="1099"/>
      <c r="P952" s="1099"/>
      <c r="Q952" s="1099"/>
      <c r="R952" s="1099"/>
      <c r="S952" s="1099"/>
      <c r="T952" s="1099"/>
      <c r="U952" s="1099"/>
      <c r="V952" s="1099"/>
      <c r="W952" s="1099"/>
      <c r="X952" s="1099"/>
      <c r="Y952" s="1099"/>
      <c r="Z952" s="1099"/>
      <c r="AA952" s="1099"/>
      <c r="AB952" s="1099"/>
      <c r="AC952" s="1099"/>
      <c r="AD952" s="1099"/>
      <c r="AE952" s="1100"/>
      <c r="AF952" s="79"/>
      <c r="AG952" s="21"/>
      <c r="AH952" s="21"/>
      <c r="AI952" s="83"/>
      <c r="AJ952" s="1060"/>
      <c r="AK952" s="1061"/>
      <c r="AL952" s="1061"/>
      <c r="AM952" s="1061"/>
      <c r="AN952" s="1061"/>
      <c r="AO952" s="1061"/>
      <c r="AP952" s="1061"/>
      <c r="AQ952" s="106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87"/>
      <c r="C953" s="886"/>
      <c r="D953" s="1101"/>
      <c r="E953" s="1102"/>
      <c r="F953" s="1102"/>
      <c r="G953" s="1102"/>
      <c r="H953" s="1102"/>
      <c r="I953" s="1102"/>
      <c r="J953" s="1102"/>
      <c r="K953" s="1102"/>
      <c r="L953" s="1102"/>
      <c r="M953" s="1102"/>
      <c r="N953" s="1102"/>
      <c r="O953" s="1102"/>
      <c r="P953" s="1102"/>
      <c r="Q953" s="1102"/>
      <c r="R953" s="1102"/>
      <c r="S953" s="1102"/>
      <c r="T953" s="1102"/>
      <c r="U953" s="1102"/>
      <c r="V953" s="1102"/>
      <c r="W953" s="1102"/>
      <c r="X953" s="1102"/>
      <c r="Y953" s="1102"/>
      <c r="Z953" s="1102"/>
      <c r="AA953" s="1102"/>
      <c r="AB953" s="1102"/>
      <c r="AC953" s="1102"/>
      <c r="AD953" s="1102"/>
      <c r="AE953" s="1103"/>
      <c r="AF953" s="80"/>
      <c r="AG953" s="11"/>
      <c r="AH953" s="11"/>
      <c r="AI953" s="81"/>
      <c r="AJ953" s="1063"/>
      <c r="AK953" s="1064"/>
      <c r="AL953" s="1064"/>
      <c r="AM953" s="1064"/>
      <c r="AN953" s="1064"/>
      <c r="AO953" s="1064"/>
      <c r="AP953" s="1064"/>
      <c r="AQ953" s="1065"/>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70" t="s">
        <v>518</v>
      </c>
      <c r="D954" s="1095" t="s">
        <v>1987</v>
      </c>
      <c r="E954" s="1096"/>
      <c r="F954" s="1096"/>
      <c r="G954" s="1096"/>
      <c r="H954" s="1096"/>
      <c r="I954" s="1096"/>
      <c r="J954" s="1096"/>
      <c r="K954" s="1096"/>
      <c r="L954" s="1096"/>
      <c r="M954" s="1096"/>
      <c r="N954" s="1096"/>
      <c r="O954" s="1096"/>
      <c r="P954" s="1096"/>
      <c r="Q954" s="1096"/>
      <c r="R954" s="1096"/>
      <c r="S954" s="1096"/>
      <c r="T954" s="1096"/>
      <c r="U954" s="1096"/>
      <c r="V954" s="1096"/>
      <c r="W954" s="1096"/>
      <c r="X954" s="1096"/>
      <c r="Y954" s="1096"/>
      <c r="Z954" s="1096"/>
      <c r="AA954" s="1096"/>
      <c r="AB954" s="1096"/>
      <c r="AC954" s="1096"/>
      <c r="AD954" s="1096"/>
      <c r="AE954" s="1097"/>
      <c r="AF954" s="82"/>
      <c r="AG954" s="1079" t="s">
        <v>511</v>
      </c>
      <c r="AH954" s="1080"/>
      <c r="AI954" s="85"/>
      <c r="AJ954" s="1057">
        <f>ROUND(IF(AG954="yes",AJ939*0.02,0),0)</f>
        <v>0</v>
      </c>
      <c r="AK954" s="1058"/>
      <c r="AL954" s="1058"/>
      <c r="AM954" s="1058"/>
      <c r="AN954" s="1058"/>
      <c r="AO954" s="1058"/>
      <c r="AP954" s="1058"/>
      <c r="AQ954" s="1059"/>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71"/>
      <c r="D955" s="1101" t="s">
        <v>1988</v>
      </c>
      <c r="E955" s="1102"/>
      <c r="F955" s="1102"/>
      <c r="G955" s="1102"/>
      <c r="H955" s="1102"/>
      <c r="I955" s="1102"/>
      <c r="J955" s="1102"/>
      <c r="K955" s="1102"/>
      <c r="L955" s="1102"/>
      <c r="M955" s="1102"/>
      <c r="N955" s="1102"/>
      <c r="O955" s="1102"/>
      <c r="P955" s="1102"/>
      <c r="Q955" s="1102"/>
      <c r="R955" s="1102"/>
      <c r="S955" s="1102"/>
      <c r="T955" s="1102"/>
      <c r="U955" s="1102"/>
      <c r="V955" s="1102"/>
      <c r="W955" s="1102"/>
      <c r="X955" s="1102"/>
      <c r="Y955" s="1102"/>
      <c r="Z955" s="1102"/>
      <c r="AA955" s="1102"/>
      <c r="AB955" s="1102"/>
      <c r="AC955" s="1102"/>
      <c r="AD955" s="1102"/>
      <c r="AE955" s="1103"/>
      <c r="AF955" s="80"/>
      <c r="AG955" s="11"/>
      <c r="AH955" s="11"/>
      <c r="AI955" s="81"/>
      <c r="AJ955" s="1063"/>
      <c r="AK955" s="1064"/>
      <c r="AL955" s="1064"/>
      <c r="AM955" s="1064"/>
      <c r="AN955" s="1064"/>
      <c r="AO955" s="1064"/>
      <c r="AP955" s="1064"/>
      <c r="AQ955" s="1065"/>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70" t="s">
        <v>521</v>
      </c>
      <c r="D956" s="1095" t="s">
        <v>1989</v>
      </c>
      <c r="E956" s="1096"/>
      <c r="F956" s="1096"/>
      <c r="G956" s="1096"/>
      <c r="H956" s="1096"/>
      <c r="I956" s="1096"/>
      <c r="J956" s="1096"/>
      <c r="K956" s="1096"/>
      <c r="L956" s="1096"/>
      <c r="M956" s="1096"/>
      <c r="N956" s="1096"/>
      <c r="O956" s="1096"/>
      <c r="P956" s="1096"/>
      <c r="Q956" s="1096"/>
      <c r="R956" s="1096"/>
      <c r="S956" s="1096"/>
      <c r="T956" s="1096"/>
      <c r="U956" s="1096"/>
      <c r="V956" s="1096"/>
      <c r="W956" s="1096"/>
      <c r="X956" s="1096"/>
      <c r="Y956" s="1096"/>
      <c r="Z956" s="1096"/>
      <c r="AA956" s="1096"/>
      <c r="AB956" s="1096"/>
      <c r="AC956" s="1096"/>
      <c r="AD956" s="1096"/>
      <c r="AE956" s="1097"/>
      <c r="AF956" s="82"/>
      <c r="AG956" s="1079" t="s">
        <v>511</v>
      </c>
      <c r="AH956" s="1080"/>
      <c r="AI956" s="82"/>
      <c r="AJ956" s="1057">
        <f>ROUND(IF(AG956="yes",AJ939*0.02,0),0)</f>
        <v>0</v>
      </c>
      <c r="AK956" s="1058"/>
      <c r="AL956" s="1058"/>
      <c r="AM956" s="1058"/>
      <c r="AN956" s="1058"/>
      <c r="AO956" s="1058"/>
      <c r="AP956" s="1058"/>
      <c r="AQ956" s="1059"/>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71"/>
      <c r="D957" s="1098" t="s">
        <v>1990</v>
      </c>
      <c r="E957" s="1099"/>
      <c r="F957" s="1099"/>
      <c r="G957" s="1099"/>
      <c r="H957" s="1099"/>
      <c r="I957" s="1099"/>
      <c r="J957" s="1099"/>
      <c r="K957" s="1099"/>
      <c r="L957" s="1099"/>
      <c r="M957" s="1099"/>
      <c r="N957" s="1099"/>
      <c r="O957" s="1099"/>
      <c r="P957" s="1099"/>
      <c r="Q957" s="1099"/>
      <c r="R957" s="1099"/>
      <c r="S957" s="1099"/>
      <c r="T957" s="1099"/>
      <c r="U957" s="1099"/>
      <c r="V957" s="1099"/>
      <c r="W957" s="1099"/>
      <c r="X957" s="1099"/>
      <c r="Y957" s="1099"/>
      <c r="Z957" s="1099"/>
      <c r="AA957" s="1099"/>
      <c r="AB957" s="1099"/>
      <c r="AC957" s="1099"/>
      <c r="AD957" s="1099"/>
      <c r="AE957" s="1100"/>
      <c r="AF957" s="79"/>
      <c r="AI957" s="21"/>
      <c r="AJ957" s="1060"/>
      <c r="AK957" s="1061"/>
      <c r="AL957" s="1061"/>
      <c r="AM957" s="1061"/>
      <c r="AN957" s="1061"/>
      <c r="AO957" s="1061"/>
      <c r="AP957" s="1061"/>
      <c r="AQ957" s="106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85"/>
      <c r="C958" s="886"/>
      <c r="D958" s="1101"/>
      <c r="E958" s="1102"/>
      <c r="F958" s="1102"/>
      <c r="G958" s="1102"/>
      <c r="H958" s="1102"/>
      <c r="I958" s="1102"/>
      <c r="J958" s="1102"/>
      <c r="K958" s="1102"/>
      <c r="L958" s="1102"/>
      <c r="M958" s="1102"/>
      <c r="N958" s="1102"/>
      <c r="O958" s="1102"/>
      <c r="P958" s="1102"/>
      <c r="Q958" s="1102"/>
      <c r="R958" s="1102"/>
      <c r="S958" s="1102"/>
      <c r="T958" s="1102"/>
      <c r="U958" s="1102"/>
      <c r="V958" s="1102"/>
      <c r="W958" s="1102"/>
      <c r="X958" s="1102"/>
      <c r="Y958" s="1102"/>
      <c r="Z958" s="1102"/>
      <c r="AA958" s="1102"/>
      <c r="AB958" s="1102"/>
      <c r="AC958" s="1102"/>
      <c r="AD958" s="1102"/>
      <c r="AE958" s="1103"/>
      <c r="AF958" s="80"/>
      <c r="AG958" s="11"/>
      <c r="AH958" s="11"/>
      <c r="AI958" s="81"/>
      <c r="AJ958" s="1063"/>
      <c r="AK958" s="1064"/>
      <c r="AL958" s="1064"/>
      <c r="AM958" s="1064"/>
      <c r="AN958" s="1064"/>
      <c r="AO958" s="1064"/>
      <c r="AP958" s="1064"/>
      <c r="AQ958" s="1065"/>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70" t="s">
        <v>632</v>
      </c>
      <c r="D959" s="1076" t="s">
        <v>1991</v>
      </c>
      <c r="E959" s="1077"/>
      <c r="F959" s="1077"/>
      <c r="G959" s="1077"/>
      <c r="H959" s="1077"/>
      <c r="I959" s="1077"/>
      <c r="J959" s="1077"/>
      <c r="K959" s="1077"/>
      <c r="L959" s="1077"/>
      <c r="M959" s="1077"/>
      <c r="N959" s="1077"/>
      <c r="O959" s="1077"/>
      <c r="P959" s="1077"/>
      <c r="Q959" s="1077"/>
      <c r="R959" s="1077"/>
      <c r="S959" s="1077"/>
      <c r="T959" s="1077"/>
      <c r="U959" s="1077"/>
      <c r="V959" s="1077"/>
      <c r="W959" s="1077"/>
      <c r="X959" s="1077"/>
      <c r="Y959" s="1077"/>
      <c r="Z959" s="1077"/>
      <c r="AA959" s="1077"/>
      <c r="AB959" s="1077"/>
      <c r="AC959" s="1077"/>
      <c r="AD959" s="1077"/>
      <c r="AE959" s="1078"/>
      <c r="AF959" s="82"/>
      <c r="AG959" s="1079" t="s">
        <v>511</v>
      </c>
      <c r="AH959" s="1080"/>
      <c r="AI959" s="85"/>
      <c r="AJ959" s="1057">
        <f>IF(AG959="yes",AJ939*AY918,0)</f>
        <v>0</v>
      </c>
      <c r="AK959" s="1058"/>
      <c r="AL959" s="1058"/>
      <c r="AM959" s="1058"/>
      <c r="AN959" s="1058"/>
      <c r="AO959" s="1058"/>
      <c r="AP959" s="1058"/>
      <c r="AQ959" s="1059"/>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71"/>
      <c r="D960" s="1098" t="s">
        <v>2101</v>
      </c>
      <c r="E960" s="1099"/>
      <c r="F960" s="1099"/>
      <c r="G960" s="1099"/>
      <c r="H960" s="1099"/>
      <c r="I960" s="1099"/>
      <c r="J960" s="1099"/>
      <c r="K960" s="1099"/>
      <c r="L960" s="1099"/>
      <c r="M960" s="1099"/>
      <c r="N960" s="1099"/>
      <c r="O960" s="1099"/>
      <c r="P960" s="1099"/>
      <c r="Q960" s="1099"/>
      <c r="R960" s="1099"/>
      <c r="S960" s="1099"/>
      <c r="T960" s="1099"/>
      <c r="U960" s="1099"/>
      <c r="V960" s="1099"/>
      <c r="W960" s="1099"/>
      <c r="X960" s="1099"/>
      <c r="Y960" s="1099"/>
      <c r="Z960" s="1099"/>
      <c r="AA960" s="1099"/>
      <c r="AB960" s="1099"/>
      <c r="AC960" s="1099"/>
      <c r="AD960" s="1099"/>
      <c r="AE960" s="1100"/>
      <c r="AF960" s="79"/>
      <c r="AG960" s="21"/>
      <c r="AH960" s="21"/>
      <c r="AI960" s="83"/>
      <c r="AJ960" s="1060"/>
      <c r="AK960" s="1061"/>
      <c r="AL960" s="1061"/>
      <c r="AM960" s="1061"/>
      <c r="AN960" s="1061"/>
      <c r="AO960" s="1061"/>
      <c r="AP960" s="1061"/>
      <c r="AQ960" s="106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71"/>
      <c r="D961" s="1098"/>
      <c r="E961" s="1099"/>
      <c r="F961" s="1099"/>
      <c r="G961" s="1099"/>
      <c r="H961" s="1099"/>
      <c r="I961" s="1099"/>
      <c r="J961" s="1099"/>
      <c r="K961" s="1099"/>
      <c r="L961" s="1099"/>
      <c r="M961" s="1099"/>
      <c r="N961" s="1099"/>
      <c r="O961" s="1099"/>
      <c r="P961" s="1099"/>
      <c r="Q961" s="1099"/>
      <c r="R961" s="1099"/>
      <c r="S961" s="1099"/>
      <c r="T961" s="1099"/>
      <c r="U961" s="1099"/>
      <c r="V961" s="1099"/>
      <c r="W961" s="1099"/>
      <c r="X961" s="1099"/>
      <c r="Y961" s="1099"/>
      <c r="Z961" s="1099"/>
      <c r="AA961" s="1099"/>
      <c r="AB961" s="1099"/>
      <c r="AC961" s="1099"/>
      <c r="AD961" s="1099"/>
      <c r="AE961" s="1100"/>
      <c r="AF961" s="79"/>
      <c r="AG961" s="21"/>
      <c r="AH961" s="21"/>
      <c r="AI961" s="83"/>
      <c r="AJ961" s="1060"/>
      <c r="AK961" s="1061"/>
      <c r="AL961" s="1061"/>
      <c r="AM961" s="1061"/>
      <c r="AN961" s="1061"/>
      <c r="AO961" s="1061"/>
      <c r="AP961" s="1061"/>
      <c r="AQ961" s="106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88"/>
      <c r="C962" s="884"/>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2"/>
      <c r="Z962" s="1102"/>
      <c r="AA962" s="1102"/>
      <c r="AB962" s="1102"/>
      <c r="AC962" s="1102"/>
      <c r="AD962" s="1102"/>
      <c r="AE962" s="1103"/>
      <c r="AF962" s="80"/>
      <c r="AG962" s="11"/>
      <c r="AH962" s="11"/>
      <c r="AI962" s="81"/>
      <c r="AJ962" s="1063"/>
      <c r="AK962" s="1064"/>
      <c r="AL962" s="1064"/>
      <c r="AM962" s="1064"/>
      <c r="AN962" s="1064"/>
      <c r="AO962" s="1064"/>
      <c r="AP962" s="1064"/>
      <c r="AQ962" s="106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70" t="s">
        <v>637</v>
      </c>
      <c r="D963" s="1104" t="s">
        <v>1992</v>
      </c>
      <c r="E963" s="1105"/>
      <c r="F963" s="1105"/>
      <c r="G963" s="1105"/>
      <c r="H963" s="1105"/>
      <c r="I963" s="1105"/>
      <c r="J963" s="1105"/>
      <c r="K963" s="1105"/>
      <c r="L963" s="1105"/>
      <c r="M963" s="1105"/>
      <c r="N963" s="1105"/>
      <c r="O963" s="1105"/>
      <c r="P963" s="1105"/>
      <c r="Q963" s="1105"/>
      <c r="R963" s="1105"/>
      <c r="S963" s="1105"/>
      <c r="T963" s="1105"/>
      <c r="U963" s="1105"/>
      <c r="V963" s="1105"/>
      <c r="W963" s="1105"/>
      <c r="X963" s="1105"/>
      <c r="Y963" s="1105"/>
      <c r="Z963" s="1105"/>
      <c r="AA963" s="1105"/>
      <c r="AB963" s="1105"/>
      <c r="AC963" s="1105"/>
      <c r="AD963" s="1105"/>
      <c r="AE963" s="1106"/>
      <c r="AF963" s="82"/>
      <c r="AG963" s="1079" t="s">
        <v>511</v>
      </c>
      <c r="AH963" s="1080"/>
      <c r="AI963" s="85"/>
      <c r="AJ963" s="1057">
        <f>ROUND(IF(AG963="Yes",MIN(AF966,(0.15*AJ939)),0),0)</f>
        <v>0</v>
      </c>
      <c r="AK963" s="1058"/>
      <c r="AL963" s="1058"/>
      <c r="AM963" s="1058"/>
      <c r="AN963" s="1058"/>
      <c r="AO963" s="1058"/>
      <c r="AP963" s="1058"/>
      <c r="AQ963" s="105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88"/>
      <c r="C964" s="889"/>
      <c r="D964" s="1107"/>
      <c r="E964" s="1108"/>
      <c r="F964" s="1108"/>
      <c r="G964" s="1108"/>
      <c r="H964" s="1108"/>
      <c r="I964" s="1108"/>
      <c r="J964" s="1108"/>
      <c r="K964" s="1108"/>
      <c r="L964" s="1108"/>
      <c r="M964" s="1108"/>
      <c r="N964" s="1108"/>
      <c r="O964" s="1108"/>
      <c r="P964" s="1108"/>
      <c r="Q964" s="1108"/>
      <c r="R964" s="1108"/>
      <c r="S964" s="1108"/>
      <c r="T964" s="1108"/>
      <c r="U964" s="1108"/>
      <c r="V964" s="1108"/>
      <c r="W964" s="1108"/>
      <c r="X964" s="1108"/>
      <c r="Y964" s="1108"/>
      <c r="Z964" s="1108"/>
      <c r="AA964" s="1108"/>
      <c r="AB964" s="1108"/>
      <c r="AC964" s="1108"/>
      <c r="AD964" s="1108"/>
      <c r="AE964" s="1109"/>
      <c r="AF964" s="1542" t="str">
        <f>IF(AG963="yes","Please Select Type and Enter Amount:","")</f>
        <v/>
      </c>
      <c r="AG964" s="1543"/>
      <c r="AH964" s="1543"/>
      <c r="AI964" s="1544"/>
      <c r="AJ964" s="1060"/>
      <c r="AK964" s="1061"/>
      <c r="AL964" s="1061"/>
      <c r="AM964" s="1061"/>
      <c r="AN964" s="1061"/>
      <c r="AO964" s="1061"/>
      <c r="AP964" s="1061"/>
      <c r="AQ964" s="106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88"/>
      <c r="C965" s="889"/>
      <c r="D965" s="1098" t="s">
        <v>1993</v>
      </c>
      <c r="E965" s="1099"/>
      <c r="F965" s="1099"/>
      <c r="G965" s="1099"/>
      <c r="H965" s="1099"/>
      <c r="I965" s="1099"/>
      <c r="J965" s="1099"/>
      <c r="K965" s="1099"/>
      <c r="L965" s="1099"/>
      <c r="M965" s="1099"/>
      <c r="N965" s="1099"/>
      <c r="O965" s="1099"/>
      <c r="P965" s="1099"/>
      <c r="Q965" s="1099"/>
      <c r="R965" s="1099"/>
      <c r="S965" s="1099"/>
      <c r="T965" s="1099"/>
      <c r="U965" s="1099"/>
      <c r="V965" s="1099"/>
      <c r="W965" s="1099"/>
      <c r="X965" s="1099"/>
      <c r="Y965" s="1099"/>
      <c r="Z965" s="1099"/>
      <c r="AA965" s="1099"/>
      <c r="AB965" s="1099"/>
      <c r="AC965" s="1099"/>
      <c r="AD965" s="1099"/>
      <c r="AE965" s="1100"/>
      <c r="AF965" s="1542"/>
      <c r="AG965" s="1543"/>
      <c r="AH965" s="1543"/>
      <c r="AI965" s="1544"/>
      <c r="AJ965" s="1060"/>
      <c r="AK965" s="1061"/>
      <c r="AL965" s="1061"/>
      <c r="AM965" s="1061"/>
      <c r="AN965" s="1061"/>
      <c r="AO965" s="1061"/>
      <c r="AP965" s="1061"/>
      <c r="AQ965" s="106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88"/>
      <c r="C966" s="889"/>
      <c r="D966" s="1098"/>
      <c r="E966" s="1099"/>
      <c r="F966" s="1099"/>
      <c r="G966" s="1099"/>
      <c r="H966" s="1099"/>
      <c r="I966" s="1099"/>
      <c r="J966" s="1099"/>
      <c r="K966" s="1099"/>
      <c r="L966" s="1099"/>
      <c r="M966" s="1099"/>
      <c r="N966" s="1099"/>
      <c r="O966" s="1099"/>
      <c r="P966" s="1099"/>
      <c r="Q966" s="1099"/>
      <c r="R966" s="1099"/>
      <c r="S966" s="1099"/>
      <c r="T966" s="1099"/>
      <c r="U966" s="1099"/>
      <c r="V966" s="1099"/>
      <c r="W966" s="1099"/>
      <c r="X966" s="1099"/>
      <c r="Y966" s="1099"/>
      <c r="Z966" s="1099"/>
      <c r="AA966" s="1099"/>
      <c r="AB966" s="1099"/>
      <c r="AC966" s="1099"/>
      <c r="AD966" s="1099"/>
      <c r="AE966" s="1100"/>
      <c r="AF966" s="1545"/>
      <c r="AG966" s="1545"/>
      <c r="AH966" s="1545"/>
      <c r="AI966" s="1545"/>
      <c r="AJ966" s="1060"/>
      <c r="AK966" s="1061"/>
      <c r="AL966" s="1061"/>
      <c r="AM966" s="1061"/>
      <c r="AN966" s="1061"/>
      <c r="AO966" s="1061"/>
      <c r="AP966" s="1061"/>
      <c r="AQ966" s="106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88"/>
      <c r="C967" s="889"/>
      <c r="D967" s="890" t="s">
        <v>924</v>
      </c>
      <c r="E967" s="88"/>
      <c r="F967" s="88"/>
      <c r="G967" s="414"/>
      <c r="H967" s="414"/>
      <c r="I967" s="55"/>
      <c r="J967" s="1110" t="s">
        <v>132</v>
      </c>
      <c r="K967" s="1111"/>
      <c r="L967" s="1111"/>
      <c r="M967" s="1111"/>
      <c r="N967" s="1111"/>
      <c r="O967" s="1111"/>
      <c r="P967" s="1111"/>
      <c r="Q967" s="1111"/>
      <c r="R967" s="1111"/>
      <c r="S967" s="1111"/>
      <c r="T967" s="1111"/>
      <c r="U967" s="1111"/>
      <c r="V967" s="1111"/>
      <c r="W967" s="1111"/>
      <c r="X967" s="1111"/>
      <c r="Y967" s="1111"/>
      <c r="Z967" s="1111"/>
      <c r="AA967" s="1111"/>
      <c r="AB967" s="1111"/>
      <c r="AC967" s="1111"/>
      <c r="AD967" s="1111"/>
      <c r="AE967" s="1112"/>
      <c r="AF967" s="1545"/>
      <c r="AG967" s="1545"/>
      <c r="AH967" s="1545"/>
      <c r="AI967" s="1545"/>
      <c r="AJ967" s="1063"/>
      <c r="AK967" s="1064"/>
      <c r="AL967" s="1064"/>
      <c r="AM967" s="1064"/>
      <c r="AN967" s="1064"/>
      <c r="AO967" s="1064"/>
      <c r="AP967" s="1064"/>
      <c r="AQ967" s="106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70" t="s">
        <v>604</v>
      </c>
      <c r="D968" s="1095" t="s">
        <v>1994</v>
      </c>
      <c r="E968" s="1096"/>
      <c r="F968" s="1096"/>
      <c r="G968" s="1096"/>
      <c r="H968" s="1096"/>
      <c r="I968" s="1096"/>
      <c r="J968" s="1096"/>
      <c r="K968" s="1096"/>
      <c r="L968" s="1096"/>
      <c r="M968" s="1096"/>
      <c r="N968" s="1096"/>
      <c r="O968" s="1096"/>
      <c r="P968" s="1096"/>
      <c r="Q968" s="1096"/>
      <c r="R968" s="1096"/>
      <c r="S968" s="1096"/>
      <c r="T968" s="1096"/>
      <c r="U968" s="1096"/>
      <c r="V968" s="1096"/>
      <c r="W968" s="1096"/>
      <c r="X968" s="1096"/>
      <c r="Y968" s="1096"/>
      <c r="Z968" s="1096"/>
      <c r="AA968" s="1096"/>
      <c r="AB968" s="1096"/>
      <c r="AC968" s="1096"/>
      <c r="AD968" s="1096"/>
      <c r="AE968" s="1097"/>
      <c r="AF968" s="82"/>
      <c r="AG968" s="1079" t="s">
        <v>116</v>
      </c>
      <c r="AH968" s="1080"/>
      <c r="AI968" s="85"/>
      <c r="AJ968" s="1057">
        <f>ROUND(IF(AG968="Yes",AF970,0),0)</f>
        <v>673345</v>
      </c>
      <c r="AK968" s="1058"/>
      <c r="AL968" s="1058"/>
      <c r="AM968" s="1058"/>
      <c r="AN968" s="1058"/>
      <c r="AO968" s="1058"/>
      <c r="AP968" s="1058"/>
      <c r="AQ968" s="105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71"/>
      <c r="D969" s="1098" t="s">
        <v>2102</v>
      </c>
      <c r="E969" s="1099"/>
      <c r="F969" s="1099"/>
      <c r="G969" s="1099"/>
      <c r="H969" s="1099"/>
      <c r="I969" s="1099"/>
      <c r="J969" s="1099"/>
      <c r="K969" s="1099"/>
      <c r="L969" s="1099"/>
      <c r="M969" s="1099"/>
      <c r="N969" s="1099"/>
      <c r="O969" s="1099"/>
      <c r="P969" s="1099"/>
      <c r="Q969" s="1099"/>
      <c r="R969" s="1099"/>
      <c r="S969" s="1099"/>
      <c r="T969" s="1099"/>
      <c r="U969" s="1099"/>
      <c r="V969" s="1099"/>
      <c r="W969" s="1099"/>
      <c r="X969" s="1099"/>
      <c r="Y969" s="1099"/>
      <c r="Z969" s="1099"/>
      <c r="AA969" s="1099"/>
      <c r="AB969" s="1099"/>
      <c r="AC969" s="1099"/>
      <c r="AD969" s="1099"/>
      <c r="AE969" s="1100"/>
      <c r="AF969" s="1546" t="str">
        <f>IF(AG968="yes","Please Enter Amount:","")</f>
        <v>Please Enter Amount:</v>
      </c>
      <c r="AG969" s="1547"/>
      <c r="AH969" s="1547"/>
      <c r="AI969" s="1548"/>
      <c r="AJ969" s="1060"/>
      <c r="AK969" s="1061"/>
      <c r="AL969" s="1061"/>
      <c r="AM969" s="1061"/>
      <c r="AN969" s="1061"/>
      <c r="AO969" s="1061"/>
      <c r="AP969" s="1061"/>
      <c r="AQ969" s="106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71"/>
      <c r="D970" s="1098"/>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099"/>
      <c r="Z970" s="1099"/>
      <c r="AA970" s="1099"/>
      <c r="AB970" s="1099"/>
      <c r="AC970" s="1099"/>
      <c r="AD970" s="1099"/>
      <c r="AE970" s="1100"/>
      <c r="AF970" s="1545">
        <f>'Sources and Uses Budget'!C84</f>
        <v>673345</v>
      </c>
      <c r="AG970" s="1545"/>
      <c r="AH970" s="1545"/>
      <c r="AI970" s="1545"/>
      <c r="AJ970" s="1060"/>
      <c r="AK970" s="1061"/>
      <c r="AL970" s="1061"/>
      <c r="AM970" s="1061"/>
      <c r="AN970" s="1061"/>
      <c r="AO970" s="1061"/>
      <c r="AP970" s="1061"/>
      <c r="AQ970" s="106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87"/>
      <c r="C971" s="889"/>
      <c r="D971" s="1101"/>
      <c r="E971" s="1102"/>
      <c r="F971" s="1102"/>
      <c r="G971" s="1102"/>
      <c r="H971" s="1102"/>
      <c r="I971" s="1102"/>
      <c r="J971" s="1102"/>
      <c r="K971" s="1102"/>
      <c r="L971" s="1102"/>
      <c r="M971" s="1102"/>
      <c r="N971" s="1102"/>
      <c r="O971" s="1102"/>
      <c r="P971" s="1102"/>
      <c r="Q971" s="1102"/>
      <c r="R971" s="1102"/>
      <c r="S971" s="1102"/>
      <c r="T971" s="1102"/>
      <c r="U971" s="1102"/>
      <c r="V971" s="1102"/>
      <c r="W971" s="1102"/>
      <c r="X971" s="1102"/>
      <c r="Y971" s="1102"/>
      <c r="Z971" s="1102"/>
      <c r="AA971" s="1102"/>
      <c r="AB971" s="1102"/>
      <c r="AC971" s="1102"/>
      <c r="AD971" s="1102"/>
      <c r="AE971" s="1103"/>
      <c r="AF971" s="1545"/>
      <c r="AG971" s="1545"/>
      <c r="AH971" s="1545"/>
      <c r="AI971" s="1545"/>
      <c r="AJ971" s="1063"/>
      <c r="AK971" s="1064"/>
      <c r="AL971" s="1064"/>
      <c r="AM971" s="1064"/>
      <c r="AN971" s="1064"/>
      <c r="AO971" s="1064"/>
      <c r="AP971" s="1064"/>
      <c r="AQ971" s="1065"/>
    </row>
    <row r="972" spans="1:97" ht="12.95" customHeight="1">
      <c r="A972" s="21"/>
      <c r="B972" s="82"/>
      <c r="C972" s="570" t="s">
        <v>609</v>
      </c>
      <c r="D972" s="1076" t="s">
        <v>1995</v>
      </c>
      <c r="E972" s="1077"/>
      <c r="F972" s="1077"/>
      <c r="G972" s="1077"/>
      <c r="H972" s="1077"/>
      <c r="I972" s="1077"/>
      <c r="J972" s="1077"/>
      <c r="K972" s="1077"/>
      <c r="L972" s="1077"/>
      <c r="M972" s="1077"/>
      <c r="N972" s="1077"/>
      <c r="O972" s="1077"/>
      <c r="P972" s="1077"/>
      <c r="Q972" s="1077"/>
      <c r="R972" s="1077"/>
      <c r="S972" s="1077"/>
      <c r="T972" s="1077"/>
      <c r="U972" s="1077"/>
      <c r="V972" s="1077"/>
      <c r="W972" s="1077"/>
      <c r="X972" s="1077"/>
      <c r="Y972" s="1077"/>
      <c r="Z972" s="1077"/>
      <c r="AA972" s="1077"/>
      <c r="AB972" s="1077"/>
      <c r="AC972" s="1077"/>
      <c r="AD972" s="1077"/>
      <c r="AE972" s="1078"/>
      <c r="AF972" s="82"/>
      <c r="AG972" s="1079" t="s">
        <v>511</v>
      </c>
      <c r="AH972" s="1080"/>
      <c r="AI972" s="85"/>
      <c r="AJ972" s="1057">
        <f>ROUND(IF(AG972="yes",(AJ939*0.1),0),0)</f>
        <v>0</v>
      </c>
      <c r="AK972" s="1058"/>
      <c r="AL972" s="1058"/>
      <c r="AM972" s="1058"/>
      <c r="AN972" s="1058"/>
      <c r="AO972" s="1058"/>
      <c r="AP972" s="1058"/>
      <c r="AQ972" s="1059"/>
    </row>
    <row r="973" spans="1:97" ht="12.95" customHeight="1">
      <c r="A973" s="21"/>
      <c r="B973" s="79"/>
      <c r="C973" s="571"/>
      <c r="D973" s="1098" t="s">
        <v>1996</v>
      </c>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099"/>
      <c r="Z973" s="1099"/>
      <c r="AA973" s="1099"/>
      <c r="AB973" s="1099"/>
      <c r="AC973" s="1099"/>
      <c r="AD973" s="1099"/>
      <c r="AE973" s="1100"/>
      <c r="AF973" s="79"/>
      <c r="AG973" s="21"/>
      <c r="AH973" s="21"/>
      <c r="AI973" s="83"/>
      <c r="AJ973" s="1060"/>
      <c r="AK973" s="1061"/>
      <c r="AL973" s="1061"/>
      <c r="AM973" s="1061"/>
      <c r="AN973" s="1061"/>
      <c r="AO973" s="1061"/>
      <c r="AP973" s="1061"/>
      <c r="AQ973" s="1062"/>
    </row>
    <row r="974" spans="1:97" ht="12.95" customHeight="1">
      <c r="A974" s="569"/>
      <c r="B974" s="80"/>
      <c r="C974" s="571"/>
      <c r="D974" s="1101"/>
      <c r="E974" s="1102"/>
      <c r="F974" s="1102"/>
      <c r="G974" s="1102"/>
      <c r="H974" s="1102"/>
      <c r="I974" s="1102"/>
      <c r="J974" s="1102"/>
      <c r="K974" s="1102"/>
      <c r="L974" s="1102"/>
      <c r="M974" s="1102"/>
      <c r="N974" s="1102"/>
      <c r="O974" s="1102"/>
      <c r="P974" s="1102"/>
      <c r="Q974" s="1102"/>
      <c r="R974" s="1102"/>
      <c r="S974" s="1102"/>
      <c r="T974" s="1102"/>
      <c r="U974" s="1102"/>
      <c r="V974" s="1102"/>
      <c r="W974" s="1102"/>
      <c r="X974" s="1102"/>
      <c r="Y974" s="1102"/>
      <c r="Z974" s="1102"/>
      <c r="AA974" s="1102"/>
      <c r="AB974" s="1102"/>
      <c r="AC974" s="1102"/>
      <c r="AD974" s="1102"/>
      <c r="AE974" s="1103"/>
      <c r="AF974" s="79"/>
      <c r="AG974" s="21"/>
      <c r="AH974" s="21"/>
      <c r="AI974" s="83"/>
      <c r="AJ974" s="1063"/>
      <c r="AK974" s="1064"/>
      <c r="AL974" s="1064"/>
      <c r="AM974" s="1064"/>
      <c r="AN974" s="1064"/>
      <c r="AO974" s="1064"/>
      <c r="AP974" s="1064"/>
      <c r="AQ974" s="1065"/>
    </row>
    <row r="975" spans="1:97" ht="12.95" customHeight="1">
      <c r="A975" s="569"/>
      <c r="B975" s="79"/>
      <c r="C975" s="570" t="s">
        <v>612</v>
      </c>
      <c r="D975" s="1095" t="s">
        <v>2103</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6"/>
      <c r="Z975" s="1096"/>
      <c r="AA975" s="1096"/>
      <c r="AB975" s="1096"/>
      <c r="AC975" s="1096"/>
      <c r="AD975" s="1096"/>
      <c r="AE975" s="1097"/>
      <c r="AF975" s="82"/>
      <c r="AG975" s="1079" t="s">
        <v>511</v>
      </c>
      <c r="AH975" s="1080"/>
      <c r="AI975" s="85"/>
      <c r="AJ975" s="1057">
        <f>ROUND(IF(AG975="yes",(AJ939*0.15),0),0)</f>
        <v>0</v>
      </c>
      <c r="AK975" s="1058"/>
      <c r="AL975" s="1058"/>
      <c r="AM975" s="1058"/>
      <c r="AN975" s="1058"/>
      <c r="AO975" s="1058"/>
      <c r="AP975" s="1058"/>
      <c r="AQ975" s="1059"/>
    </row>
    <row r="976" spans="1:97" ht="12.95" customHeight="1">
      <c r="A976" s="569"/>
      <c r="B976" s="79"/>
      <c r="C976" s="571"/>
      <c r="D976" s="1113" t="s">
        <v>2104</v>
      </c>
      <c r="E976" s="977"/>
      <c r="F976" s="977"/>
      <c r="G976" s="977"/>
      <c r="H976" s="977"/>
      <c r="I976" s="977"/>
      <c r="J976" s="977"/>
      <c r="K976" s="977"/>
      <c r="L976" s="977"/>
      <c r="M976" s="977"/>
      <c r="N976" s="977"/>
      <c r="O976" s="977"/>
      <c r="P976" s="977"/>
      <c r="Q976" s="977"/>
      <c r="R976" s="977"/>
      <c r="S976" s="977"/>
      <c r="T976" s="977"/>
      <c r="U976" s="977"/>
      <c r="V976" s="977"/>
      <c r="W976" s="977"/>
      <c r="X976" s="977"/>
      <c r="Y976" s="977"/>
      <c r="Z976" s="977"/>
      <c r="AA976" s="977"/>
      <c r="AB976" s="977"/>
      <c r="AC976" s="977"/>
      <c r="AD976" s="977"/>
      <c r="AE976" s="1114"/>
      <c r="AF976" s="891"/>
      <c r="AG976" s="892"/>
      <c r="AH976" s="892"/>
      <c r="AI976" s="893"/>
      <c r="AJ976" s="1060"/>
      <c r="AK976" s="1061"/>
      <c r="AL976" s="1061"/>
      <c r="AM976" s="1061"/>
      <c r="AN976" s="1061"/>
      <c r="AO976" s="1061"/>
      <c r="AP976" s="1061"/>
      <c r="AQ976" s="106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9"/>
      <c r="B977" s="79"/>
      <c r="C977" s="571"/>
      <c r="D977" s="1113"/>
      <c r="E977" s="977"/>
      <c r="F977" s="977"/>
      <c r="G977" s="977"/>
      <c r="H977" s="977"/>
      <c r="I977" s="977"/>
      <c r="J977" s="977"/>
      <c r="K977" s="977"/>
      <c r="L977" s="977"/>
      <c r="M977" s="977"/>
      <c r="N977" s="977"/>
      <c r="O977" s="977"/>
      <c r="P977" s="977"/>
      <c r="Q977" s="977"/>
      <c r="R977" s="977"/>
      <c r="S977" s="977"/>
      <c r="T977" s="977"/>
      <c r="U977" s="977"/>
      <c r="V977" s="977"/>
      <c r="W977" s="977"/>
      <c r="X977" s="977"/>
      <c r="Y977" s="977"/>
      <c r="Z977" s="977"/>
      <c r="AA977" s="977"/>
      <c r="AB977" s="977"/>
      <c r="AC977" s="977"/>
      <c r="AD977" s="977"/>
      <c r="AE977" s="1114"/>
      <c r="AF977" s="891"/>
      <c r="AG977" s="892"/>
      <c r="AH977" s="892"/>
      <c r="AI977" s="893"/>
      <c r="AJ977" s="1060"/>
      <c r="AK977" s="1061"/>
      <c r="AL977" s="1061"/>
      <c r="AM977" s="1061"/>
      <c r="AN977" s="1061"/>
      <c r="AO977" s="1061"/>
      <c r="AP977" s="1061"/>
      <c r="AQ977" s="106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9"/>
      <c r="B978" s="79"/>
      <c r="C978" s="571"/>
      <c r="D978" s="1115"/>
      <c r="E978" s="1116"/>
      <c r="F978" s="1116"/>
      <c r="G978" s="1116"/>
      <c r="H978" s="1116"/>
      <c r="I978" s="1116"/>
      <c r="J978" s="1116"/>
      <c r="K978" s="1116"/>
      <c r="L978" s="1116"/>
      <c r="M978" s="1116"/>
      <c r="N978" s="1116"/>
      <c r="O978" s="1116"/>
      <c r="P978" s="1116"/>
      <c r="Q978" s="1116"/>
      <c r="R978" s="1116"/>
      <c r="S978" s="1116"/>
      <c r="T978" s="1116"/>
      <c r="U978" s="1116"/>
      <c r="V978" s="1116"/>
      <c r="W978" s="1116"/>
      <c r="X978" s="1116"/>
      <c r="Y978" s="1116"/>
      <c r="Z978" s="1116"/>
      <c r="AA978" s="1116"/>
      <c r="AB978" s="1116"/>
      <c r="AC978" s="1116"/>
      <c r="AD978" s="1116"/>
      <c r="AE978" s="1117"/>
      <c r="AF978" s="894"/>
      <c r="AG978" s="895"/>
      <c r="AH978" s="895"/>
      <c r="AI978" s="896"/>
      <c r="AJ978" s="1063"/>
      <c r="AK978" s="1064"/>
      <c r="AL978" s="1064"/>
      <c r="AM978" s="1064"/>
      <c r="AN978" s="1064"/>
      <c r="AO978" s="1064"/>
      <c r="AP978" s="1064"/>
      <c r="AQ978" s="106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70" t="s">
        <v>612</v>
      </c>
      <c r="D979" s="1076" t="s">
        <v>2105</v>
      </c>
      <c r="E979" s="1077"/>
      <c r="F979" s="1077"/>
      <c r="G979" s="1077"/>
      <c r="H979" s="1077"/>
      <c r="I979" s="1077"/>
      <c r="J979" s="1077"/>
      <c r="K979" s="1077"/>
      <c r="L979" s="1077"/>
      <c r="M979" s="1077"/>
      <c r="N979" s="1077"/>
      <c r="O979" s="1077"/>
      <c r="P979" s="1077"/>
      <c r="Q979" s="1077"/>
      <c r="R979" s="1077"/>
      <c r="S979" s="1077"/>
      <c r="T979" s="1077"/>
      <c r="U979" s="1077"/>
      <c r="V979" s="1077"/>
      <c r="W979" s="1077"/>
      <c r="X979" s="1077"/>
      <c r="Y979" s="1077"/>
      <c r="Z979" s="1077"/>
      <c r="AA979" s="1077"/>
      <c r="AB979" s="1077"/>
      <c r="AC979" s="1077"/>
      <c r="AD979" s="1077"/>
      <c r="AE979" s="1078"/>
      <c r="AF979" s="79"/>
      <c r="AG979" s="1446" t="s">
        <v>511</v>
      </c>
      <c r="AH979" s="1447"/>
      <c r="AI979" s="83"/>
      <c r="AJ979" s="1057">
        <f>ROUND(IF(AG979="yes",(AJ939*0.1),0),0)</f>
        <v>0</v>
      </c>
      <c r="AK979" s="1058"/>
      <c r="AL979" s="1058"/>
      <c r="AM979" s="1058"/>
      <c r="AN979" s="1058"/>
      <c r="AO979" s="1058"/>
      <c r="AP979" s="1058"/>
      <c r="AQ979" s="105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71"/>
      <c r="D980" s="1113" t="s">
        <v>2106</v>
      </c>
      <c r="E980" s="977"/>
      <c r="F980" s="977"/>
      <c r="G980" s="977"/>
      <c r="H980" s="977"/>
      <c r="I980" s="977"/>
      <c r="J980" s="977"/>
      <c r="K980" s="977"/>
      <c r="L980" s="977"/>
      <c r="M980" s="977"/>
      <c r="N980" s="977"/>
      <c r="O980" s="977"/>
      <c r="P980" s="977"/>
      <c r="Q980" s="977"/>
      <c r="R980" s="977"/>
      <c r="S980" s="977"/>
      <c r="T980" s="977"/>
      <c r="U980" s="977"/>
      <c r="V980" s="977"/>
      <c r="W980" s="977"/>
      <c r="X980" s="977"/>
      <c r="Y980" s="977"/>
      <c r="Z980" s="977"/>
      <c r="AA980" s="977"/>
      <c r="AB980" s="977"/>
      <c r="AC980" s="977"/>
      <c r="AD980" s="977"/>
      <c r="AE980" s="1114"/>
      <c r="AF980" s="79"/>
      <c r="AG980" s="21"/>
      <c r="AH980" s="21"/>
      <c r="AI980" s="83"/>
      <c r="AJ980" s="1060"/>
      <c r="AK980" s="1061"/>
      <c r="AL980" s="1061"/>
      <c r="AM980" s="1061"/>
      <c r="AN980" s="1061"/>
      <c r="AO980" s="1061"/>
      <c r="AP980" s="1061"/>
      <c r="AQ980" s="106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71"/>
      <c r="D981" s="1113"/>
      <c r="E981" s="977"/>
      <c r="F981" s="977"/>
      <c r="G981" s="977"/>
      <c r="H981" s="977"/>
      <c r="I981" s="977"/>
      <c r="J981" s="977"/>
      <c r="K981" s="977"/>
      <c r="L981" s="977"/>
      <c r="M981" s="977"/>
      <c r="N981" s="977"/>
      <c r="O981" s="977"/>
      <c r="P981" s="977"/>
      <c r="Q981" s="977"/>
      <c r="R981" s="977"/>
      <c r="S981" s="977"/>
      <c r="T981" s="977"/>
      <c r="U981" s="977"/>
      <c r="V981" s="977"/>
      <c r="W981" s="977"/>
      <c r="X981" s="977"/>
      <c r="Y981" s="977"/>
      <c r="Z981" s="977"/>
      <c r="AA981" s="977"/>
      <c r="AB981" s="977"/>
      <c r="AC981" s="977"/>
      <c r="AD981" s="977"/>
      <c r="AE981" s="1114"/>
      <c r="AF981" s="79"/>
      <c r="AG981" s="21"/>
      <c r="AH981" s="21"/>
      <c r="AI981" s="83"/>
      <c r="AJ981" s="1060"/>
      <c r="AK981" s="1061"/>
      <c r="AL981" s="1061"/>
      <c r="AM981" s="1061"/>
      <c r="AN981" s="1061"/>
      <c r="AO981" s="1061"/>
      <c r="AP981" s="1061"/>
      <c r="AQ981" s="106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71"/>
      <c r="D982" s="1113"/>
      <c r="E982" s="977"/>
      <c r="F982" s="977"/>
      <c r="G982" s="977"/>
      <c r="H982" s="977"/>
      <c r="I982" s="977"/>
      <c r="J982" s="977"/>
      <c r="K982" s="977"/>
      <c r="L982" s="977"/>
      <c r="M982" s="977"/>
      <c r="N982" s="977"/>
      <c r="O982" s="977"/>
      <c r="P982" s="977"/>
      <c r="Q982" s="977"/>
      <c r="R982" s="977"/>
      <c r="S982" s="977"/>
      <c r="T982" s="977"/>
      <c r="U982" s="977"/>
      <c r="V982" s="977"/>
      <c r="W982" s="977"/>
      <c r="X982" s="977"/>
      <c r="Y982" s="977"/>
      <c r="Z982" s="977"/>
      <c r="AA982" s="977"/>
      <c r="AB982" s="977"/>
      <c r="AC982" s="977"/>
      <c r="AD982" s="977"/>
      <c r="AE982" s="1114"/>
      <c r="AF982" s="79"/>
      <c r="AG982" s="21"/>
      <c r="AH982" s="21"/>
      <c r="AI982" s="83"/>
      <c r="AJ982" s="1060"/>
      <c r="AK982" s="1061"/>
      <c r="AL982" s="1061"/>
      <c r="AM982" s="1061"/>
      <c r="AN982" s="1061"/>
      <c r="AO982" s="1061"/>
      <c r="AP982" s="1061"/>
      <c r="AQ982" s="106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71"/>
      <c r="D983" s="1115"/>
      <c r="E983" s="1116"/>
      <c r="F983" s="1116"/>
      <c r="G983" s="1116"/>
      <c r="H983" s="1116"/>
      <c r="I983" s="1116"/>
      <c r="J983" s="1116"/>
      <c r="K983" s="1116"/>
      <c r="L983" s="1116"/>
      <c r="M983" s="1116"/>
      <c r="N983" s="1116"/>
      <c r="O983" s="1116"/>
      <c r="P983" s="1116"/>
      <c r="Q983" s="1116"/>
      <c r="R983" s="1116"/>
      <c r="S983" s="1116"/>
      <c r="T983" s="1116"/>
      <c r="U983" s="1116"/>
      <c r="V983" s="1116"/>
      <c r="W983" s="1116"/>
      <c r="X983" s="1116"/>
      <c r="Y983" s="1116"/>
      <c r="Z983" s="1116"/>
      <c r="AA983" s="1116"/>
      <c r="AB983" s="1116"/>
      <c r="AC983" s="1116"/>
      <c r="AD983" s="1116"/>
      <c r="AE983" s="1117"/>
      <c r="AF983" s="79"/>
      <c r="AG983" s="21"/>
      <c r="AH983" s="21"/>
      <c r="AI983" s="83"/>
      <c r="AJ983" s="1060"/>
      <c r="AK983" s="1061"/>
      <c r="AL983" s="1061"/>
      <c r="AM983" s="1061"/>
      <c r="AN983" s="1061"/>
      <c r="AO983" s="1061"/>
      <c r="AP983" s="1061"/>
      <c r="AQ983" s="106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97" t="s">
        <v>2107</v>
      </c>
      <c r="D984" s="1095" t="s">
        <v>1997</v>
      </c>
      <c r="E984" s="1096"/>
      <c r="F984" s="1096"/>
      <c r="G984" s="1096"/>
      <c r="H984" s="1096"/>
      <c r="I984" s="1096"/>
      <c r="J984" s="1096"/>
      <c r="K984" s="1096"/>
      <c r="L984" s="1096"/>
      <c r="M984" s="1096"/>
      <c r="N984" s="1096"/>
      <c r="O984" s="1096"/>
      <c r="P984" s="1096"/>
      <c r="Q984" s="1096"/>
      <c r="R984" s="1096"/>
      <c r="S984" s="1096"/>
      <c r="T984" s="1096"/>
      <c r="U984" s="1096"/>
      <c r="V984" s="1096"/>
      <c r="W984" s="1096"/>
      <c r="X984" s="1096"/>
      <c r="Y984" s="1096"/>
      <c r="Z984" s="1096"/>
      <c r="AA984" s="1096"/>
      <c r="AB984" s="1096"/>
      <c r="AC984" s="1096"/>
      <c r="AD984" s="1096"/>
      <c r="AE984" s="1097"/>
      <c r="AF984" s="82"/>
      <c r="AG984" s="1079" t="s">
        <v>511</v>
      </c>
      <c r="AH984" s="1080"/>
      <c r="AI984" s="85"/>
      <c r="AJ984" s="1057">
        <f>ROUND(IF(AG984="yes",(AJ939*0.1),0),0)</f>
        <v>0</v>
      </c>
      <c r="AK984" s="1058"/>
      <c r="AL984" s="1058"/>
      <c r="AM984" s="1058"/>
      <c r="AN984" s="1058"/>
      <c r="AO984" s="1058"/>
      <c r="AP984" s="1058"/>
      <c r="AQ984" s="105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71"/>
      <c r="D985" s="1098" t="s">
        <v>2239</v>
      </c>
      <c r="E985" s="1099"/>
      <c r="F985" s="1099"/>
      <c r="G985" s="1099"/>
      <c r="H985" s="1099"/>
      <c r="I985" s="1099"/>
      <c r="J985" s="1099"/>
      <c r="K985" s="1099"/>
      <c r="L985" s="1099"/>
      <c r="M985" s="1099"/>
      <c r="N985" s="1099"/>
      <c r="O985" s="1099"/>
      <c r="P985" s="1099"/>
      <c r="Q985" s="1099"/>
      <c r="R985" s="1099"/>
      <c r="S985" s="1099"/>
      <c r="T985" s="1099"/>
      <c r="U985" s="1099"/>
      <c r="V985" s="1099"/>
      <c r="W985" s="1099"/>
      <c r="X985" s="1099"/>
      <c r="Y985" s="1099"/>
      <c r="Z985" s="1099"/>
      <c r="AA985" s="1099"/>
      <c r="AB985" s="1099"/>
      <c r="AC985" s="1099"/>
      <c r="AD985" s="1099"/>
      <c r="AE985" s="1100"/>
      <c r="AF985" s="79"/>
      <c r="AG985" s="21"/>
      <c r="AH985" s="21"/>
      <c r="AI985" s="83"/>
      <c r="AJ985" s="1060"/>
      <c r="AK985" s="1061"/>
      <c r="AL985" s="1061"/>
      <c r="AM985" s="1061"/>
      <c r="AN985" s="1061"/>
      <c r="AO985" s="1061"/>
      <c r="AP985" s="1061"/>
      <c r="AQ985" s="106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71"/>
      <c r="D986" s="1098"/>
      <c r="E986" s="1099"/>
      <c r="F986" s="1099"/>
      <c r="G986" s="1099"/>
      <c r="H986" s="1099"/>
      <c r="I986" s="1099"/>
      <c r="J986" s="1099"/>
      <c r="K986" s="1099"/>
      <c r="L986" s="1099"/>
      <c r="M986" s="1099"/>
      <c r="N986" s="1099"/>
      <c r="O986" s="1099"/>
      <c r="P986" s="1099"/>
      <c r="Q986" s="1099"/>
      <c r="R986" s="1099"/>
      <c r="S986" s="1099"/>
      <c r="T986" s="1099"/>
      <c r="U986" s="1099"/>
      <c r="V986" s="1099"/>
      <c r="W986" s="1099"/>
      <c r="X986" s="1099"/>
      <c r="Y986" s="1099"/>
      <c r="Z986" s="1099"/>
      <c r="AA986" s="1099"/>
      <c r="AB986" s="1099"/>
      <c r="AC986" s="1099"/>
      <c r="AD986" s="1099"/>
      <c r="AE986" s="1100"/>
      <c r="AF986" s="79"/>
      <c r="AG986" s="21"/>
      <c r="AH986" s="21"/>
      <c r="AI986" s="83"/>
      <c r="AJ986" s="1060"/>
      <c r="AK986" s="1061"/>
      <c r="AL986" s="1061"/>
      <c r="AM986" s="1061"/>
      <c r="AN986" s="1061"/>
      <c r="AO986" s="1061"/>
      <c r="AP986" s="1061"/>
      <c r="AQ986" s="106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71"/>
      <c r="D987" s="1101"/>
      <c r="E987" s="1102"/>
      <c r="F987" s="1102"/>
      <c r="G987" s="1102"/>
      <c r="H987" s="1102"/>
      <c r="I987" s="1102"/>
      <c r="J987" s="1102"/>
      <c r="K987" s="1102"/>
      <c r="L987" s="1102"/>
      <c r="M987" s="1102"/>
      <c r="N987" s="1102"/>
      <c r="O987" s="1102"/>
      <c r="P987" s="1102"/>
      <c r="Q987" s="1102"/>
      <c r="R987" s="1102"/>
      <c r="S987" s="1102"/>
      <c r="T987" s="1102"/>
      <c r="U987" s="1102"/>
      <c r="V987" s="1102"/>
      <c r="W987" s="1102"/>
      <c r="X987" s="1102"/>
      <c r="Y987" s="1102"/>
      <c r="Z987" s="1102"/>
      <c r="AA987" s="1102"/>
      <c r="AB987" s="1102"/>
      <c r="AC987" s="1102"/>
      <c r="AD987" s="1102"/>
      <c r="AE987" s="1103"/>
      <c r="AF987" s="79"/>
      <c r="AG987" s="21"/>
      <c r="AH987" s="21"/>
      <c r="AI987" s="83"/>
      <c r="AJ987" s="1063"/>
      <c r="AK987" s="1064"/>
      <c r="AL987" s="1064"/>
      <c r="AM987" s="1064"/>
      <c r="AN987" s="1064"/>
      <c r="AO987" s="1064"/>
      <c r="AP987" s="1064"/>
      <c r="AQ987" s="1065"/>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98"/>
      <c r="D988" s="1429" t="s">
        <v>785</v>
      </c>
      <c r="E988" s="1429"/>
      <c r="F988" s="1429"/>
      <c r="G988" s="1429"/>
      <c r="H988" s="1429"/>
      <c r="I988" s="1429"/>
      <c r="J988" s="1429"/>
      <c r="K988" s="1429"/>
      <c r="L988" s="1429"/>
      <c r="M988" s="1429"/>
      <c r="N988" s="1429"/>
      <c r="O988" s="1429"/>
      <c r="P988" s="1429"/>
      <c r="Q988" s="1429"/>
      <c r="R988" s="1429"/>
      <c r="S988" s="1429"/>
      <c r="T988" s="1429"/>
      <c r="U988" s="1429"/>
      <c r="V988" s="1429"/>
      <c r="W988" s="1429"/>
      <c r="X988" s="1429"/>
      <c r="Y988" s="1429"/>
      <c r="Z988" s="1429"/>
      <c r="AA988" s="1429"/>
      <c r="AB988" s="1429"/>
      <c r="AC988" s="1429"/>
      <c r="AD988" s="1429"/>
      <c r="AE988" s="1429"/>
      <c r="AF988" s="1429"/>
      <c r="AG988" s="1429"/>
      <c r="AH988" s="1429"/>
      <c r="AI988" s="1430"/>
      <c r="AJ988" s="1431">
        <f>SUM(AJ939:AQ987)</f>
        <v>27193081</v>
      </c>
      <c r="AK988" s="1432"/>
      <c r="AL988" s="1432"/>
      <c r="AM988" s="1432"/>
      <c r="AN988" s="1432"/>
      <c r="AO988" s="1432"/>
      <c r="AP988" s="1432"/>
      <c r="AQ988" s="1433"/>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439">
        <f>'Sources and Uses Budget'!S106+'Sources and Uses Budget'!T106</f>
        <v>24783728.355295107</v>
      </c>
      <c r="Y992" s="1439"/>
      <c r="Z992" s="1439"/>
      <c r="AA992" s="1439"/>
      <c r="AB992" s="1439"/>
      <c r="AC992" s="1439"/>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412">
        <f>IFERROR(X992/AJ988,"")</f>
        <v>0.91139832059835757</v>
      </c>
      <c r="Y993" s="1413"/>
      <c r="Z993" s="1413"/>
      <c r="AA993" s="1413"/>
      <c r="AB993" s="1413"/>
      <c r="AC993" s="1414"/>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6"/>
      <c r="Z994" s="1096"/>
      <c r="AA994" s="1096"/>
      <c r="AB994" s="1096"/>
      <c r="AC994" s="1096"/>
      <c r="AD994" s="1096"/>
      <c r="AE994" s="1096"/>
      <c r="AF994" s="1096"/>
      <c r="AG994" s="1096"/>
      <c r="AH994" s="1096"/>
      <c r="AI994" s="1096"/>
      <c r="AJ994" s="1096"/>
      <c r="AK994" s="109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6"/>
      <c r="E995" s="1096"/>
      <c r="F995" s="1096"/>
      <c r="G995" s="1096"/>
      <c r="H995" s="1096"/>
      <c r="I995" s="1096"/>
      <c r="J995" s="1096"/>
      <c r="K995" s="1096"/>
      <c r="L995" s="1096"/>
      <c r="M995" s="1096"/>
      <c r="N995" s="1096"/>
      <c r="O995" s="1096"/>
      <c r="P995" s="1096"/>
      <c r="Q995" s="1096"/>
      <c r="R995" s="1096"/>
      <c r="S995" s="1096"/>
      <c r="T995" s="1096"/>
      <c r="U995" s="1096"/>
      <c r="V995" s="1096"/>
      <c r="W995" s="1096"/>
      <c r="X995" s="1096"/>
      <c r="Y995" s="1096"/>
      <c r="Z995" s="1096"/>
      <c r="AA995" s="1096"/>
      <c r="AB995" s="1096"/>
      <c r="AC995" s="1096"/>
      <c r="AD995" s="1096"/>
      <c r="AE995" s="1096"/>
      <c r="AF995" s="1096"/>
      <c r="AG995" s="1096"/>
      <c r="AH995" s="1096"/>
      <c r="AI995" s="1096"/>
      <c r="AJ995" s="1096"/>
      <c r="AK995" s="109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6"/>
      <c r="E996" s="1096"/>
      <c r="F996" s="1096"/>
      <c r="G996" s="1096"/>
      <c r="H996" s="1096"/>
      <c r="I996" s="1096"/>
      <c r="J996" s="1096"/>
      <c r="K996" s="1096"/>
      <c r="L996" s="1096"/>
      <c r="M996" s="1096"/>
      <c r="N996" s="1096"/>
      <c r="O996" s="1096"/>
      <c r="P996" s="1096"/>
      <c r="Q996" s="1096"/>
      <c r="R996" s="1096"/>
      <c r="S996" s="1096"/>
      <c r="T996" s="1096"/>
      <c r="U996" s="1096"/>
      <c r="V996" s="1096"/>
      <c r="W996" s="1096"/>
      <c r="X996" s="1096"/>
      <c r="Y996" s="1096"/>
      <c r="Z996" s="1096"/>
      <c r="AA996" s="1096"/>
      <c r="AB996" s="1096"/>
      <c r="AC996" s="1096"/>
      <c r="AD996" s="1096"/>
      <c r="AE996" s="1096"/>
      <c r="AF996" s="1096"/>
      <c r="AG996" s="1096"/>
      <c r="AH996" s="1096"/>
      <c r="AI996" s="1096"/>
      <c r="AJ996" s="1096"/>
      <c r="AK996" s="109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15"/>
      <c r="C999" s="1415"/>
      <c r="D999" s="1415"/>
      <c r="E999" s="1415"/>
      <c r="F999" s="1415"/>
      <c r="G999" s="1415"/>
      <c r="H999" s="1415"/>
      <c r="I999" s="1415"/>
      <c r="J999" s="1415"/>
      <c r="K999" s="1415"/>
      <c r="L999" s="1415"/>
      <c r="M999" s="1415"/>
      <c r="N999" s="1415"/>
      <c r="O999" s="1415"/>
      <c r="P999" s="1415"/>
      <c r="Q999" s="1415"/>
      <c r="R999" s="1415"/>
      <c r="S999" s="1415"/>
      <c r="T999" s="1415"/>
      <c r="U999" s="1415"/>
      <c r="V999" s="1415"/>
      <c r="W999" s="1415"/>
      <c r="X999" s="1415"/>
      <c r="Y999" s="1415"/>
      <c r="Z999" s="1415"/>
      <c r="AA999" s="1415"/>
      <c r="AB999" s="1415"/>
      <c r="AC999" s="1415"/>
      <c r="AD999" s="1415"/>
      <c r="AE999" s="1415"/>
      <c r="AF999" s="1415"/>
      <c r="AG999" s="1415"/>
      <c r="AH999" s="1415"/>
      <c r="AI999" s="1415"/>
      <c r="AJ999" s="1415"/>
      <c r="AK999" s="1415"/>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38" t="s">
        <v>1033</v>
      </c>
      <c r="B1000" s="1538"/>
      <c r="C1000" s="1538"/>
      <c r="D1000" s="1538"/>
      <c r="E1000" s="1538"/>
      <c r="F1000" s="1538"/>
      <c r="G1000" s="1538"/>
      <c r="H1000" s="1538"/>
      <c r="I1000" s="1538"/>
      <c r="J1000" s="1538"/>
      <c r="K1000" s="1538"/>
      <c r="L1000" s="1538"/>
      <c r="M1000" s="1538"/>
      <c r="N1000" s="1538"/>
      <c r="O1000" s="1538"/>
      <c r="P1000" s="1538"/>
      <c r="Q1000" s="1538"/>
      <c r="R1000" s="1538"/>
      <c r="S1000" s="1538"/>
      <c r="T1000" s="1538"/>
      <c r="U1000" s="1538"/>
      <c r="V1000" s="1538"/>
      <c r="W1000" s="1538"/>
      <c r="X1000" s="1538"/>
      <c r="Y1000" s="1538"/>
      <c r="Z1000" s="1538"/>
      <c r="AA1000" s="1538"/>
      <c r="AB1000" s="1538"/>
      <c r="AC1000" s="1538"/>
      <c r="AD1000" s="1538"/>
      <c r="AE1000" s="1538"/>
      <c r="AF1000" s="1538"/>
      <c r="AG1000" s="1538"/>
      <c r="AH1000" s="1538"/>
      <c r="AI1000" s="1538"/>
      <c r="AJ1000" s="1538"/>
      <c r="AK1000" s="1538"/>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25" t="s">
        <v>132</v>
      </c>
      <c r="B1004" s="1225"/>
      <c r="C1004" s="12">
        <v>1</v>
      </c>
      <c r="D1004" s="980" t="s">
        <v>1589</v>
      </c>
      <c r="E1004" s="980"/>
      <c r="F1004" s="980"/>
      <c r="G1004" s="980"/>
      <c r="H1004" s="980"/>
      <c r="I1004" s="980"/>
      <c r="J1004" s="980"/>
      <c r="K1004" s="980"/>
      <c r="L1004" s="980"/>
      <c r="M1004" s="980"/>
      <c r="N1004" s="980"/>
      <c r="O1004" s="980"/>
      <c r="P1004" s="980"/>
      <c r="Q1004" s="980"/>
      <c r="R1004" s="980"/>
      <c r="S1004" s="980"/>
      <c r="T1004" s="980"/>
      <c r="U1004" s="980"/>
      <c r="V1004" s="980"/>
      <c r="W1004" s="980"/>
      <c r="X1004" s="980"/>
      <c r="Y1004" s="980"/>
      <c r="Z1004" s="980"/>
      <c r="AA1004" s="980"/>
      <c r="AB1004" s="980"/>
      <c r="AC1004" s="980"/>
      <c r="AD1004" s="980"/>
      <c r="AE1004" s="980"/>
      <c r="AF1004" s="980"/>
      <c r="AG1004" s="980"/>
      <c r="AH1004" s="980"/>
      <c r="AI1004" s="980"/>
      <c r="AJ1004" s="980"/>
      <c r="AK1004" s="980"/>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80"/>
      <c r="E1005" s="980"/>
      <c r="F1005" s="980"/>
      <c r="G1005" s="980"/>
      <c r="H1005" s="980"/>
      <c r="I1005" s="980"/>
      <c r="J1005" s="980"/>
      <c r="K1005" s="980"/>
      <c r="L1005" s="980"/>
      <c r="M1005" s="980"/>
      <c r="N1005" s="980"/>
      <c r="O1005" s="980"/>
      <c r="P1005" s="980"/>
      <c r="Q1005" s="980"/>
      <c r="R1005" s="980"/>
      <c r="S1005" s="980"/>
      <c r="T1005" s="980"/>
      <c r="U1005" s="980"/>
      <c r="V1005" s="980"/>
      <c r="W1005" s="980"/>
      <c r="X1005" s="980"/>
      <c r="Y1005" s="980"/>
      <c r="Z1005" s="980"/>
      <c r="AA1005" s="980"/>
      <c r="AB1005" s="980"/>
      <c r="AC1005" s="980"/>
      <c r="AD1005" s="980"/>
      <c r="AE1005" s="980"/>
      <c r="AF1005" s="980"/>
      <c r="AG1005" s="980"/>
      <c r="AH1005" s="980"/>
      <c r="AI1005" s="980"/>
      <c r="AJ1005" s="980"/>
      <c r="AK1005" s="980"/>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80"/>
      <c r="E1006" s="980"/>
      <c r="F1006" s="980"/>
      <c r="G1006" s="980"/>
      <c r="H1006" s="980"/>
      <c r="I1006" s="980"/>
      <c r="J1006" s="980"/>
      <c r="K1006" s="980"/>
      <c r="L1006" s="980"/>
      <c r="M1006" s="980"/>
      <c r="N1006" s="980"/>
      <c r="O1006" s="980"/>
      <c r="P1006" s="980"/>
      <c r="Q1006" s="980"/>
      <c r="R1006" s="980"/>
      <c r="S1006" s="980"/>
      <c r="T1006" s="980"/>
      <c r="U1006" s="980"/>
      <c r="V1006" s="980"/>
      <c r="W1006" s="980"/>
      <c r="X1006" s="980"/>
      <c r="Y1006" s="980"/>
      <c r="Z1006" s="980"/>
      <c r="AA1006" s="980"/>
      <c r="AB1006" s="980"/>
      <c r="AC1006" s="980"/>
      <c r="AD1006" s="980"/>
      <c r="AE1006" s="980"/>
      <c r="AF1006" s="980"/>
      <c r="AG1006" s="980"/>
      <c r="AH1006" s="980"/>
      <c r="AI1006" s="980"/>
      <c r="AJ1006" s="980"/>
      <c r="AK1006" s="980"/>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80"/>
      <c r="E1007" s="980"/>
      <c r="F1007" s="980"/>
      <c r="G1007" s="980"/>
      <c r="H1007" s="980"/>
      <c r="I1007" s="980"/>
      <c r="J1007" s="980"/>
      <c r="K1007" s="980"/>
      <c r="L1007" s="980"/>
      <c r="M1007" s="980"/>
      <c r="N1007" s="980"/>
      <c r="O1007" s="980"/>
      <c r="P1007" s="980"/>
      <c r="Q1007" s="980"/>
      <c r="R1007" s="980"/>
      <c r="S1007" s="980"/>
      <c r="T1007" s="980"/>
      <c r="U1007" s="980"/>
      <c r="V1007" s="980"/>
      <c r="W1007" s="980"/>
      <c r="X1007" s="980"/>
      <c r="Y1007" s="980"/>
      <c r="Z1007" s="980"/>
      <c r="AA1007" s="980"/>
      <c r="AB1007" s="980"/>
      <c r="AC1007" s="980"/>
      <c r="AD1007" s="980"/>
      <c r="AE1007" s="980"/>
      <c r="AF1007" s="980"/>
      <c r="AG1007" s="980"/>
      <c r="AH1007" s="980"/>
      <c r="AI1007" s="980"/>
      <c r="AJ1007" s="980"/>
      <c r="AK1007" s="980"/>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80"/>
      <c r="E1008" s="980"/>
      <c r="F1008" s="980"/>
      <c r="G1008" s="980"/>
      <c r="H1008" s="980"/>
      <c r="I1008" s="980"/>
      <c r="J1008" s="980"/>
      <c r="K1008" s="980"/>
      <c r="L1008" s="980"/>
      <c r="M1008" s="980"/>
      <c r="N1008" s="980"/>
      <c r="O1008" s="980"/>
      <c r="P1008" s="980"/>
      <c r="Q1008" s="980"/>
      <c r="R1008" s="980"/>
      <c r="S1008" s="980"/>
      <c r="T1008" s="980"/>
      <c r="U1008" s="980"/>
      <c r="V1008" s="980"/>
      <c r="W1008" s="980"/>
      <c r="X1008" s="980"/>
      <c r="Y1008" s="980"/>
      <c r="Z1008" s="980"/>
      <c r="AA1008" s="980"/>
      <c r="AB1008" s="980"/>
      <c r="AC1008" s="980"/>
      <c r="AD1008" s="980"/>
      <c r="AE1008" s="980"/>
      <c r="AF1008" s="980"/>
      <c r="AG1008" s="980"/>
      <c r="AH1008" s="980"/>
      <c r="AI1008" s="980"/>
      <c r="AJ1008" s="980"/>
      <c r="AK1008" s="980"/>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80"/>
      <c r="E1009" s="980"/>
      <c r="F1009" s="980"/>
      <c r="G1009" s="980"/>
      <c r="H1009" s="980"/>
      <c r="I1009" s="980"/>
      <c r="J1009" s="980"/>
      <c r="K1009" s="980"/>
      <c r="L1009" s="980"/>
      <c r="M1009" s="980"/>
      <c r="N1009" s="980"/>
      <c r="O1009" s="980"/>
      <c r="P1009" s="980"/>
      <c r="Q1009" s="980"/>
      <c r="R1009" s="980"/>
      <c r="S1009" s="980"/>
      <c r="T1009" s="980"/>
      <c r="U1009" s="980"/>
      <c r="V1009" s="980"/>
      <c r="W1009" s="980"/>
      <c r="X1009" s="980"/>
      <c r="Y1009" s="980"/>
      <c r="Z1009" s="980"/>
      <c r="AA1009" s="980"/>
      <c r="AB1009" s="980"/>
      <c r="AC1009" s="980"/>
      <c r="AD1009" s="980"/>
      <c r="AE1009" s="980"/>
      <c r="AF1009" s="980"/>
      <c r="AG1009" s="980"/>
      <c r="AH1009" s="980"/>
      <c r="AI1009" s="980"/>
      <c r="AJ1009" s="980"/>
      <c r="AK1009" s="980"/>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25" t="s">
        <v>132</v>
      </c>
      <c r="B1010" s="1225"/>
      <c r="C1010" s="12">
        <v>2</v>
      </c>
      <c r="D1010" s="973" t="s">
        <v>1590</v>
      </c>
      <c r="E1010" s="980"/>
      <c r="F1010" s="980"/>
      <c r="G1010" s="980"/>
      <c r="H1010" s="980"/>
      <c r="I1010" s="980"/>
      <c r="J1010" s="980"/>
      <c r="K1010" s="980"/>
      <c r="L1010" s="980"/>
      <c r="M1010" s="980"/>
      <c r="N1010" s="980"/>
      <c r="O1010" s="980"/>
      <c r="P1010" s="980"/>
      <c r="Q1010" s="980"/>
      <c r="R1010" s="980"/>
      <c r="S1010" s="980"/>
      <c r="T1010" s="980"/>
      <c r="U1010" s="980"/>
      <c r="V1010" s="980"/>
      <c r="W1010" s="980"/>
      <c r="X1010" s="980"/>
      <c r="Y1010" s="980"/>
      <c r="Z1010" s="980"/>
      <c r="AA1010" s="980"/>
      <c r="AB1010" s="980"/>
      <c r="AC1010" s="980"/>
      <c r="AD1010" s="980"/>
      <c r="AE1010" s="980"/>
      <c r="AF1010" s="980"/>
      <c r="AG1010" s="980"/>
      <c r="AH1010" s="980"/>
      <c r="AI1010" s="980"/>
      <c r="AJ1010" s="980"/>
      <c r="AK1010" s="980"/>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80"/>
      <c r="E1011" s="980"/>
      <c r="F1011" s="980"/>
      <c r="G1011" s="980"/>
      <c r="H1011" s="980"/>
      <c r="I1011" s="980"/>
      <c r="J1011" s="980"/>
      <c r="K1011" s="980"/>
      <c r="L1011" s="980"/>
      <c r="M1011" s="980"/>
      <c r="N1011" s="980"/>
      <c r="O1011" s="980"/>
      <c r="P1011" s="980"/>
      <c r="Q1011" s="980"/>
      <c r="R1011" s="980"/>
      <c r="S1011" s="980"/>
      <c r="T1011" s="980"/>
      <c r="U1011" s="980"/>
      <c r="V1011" s="980"/>
      <c r="W1011" s="980"/>
      <c r="X1011" s="980"/>
      <c r="Y1011" s="980"/>
      <c r="Z1011" s="980"/>
      <c r="AA1011" s="980"/>
      <c r="AB1011" s="980"/>
      <c r="AC1011" s="980"/>
      <c r="AD1011" s="980"/>
      <c r="AE1011" s="980"/>
      <c r="AF1011" s="980"/>
      <c r="AG1011" s="980"/>
      <c r="AH1011" s="980"/>
      <c r="AI1011" s="980"/>
      <c r="AJ1011" s="980"/>
      <c r="AK1011" s="980"/>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80"/>
      <c r="E1012" s="980"/>
      <c r="F1012" s="980"/>
      <c r="G1012" s="980"/>
      <c r="H1012" s="980"/>
      <c r="I1012" s="980"/>
      <c r="J1012" s="980"/>
      <c r="K1012" s="980"/>
      <c r="L1012" s="980"/>
      <c r="M1012" s="980"/>
      <c r="N1012" s="980"/>
      <c r="O1012" s="980"/>
      <c r="P1012" s="980"/>
      <c r="Q1012" s="980"/>
      <c r="R1012" s="980"/>
      <c r="S1012" s="980"/>
      <c r="T1012" s="980"/>
      <c r="U1012" s="980"/>
      <c r="V1012" s="980"/>
      <c r="W1012" s="980"/>
      <c r="X1012" s="980"/>
      <c r="Y1012" s="980"/>
      <c r="Z1012" s="980"/>
      <c r="AA1012" s="980"/>
      <c r="AB1012" s="980"/>
      <c r="AC1012" s="980"/>
      <c r="AD1012" s="980"/>
      <c r="AE1012" s="980"/>
      <c r="AF1012" s="980"/>
      <c r="AG1012" s="980"/>
      <c r="AH1012" s="980"/>
      <c r="AI1012" s="980"/>
      <c r="AJ1012" s="980"/>
      <c r="AK1012" s="980"/>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80"/>
      <c r="E1013" s="980"/>
      <c r="F1013" s="980"/>
      <c r="G1013" s="980"/>
      <c r="H1013" s="980"/>
      <c r="I1013" s="980"/>
      <c r="J1013" s="980"/>
      <c r="K1013" s="980"/>
      <c r="L1013" s="980"/>
      <c r="M1013" s="980"/>
      <c r="N1013" s="980"/>
      <c r="O1013" s="980"/>
      <c r="P1013" s="980"/>
      <c r="Q1013" s="980"/>
      <c r="R1013" s="980"/>
      <c r="S1013" s="980"/>
      <c r="T1013" s="980"/>
      <c r="U1013" s="980"/>
      <c r="V1013" s="980"/>
      <c r="W1013" s="980"/>
      <c r="X1013" s="980"/>
      <c r="Y1013" s="980"/>
      <c r="Z1013" s="980"/>
      <c r="AA1013" s="980"/>
      <c r="AB1013" s="980"/>
      <c r="AC1013" s="980"/>
      <c r="AD1013" s="980"/>
      <c r="AE1013" s="980"/>
      <c r="AF1013" s="980"/>
      <c r="AG1013" s="980"/>
      <c r="AH1013" s="980"/>
      <c r="AI1013" s="980"/>
      <c r="AJ1013" s="980"/>
      <c r="AK1013" s="980"/>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80"/>
      <c r="E1014" s="980"/>
      <c r="F1014" s="980"/>
      <c r="G1014" s="980"/>
      <c r="H1014" s="980"/>
      <c r="I1014" s="980"/>
      <c r="J1014" s="980"/>
      <c r="K1014" s="980"/>
      <c r="L1014" s="980"/>
      <c r="M1014" s="980"/>
      <c r="N1014" s="980"/>
      <c r="O1014" s="980"/>
      <c r="P1014" s="980"/>
      <c r="Q1014" s="980"/>
      <c r="R1014" s="980"/>
      <c r="S1014" s="980"/>
      <c r="T1014" s="980"/>
      <c r="U1014" s="980"/>
      <c r="V1014" s="980"/>
      <c r="W1014" s="980"/>
      <c r="X1014" s="980"/>
      <c r="Y1014" s="980"/>
      <c r="Z1014" s="980"/>
      <c r="AA1014" s="980"/>
      <c r="AB1014" s="980"/>
      <c r="AC1014" s="980"/>
      <c r="AD1014" s="980"/>
      <c r="AE1014" s="980"/>
      <c r="AF1014" s="980"/>
      <c r="AG1014" s="980"/>
      <c r="AH1014" s="980"/>
      <c r="AI1014" s="980"/>
      <c r="AJ1014" s="980"/>
      <c r="AK1014" s="980"/>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80"/>
      <c r="E1015" s="980"/>
      <c r="F1015" s="980"/>
      <c r="G1015" s="980"/>
      <c r="H1015" s="980"/>
      <c r="I1015" s="980"/>
      <c r="J1015" s="980"/>
      <c r="K1015" s="980"/>
      <c r="L1015" s="980"/>
      <c r="M1015" s="980"/>
      <c r="N1015" s="980"/>
      <c r="O1015" s="980"/>
      <c r="P1015" s="980"/>
      <c r="Q1015" s="980"/>
      <c r="R1015" s="980"/>
      <c r="S1015" s="980"/>
      <c r="T1015" s="980"/>
      <c r="U1015" s="980"/>
      <c r="V1015" s="980"/>
      <c r="W1015" s="980"/>
      <c r="X1015" s="980"/>
      <c r="Y1015" s="980"/>
      <c r="Z1015" s="980"/>
      <c r="AA1015" s="980"/>
      <c r="AB1015" s="980"/>
      <c r="AC1015" s="980"/>
      <c r="AD1015" s="980"/>
      <c r="AE1015" s="980"/>
      <c r="AF1015" s="980"/>
      <c r="AG1015" s="980"/>
      <c r="AH1015" s="980"/>
      <c r="AI1015" s="980"/>
      <c r="AJ1015" s="980"/>
      <c r="AK1015" s="980"/>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25" t="s">
        <v>132</v>
      </c>
      <c r="B1016" s="1225"/>
      <c r="C1016" s="12">
        <v>3</v>
      </c>
      <c r="D1016" s="973" t="s">
        <v>2351</v>
      </c>
      <c r="E1016" s="980"/>
      <c r="F1016" s="980"/>
      <c r="G1016" s="980"/>
      <c r="H1016" s="980"/>
      <c r="I1016" s="980"/>
      <c r="J1016" s="980"/>
      <c r="K1016" s="980"/>
      <c r="L1016" s="980"/>
      <c r="M1016" s="980"/>
      <c r="N1016" s="980"/>
      <c r="O1016" s="980"/>
      <c r="P1016" s="980"/>
      <c r="Q1016" s="980"/>
      <c r="R1016" s="980"/>
      <c r="S1016" s="980"/>
      <c r="T1016" s="980"/>
      <c r="U1016" s="980"/>
      <c r="V1016" s="980"/>
      <c r="W1016" s="980"/>
      <c r="X1016" s="980"/>
      <c r="Y1016" s="980"/>
      <c r="Z1016" s="980"/>
      <c r="AA1016" s="980"/>
      <c r="AB1016" s="980"/>
      <c r="AC1016" s="980"/>
      <c r="AD1016" s="980"/>
      <c r="AE1016" s="980"/>
      <c r="AF1016" s="980"/>
      <c r="AG1016" s="980"/>
      <c r="AH1016" s="980"/>
      <c r="AI1016" s="980"/>
      <c r="AJ1016" s="980"/>
      <c r="AK1016" s="980"/>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80"/>
      <c r="E1017" s="980"/>
      <c r="F1017" s="980"/>
      <c r="G1017" s="980"/>
      <c r="H1017" s="980"/>
      <c r="I1017" s="980"/>
      <c r="J1017" s="980"/>
      <c r="K1017" s="980"/>
      <c r="L1017" s="980"/>
      <c r="M1017" s="980"/>
      <c r="N1017" s="980"/>
      <c r="O1017" s="980"/>
      <c r="P1017" s="980"/>
      <c r="Q1017" s="980"/>
      <c r="R1017" s="980"/>
      <c r="S1017" s="980"/>
      <c r="T1017" s="980"/>
      <c r="U1017" s="980"/>
      <c r="V1017" s="980"/>
      <c r="W1017" s="980"/>
      <c r="X1017" s="980"/>
      <c r="Y1017" s="980"/>
      <c r="Z1017" s="980"/>
      <c r="AA1017" s="980"/>
      <c r="AB1017" s="980"/>
      <c r="AC1017" s="980"/>
      <c r="AD1017" s="980"/>
      <c r="AE1017" s="980"/>
      <c r="AF1017" s="980"/>
      <c r="AG1017" s="980"/>
      <c r="AH1017" s="980"/>
      <c r="AI1017" s="980"/>
      <c r="AJ1017" s="980"/>
      <c r="AK1017" s="980"/>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80"/>
      <c r="E1018" s="980"/>
      <c r="F1018" s="980"/>
      <c r="G1018" s="980"/>
      <c r="H1018" s="980"/>
      <c r="I1018" s="980"/>
      <c r="J1018" s="980"/>
      <c r="K1018" s="980"/>
      <c r="L1018" s="980"/>
      <c r="M1018" s="980"/>
      <c r="N1018" s="980"/>
      <c r="O1018" s="980"/>
      <c r="P1018" s="980"/>
      <c r="Q1018" s="980"/>
      <c r="R1018" s="980"/>
      <c r="S1018" s="980"/>
      <c r="T1018" s="980"/>
      <c r="U1018" s="980"/>
      <c r="V1018" s="980"/>
      <c r="W1018" s="980"/>
      <c r="X1018" s="980"/>
      <c r="Y1018" s="980"/>
      <c r="Z1018" s="980"/>
      <c r="AA1018" s="980"/>
      <c r="AB1018" s="980"/>
      <c r="AC1018" s="980"/>
      <c r="AD1018" s="980"/>
      <c r="AE1018" s="980"/>
      <c r="AF1018" s="980"/>
      <c r="AG1018" s="980"/>
      <c r="AH1018" s="980"/>
      <c r="AI1018" s="980"/>
      <c r="AJ1018" s="980"/>
      <c r="AK1018" s="980"/>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80"/>
      <c r="E1019" s="980"/>
      <c r="F1019" s="980"/>
      <c r="G1019" s="980"/>
      <c r="H1019" s="980"/>
      <c r="I1019" s="980"/>
      <c r="J1019" s="980"/>
      <c r="K1019" s="980"/>
      <c r="L1019" s="980"/>
      <c r="M1019" s="980"/>
      <c r="N1019" s="980"/>
      <c r="O1019" s="980"/>
      <c r="P1019" s="980"/>
      <c r="Q1019" s="980"/>
      <c r="R1019" s="980"/>
      <c r="S1019" s="980"/>
      <c r="T1019" s="980"/>
      <c r="U1019" s="980"/>
      <c r="V1019" s="980"/>
      <c r="W1019" s="980"/>
      <c r="X1019" s="980"/>
      <c r="Y1019" s="980"/>
      <c r="Z1019" s="980"/>
      <c r="AA1019" s="980"/>
      <c r="AB1019" s="980"/>
      <c r="AC1019" s="980"/>
      <c r="AD1019" s="980"/>
      <c r="AE1019" s="980"/>
      <c r="AF1019" s="980"/>
      <c r="AG1019" s="980"/>
      <c r="AH1019" s="980"/>
      <c r="AI1019" s="980"/>
      <c r="AJ1019" s="980"/>
      <c r="AK1019" s="980"/>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80"/>
      <c r="E1020" s="980"/>
      <c r="F1020" s="980"/>
      <c r="G1020" s="980"/>
      <c r="H1020" s="980"/>
      <c r="I1020" s="980"/>
      <c r="J1020" s="980"/>
      <c r="K1020" s="980"/>
      <c r="L1020" s="980"/>
      <c r="M1020" s="980"/>
      <c r="N1020" s="980"/>
      <c r="O1020" s="980"/>
      <c r="P1020" s="980"/>
      <c r="Q1020" s="980"/>
      <c r="R1020" s="980"/>
      <c r="S1020" s="980"/>
      <c r="T1020" s="980"/>
      <c r="U1020" s="980"/>
      <c r="V1020" s="980"/>
      <c r="W1020" s="980"/>
      <c r="X1020" s="980"/>
      <c r="Y1020" s="980"/>
      <c r="Z1020" s="980"/>
      <c r="AA1020" s="980"/>
      <c r="AB1020" s="980"/>
      <c r="AC1020" s="980"/>
      <c r="AD1020" s="980"/>
      <c r="AE1020" s="980"/>
      <c r="AF1020" s="980"/>
      <c r="AG1020" s="980"/>
      <c r="AH1020" s="980"/>
      <c r="AI1020" s="980"/>
      <c r="AJ1020" s="980"/>
      <c r="AK1020" s="980"/>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0"/>
      <c r="E1021" s="980"/>
      <c r="F1021" s="980"/>
      <c r="G1021" s="980"/>
      <c r="H1021" s="980"/>
      <c r="I1021" s="980"/>
      <c r="J1021" s="980"/>
      <c r="K1021" s="980"/>
      <c r="L1021" s="980"/>
      <c r="M1021" s="980"/>
      <c r="N1021" s="980"/>
      <c r="O1021" s="980"/>
      <c r="P1021" s="980"/>
      <c r="Q1021" s="980"/>
      <c r="R1021" s="980"/>
      <c r="S1021" s="980"/>
      <c r="T1021" s="980"/>
      <c r="U1021" s="980"/>
      <c r="V1021" s="980"/>
      <c r="W1021" s="980"/>
      <c r="X1021" s="980"/>
      <c r="Y1021" s="980"/>
      <c r="Z1021" s="980"/>
      <c r="AA1021" s="980"/>
      <c r="AB1021" s="980"/>
      <c r="AC1021" s="980"/>
      <c r="AD1021" s="980"/>
      <c r="AE1021" s="980"/>
      <c r="AF1021" s="980"/>
      <c r="AG1021" s="980"/>
      <c r="AH1021" s="980"/>
      <c r="AI1021" s="980"/>
      <c r="AJ1021" s="980"/>
      <c r="AK1021" s="980"/>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0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25" t="s">
        <v>132</v>
      </c>
      <c r="B1023" s="1225"/>
      <c r="C1023" s="12">
        <v>4</v>
      </c>
      <c r="D1023" s="973" t="s">
        <v>2148</v>
      </c>
      <c r="E1023" s="980"/>
      <c r="F1023" s="980"/>
      <c r="G1023" s="980"/>
      <c r="H1023" s="980"/>
      <c r="I1023" s="980"/>
      <c r="J1023" s="980"/>
      <c r="K1023" s="980"/>
      <c r="L1023" s="980"/>
      <c r="M1023" s="980"/>
      <c r="N1023" s="980"/>
      <c r="O1023" s="980"/>
      <c r="P1023" s="980"/>
      <c r="Q1023" s="980"/>
      <c r="R1023" s="980"/>
      <c r="S1023" s="980"/>
      <c r="T1023" s="980"/>
      <c r="U1023" s="980"/>
      <c r="V1023" s="980"/>
      <c r="W1023" s="980"/>
      <c r="X1023" s="980"/>
      <c r="Y1023" s="980"/>
      <c r="Z1023" s="980"/>
      <c r="AA1023" s="980"/>
      <c r="AB1023" s="980"/>
      <c r="AC1023" s="980"/>
      <c r="AD1023" s="980"/>
      <c r="AE1023" s="980"/>
      <c r="AF1023" s="980"/>
      <c r="AG1023" s="980"/>
      <c r="AH1023" s="980"/>
      <c r="AI1023" s="980"/>
      <c r="AJ1023" s="980"/>
      <c r="AK1023" s="980"/>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80"/>
      <c r="E1024" s="980"/>
      <c r="F1024" s="980"/>
      <c r="G1024" s="980"/>
      <c r="H1024" s="980"/>
      <c r="I1024" s="980"/>
      <c r="J1024" s="980"/>
      <c r="K1024" s="980"/>
      <c r="L1024" s="980"/>
      <c r="M1024" s="980"/>
      <c r="N1024" s="980"/>
      <c r="O1024" s="980"/>
      <c r="P1024" s="980"/>
      <c r="Q1024" s="980"/>
      <c r="R1024" s="980"/>
      <c r="S1024" s="980"/>
      <c r="T1024" s="980"/>
      <c r="U1024" s="980"/>
      <c r="V1024" s="980"/>
      <c r="W1024" s="980"/>
      <c r="X1024" s="980"/>
      <c r="Y1024" s="980"/>
      <c r="Z1024" s="980"/>
      <c r="AA1024" s="980"/>
      <c r="AB1024" s="980"/>
      <c r="AC1024" s="980"/>
      <c r="AD1024" s="980"/>
      <c r="AE1024" s="980"/>
      <c r="AF1024" s="980"/>
      <c r="AG1024" s="980"/>
      <c r="AH1024" s="980"/>
      <c r="AI1024" s="980"/>
      <c r="AJ1024" s="980"/>
      <c r="AK1024" s="980"/>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0"/>
      <c r="E1025" s="980"/>
      <c r="F1025" s="980"/>
      <c r="G1025" s="980"/>
      <c r="H1025" s="980"/>
      <c r="I1025" s="980"/>
      <c r="J1025" s="980"/>
      <c r="K1025" s="980"/>
      <c r="L1025" s="980"/>
      <c r="M1025" s="980"/>
      <c r="N1025" s="980"/>
      <c r="O1025" s="980"/>
      <c r="P1025" s="980"/>
      <c r="Q1025" s="980"/>
      <c r="R1025" s="980"/>
      <c r="S1025" s="980"/>
      <c r="T1025" s="980"/>
      <c r="U1025" s="980"/>
      <c r="V1025" s="980"/>
      <c r="W1025" s="980"/>
      <c r="X1025" s="980"/>
      <c r="Y1025" s="980"/>
      <c r="Z1025" s="980"/>
      <c r="AA1025" s="980"/>
      <c r="AB1025" s="980"/>
      <c r="AC1025" s="980"/>
      <c r="AD1025" s="980"/>
      <c r="AE1025" s="980"/>
      <c r="AF1025" s="980"/>
      <c r="AG1025" s="980"/>
      <c r="AH1025" s="980"/>
      <c r="AI1025" s="980"/>
      <c r="AJ1025" s="980"/>
      <c r="AK1025" s="980"/>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25" t="s">
        <v>132</v>
      </c>
      <c r="B1026" s="1225"/>
      <c r="C1026" s="12">
        <v>5</v>
      </c>
      <c r="D1026" s="973" t="s">
        <v>1798</v>
      </c>
      <c r="E1026" s="980"/>
      <c r="F1026" s="980"/>
      <c r="G1026" s="980"/>
      <c r="H1026" s="980"/>
      <c r="I1026" s="980"/>
      <c r="J1026" s="980"/>
      <c r="K1026" s="980"/>
      <c r="L1026" s="980"/>
      <c r="M1026" s="980"/>
      <c r="N1026" s="980"/>
      <c r="O1026" s="980"/>
      <c r="P1026" s="980"/>
      <c r="Q1026" s="980"/>
      <c r="R1026" s="980"/>
      <c r="S1026" s="980"/>
      <c r="T1026" s="980"/>
      <c r="U1026" s="980"/>
      <c r="V1026" s="980"/>
      <c r="W1026" s="980"/>
      <c r="X1026" s="980"/>
      <c r="Y1026" s="980"/>
      <c r="Z1026" s="980"/>
      <c r="AA1026" s="980"/>
      <c r="AB1026" s="980"/>
      <c r="AC1026" s="980"/>
      <c r="AD1026" s="980"/>
      <c r="AE1026" s="980"/>
      <c r="AF1026" s="980"/>
      <c r="AG1026" s="980"/>
      <c r="AH1026" s="980"/>
      <c r="AI1026" s="980"/>
      <c r="AJ1026" s="980"/>
      <c r="AK1026" s="980"/>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80"/>
      <c r="E1027" s="980"/>
      <c r="F1027" s="980"/>
      <c r="G1027" s="980"/>
      <c r="H1027" s="980"/>
      <c r="I1027" s="980"/>
      <c r="J1027" s="980"/>
      <c r="K1027" s="980"/>
      <c r="L1027" s="980"/>
      <c r="M1027" s="980"/>
      <c r="N1027" s="980"/>
      <c r="O1027" s="980"/>
      <c r="P1027" s="980"/>
      <c r="Q1027" s="980"/>
      <c r="R1027" s="980"/>
      <c r="S1027" s="980"/>
      <c r="T1027" s="980"/>
      <c r="U1027" s="980"/>
      <c r="V1027" s="980"/>
      <c r="W1027" s="980"/>
      <c r="X1027" s="980"/>
      <c r="Y1027" s="980"/>
      <c r="Z1027" s="980"/>
      <c r="AA1027" s="980"/>
      <c r="AB1027" s="980"/>
      <c r="AC1027" s="980"/>
      <c r="AD1027" s="980"/>
      <c r="AE1027" s="980"/>
      <c r="AF1027" s="980"/>
      <c r="AG1027" s="980"/>
      <c r="AH1027" s="980"/>
      <c r="AI1027" s="980"/>
      <c r="AJ1027" s="980"/>
      <c r="AK1027" s="980"/>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80"/>
      <c r="E1028" s="980"/>
      <c r="F1028" s="980"/>
      <c r="G1028" s="980"/>
      <c r="H1028" s="980"/>
      <c r="I1028" s="980"/>
      <c r="J1028" s="980"/>
      <c r="K1028" s="980"/>
      <c r="L1028" s="980"/>
      <c r="M1028" s="980"/>
      <c r="N1028" s="980"/>
      <c r="O1028" s="980"/>
      <c r="P1028" s="980"/>
      <c r="Q1028" s="980"/>
      <c r="R1028" s="980"/>
      <c r="S1028" s="980"/>
      <c r="T1028" s="980"/>
      <c r="U1028" s="980"/>
      <c r="V1028" s="980"/>
      <c r="W1028" s="980"/>
      <c r="X1028" s="980"/>
      <c r="Y1028" s="980"/>
      <c r="Z1028" s="980"/>
      <c r="AA1028" s="980"/>
      <c r="AB1028" s="980"/>
      <c r="AC1028" s="980"/>
      <c r="AD1028" s="980"/>
      <c r="AE1028" s="980"/>
      <c r="AF1028" s="980"/>
      <c r="AG1028" s="980"/>
      <c r="AH1028" s="980"/>
      <c r="AI1028" s="980"/>
      <c r="AJ1028" s="980"/>
      <c r="AK1028" s="980"/>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80"/>
      <c r="E1029" s="980"/>
      <c r="F1029" s="980"/>
      <c r="G1029" s="980"/>
      <c r="H1029" s="980"/>
      <c r="I1029" s="980"/>
      <c r="J1029" s="980"/>
      <c r="K1029" s="980"/>
      <c r="L1029" s="980"/>
      <c r="M1029" s="980"/>
      <c r="N1029" s="980"/>
      <c r="O1029" s="980"/>
      <c r="P1029" s="980"/>
      <c r="Q1029" s="980"/>
      <c r="R1029" s="980"/>
      <c r="S1029" s="980"/>
      <c r="T1029" s="980"/>
      <c r="U1029" s="980"/>
      <c r="V1029" s="980"/>
      <c r="W1029" s="980"/>
      <c r="X1029" s="980"/>
      <c r="Y1029" s="980"/>
      <c r="Z1029" s="980"/>
      <c r="AA1029" s="980"/>
      <c r="AB1029" s="980"/>
      <c r="AC1029" s="980"/>
      <c r="AD1029" s="980"/>
      <c r="AE1029" s="980"/>
      <c r="AF1029" s="980"/>
      <c r="AG1029" s="980"/>
      <c r="AH1029" s="980"/>
      <c r="AI1029" s="980"/>
      <c r="AJ1029" s="980"/>
      <c r="AK1029" s="980"/>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80"/>
      <c r="E1030" s="980"/>
      <c r="F1030" s="980"/>
      <c r="G1030" s="980"/>
      <c r="H1030" s="980"/>
      <c r="I1030" s="980"/>
      <c r="J1030" s="980"/>
      <c r="K1030" s="980"/>
      <c r="L1030" s="980"/>
      <c r="M1030" s="980"/>
      <c r="N1030" s="980"/>
      <c r="O1030" s="980"/>
      <c r="P1030" s="980"/>
      <c r="Q1030" s="980"/>
      <c r="R1030" s="980"/>
      <c r="S1030" s="980"/>
      <c r="T1030" s="980"/>
      <c r="U1030" s="980"/>
      <c r="V1030" s="980"/>
      <c r="W1030" s="980"/>
      <c r="X1030" s="980"/>
      <c r="Y1030" s="980"/>
      <c r="Z1030" s="980"/>
      <c r="AA1030" s="980"/>
      <c r="AB1030" s="980"/>
      <c r="AC1030" s="980"/>
      <c r="AD1030" s="980"/>
      <c r="AE1030" s="980"/>
      <c r="AF1030" s="980"/>
      <c r="AG1030" s="980"/>
      <c r="AH1030" s="980"/>
      <c r="AI1030" s="980"/>
      <c r="AJ1030" s="980"/>
      <c r="AK1030" s="980"/>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25" t="s">
        <v>132</v>
      </c>
      <c r="B1031" s="1225"/>
      <c r="C1031" s="12">
        <v>6</v>
      </c>
      <c r="D1031" s="980" t="s">
        <v>1591</v>
      </c>
      <c r="E1031" s="980"/>
      <c r="F1031" s="980"/>
      <c r="G1031" s="980"/>
      <c r="H1031" s="980"/>
      <c r="I1031" s="980"/>
      <c r="J1031" s="980"/>
      <c r="K1031" s="980"/>
      <c r="L1031" s="980"/>
      <c r="M1031" s="980"/>
      <c r="N1031" s="980"/>
      <c r="O1031" s="980"/>
      <c r="P1031" s="980"/>
      <c r="Q1031" s="980"/>
      <c r="R1031" s="980"/>
      <c r="S1031" s="980"/>
      <c r="T1031" s="980"/>
      <c r="U1031" s="980"/>
      <c r="V1031" s="980"/>
      <c r="W1031" s="980"/>
      <c r="X1031" s="980"/>
      <c r="Y1031" s="980"/>
      <c r="Z1031" s="980"/>
      <c r="AA1031" s="980"/>
      <c r="AB1031" s="980"/>
      <c r="AC1031" s="980"/>
      <c r="AD1031" s="980"/>
      <c r="AE1031" s="980"/>
      <c r="AF1031" s="980"/>
      <c r="AG1031" s="980"/>
      <c r="AH1031" s="980"/>
      <c r="AI1031" s="980"/>
      <c r="AJ1031" s="980"/>
      <c r="AK1031" s="980"/>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80"/>
      <c r="E1032" s="980"/>
      <c r="F1032" s="980"/>
      <c r="G1032" s="980"/>
      <c r="H1032" s="980"/>
      <c r="I1032" s="980"/>
      <c r="J1032" s="980"/>
      <c r="K1032" s="980"/>
      <c r="L1032" s="980"/>
      <c r="M1032" s="980"/>
      <c r="N1032" s="980"/>
      <c r="O1032" s="980"/>
      <c r="P1032" s="980"/>
      <c r="Q1032" s="980"/>
      <c r="R1032" s="980"/>
      <c r="S1032" s="980"/>
      <c r="T1032" s="980"/>
      <c r="U1032" s="980"/>
      <c r="V1032" s="980"/>
      <c r="W1032" s="980"/>
      <c r="X1032" s="980"/>
      <c r="Y1032" s="980"/>
      <c r="Z1032" s="980"/>
      <c r="AA1032" s="980"/>
      <c r="AB1032" s="980"/>
      <c r="AC1032" s="980"/>
      <c r="AD1032" s="980"/>
      <c r="AE1032" s="980"/>
      <c r="AF1032" s="980"/>
      <c r="AG1032" s="980"/>
      <c r="AH1032" s="980"/>
      <c r="AI1032" s="980"/>
      <c r="AJ1032" s="980"/>
      <c r="AK1032" s="980"/>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80"/>
      <c r="E1033" s="980"/>
      <c r="F1033" s="980"/>
      <c r="G1033" s="980"/>
      <c r="H1033" s="980"/>
      <c r="I1033" s="980"/>
      <c r="J1033" s="980"/>
      <c r="K1033" s="980"/>
      <c r="L1033" s="980"/>
      <c r="M1033" s="980"/>
      <c r="N1033" s="980"/>
      <c r="O1033" s="980"/>
      <c r="P1033" s="980"/>
      <c r="Q1033" s="980"/>
      <c r="R1033" s="980"/>
      <c r="S1033" s="980"/>
      <c r="T1033" s="980"/>
      <c r="U1033" s="980"/>
      <c r="V1033" s="980"/>
      <c r="W1033" s="980"/>
      <c r="X1033" s="980"/>
      <c r="Y1033" s="980"/>
      <c r="Z1033" s="980"/>
      <c r="AA1033" s="980"/>
      <c r="AB1033" s="980"/>
      <c r="AC1033" s="980"/>
      <c r="AD1033" s="980"/>
      <c r="AE1033" s="980"/>
      <c r="AF1033" s="980"/>
      <c r="AG1033" s="980"/>
      <c r="AH1033" s="980"/>
      <c r="AI1033" s="980"/>
      <c r="AJ1033" s="980"/>
      <c r="AK1033" s="980"/>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25" t="s">
        <v>132</v>
      </c>
      <c r="B1034" s="1225"/>
      <c r="C1034" s="352">
        <v>7</v>
      </c>
      <c r="D1034" s="980" t="s">
        <v>1593</v>
      </c>
      <c r="E1034" s="980"/>
      <c r="F1034" s="980"/>
      <c r="G1034" s="980"/>
      <c r="H1034" s="980"/>
      <c r="I1034" s="980"/>
      <c r="J1034" s="980"/>
      <c r="K1034" s="980"/>
      <c r="L1034" s="980"/>
      <c r="M1034" s="980"/>
      <c r="N1034" s="980"/>
      <c r="O1034" s="980"/>
      <c r="P1034" s="980"/>
      <c r="Q1034" s="980"/>
      <c r="R1034" s="980"/>
      <c r="S1034" s="980"/>
      <c r="T1034" s="980"/>
      <c r="U1034" s="980"/>
      <c r="V1034" s="980"/>
      <c r="W1034" s="980"/>
      <c r="X1034" s="980"/>
      <c r="Y1034" s="980"/>
      <c r="Z1034" s="980"/>
      <c r="AA1034" s="980"/>
      <c r="AB1034" s="980"/>
      <c r="AC1034" s="980"/>
      <c r="AD1034" s="980"/>
      <c r="AE1034" s="980"/>
      <c r="AF1034" s="980"/>
      <c r="AG1034" s="980"/>
      <c r="AH1034" s="980"/>
      <c r="AI1034" s="980"/>
      <c r="AJ1034" s="980"/>
      <c r="AK1034" s="980"/>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80"/>
      <c r="E1035" s="980"/>
      <c r="F1035" s="980"/>
      <c r="G1035" s="980"/>
      <c r="H1035" s="980"/>
      <c r="I1035" s="980"/>
      <c r="J1035" s="980"/>
      <c r="K1035" s="980"/>
      <c r="L1035" s="980"/>
      <c r="M1035" s="980"/>
      <c r="N1035" s="980"/>
      <c r="O1035" s="980"/>
      <c r="P1035" s="980"/>
      <c r="Q1035" s="980"/>
      <c r="R1035" s="980"/>
      <c r="S1035" s="980"/>
      <c r="T1035" s="980"/>
      <c r="U1035" s="980"/>
      <c r="V1035" s="980"/>
      <c r="W1035" s="980"/>
      <c r="X1035" s="980"/>
      <c r="Y1035" s="980"/>
      <c r="Z1035" s="980"/>
      <c r="AA1035" s="980"/>
      <c r="AB1035" s="980"/>
      <c r="AC1035" s="980"/>
      <c r="AD1035" s="980"/>
      <c r="AE1035" s="980"/>
      <c r="AF1035" s="980"/>
      <c r="AG1035" s="980"/>
      <c r="AH1035" s="980"/>
      <c r="AI1035" s="980"/>
      <c r="AJ1035" s="980"/>
      <c r="AK1035" s="980"/>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80"/>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25" t="s">
        <v>132</v>
      </c>
      <c r="B1038" s="1225"/>
      <c r="C1038" s="352">
        <v>8</v>
      </c>
      <c r="D1038" s="973" t="s">
        <v>2118</v>
      </c>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row>
    <row r="1039" spans="1:97" ht="12.95" customHeight="1">
      <c r="A1039" s="1"/>
      <c r="B1039" s="1"/>
      <c r="C1039" s="35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row>
    <row r="1040" spans="1:97" ht="12.95" customHeight="1">
      <c r="A1040" s="1"/>
      <c r="B1040" s="1"/>
      <c r="C1040" s="35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row>
    <row r="1041" spans="1:38" ht="12.95" customHeight="1">
      <c r="A1041" s="44"/>
      <c r="B1041" s="32"/>
      <c r="C1041" s="35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row>
    <row r="1042" spans="1:38" ht="12.95" customHeight="1">
      <c r="A1042" s="1537" t="s">
        <v>132</v>
      </c>
      <c r="B1042" s="1537"/>
      <c r="C1042" s="352">
        <v>9</v>
      </c>
      <c r="D1042" s="973" t="s">
        <v>1592</v>
      </c>
      <c r="E1042" s="980"/>
      <c r="F1042" s="980"/>
      <c r="G1042" s="980"/>
      <c r="H1042" s="980"/>
      <c r="I1042" s="980"/>
      <c r="J1042" s="980"/>
      <c r="K1042" s="980"/>
      <c r="L1042" s="980"/>
      <c r="M1042" s="980"/>
      <c r="N1042" s="980"/>
      <c r="O1042" s="980"/>
      <c r="P1042" s="980"/>
      <c r="Q1042" s="980"/>
      <c r="R1042" s="980"/>
      <c r="S1042" s="980"/>
      <c r="T1042" s="980"/>
      <c r="U1042" s="980"/>
      <c r="V1042" s="980"/>
      <c r="W1042" s="980"/>
      <c r="X1042" s="980"/>
      <c r="Y1042" s="980"/>
      <c r="Z1042" s="980"/>
      <c r="AA1042" s="980"/>
      <c r="AB1042" s="980"/>
      <c r="AC1042" s="980"/>
      <c r="AD1042" s="980"/>
      <c r="AE1042" s="980"/>
      <c r="AF1042" s="980"/>
      <c r="AG1042" s="980"/>
      <c r="AH1042" s="980"/>
      <c r="AI1042" s="980"/>
      <c r="AJ1042" s="980"/>
      <c r="AK1042" s="980"/>
    </row>
    <row r="1043" spans="1:38" ht="12.95" customHeight="1">
      <c r="A1043" s="44"/>
      <c r="B1043" s="32"/>
      <c r="C1043" s="352"/>
      <c r="D1043" s="980"/>
      <c r="E1043" s="980"/>
      <c r="F1043" s="980"/>
      <c r="G1043" s="980"/>
      <c r="H1043" s="980"/>
      <c r="I1043" s="980"/>
      <c r="J1043" s="980"/>
      <c r="K1043" s="980"/>
      <c r="L1043" s="980"/>
      <c r="M1043" s="980"/>
      <c r="N1043" s="980"/>
      <c r="O1043" s="980"/>
      <c r="P1043" s="980"/>
      <c r="Q1043" s="980"/>
      <c r="R1043" s="980"/>
      <c r="S1043" s="980"/>
      <c r="T1043" s="980"/>
      <c r="U1043" s="980"/>
      <c r="V1043" s="980"/>
      <c r="W1043" s="980"/>
      <c r="X1043" s="980"/>
      <c r="Y1043" s="980"/>
      <c r="Z1043" s="980"/>
      <c r="AA1043" s="980"/>
      <c r="AB1043" s="980"/>
      <c r="AC1043" s="980"/>
      <c r="AD1043" s="980"/>
      <c r="AE1043" s="980"/>
      <c r="AF1043" s="980"/>
      <c r="AG1043" s="980"/>
      <c r="AH1043" s="980"/>
      <c r="AI1043" s="980"/>
      <c r="AJ1043" s="980"/>
      <c r="AK1043" s="980"/>
    </row>
    <row r="1044" spans="1:38" ht="12.95" customHeight="1">
      <c r="D1044" s="980"/>
      <c r="E1044" s="980"/>
      <c r="F1044" s="980"/>
      <c r="G1044" s="980"/>
      <c r="H1044" s="980"/>
      <c r="I1044" s="980"/>
      <c r="J1044" s="980"/>
      <c r="K1044" s="980"/>
      <c r="L1044" s="980"/>
      <c r="M1044" s="980"/>
      <c r="N1044" s="980"/>
      <c r="O1044" s="980"/>
      <c r="P1044" s="980"/>
      <c r="Q1044" s="980"/>
      <c r="R1044" s="980"/>
      <c r="S1044" s="980"/>
      <c r="T1044" s="980"/>
      <c r="U1044" s="980"/>
      <c r="V1044" s="980"/>
      <c r="W1044" s="980"/>
      <c r="X1044" s="980"/>
      <c r="Y1044" s="980"/>
      <c r="Z1044" s="980"/>
      <c r="AA1044" s="980"/>
      <c r="AB1044" s="980"/>
      <c r="AC1044" s="980"/>
      <c r="AD1044" s="980"/>
      <c r="AE1044" s="980"/>
      <c r="AF1044" s="980"/>
      <c r="AG1044" s="980"/>
      <c r="AH1044" s="980"/>
      <c r="AI1044" s="980"/>
      <c r="AJ1044" s="980"/>
      <c r="AK1044" s="980"/>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M629:P629"/>
    <mergeCell ref="Q628:S628"/>
    <mergeCell ref="Q629:S629"/>
    <mergeCell ref="AC629:AE629"/>
    <mergeCell ref="W624:Y624"/>
    <mergeCell ref="W627:Y627"/>
    <mergeCell ref="W625:Y625"/>
    <mergeCell ref="W626:Y626"/>
    <mergeCell ref="M622:P622"/>
    <mergeCell ref="M623:P623"/>
    <mergeCell ref="M624:P624"/>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A322:AK322"/>
    <mergeCell ref="AA337:AK337"/>
    <mergeCell ref="H337:R33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AG590:AH590"/>
    <mergeCell ref="W615:Y617"/>
    <mergeCell ref="M628:P628"/>
    <mergeCell ref="AA294:AF294"/>
    <mergeCell ref="H326:M326"/>
    <mergeCell ref="H339:R339"/>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H297:R297"/>
    <mergeCell ref="AA330:AK330"/>
    <mergeCell ref="AJ351:AK351"/>
    <mergeCell ref="A345:AL346"/>
    <mergeCell ref="AA343:AK343"/>
    <mergeCell ref="M351:N351"/>
    <mergeCell ref="AG370:AH370"/>
    <mergeCell ref="AJ349:AK349"/>
    <mergeCell ref="H333:M333"/>
    <mergeCell ref="AA338:AK338"/>
    <mergeCell ref="H310:M310"/>
    <mergeCell ref="H307:R307"/>
    <mergeCell ref="H321:R321"/>
    <mergeCell ref="AA303:AK303"/>
    <mergeCell ref="AC615:AE617"/>
    <mergeCell ref="AA325:AF325"/>
    <mergeCell ref="H332:R332"/>
    <mergeCell ref="AF615:AJ617"/>
    <mergeCell ref="AC619:AE619"/>
    <mergeCell ref="AF619:AJ619"/>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A316:AK316"/>
    <mergeCell ref="H306:R306"/>
    <mergeCell ref="AA309:AF309"/>
    <mergeCell ref="D1031:AK1033"/>
    <mergeCell ref="M839:V839"/>
    <mergeCell ref="M920:S920"/>
    <mergeCell ref="Q615:S617"/>
    <mergeCell ref="T615:V617"/>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Q384:U384"/>
    <mergeCell ref="M352:N352"/>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W818:AC818"/>
    <mergeCell ref="AE905:AK905"/>
    <mergeCell ref="AA920:AG920"/>
    <mergeCell ref="D944:AE944"/>
    <mergeCell ref="AJ932:AQ932"/>
    <mergeCell ref="U880:Z880"/>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W826:AC826"/>
    <mergeCell ref="AP860:AS860"/>
    <mergeCell ref="AY905:AZ905"/>
    <mergeCell ref="AV861:AY861"/>
    <mergeCell ref="W810:AC810"/>
    <mergeCell ref="W819:AC819"/>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U794:X794"/>
    <mergeCell ref="O754:S754"/>
    <mergeCell ref="G713:J713"/>
    <mergeCell ref="B717:F717"/>
    <mergeCell ref="B712:F712"/>
    <mergeCell ref="X759:AB759"/>
    <mergeCell ref="AC759:AG759"/>
    <mergeCell ref="Z770:AE770"/>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B543:L545"/>
    <mergeCell ref="M543:P545"/>
    <mergeCell ref="Q386:U386"/>
    <mergeCell ref="AG386:AJ386"/>
    <mergeCell ref="B615:L617"/>
    <mergeCell ref="Z585:AK585"/>
    <mergeCell ref="AF621:AJ621"/>
    <mergeCell ref="T761:W761"/>
    <mergeCell ref="O739:S739"/>
    <mergeCell ref="J738:N738"/>
    <mergeCell ref="B716:F716"/>
    <mergeCell ref="B714:F714"/>
    <mergeCell ref="O716:S716"/>
    <mergeCell ref="X741:AB741"/>
    <mergeCell ref="J739:N739"/>
    <mergeCell ref="O758:S758"/>
    <mergeCell ref="O734:S737"/>
    <mergeCell ref="J760:N760"/>
    <mergeCell ref="O760:S760"/>
    <mergeCell ref="O748:S751"/>
    <mergeCell ref="J756:N756"/>
    <mergeCell ref="O756:S756"/>
    <mergeCell ref="J757:N757"/>
    <mergeCell ref="O757:S757"/>
    <mergeCell ref="G716:J716"/>
    <mergeCell ref="J761:N761"/>
    <mergeCell ref="J762:N762"/>
    <mergeCell ref="O762:S762"/>
    <mergeCell ref="G715:J715"/>
    <mergeCell ref="J742:N742"/>
    <mergeCell ref="C718:AH719"/>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AC857:AH857"/>
    <mergeCell ref="F795:L795"/>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B708:F708"/>
    <mergeCell ref="B710:F710"/>
    <mergeCell ref="AG720:AJ720"/>
    <mergeCell ref="B713:F713"/>
    <mergeCell ref="G712:J712"/>
    <mergeCell ref="B711:F711"/>
    <mergeCell ref="J734:N737"/>
    <mergeCell ref="O738:S738"/>
    <mergeCell ref="K716:N716"/>
    <mergeCell ref="G711:J711"/>
    <mergeCell ref="U792:X792"/>
    <mergeCell ref="C726:AM733"/>
    <mergeCell ref="AC787:AF788"/>
    <mergeCell ref="K710:N710"/>
    <mergeCell ref="G714:J714"/>
    <mergeCell ref="T713:X713"/>
    <mergeCell ref="Y713:AB713"/>
    <mergeCell ref="J748:N751"/>
    <mergeCell ref="O753:S753"/>
    <mergeCell ref="Z781:AE781"/>
    <mergeCell ref="Y791:AB791"/>
    <mergeCell ref="AG790:AJ790"/>
    <mergeCell ref="Y789:AB789"/>
    <mergeCell ref="Q792:T792"/>
    <mergeCell ref="AM708:AO708"/>
    <mergeCell ref="K709:N709"/>
    <mergeCell ref="O709:S709"/>
    <mergeCell ref="T709:X709"/>
    <mergeCell ref="Y709:AB709"/>
    <mergeCell ref="AC709:AG709"/>
    <mergeCell ref="AH709:AL709"/>
    <mergeCell ref="AM709:AO709"/>
    <mergeCell ref="AA310:AF310"/>
    <mergeCell ref="V278:W278"/>
    <mergeCell ref="H295:R295"/>
    <mergeCell ref="X272:AC272"/>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T822:V822"/>
    <mergeCell ref="J741:N741"/>
    <mergeCell ref="O741:S741"/>
    <mergeCell ref="AC791:AF791"/>
    <mergeCell ref="U877:Z879"/>
    <mergeCell ref="L281:AD281"/>
    <mergeCell ref="L279:AD279"/>
    <mergeCell ref="M242:AE242"/>
    <mergeCell ref="O161:R161"/>
    <mergeCell ref="O156:AH156"/>
    <mergeCell ref="W162:X162"/>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A295:AK295"/>
    <mergeCell ref="Z265:AE265"/>
    <mergeCell ref="M257:R257"/>
    <mergeCell ref="AA293:AF293"/>
    <mergeCell ref="AA267:AK267"/>
    <mergeCell ref="H290:R290"/>
    <mergeCell ref="AA302:AF302"/>
    <mergeCell ref="AB278:AD278"/>
    <mergeCell ref="A284:AL285"/>
    <mergeCell ref="L280:Q280"/>
    <mergeCell ref="U265:W265"/>
    <mergeCell ref="L276:AJ276"/>
    <mergeCell ref="M239:R239"/>
    <mergeCell ref="Z257:AE257"/>
    <mergeCell ref="M240:AE240"/>
    <mergeCell ref="M251:T251"/>
    <mergeCell ref="O33:P33"/>
    <mergeCell ref="O159:AH159"/>
    <mergeCell ref="O158:AH158"/>
    <mergeCell ref="O157:AH157"/>
    <mergeCell ref="D208:M208"/>
    <mergeCell ref="M245:AE245"/>
    <mergeCell ref="W247:X247"/>
    <mergeCell ref="M237:T237"/>
    <mergeCell ref="O226:P226"/>
    <mergeCell ref="O227:P227"/>
    <mergeCell ref="U239:W239"/>
    <mergeCell ref="D223:AI223"/>
    <mergeCell ref="T194:U194"/>
    <mergeCell ref="J173:S173"/>
    <mergeCell ref="A169:AL170"/>
    <mergeCell ref="A231:AL232"/>
    <mergeCell ref="L128:N128"/>
    <mergeCell ref="X175:Y175"/>
    <mergeCell ref="AK196:AL196"/>
    <mergeCell ref="AA193:AC193"/>
    <mergeCell ref="AC215:AD215"/>
    <mergeCell ref="M236:AE236"/>
    <mergeCell ref="AC237:AE237"/>
    <mergeCell ref="M246:AE246"/>
    <mergeCell ref="O162:T162"/>
    <mergeCell ref="T193:U193"/>
    <mergeCell ref="D167:Y167"/>
    <mergeCell ref="W237:X237"/>
    <mergeCell ref="H301:M301"/>
    <mergeCell ref="AA291:AK291"/>
    <mergeCell ref="H291:R291"/>
    <mergeCell ref="AA290:AK290"/>
    <mergeCell ref="O160:X160"/>
    <mergeCell ref="AC255:AE255"/>
    <mergeCell ref="M256:AE256"/>
    <mergeCell ref="U257:W257"/>
    <mergeCell ref="AA259:AK259"/>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AF253:AK253"/>
    <mergeCell ref="I184:AE184"/>
    <mergeCell ref="M253:AE253"/>
    <mergeCell ref="R199:AB199"/>
    <mergeCell ref="U249:W249"/>
    <mergeCell ref="M249:R249"/>
    <mergeCell ref="AA251:AK251"/>
    <mergeCell ref="AF245:AK245"/>
    <mergeCell ref="T195:U195"/>
    <mergeCell ref="N366:AF367"/>
    <mergeCell ref="Q383:U383"/>
    <mergeCell ref="AG383:AJ383"/>
    <mergeCell ref="H334:M334"/>
    <mergeCell ref="M248:AE248"/>
    <mergeCell ref="Z249:AE249"/>
    <mergeCell ref="M247:T247"/>
    <mergeCell ref="M241:T241"/>
    <mergeCell ref="AC247:AE247"/>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H292:R292"/>
    <mergeCell ref="L282:AD282"/>
    <mergeCell ref="G634:R634"/>
    <mergeCell ref="G604:L604"/>
    <mergeCell ref="H597:R597"/>
    <mergeCell ref="Z634:AK634"/>
    <mergeCell ref="H289:R289"/>
    <mergeCell ref="M262:AE262"/>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P333:R333"/>
    <mergeCell ref="N365:Q365"/>
    <mergeCell ref="G700:J700"/>
    <mergeCell ref="O740:S740"/>
    <mergeCell ref="G694:J694"/>
    <mergeCell ref="B694:F694"/>
    <mergeCell ref="B699:F699"/>
    <mergeCell ref="B715:F715"/>
    <mergeCell ref="J379:U379"/>
    <mergeCell ref="B702:F702"/>
    <mergeCell ref="B700:F700"/>
    <mergeCell ref="B688:F691"/>
    <mergeCell ref="Z677:AK677"/>
    <mergeCell ref="G675:R675"/>
    <mergeCell ref="G688:J691"/>
    <mergeCell ref="G702:J702"/>
    <mergeCell ref="B693:F693"/>
    <mergeCell ref="B692:F692"/>
    <mergeCell ref="Z674:AK674"/>
    <mergeCell ref="AI596:AK596"/>
    <mergeCell ref="AA605:AK605"/>
    <mergeCell ref="G678:L678"/>
    <mergeCell ref="AH706:AL706"/>
    <mergeCell ref="Z670:AE670"/>
    <mergeCell ref="G652:R652"/>
    <mergeCell ref="G659:R659"/>
    <mergeCell ref="G667:R667"/>
    <mergeCell ref="H663:R663"/>
    <mergeCell ref="Z662:AE662"/>
    <mergeCell ref="Z667:AK667"/>
    <mergeCell ref="AC694:AG694"/>
    <mergeCell ref="K698:N698"/>
    <mergeCell ref="K692:N692"/>
    <mergeCell ref="O692:S692"/>
    <mergeCell ref="G709:J709"/>
    <mergeCell ref="G710:J710"/>
    <mergeCell ref="AI382:AJ382"/>
    <mergeCell ref="AK621:AN621"/>
    <mergeCell ref="G717:J717"/>
    <mergeCell ref="AC378:AJ378"/>
    <mergeCell ref="V375:W375"/>
    <mergeCell ref="B703:F703"/>
    <mergeCell ref="AA334:AF334"/>
    <mergeCell ref="AG372:AH372"/>
    <mergeCell ref="AA339:AK339"/>
    <mergeCell ref="H335:R335"/>
    <mergeCell ref="H338:R338"/>
    <mergeCell ref="E361:AH362"/>
    <mergeCell ref="AC364:AF364"/>
    <mergeCell ref="O698:S698"/>
    <mergeCell ref="G676:R676"/>
    <mergeCell ref="G703:J703"/>
    <mergeCell ref="T703:X703"/>
    <mergeCell ref="Y703:AB703"/>
    <mergeCell ref="AC703:AG703"/>
    <mergeCell ref="O703:S703"/>
    <mergeCell ref="T618:V618"/>
    <mergeCell ref="T619:V619"/>
    <mergeCell ref="P654:R654"/>
    <mergeCell ref="AA663:AK663"/>
    <mergeCell ref="Y692:AB692"/>
    <mergeCell ref="AH697:AL697"/>
    <mergeCell ref="G601:R601"/>
    <mergeCell ref="Z635:AK635"/>
    <mergeCell ref="BA916:BB916"/>
    <mergeCell ref="AY907:AZ907"/>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E910:AK910"/>
    <mergeCell ref="AA915:AG915"/>
    <mergeCell ref="AE909:AK90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AY909:AZ909"/>
    <mergeCell ref="D957:AE958"/>
    <mergeCell ref="L906:S906"/>
    <mergeCell ref="AG979:AH979"/>
    <mergeCell ref="AJ979:AQ983"/>
    <mergeCell ref="D980:AE983"/>
    <mergeCell ref="D984:AE984"/>
    <mergeCell ref="AG984:AH984"/>
    <mergeCell ref="AJ984:AQ987"/>
    <mergeCell ref="D985:AE987"/>
    <mergeCell ref="AY912:BA912"/>
    <mergeCell ref="B695:F695"/>
    <mergeCell ref="G696:J696"/>
    <mergeCell ref="G695:J695"/>
    <mergeCell ref="AC693:AG693"/>
    <mergeCell ref="AH693:AL693"/>
    <mergeCell ref="X993:AC993"/>
    <mergeCell ref="B999:AK999"/>
    <mergeCell ref="D942:AE942"/>
    <mergeCell ref="AB933:AI933"/>
    <mergeCell ref="AJ933:AQ933"/>
    <mergeCell ref="D934:Q934"/>
    <mergeCell ref="AB932:AI932"/>
    <mergeCell ref="L907:S907"/>
    <mergeCell ref="AE907:AK907"/>
    <mergeCell ref="U796:X796"/>
    <mergeCell ref="G708:J708"/>
    <mergeCell ref="D943:AE943"/>
    <mergeCell ref="D988:AI988"/>
    <mergeCell ref="AJ988:AQ988"/>
    <mergeCell ref="D979:AE979"/>
    <mergeCell ref="O742:S742"/>
    <mergeCell ref="W840:AC840"/>
    <mergeCell ref="AP861:AS861"/>
    <mergeCell ref="E849:AB849"/>
    <mergeCell ref="W830:AC830"/>
    <mergeCell ref="W831:AC831"/>
    <mergeCell ref="W839:AC839"/>
    <mergeCell ref="M841:V841"/>
    <mergeCell ref="AA898:AF898"/>
    <mergeCell ref="U884:Z884"/>
    <mergeCell ref="AC853:AH853"/>
    <mergeCell ref="K696:N696"/>
    <mergeCell ref="G586:R586"/>
    <mergeCell ref="G584:R584"/>
    <mergeCell ref="AO620:AS620"/>
    <mergeCell ref="AO621:AS621"/>
    <mergeCell ref="AO622:AS622"/>
    <mergeCell ref="W620:Y620"/>
    <mergeCell ref="W621:Y621"/>
    <mergeCell ref="W622:Y622"/>
    <mergeCell ref="W623:Y623"/>
    <mergeCell ref="G646:L646"/>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29:AB629"/>
    <mergeCell ref="AO625:AS625"/>
    <mergeCell ref="AC626:AE626"/>
    <mergeCell ref="AF626:AJ626"/>
    <mergeCell ref="AK626:AN626"/>
    <mergeCell ref="AO626:AS626"/>
    <mergeCell ref="AC627:AE627"/>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R404:S404"/>
    <mergeCell ref="AE418:AF418"/>
    <mergeCell ref="Q422:R422"/>
    <mergeCell ref="D433:AF433"/>
    <mergeCell ref="D438:AF438"/>
    <mergeCell ref="H407:AJ408"/>
    <mergeCell ref="AD405:AE405"/>
    <mergeCell ref="S406:T406"/>
    <mergeCell ref="I403:AD403"/>
    <mergeCell ref="AD404:AE404"/>
    <mergeCell ref="AE423:AF423"/>
    <mergeCell ref="I411:K411"/>
    <mergeCell ref="D431:AF431"/>
    <mergeCell ref="D443:AF443"/>
    <mergeCell ref="P411:R411"/>
    <mergeCell ref="W411:Y411"/>
    <mergeCell ref="AG443:AJ443"/>
    <mergeCell ref="F420:AH421"/>
    <mergeCell ref="I414:K414"/>
    <mergeCell ref="D430:AF430"/>
    <mergeCell ref="P418:Q418"/>
    <mergeCell ref="E413:AJ413"/>
    <mergeCell ref="AG439:AJ439"/>
    <mergeCell ref="AG433:AJ433"/>
    <mergeCell ref="AG431:AJ431"/>
    <mergeCell ref="AG435:AJ435"/>
    <mergeCell ref="AG432:AJ432"/>
    <mergeCell ref="AG430:AJ430"/>
    <mergeCell ref="D434:AF434"/>
    <mergeCell ref="D435:AF435"/>
    <mergeCell ref="D436:AF436"/>
    <mergeCell ref="AG437:AJ43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M692:AO692"/>
    <mergeCell ref="K693:N693"/>
    <mergeCell ref="O693:S693"/>
    <mergeCell ref="T693:X693"/>
    <mergeCell ref="Y693:AB693"/>
    <mergeCell ref="U795:X795"/>
    <mergeCell ref="W809:AC809"/>
    <mergeCell ref="AO623:AS623"/>
    <mergeCell ref="AK624:AN624"/>
    <mergeCell ref="AO624:AS624"/>
    <mergeCell ref="AF624:AJ624"/>
    <mergeCell ref="AC625:AE625"/>
    <mergeCell ref="P638:R638"/>
    <mergeCell ref="Z644:AK644"/>
    <mergeCell ref="AC623:AE623"/>
    <mergeCell ref="AF623:AJ623"/>
    <mergeCell ref="AK623:AN623"/>
    <mergeCell ref="Z643:AK643"/>
    <mergeCell ref="Z642:AK642"/>
    <mergeCell ref="Z638:AE638"/>
    <mergeCell ref="Z651:AK651"/>
    <mergeCell ref="AC748:AG751"/>
    <mergeCell ref="O696:S696"/>
    <mergeCell ref="T696:X696"/>
    <mergeCell ref="Y696:AB696"/>
    <mergeCell ref="AC696:AG696"/>
    <mergeCell ref="AH696:AL696"/>
    <mergeCell ref="AM696:AO696"/>
    <mergeCell ref="Z625:AB625"/>
    <mergeCell ref="Z626:AB626"/>
    <mergeCell ref="T695:X695"/>
    <mergeCell ref="AG795:AJ795"/>
    <mergeCell ref="G698:J698"/>
    <mergeCell ref="B696:F696"/>
    <mergeCell ref="AG648:AH648"/>
    <mergeCell ref="AF629:AJ629"/>
    <mergeCell ref="AK629:AN629"/>
    <mergeCell ref="AO629:AS629"/>
    <mergeCell ref="T628:V628"/>
    <mergeCell ref="T629:V629"/>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C517:AF517"/>
    <mergeCell ref="AF627:AJ627"/>
    <mergeCell ref="AK627:AN627"/>
    <mergeCell ref="AO627:AS627"/>
    <mergeCell ref="AC628:AE628"/>
    <mergeCell ref="AF628:AJ628"/>
    <mergeCell ref="AK628:AN628"/>
    <mergeCell ref="AO628:AS628"/>
    <mergeCell ref="B630:AN630"/>
    <mergeCell ref="AO630:AS630"/>
    <mergeCell ref="Z653:AK653"/>
    <mergeCell ref="G653:R653"/>
    <mergeCell ref="H655:R655"/>
    <mergeCell ref="H647:R647"/>
    <mergeCell ref="AM695:AO695"/>
    <mergeCell ref="Z627:AB627"/>
    <mergeCell ref="Z628:AB628"/>
    <mergeCell ref="AF625:AJ625"/>
    <mergeCell ref="AK625:AN625"/>
    <mergeCell ref="AG680:AH680"/>
    <mergeCell ref="AA655:AK655"/>
    <mergeCell ref="B631:AN631"/>
    <mergeCell ref="P670:R670"/>
    <mergeCell ref="Z676:AK676"/>
    <mergeCell ref="AG664:AH664"/>
    <mergeCell ref="AI670:AK670"/>
    <mergeCell ref="AO632:AS632"/>
    <mergeCell ref="K688:N691"/>
    <mergeCell ref="O688:S691"/>
    <mergeCell ref="T688:X691"/>
    <mergeCell ref="Y688:AB691"/>
    <mergeCell ref="AC688:AG691"/>
    <mergeCell ref="Q479:AK479"/>
    <mergeCell ref="W551:Y551"/>
    <mergeCell ref="AE551:AH551"/>
    <mergeCell ref="AI551:AL551"/>
    <mergeCell ref="AH505:AK505"/>
    <mergeCell ref="AH521:AK521"/>
    <mergeCell ref="AC525:AF525"/>
    <mergeCell ref="AH526:AK526"/>
    <mergeCell ref="AC505:AF505"/>
    <mergeCell ref="AH508:AK508"/>
    <mergeCell ref="AH514:AK514"/>
    <mergeCell ref="L501:AB501"/>
    <mergeCell ref="AH501:AK501"/>
    <mergeCell ref="AH509:AK509"/>
    <mergeCell ref="AC506:AF506"/>
    <mergeCell ref="AC509:AF509"/>
    <mergeCell ref="AC496:AF496"/>
    <mergeCell ref="AC497:AF497"/>
    <mergeCell ref="AC508:AF508"/>
    <mergeCell ref="C547:L547"/>
    <mergeCell ref="M547:P547"/>
    <mergeCell ref="C548:L548"/>
    <mergeCell ref="M548:P548"/>
    <mergeCell ref="Q548:S548"/>
    <mergeCell ref="B509:H511"/>
    <mergeCell ref="AC498:AF498"/>
    <mergeCell ref="AC510:AF510"/>
    <mergeCell ref="T548:V548"/>
    <mergeCell ref="W548:Y548"/>
    <mergeCell ref="Z548:AD548"/>
    <mergeCell ref="AH520:AK520"/>
    <mergeCell ref="AC534:AF534"/>
    <mergeCell ref="D440:AF440"/>
    <mergeCell ref="W458:Y458"/>
    <mergeCell ref="D458:V458"/>
    <mergeCell ref="AC447:AF447"/>
    <mergeCell ref="AH524:AK524"/>
    <mergeCell ref="AE546:AH546"/>
    <mergeCell ref="AM547:AS547"/>
    <mergeCell ref="AE547:AH547"/>
    <mergeCell ref="AH529:AK529"/>
    <mergeCell ref="AH528:AK528"/>
    <mergeCell ref="O527:AA527"/>
    <mergeCell ref="M488:P488"/>
    <mergeCell ref="W462:Y462"/>
    <mergeCell ref="AG434:AJ434"/>
    <mergeCell ref="D446:AJ446"/>
    <mergeCell ref="W464:Y464"/>
    <mergeCell ref="D462:V462"/>
    <mergeCell ref="D459:V459"/>
    <mergeCell ref="AC516:AF516"/>
    <mergeCell ref="AC511:AF511"/>
    <mergeCell ref="AC493:AF493"/>
    <mergeCell ref="AH516:AK516"/>
    <mergeCell ref="AC512:AF512"/>
    <mergeCell ref="AC513:AF513"/>
    <mergeCell ref="AH511:AK511"/>
    <mergeCell ref="O512:AA512"/>
    <mergeCell ref="AC494:AF494"/>
    <mergeCell ref="AH488:AK488"/>
    <mergeCell ref="D463:V463"/>
    <mergeCell ref="D469:V469"/>
    <mergeCell ref="D444:AJ445"/>
    <mergeCell ref="B494:H495"/>
    <mergeCell ref="AC379:AJ379"/>
    <mergeCell ref="J380:U380"/>
    <mergeCell ref="AC380:AJ380"/>
    <mergeCell ref="J381:U381"/>
    <mergeCell ref="V381:AJ381"/>
    <mergeCell ref="AG388:AJ388"/>
    <mergeCell ref="D399:AJ400"/>
    <mergeCell ref="S394:U394"/>
    <mergeCell ref="K396:AJ396"/>
    <mergeCell ref="AG394:AJ394"/>
    <mergeCell ref="S395:U395"/>
    <mergeCell ref="AE395:AJ395"/>
    <mergeCell ref="AG387:AJ387"/>
    <mergeCell ref="D470:V470"/>
    <mergeCell ref="G465:V465"/>
    <mergeCell ref="AG436:AJ436"/>
    <mergeCell ref="Q481:AK481"/>
    <mergeCell ref="W469:Y469"/>
    <mergeCell ref="Q478:AK478"/>
    <mergeCell ref="AC449:AF449"/>
    <mergeCell ref="D439:AF439"/>
    <mergeCell ref="AG438:AJ438"/>
    <mergeCell ref="Z427:AA427"/>
    <mergeCell ref="Z425:AA425"/>
    <mergeCell ref="AI390:AJ390"/>
    <mergeCell ref="T391:AJ391"/>
    <mergeCell ref="T392:AJ392"/>
    <mergeCell ref="D441:AF441"/>
    <mergeCell ref="W459:Y459"/>
    <mergeCell ref="P414:R414"/>
    <mergeCell ref="E411:G411"/>
    <mergeCell ref="AE417:AF417"/>
    <mergeCell ref="R405:S405"/>
    <mergeCell ref="AF411:AH411"/>
    <mergeCell ref="Q387:U387"/>
    <mergeCell ref="AI385:AJ385"/>
    <mergeCell ref="Q553:S553"/>
    <mergeCell ref="T553:V553"/>
    <mergeCell ref="W553:Y553"/>
    <mergeCell ref="Z553:AD553"/>
    <mergeCell ref="AE553:AH553"/>
    <mergeCell ref="AC514:AF514"/>
    <mergeCell ref="AH515:AK515"/>
    <mergeCell ref="AH513:AK513"/>
    <mergeCell ref="AC503:AF503"/>
    <mergeCell ref="AH503:AK503"/>
    <mergeCell ref="AC507:AF507"/>
    <mergeCell ref="W460:Y460"/>
    <mergeCell ref="Q546:S546"/>
    <mergeCell ref="T546:V546"/>
    <mergeCell ref="W546:Y546"/>
    <mergeCell ref="Z546:AD546"/>
    <mergeCell ref="AC530:AF530"/>
    <mergeCell ref="AH517:AK517"/>
    <mergeCell ref="AH518:AK518"/>
    <mergeCell ref="AC522:AF522"/>
    <mergeCell ref="AH519:AK519"/>
    <mergeCell ref="AC521:AF521"/>
    <mergeCell ref="AE548:AH548"/>
    <mergeCell ref="AI548:AL548"/>
    <mergeCell ref="Q480:AK480"/>
    <mergeCell ref="AG440:AJ440"/>
    <mergeCell ref="AG441:AJ441"/>
    <mergeCell ref="D464:V464"/>
    <mergeCell ref="Q554:S554"/>
    <mergeCell ref="T554:V554"/>
    <mergeCell ref="W554:Y554"/>
    <mergeCell ref="Z554:AD554"/>
    <mergeCell ref="AE554:AH554"/>
    <mergeCell ref="AI554:AL554"/>
    <mergeCell ref="AH500:AK500"/>
    <mergeCell ref="AC500:AF500"/>
    <mergeCell ref="AH496:AK496"/>
    <mergeCell ref="AH499:AK499"/>
    <mergeCell ref="AH498:AK498"/>
    <mergeCell ref="AC499:AF499"/>
    <mergeCell ref="Q482:R483"/>
    <mergeCell ref="S482:AK483"/>
    <mergeCell ref="Q484:AK484"/>
    <mergeCell ref="Q487:AK487"/>
    <mergeCell ref="AM554:AS554"/>
    <mergeCell ref="AI546:AL546"/>
    <mergeCell ref="AM546:AS546"/>
    <mergeCell ref="Q547:S547"/>
    <mergeCell ref="T547:V547"/>
    <mergeCell ref="W547:Y547"/>
    <mergeCell ref="Z547:AD547"/>
    <mergeCell ref="W552:Y552"/>
    <mergeCell ref="Z552:AD552"/>
    <mergeCell ref="AE552:AH552"/>
    <mergeCell ref="AI552:AL552"/>
    <mergeCell ref="AM548:AS548"/>
    <mergeCell ref="AH523:AK523"/>
    <mergeCell ref="AH525:AK525"/>
    <mergeCell ref="AH530:AK530"/>
    <mergeCell ref="AC528:AF528"/>
    <mergeCell ref="Q555:S555"/>
    <mergeCell ref="T555:V555"/>
    <mergeCell ref="AM556:AS556"/>
    <mergeCell ref="Q557:S557"/>
    <mergeCell ref="T556:V556"/>
    <mergeCell ref="W556:Y556"/>
    <mergeCell ref="Z556:AD556"/>
    <mergeCell ref="AE556:AH556"/>
    <mergeCell ref="AI556:AL556"/>
    <mergeCell ref="W555:Y555"/>
    <mergeCell ref="Z555:AD555"/>
    <mergeCell ref="AE555:AH555"/>
    <mergeCell ref="AI555:AL555"/>
    <mergeCell ref="AM551:AS551"/>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M555:AS555"/>
    <mergeCell ref="AI557:AL557"/>
    <mergeCell ref="AM557:AS557"/>
    <mergeCell ref="CS606:CW606"/>
    <mergeCell ref="CS607:CW607"/>
    <mergeCell ref="AM552:AS552"/>
    <mergeCell ref="BS588:BW588"/>
    <mergeCell ref="BX588:CB588"/>
    <mergeCell ref="CC588:CG588"/>
    <mergeCell ref="CH588:CL588"/>
    <mergeCell ref="CM588:CQ588"/>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H589:CL589"/>
    <mergeCell ref="CM589:CQ589"/>
    <mergeCell ref="BS590:BW590"/>
    <mergeCell ref="BX590:CB590"/>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H607:DL607"/>
    <mergeCell ref="DH608:DL608"/>
    <mergeCell ref="DR589:DV589"/>
    <mergeCell ref="DR590:DV590"/>
    <mergeCell ref="DR591:DV591"/>
    <mergeCell ref="DR592:DV59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R601:DV601"/>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CS604:CW604"/>
    <mergeCell ref="CS605:CW605"/>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M611:CQ611"/>
    <mergeCell ref="BX612:CB612"/>
    <mergeCell ref="CC612:CG612"/>
    <mergeCell ref="CH612:CL612"/>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C589:CG589"/>
    <mergeCell ref="BS589:BW589"/>
    <mergeCell ref="BX589:CB589"/>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08:CQ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S605:BW605"/>
    <mergeCell ref="BX605:CB605"/>
    <mergeCell ref="CC605:CG605"/>
    <mergeCell ref="CH605:CL605"/>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BN613:BR613"/>
    <mergeCell ref="BN616:BR616"/>
    <mergeCell ref="BN617:BR617"/>
    <mergeCell ref="BN618:BR618"/>
    <mergeCell ref="BN619:BR619"/>
    <mergeCell ref="CH619:CL619"/>
    <mergeCell ref="BS616:BW616"/>
    <mergeCell ref="BS617:BW617"/>
    <mergeCell ref="BS618:BW618"/>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08:BW608"/>
    <mergeCell ref="BX608:CB608"/>
    <mergeCell ref="CC608:CG608"/>
    <mergeCell ref="CH608:CL608"/>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CM612:CQ612"/>
    <mergeCell ref="BN622:BR622"/>
    <mergeCell ref="BS622:BW622"/>
    <mergeCell ref="BX622:CB622"/>
    <mergeCell ref="CC622:CG622"/>
    <mergeCell ref="CH622:CL622"/>
    <mergeCell ref="CM622:CQ622"/>
    <mergeCell ref="CM619:CQ619"/>
    <mergeCell ref="CM616:CQ616"/>
    <mergeCell ref="CM617:CQ617"/>
    <mergeCell ref="CM618:CQ618"/>
    <mergeCell ref="BS620:BW620"/>
    <mergeCell ref="BS619:BW619"/>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Z650:AK650"/>
    <mergeCell ref="AH688:AL691"/>
    <mergeCell ref="G635:R635"/>
    <mergeCell ref="G636:R636"/>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AI638:AK638"/>
    <mergeCell ref="Z637:AK637"/>
    <mergeCell ref="G654:L654"/>
    <mergeCell ref="Z666:AK666"/>
    <mergeCell ref="G658:R658"/>
    <mergeCell ref="G637:R637"/>
    <mergeCell ref="AM693:AO693"/>
    <mergeCell ref="G669:R669"/>
    <mergeCell ref="G674:R674"/>
    <mergeCell ref="Z660:AK660"/>
    <mergeCell ref="N656:O656"/>
    <mergeCell ref="G668:R668"/>
    <mergeCell ref="Z668:AK668"/>
    <mergeCell ref="G662:L662"/>
    <mergeCell ref="K697:N697"/>
    <mergeCell ref="AC697:AG697"/>
    <mergeCell ref="AH694:AL694"/>
    <mergeCell ref="K702:N702"/>
    <mergeCell ref="O702:S702"/>
    <mergeCell ref="T702:X702"/>
    <mergeCell ref="Y702:AB702"/>
    <mergeCell ref="AC702:AG702"/>
    <mergeCell ref="AH702:AL702"/>
    <mergeCell ref="AM702:AO702"/>
    <mergeCell ref="AC698:AG698"/>
    <mergeCell ref="AH698:AL698"/>
    <mergeCell ref="Z678:AE678"/>
    <mergeCell ref="G701:J701"/>
    <mergeCell ref="O697:S697"/>
    <mergeCell ref="T697:X697"/>
    <mergeCell ref="Y697:AB697"/>
    <mergeCell ref="G693:J693"/>
    <mergeCell ref="AC692:AG692"/>
    <mergeCell ref="AH692:AL692"/>
    <mergeCell ref="AM701:AO701"/>
    <mergeCell ref="AM694:AO694"/>
    <mergeCell ref="K695:N695"/>
    <mergeCell ref="O695:S695"/>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O710:S710"/>
    <mergeCell ref="T710:X710"/>
    <mergeCell ref="Y710:AB710"/>
    <mergeCell ref="AC710:AG710"/>
    <mergeCell ref="AH710:AL710"/>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K715:N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Q789:T789"/>
    <mergeCell ref="M789:P789"/>
    <mergeCell ref="M790:P790"/>
    <mergeCell ref="Q790:T790"/>
    <mergeCell ref="M787:P788"/>
    <mergeCell ref="Q787:T788"/>
    <mergeCell ref="AC789:AF789"/>
    <mergeCell ref="U789:X789"/>
    <mergeCell ref="U791:X791"/>
    <mergeCell ref="AG794:AJ794"/>
    <mergeCell ref="C791:H791"/>
    <mergeCell ref="M793:P793"/>
    <mergeCell ref="C789:H789"/>
    <mergeCell ref="C790:H790"/>
    <mergeCell ref="Y794:AB794"/>
    <mergeCell ref="Y792:AB792"/>
    <mergeCell ref="C794:H794"/>
    <mergeCell ref="AG791:AJ791"/>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893:Z893"/>
    <mergeCell ref="AA891:AF891"/>
    <mergeCell ref="Z862:AE862"/>
    <mergeCell ref="AA880:AF880"/>
    <mergeCell ref="AC858:AH858"/>
    <mergeCell ref="AA884:AF884"/>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B997 B999">
    <cfRule type="cellIs" dxfId="91" priority="43" stopIfTrue="1" operator="equal">
      <formula>#N/A</formula>
    </cfRule>
  </conditionalFormatting>
  <conditionalFormatting sqref="C546:C557 M546:M557 Q546:AS557 Q619:Q629 T619:T629 W619:W629 Z619:Z629 AC619:AS629">
    <cfRule type="expression" dxfId="90" priority="5">
      <formula>$AT546="!"</formula>
    </cfRule>
  </conditionalFormatting>
  <conditionalFormatting sqref="C718:AH719">
    <cfRule type="expression" dxfId="89" priority="3">
      <formula>NOT($D$214="Special Needs")</formula>
    </cfRule>
  </conditionalFormatting>
  <conditionalFormatting sqref="E218">
    <cfRule type="expression" dxfId="88" priority="31">
      <formula>NOT(OR($D$214="Seniors",$E$217="Seniors"))</formula>
    </cfRule>
  </conditionalFormatting>
  <conditionalFormatting sqref="E219">
    <cfRule type="expression" dxfId="87" priority="30">
      <formula>NOT($D$214="At-Risk")</formula>
    </cfRule>
  </conditionalFormatting>
  <conditionalFormatting sqref="E215:AA215">
    <cfRule type="expression" dxfId="86" priority="36">
      <formula>NOT($D$214="Special Needs")</formula>
    </cfRule>
  </conditionalFormatting>
  <conditionalFormatting sqref="E217:AA217">
    <cfRule type="expression" dxfId="85" priority="33">
      <formula>AND($AC$215&gt;0,$AF$215&lt;75%)</formula>
    </cfRule>
  </conditionalFormatting>
  <conditionalFormatting sqref="E857:AB858">
    <cfRule type="expression" dxfId="84" priority="14">
      <formula>AND(AC857&lt;&gt;"",OR(E857="Other (Specify):",E857=""))</formula>
    </cfRule>
  </conditionalFormatting>
  <conditionalFormatting sqref="E216:AI216">
    <cfRule type="expression" dxfId="83" priority="34">
      <formula>AND($AC$215&gt;0,$AF$215&lt;75%)</formula>
    </cfRule>
  </conditionalFormatting>
  <conditionalFormatting sqref="F795:L795">
    <cfRule type="expression" dxfId="82" priority="20">
      <formula>AND(OR(M795&lt;&gt;"",$Q$795&lt;&gt;"",$U$795&lt;&gt;"",$Y$795&lt;&gt;"",$AC$795&lt;&gt;"",$AG$795&lt;&gt;""),OR(F795="(specify here)",F795=""))</formula>
    </cfRule>
  </conditionalFormatting>
  <conditionalFormatting sqref="L501:AB501">
    <cfRule type="expression" dxfId="81" priority="28">
      <formula>AND(NOT(AC501="N/A"),AH501&lt;&gt;"",OR(L501="(specify here)",L501=""))</formula>
    </cfRule>
  </conditionalFormatting>
  <conditionalFormatting sqref="M810:V810">
    <cfRule type="expression" dxfId="80" priority="19">
      <formula>AND(W810&lt;&gt;"",OR(M810="(specify here)",M810=""))</formula>
    </cfRule>
  </conditionalFormatting>
  <conditionalFormatting sqref="M825:V825">
    <cfRule type="expression" dxfId="79" priority="18">
      <formula>AND(W825&lt;&gt;"",OR(M825="(specify here)",M825=""))</formula>
    </cfRule>
  </conditionalFormatting>
  <conditionalFormatting sqref="M835:V835">
    <cfRule type="expression" dxfId="78" priority="17">
      <formula>AND(W835&lt;&gt;"",OR(M835="(specify here)",M835=""))</formula>
    </cfRule>
  </conditionalFormatting>
  <conditionalFormatting sqref="M838:V842">
    <cfRule type="expression" dxfId="77" priority="16">
      <formula>AND(W838&lt;&gt;"",OR(M838="(specify here)",M838=""))</formula>
    </cfRule>
  </conditionalFormatting>
  <conditionalFormatting sqref="O512:AA512">
    <cfRule type="expression" dxfId="76" priority="27">
      <formula>AND(OR(AND(NOT(AC512="N/A"),AH512&lt;&gt;""),AND(NOT(AC513="N/A"),AH513&lt;&gt;""),AND(NOT(AC514="N/A"),AH514&lt;&gt;"")),OR(O512="(specify here)",O512=""))</formula>
    </cfRule>
  </conditionalFormatting>
  <conditionalFormatting sqref="O515:AA515">
    <cfRule type="expression" dxfId="75" priority="10">
      <formula>AND(OR(AND(NOT(AC515="N/A"),AH515&lt;&gt;""),AND(NOT(AC516="N/A"),AH516&lt;&gt;""),AND(NOT(AC517="N/A"),AH517&lt;&gt;"")),OR(O515="(specify here)",O515=""))</formula>
    </cfRule>
  </conditionalFormatting>
  <conditionalFormatting sqref="O518:AA518">
    <cfRule type="expression" dxfId="74" priority="9">
      <formula>AND(OR(AND(NOT(AC518="N/A"),AH518&lt;&gt;""),AND(NOT(AC519="N/A"),AH519&lt;&gt;""),AND(NOT(AC520="N/A"),AH520&lt;&gt;"")),OR(O518="(specify here)",O518=""))</formula>
    </cfRule>
  </conditionalFormatting>
  <conditionalFormatting sqref="O521:AA521">
    <cfRule type="expression" dxfId="73" priority="8">
      <formula>AND(OR(AND(NOT(AC521="N/A"),AH521&lt;&gt;""),AND(NOT(AC522="N/A"),AH522&lt;&gt;""),AND(NOT(AC523="N/A"),AH523&lt;&gt;"")),OR(O521="(specify here)",O521=""))</formula>
    </cfRule>
  </conditionalFormatting>
  <conditionalFormatting sqref="O524:AA524">
    <cfRule type="expression" dxfId="72" priority="7">
      <formula>AND(OR(AND(NOT(AC524="N/A"),AH524&lt;&gt;""),AND(NOT(AC525="N/A"),AH525&lt;&gt;""),AND(NOT(AC526="N/A"),AH526&lt;&gt;"")),OR(O524="(specify here)",O524=""))</formula>
    </cfRule>
  </conditionalFormatting>
  <conditionalFormatting sqref="O527:AA527">
    <cfRule type="expression" dxfId="71" priority="6">
      <formula>AND(OR(AND(NOT(AC527="N/A"),AH527&lt;&gt;""),AND(NOT(AC528="N/A"),AH528&lt;&gt;""),AND(NOT(AC529="N/A"),AH529&lt;&gt;"")),OR(O527="(specify here)",O527=""))</formula>
    </cfRule>
  </conditionalFormatting>
  <conditionalFormatting sqref="P780:Y780">
    <cfRule type="expression" dxfId="70" priority="21">
      <formula>AND(Z780&lt;&gt;"",OR(P780="(specify here)",P780=""))</formula>
    </cfRule>
  </conditionalFormatting>
  <conditionalFormatting sqref="U720">
    <cfRule type="expression" dxfId="69" priority="2">
      <formula>NOT($D$214="Special Needs")</formula>
    </cfRule>
  </conditionalFormatting>
  <conditionalFormatting sqref="W922:AG922">
    <cfRule type="expression" dxfId="68" priority="11">
      <formula>AND($AA$923&lt;&gt;"",OR($W$922="",$W$922="(specify here)"))</formula>
    </cfRule>
  </conditionalFormatting>
  <conditionalFormatting sqref="AC215:AG215">
    <cfRule type="expression" dxfId="67" priority="35">
      <formula>NOT($D$214="Special Needs")</formula>
    </cfRule>
  </conditionalFormatting>
  <conditionalFormatting sqref="AC218:AN218">
    <cfRule type="expression" dxfId="66" priority="32">
      <formula>NOT(OR($D$214="Seniors",$E$217="Seniors"))</formula>
    </cfRule>
  </conditionalFormatting>
  <conditionalFormatting sqref="AC219:AN219">
    <cfRule type="expression" dxfId="65" priority="29">
      <formula>NOT($D$214="At-Risk")</formula>
    </cfRule>
  </conditionalFormatting>
  <conditionalFormatting sqref="AF964">
    <cfRule type="cellIs" dxfId="64" priority="39" stopIfTrue="1" operator="equal">
      <formula>"Please Enter Amount:"</formula>
    </cfRule>
  </conditionalFormatting>
  <conditionalFormatting sqref="AF969">
    <cfRule type="cellIs" dxfId="63" priority="37" stopIfTrue="1" operator="equal">
      <formula>"Please Enter Amount:"</formula>
    </cfRule>
  </conditionalFormatting>
  <conditionalFormatting sqref="AF976">
    <cfRule type="cellIs" dxfId="62" priority="38" stopIfTrue="1" operator="equal">
      <formula>"Please Enter Amount:"</formula>
    </cfRule>
  </conditionalFormatting>
  <conditionalFormatting sqref="AG434:AJ434">
    <cfRule type="expression" dxfId="61" priority="45" stopIfTrue="1">
      <formula>"iserror(d31)"</formula>
    </cfRule>
  </conditionalFormatting>
  <conditionalFormatting sqref="AG720:AJ720">
    <cfRule type="expression" dxfId="60"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22" workbookViewId="0">
      <selection activeCell="L51" sqref="L51"/>
    </sheetView>
  </sheetViews>
  <sheetFormatPr defaultColWidth="8.875" defaultRowHeight="11.8" zeroHeight="1"/>
  <cols>
    <col min="1" max="1" width="32.625" style="497" customWidth="1"/>
    <col min="2" max="12" width="12.125" style="495" customWidth="1"/>
    <col min="13" max="17" width="11.375" style="495" customWidth="1"/>
    <col min="18" max="18" width="12.625" style="495" customWidth="1"/>
    <col min="19" max="20" width="12.125" style="495" customWidth="1"/>
    <col min="21" max="21" width="0.375" style="496" customWidth="1"/>
    <col min="22" max="16384" width="8.875" style="495"/>
  </cols>
  <sheetData>
    <row r="1" spans="1:21" s="200" customFormat="1" ht="13.1">
      <c r="A1" s="264" t="s">
        <v>141</v>
      </c>
      <c r="B1" s="227"/>
      <c r="C1" s="227"/>
      <c r="D1" s="227"/>
      <c r="E1" s="228"/>
      <c r="F1" s="1584" t="s">
        <v>195</v>
      </c>
      <c r="G1" s="1585"/>
      <c r="H1" s="1585"/>
      <c r="I1" s="1585"/>
      <c r="J1" s="1585"/>
      <c r="K1" s="1585"/>
      <c r="L1" s="1585"/>
      <c r="M1" s="1585"/>
      <c r="N1" s="1585"/>
      <c r="O1" s="1585"/>
      <c r="P1" s="1585"/>
      <c r="Q1" s="1585"/>
      <c r="R1" s="1586"/>
      <c r="S1" s="202"/>
      <c r="T1" s="201"/>
      <c r="U1" s="203"/>
    </row>
    <row r="2" spans="1:21" s="232" customFormat="1" ht="60.05" customHeight="1">
      <c r="A2" s="231"/>
      <c r="B2" s="232" t="s">
        <v>836</v>
      </c>
      <c r="C2" s="232" t="s">
        <v>538</v>
      </c>
      <c r="D2" s="232" t="s">
        <v>537</v>
      </c>
      <c r="E2" s="232" t="s">
        <v>837</v>
      </c>
      <c r="F2" s="233" t="str">
        <f>Application!B618&amp;Application!C618</f>
        <v>1)Citi Community Capital - Permanent Loan</v>
      </c>
      <c r="G2" s="233" t="str">
        <f>Application!B619&amp;Application!C619</f>
        <v>2)City of Atwater, Housing Successor Loan</v>
      </c>
      <c r="H2" s="233" t="str">
        <f>Application!B620&amp;Application!C620</f>
        <v>3)Joe Serna, FWHG</v>
      </c>
      <c r="I2" s="233" t="str">
        <f>Application!B621&amp;Application!C621</f>
        <v>4)Deferred Developer Fee</v>
      </c>
      <c r="J2" s="233" t="str">
        <f>Application!B622&amp;Application!C622</f>
        <v>5)Solar Tax Credit Equity - The Richman Group</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75">
      <c r="A4" s="300" t="s">
        <v>72</v>
      </c>
      <c r="B4" s="240">
        <f>SUM(C4+D4)</f>
        <v>1200000</v>
      </c>
      <c r="C4" s="241">
        <v>1200000</v>
      </c>
      <c r="D4" s="241"/>
      <c r="E4" s="241">
        <v>1200000</v>
      </c>
      <c r="F4" s="241"/>
      <c r="G4" s="241"/>
      <c r="H4" s="241"/>
      <c r="I4" s="241"/>
      <c r="J4" s="241"/>
      <c r="K4" s="241"/>
      <c r="L4" s="241"/>
      <c r="M4" s="241"/>
      <c r="N4" s="241"/>
      <c r="O4" s="241"/>
      <c r="P4" s="241"/>
      <c r="Q4" s="241"/>
      <c r="R4" s="241">
        <v>1200000</v>
      </c>
      <c r="S4" s="242"/>
      <c r="T4" s="242"/>
      <c r="U4" s="237"/>
    </row>
    <row r="5" spans="1:21" s="238" customFormat="1" ht="13.75">
      <c r="A5" s="300" t="s">
        <v>73</v>
      </c>
      <c r="B5" s="240">
        <f>SUM(C5+D5)</f>
        <v>0</v>
      </c>
      <c r="C5" s="241"/>
      <c r="D5" s="241"/>
      <c r="E5" s="241"/>
      <c r="F5" s="241"/>
      <c r="G5" s="241"/>
      <c r="H5" s="241"/>
      <c r="I5" s="241"/>
      <c r="J5" s="241"/>
      <c r="K5" s="241"/>
      <c r="L5" s="241"/>
      <c r="M5" s="241"/>
      <c r="N5" s="241"/>
      <c r="O5" s="241"/>
      <c r="P5" s="241"/>
      <c r="Q5" s="241"/>
      <c r="R5" s="241">
        <v>0</v>
      </c>
      <c r="S5" s="242"/>
      <c r="T5" s="242"/>
      <c r="U5" s="237"/>
    </row>
    <row r="6" spans="1:21" s="238" customFormat="1">
      <c r="A6" s="239" t="s">
        <v>365</v>
      </c>
      <c r="B6" s="240">
        <f>SUM(C6+D6)</f>
        <v>3563</v>
      </c>
      <c r="C6" s="241">
        <v>3563</v>
      </c>
      <c r="D6" s="241"/>
      <c r="E6" s="241">
        <v>3563</v>
      </c>
      <c r="F6" s="241"/>
      <c r="G6" s="241"/>
      <c r="H6" s="241"/>
      <c r="I6" s="241"/>
      <c r="J6" s="241"/>
      <c r="K6" s="241"/>
      <c r="L6" s="241"/>
      <c r="M6" s="241"/>
      <c r="N6" s="241"/>
      <c r="O6" s="241"/>
      <c r="P6" s="241"/>
      <c r="Q6" s="241"/>
      <c r="R6" s="241">
        <v>3563</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v>0</v>
      </c>
      <c r="S7" s="242"/>
      <c r="T7" s="242"/>
      <c r="U7" s="237"/>
    </row>
    <row r="8" spans="1:21" s="238" customFormat="1" ht="13.75">
      <c r="A8" s="301" t="s">
        <v>740</v>
      </c>
      <c r="B8" s="240">
        <f>SUM(C8:D8)</f>
        <v>1203563</v>
      </c>
      <c r="C8" s="240">
        <f t="shared" ref="C8:R8" si="0">SUM(C4:C7)</f>
        <v>1203563</v>
      </c>
      <c r="D8" s="240">
        <f t="shared" si="0"/>
        <v>0</v>
      </c>
      <c r="E8" s="240">
        <f t="shared" si="0"/>
        <v>1203563</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1203563</v>
      </c>
      <c r="S8" s="242"/>
      <c r="T8" s="242"/>
      <c r="U8" s="237"/>
    </row>
    <row r="9" spans="1:21" s="238" customFormat="1">
      <c r="A9" s="239" t="s">
        <v>1797</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75">
      <c r="A10" s="300" t="s">
        <v>74</v>
      </c>
      <c r="B10" s="240">
        <f>SUM(C10+D10)</f>
        <v>409628</v>
      </c>
      <c r="C10" s="241">
        <v>409628</v>
      </c>
      <c r="D10" s="241"/>
      <c r="E10" s="241">
        <f>+C10</f>
        <v>409628</v>
      </c>
      <c r="F10" s="241"/>
      <c r="G10" s="241">
        <v>0</v>
      </c>
      <c r="H10" s="241"/>
      <c r="I10" s="241"/>
      <c r="J10" s="241"/>
      <c r="K10" s="241"/>
      <c r="L10" s="241"/>
      <c r="M10" s="241"/>
      <c r="N10" s="241"/>
      <c r="O10" s="241"/>
      <c r="P10" s="241"/>
      <c r="Q10" s="241"/>
      <c r="R10" s="241">
        <f>SUM(E10:Q10)</f>
        <v>409628</v>
      </c>
      <c r="S10" s="241">
        <f>C10</f>
        <v>409628</v>
      </c>
      <c r="T10" s="241"/>
      <c r="U10" s="237"/>
    </row>
    <row r="11" spans="1:21" s="238" customFormat="1">
      <c r="A11" s="243" t="s">
        <v>617</v>
      </c>
      <c r="B11" s="240">
        <f>SUM(C11:D11)</f>
        <v>409628</v>
      </c>
      <c r="C11" s="240">
        <f t="shared" ref="C11:T11" si="1">SUM(C9:C10)</f>
        <v>409628</v>
      </c>
      <c r="D11" s="240">
        <f t="shared" si="1"/>
        <v>0</v>
      </c>
      <c r="E11" s="240">
        <f t="shared" si="1"/>
        <v>409628</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409628</v>
      </c>
      <c r="S11" s="242"/>
      <c r="T11" s="240">
        <f t="shared" si="1"/>
        <v>0</v>
      </c>
      <c r="U11" s="237"/>
    </row>
    <row r="12" spans="1:21" s="238" customFormat="1">
      <c r="A12" s="243" t="s">
        <v>747</v>
      </c>
      <c r="B12" s="240">
        <f t="shared" ref="B12:R12" si="2">SUM(B8+B11)</f>
        <v>1613191</v>
      </c>
      <c r="C12" s="240">
        <f t="shared" si="2"/>
        <v>1613191</v>
      </c>
      <c r="D12" s="240">
        <f t="shared" si="2"/>
        <v>0</v>
      </c>
      <c r="E12" s="240">
        <f t="shared" si="2"/>
        <v>1613191</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1613191</v>
      </c>
      <c r="S12" s="242"/>
      <c r="T12" s="242"/>
      <c r="U12" s="237"/>
    </row>
    <row r="13" spans="1:21" s="238" customFormat="1">
      <c r="A13" s="469" t="s">
        <v>1157</v>
      </c>
      <c r="B13" s="240">
        <f>SUM(C13+D13)</f>
        <v>124000</v>
      </c>
      <c r="C13" s="241">
        <v>124000</v>
      </c>
      <c r="D13" s="241"/>
      <c r="E13" s="241">
        <v>124000</v>
      </c>
      <c r="F13" s="241">
        <v>0</v>
      </c>
      <c r="G13" s="241"/>
      <c r="H13" s="241"/>
      <c r="I13" s="241"/>
      <c r="J13" s="241"/>
      <c r="K13" s="241"/>
      <c r="L13" s="241"/>
      <c r="M13" s="241"/>
      <c r="N13" s="241"/>
      <c r="O13" s="241"/>
      <c r="P13" s="241"/>
      <c r="Q13" s="241"/>
      <c r="R13" s="241">
        <f>SUM(E13:Q13)</f>
        <v>124000</v>
      </c>
      <c r="S13" s="241">
        <v>0</v>
      </c>
      <c r="T13" s="241"/>
      <c r="U13" s="237"/>
    </row>
    <row r="14" spans="1:21" s="238" customFormat="1" ht="23.6">
      <c r="A14" s="239" t="s">
        <v>1189</v>
      </c>
      <c r="B14" s="240">
        <f>SUM(C14+D14)</f>
        <v>0</v>
      </c>
      <c r="C14" s="241"/>
      <c r="D14" s="241"/>
      <c r="E14" s="241"/>
      <c r="F14" s="241"/>
      <c r="G14" s="241"/>
      <c r="H14" s="241"/>
      <c r="I14" s="241"/>
      <c r="J14" s="241"/>
      <c r="K14" s="241"/>
      <c r="L14" s="241"/>
      <c r="M14" s="241"/>
      <c r="N14" s="241"/>
      <c r="O14" s="241"/>
      <c r="P14" s="241"/>
      <c r="Q14" s="972"/>
      <c r="R14" s="241">
        <f>SUM(E14:Q14)</f>
        <v>0</v>
      </c>
      <c r="S14" s="241"/>
      <c r="T14" s="241"/>
      <c r="U14" s="237"/>
    </row>
    <row r="15" spans="1:21" s="238" customFormat="1">
      <c r="A15" s="239" t="s">
        <v>1756</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954</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955</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956</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957</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958</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959</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960</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961</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954</v>
      </c>
      <c r="B29" s="240">
        <f t="shared" ref="B29:B38" si="6">SUM(C29+D29)</f>
        <v>3771034</v>
      </c>
      <c r="C29" s="241">
        <v>3771034</v>
      </c>
      <c r="D29" s="241"/>
      <c r="E29" s="241">
        <v>3771034</v>
      </c>
      <c r="F29" s="241"/>
      <c r="G29" s="241"/>
      <c r="H29" s="241"/>
      <c r="I29" s="241"/>
      <c r="J29" s="241"/>
      <c r="K29" s="241"/>
      <c r="L29" s="241"/>
      <c r="M29" s="241"/>
      <c r="N29" s="241"/>
      <c r="O29" s="241"/>
      <c r="P29" s="241"/>
      <c r="Q29" s="241"/>
      <c r="R29" s="241">
        <f t="shared" ref="R29:R37" si="7">SUM(E29:Q29)</f>
        <v>3771034</v>
      </c>
      <c r="S29" s="241">
        <f>R29</f>
        <v>3771034</v>
      </c>
      <c r="T29" s="241"/>
      <c r="U29" s="237"/>
    </row>
    <row r="30" spans="1:21" s="238" customFormat="1">
      <c r="A30" s="239" t="s">
        <v>955</v>
      </c>
      <c r="B30" s="240">
        <f t="shared" si="6"/>
        <v>11350402</v>
      </c>
      <c r="C30" s="241">
        <v>11350402</v>
      </c>
      <c r="D30" s="241"/>
      <c r="E30" s="241">
        <v>5015180.4550000001</v>
      </c>
      <c r="F30" s="241">
        <v>1370000</v>
      </c>
      <c r="G30" s="241">
        <v>400000</v>
      </c>
      <c r="H30" s="241">
        <v>4400310</v>
      </c>
      <c r="I30" s="241"/>
      <c r="J30" s="241">
        <v>164911.54500000001</v>
      </c>
      <c r="K30" s="241"/>
      <c r="L30" s="241"/>
      <c r="M30" s="241"/>
      <c r="N30" s="241"/>
      <c r="O30" s="241"/>
      <c r="P30" s="241"/>
      <c r="Q30" s="241"/>
      <c r="R30" s="241">
        <f t="shared" si="7"/>
        <v>11350402</v>
      </c>
      <c r="S30" s="241">
        <f t="shared" ref="S30:S36" si="8">R30</f>
        <v>11350402</v>
      </c>
      <c r="T30" s="241"/>
      <c r="U30" s="237"/>
    </row>
    <row r="31" spans="1:21" s="238" customFormat="1">
      <c r="A31" s="239" t="s">
        <v>956</v>
      </c>
      <c r="B31" s="240">
        <f t="shared" si="6"/>
        <v>621242.53362807014</v>
      </c>
      <c r="C31" s="241">
        <v>621242.53362807014</v>
      </c>
      <c r="D31" s="241"/>
      <c r="E31" s="241">
        <v>621242.53362807014</v>
      </c>
      <c r="F31" s="241"/>
      <c r="G31" s="241"/>
      <c r="H31" s="241"/>
      <c r="I31" s="241"/>
      <c r="J31" s="241"/>
      <c r="K31" s="241"/>
      <c r="L31" s="241"/>
      <c r="M31" s="241"/>
      <c r="N31" s="241"/>
      <c r="O31" s="241"/>
      <c r="P31" s="241"/>
      <c r="Q31" s="241"/>
      <c r="R31" s="241">
        <f t="shared" si="7"/>
        <v>621242.53362807014</v>
      </c>
      <c r="S31" s="241">
        <f t="shared" si="8"/>
        <v>621242.53362807014</v>
      </c>
      <c r="T31" s="241"/>
      <c r="U31" s="237"/>
    </row>
    <row r="32" spans="1:21" s="238" customFormat="1">
      <c r="A32" s="239" t="s">
        <v>957</v>
      </c>
      <c r="B32" s="240">
        <f t="shared" si="6"/>
        <v>465931.90022105258</v>
      </c>
      <c r="C32" s="241">
        <v>465931.90022105258</v>
      </c>
      <c r="D32" s="241"/>
      <c r="E32" s="241">
        <v>465931.90022105258</v>
      </c>
      <c r="F32" s="241"/>
      <c r="G32" s="241"/>
      <c r="H32" s="241"/>
      <c r="I32" s="241"/>
      <c r="J32" s="241"/>
      <c r="K32" s="241"/>
      <c r="L32" s="241"/>
      <c r="M32" s="241"/>
      <c r="N32" s="241"/>
      <c r="O32" s="241"/>
      <c r="P32" s="241"/>
      <c r="Q32" s="241"/>
      <c r="R32" s="241">
        <f t="shared" si="7"/>
        <v>465931.90022105258</v>
      </c>
      <c r="S32" s="241">
        <f t="shared" si="8"/>
        <v>465931.90022105258</v>
      </c>
      <c r="T32" s="241"/>
      <c r="U32" s="237"/>
    </row>
    <row r="33" spans="1:21" s="238" customFormat="1">
      <c r="A33" s="239" t="s">
        <v>958</v>
      </c>
      <c r="B33" s="240">
        <f t="shared" si="6"/>
        <v>1087174.4338491228</v>
      </c>
      <c r="C33" s="241">
        <v>1087174.4338491228</v>
      </c>
      <c r="D33" s="241"/>
      <c r="E33" s="241">
        <v>1087174.4338491228</v>
      </c>
      <c r="F33" s="241"/>
      <c r="G33" s="241"/>
      <c r="H33" s="241"/>
      <c r="I33" s="241"/>
      <c r="J33" s="241"/>
      <c r="K33" s="241"/>
      <c r="L33" s="241"/>
      <c r="M33" s="241"/>
      <c r="N33" s="241"/>
      <c r="O33" s="241"/>
      <c r="P33" s="241"/>
      <c r="Q33" s="241"/>
      <c r="R33" s="241">
        <f t="shared" si="7"/>
        <v>1087174.4338491228</v>
      </c>
      <c r="S33" s="241">
        <f t="shared" si="8"/>
        <v>1087174.4338491228</v>
      </c>
      <c r="T33" s="241"/>
      <c r="U33" s="237"/>
    </row>
    <row r="34" spans="1:21" s="238" customFormat="1">
      <c r="A34" s="239" t="s">
        <v>959</v>
      </c>
      <c r="B34" s="240">
        <f t="shared" si="6"/>
        <v>0</v>
      </c>
      <c r="C34" s="241"/>
      <c r="D34" s="241"/>
      <c r="E34" s="241"/>
      <c r="F34" s="241"/>
      <c r="G34" s="241"/>
      <c r="H34" s="241"/>
      <c r="I34" s="241"/>
      <c r="J34" s="241"/>
      <c r="K34" s="241"/>
      <c r="L34" s="241"/>
      <c r="M34" s="241"/>
      <c r="N34" s="241"/>
      <c r="O34" s="241"/>
      <c r="P34" s="241"/>
      <c r="Q34" s="241"/>
      <c r="R34" s="241">
        <f t="shared" si="7"/>
        <v>0</v>
      </c>
      <c r="S34" s="241">
        <f t="shared" si="8"/>
        <v>0</v>
      </c>
      <c r="T34" s="241"/>
      <c r="U34" s="237"/>
    </row>
    <row r="35" spans="1:21" s="238" customFormat="1">
      <c r="A35" s="239" t="s">
        <v>960</v>
      </c>
      <c r="B35" s="240">
        <f t="shared" si="6"/>
        <v>0</v>
      </c>
      <c r="C35" s="241"/>
      <c r="D35" s="241"/>
      <c r="E35" s="241"/>
      <c r="F35" s="241"/>
      <c r="G35" s="241"/>
      <c r="H35" s="241"/>
      <c r="I35" s="241"/>
      <c r="J35" s="241"/>
      <c r="K35" s="241"/>
      <c r="L35" s="241"/>
      <c r="M35" s="241"/>
      <c r="N35" s="241"/>
      <c r="O35" s="241"/>
      <c r="P35" s="241"/>
      <c r="Q35" s="241"/>
      <c r="R35" s="241">
        <f t="shared" si="7"/>
        <v>0</v>
      </c>
      <c r="S35" s="241">
        <f t="shared" si="8"/>
        <v>0</v>
      </c>
      <c r="T35" s="241"/>
      <c r="U35" s="237"/>
    </row>
    <row r="36" spans="1:21" s="238" customFormat="1">
      <c r="A36" s="250" t="s">
        <v>2052</v>
      </c>
      <c r="B36" s="240">
        <f t="shared" si="6"/>
        <v>0</v>
      </c>
      <c r="C36" s="241"/>
      <c r="D36" s="241"/>
      <c r="E36" s="241"/>
      <c r="F36" s="241"/>
      <c r="G36" s="241"/>
      <c r="H36" s="241"/>
      <c r="I36" s="241"/>
      <c r="J36" s="241"/>
      <c r="K36" s="241"/>
      <c r="L36" s="241"/>
      <c r="M36" s="241"/>
      <c r="N36" s="241"/>
      <c r="O36" s="241"/>
      <c r="P36" s="241"/>
      <c r="Q36" s="241"/>
      <c r="R36" s="241">
        <f t="shared" si="7"/>
        <v>0</v>
      </c>
      <c r="S36" s="241">
        <f t="shared" si="8"/>
        <v>0</v>
      </c>
      <c r="T36" s="241"/>
      <c r="U36" s="237"/>
    </row>
    <row r="37" spans="1:21" s="238" customFormat="1">
      <c r="A37" s="246" t="s">
        <v>2509</v>
      </c>
      <c r="B37" s="240">
        <f t="shared" si="6"/>
        <v>0</v>
      </c>
      <c r="C37" s="241"/>
      <c r="D37" s="241"/>
      <c r="E37" s="241"/>
      <c r="F37" s="241"/>
      <c r="G37" s="241"/>
      <c r="H37" s="241"/>
      <c r="I37" s="241"/>
      <c r="J37" s="241"/>
      <c r="K37" s="241"/>
      <c r="L37" s="241"/>
      <c r="M37" s="241"/>
      <c r="N37" s="241"/>
      <c r="O37" s="241"/>
      <c r="P37" s="241"/>
      <c r="Q37" s="241"/>
      <c r="R37" s="241">
        <f t="shared" si="7"/>
        <v>0</v>
      </c>
      <c r="S37" s="241">
        <f>R37</f>
        <v>0</v>
      </c>
      <c r="T37" s="241"/>
      <c r="U37" s="237"/>
    </row>
    <row r="38" spans="1:21" s="238" customFormat="1">
      <c r="A38" s="243" t="s">
        <v>963</v>
      </c>
      <c r="B38" s="240">
        <f t="shared" si="6"/>
        <v>17295784.867698245</v>
      </c>
      <c r="C38" s="240">
        <f>SUM(C29:C37)</f>
        <v>17295784.867698245</v>
      </c>
      <c r="D38" s="240">
        <f>SUM(D29:D37)</f>
        <v>0</v>
      </c>
      <c r="E38" s="240">
        <f>SUM(E29:E37)</f>
        <v>10960563.322698247</v>
      </c>
      <c r="F38" s="240">
        <f t="shared" ref="F38:T38" si="9">SUM(F29:F37)</f>
        <v>1370000</v>
      </c>
      <c r="G38" s="240">
        <f t="shared" si="9"/>
        <v>400000</v>
      </c>
      <c r="H38" s="240">
        <f t="shared" si="9"/>
        <v>4400310</v>
      </c>
      <c r="I38" s="240">
        <f t="shared" si="9"/>
        <v>0</v>
      </c>
      <c r="J38" s="240">
        <f t="shared" si="9"/>
        <v>164911.54500000001</v>
      </c>
      <c r="K38" s="240">
        <f t="shared" si="9"/>
        <v>0</v>
      </c>
      <c r="L38" s="240">
        <f t="shared" si="9"/>
        <v>0</v>
      </c>
      <c r="M38" s="240">
        <f t="shared" si="9"/>
        <v>0</v>
      </c>
      <c r="N38" s="240">
        <f t="shared" si="9"/>
        <v>0</v>
      </c>
      <c r="O38" s="240">
        <f t="shared" si="9"/>
        <v>0</v>
      </c>
      <c r="P38" s="240">
        <f t="shared" si="9"/>
        <v>0</v>
      </c>
      <c r="Q38" s="240">
        <f t="shared" si="9"/>
        <v>0</v>
      </c>
      <c r="R38" s="240">
        <f t="shared" si="9"/>
        <v>17295784.867698245</v>
      </c>
      <c r="S38" s="244">
        <f t="shared" si="9"/>
        <v>17295784.867698245</v>
      </c>
      <c r="T38" s="244">
        <f t="shared" si="9"/>
        <v>0</v>
      </c>
      <c r="U38" s="237"/>
    </row>
    <row r="39" spans="1:21" s="238" customFormat="1">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965</v>
      </c>
      <c r="B40" s="240">
        <f>SUM(C40+D40)</f>
        <v>416500</v>
      </c>
      <c r="C40" s="241">
        <v>416500</v>
      </c>
      <c r="D40" s="241"/>
      <c r="E40" s="241">
        <v>416500</v>
      </c>
      <c r="F40" s="241"/>
      <c r="G40" s="241"/>
      <c r="H40" s="241"/>
      <c r="I40" s="241"/>
      <c r="J40" s="241"/>
      <c r="K40" s="241"/>
      <c r="L40" s="241"/>
      <c r="M40" s="241"/>
      <c r="N40" s="241"/>
      <c r="O40" s="241"/>
      <c r="P40" s="241"/>
      <c r="Q40" s="241"/>
      <c r="R40" s="241">
        <f>SUM(E40:Q40)</f>
        <v>416500</v>
      </c>
      <c r="S40" s="241">
        <f>R40</f>
        <v>416500</v>
      </c>
      <c r="T40" s="241"/>
      <c r="U40" s="237"/>
    </row>
    <row r="41" spans="1:21" s="238" customFormat="1">
      <c r="A41" s="239" t="s">
        <v>966</v>
      </c>
      <c r="B41" s="240">
        <f>SUM(C41+D41)</f>
        <v>0</v>
      </c>
      <c r="C41" s="241"/>
      <c r="D41" s="241"/>
      <c r="E41" s="241">
        <f>C41</f>
        <v>0</v>
      </c>
      <c r="F41" s="241"/>
      <c r="G41" s="241"/>
      <c r="H41" s="241"/>
      <c r="I41" s="241"/>
      <c r="J41" s="241"/>
      <c r="K41" s="241"/>
      <c r="L41" s="241"/>
      <c r="M41" s="241"/>
      <c r="N41" s="241"/>
      <c r="O41" s="241"/>
      <c r="P41" s="241"/>
      <c r="Q41" s="241"/>
      <c r="R41" s="241">
        <f>SUM(E41:Q41)</f>
        <v>0</v>
      </c>
      <c r="S41" s="241">
        <f>R41</f>
        <v>0</v>
      </c>
      <c r="T41" s="241"/>
      <c r="U41" s="237"/>
    </row>
    <row r="42" spans="1:21" s="238" customFormat="1">
      <c r="A42" s="243" t="s">
        <v>967</v>
      </c>
      <c r="B42" s="240">
        <f>SUM(C42:D42)</f>
        <v>416500</v>
      </c>
      <c r="C42" s="240">
        <f>SUM(C39:C41)</f>
        <v>416500</v>
      </c>
      <c r="D42" s="240">
        <f>SUM(D39:D41)</f>
        <v>0</v>
      </c>
      <c r="E42" s="240">
        <f t="shared" ref="E42:T42" si="10">SUM(E40:E41)</f>
        <v>416500</v>
      </c>
      <c r="F42" s="240">
        <f t="shared" si="10"/>
        <v>0</v>
      </c>
      <c r="G42" s="240">
        <f t="shared" si="10"/>
        <v>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416500</v>
      </c>
      <c r="S42" s="244">
        <f t="shared" si="10"/>
        <v>416500</v>
      </c>
      <c r="T42" s="244">
        <f t="shared" si="10"/>
        <v>0</v>
      </c>
      <c r="U42" s="237"/>
    </row>
    <row r="43" spans="1:21" s="238" customFormat="1">
      <c r="A43" s="243" t="s">
        <v>968</v>
      </c>
      <c r="B43" s="240">
        <f>SUM(C43:D43)</f>
        <v>542769.35</v>
      </c>
      <c r="C43" s="241">
        <v>542769.35</v>
      </c>
      <c r="D43" s="241"/>
      <c r="E43" s="241">
        <v>542769.35</v>
      </c>
      <c r="F43" s="241">
        <v>0</v>
      </c>
      <c r="G43" s="241"/>
      <c r="H43" s="241"/>
      <c r="I43" s="241"/>
      <c r="J43" s="241"/>
      <c r="K43" s="241"/>
      <c r="L43" s="241"/>
      <c r="M43" s="241"/>
      <c r="N43" s="241"/>
      <c r="O43" s="241"/>
      <c r="P43" s="241"/>
      <c r="Q43" s="241"/>
      <c r="R43" s="241">
        <v>542769.35</v>
      </c>
      <c r="S43" s="241">
        <v>542769.35</v>
      </c>
      <c r="T43" s="241"/>
      <c r="U43" s="237"/>
    </row>
    <row r="44" spans="1:21" s="238" customFormat="1">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970</v>
      </c>
      <c r="B45" s="240">
        <f t="shared" ref="B45:B52" si="11">SUM(C45+D45)</f>
        <v>1750731</v>
      </c>
      <c r="C45" s="241">
        <v>1750731</v>
      </c>
      <c r="D45" s="241"/>
      <c r="E45" s="241">
        <v>1750731</v>
      </c>
      <c r="F45" s="241"/>
      <c r="G45" s="241"/>
      <c r="H45" s="241"/>
      <c r="I45" s="241"/>
      <c r="J45" s="241"/>
      <c r="K45" s="241"/>
      <c r="L45" s="241"/>
      <c r="M45" s="241"/>
      <c r="N45" s="241"/>
      <c r="O45" s="241"/>
      <c r="P45" s="241"/>
      <c r="Q45" s="241"/>
      <c r="R45" s="241">
        <v>1750731</v>
      </c>
      <c r="S45" s="241">
        <v>1028262.2147667017</v>
      </c>
      <c r="T45" s="241"/>
      <c r="U45" s="237"/>
    </row>
    <row r="46" spans="1:21" s="238" customFormat="1">
      <c r="A46" s="239" t="s">
        <v>971</v>
      </c>
      <c r="B46" s="240">
        <f t="shared" si="11"/>
        <v>146875</v>
      </c>
      <c r="C46" s="241">
        <v>146875</v>
      </c>
      <c r="D46" s="241"/>
      <c r="E46" s="241">
        <v>146875</v>
      </c>
      <c r="F46" s="241"/>
      <c r="G46" s="241"/>
      <c r="H46" s="241"/>
      <c r="I46" s="241"/>
      <c r="J46" s="241"/>
      <c r="K46" s="241"/>
      <c r="L46" s="241"/>
      <c r="M46" s="241"/>
      <c r="N46" s="241"/>
      <c r="O46" s="241"/>
      <c r="P46" s="241"/>
      <c r="Q46" s="241"/>
      <c r="R46" s="241">
        <v>146875</v>
      </c>
      <c r="S46" s="241">
        <v>110156.39529934758</v>
      </c>
      <c r="T46" s="241"/>
      <c r="U46" s="237"/>
    </row>
    <row r="47" spans="1:21" s="238" customFormat="1" ht="11.95" customHeight="1">
      <c r="A47" s="239" t="s">
        <v>972</v>
      </c>
      <c r="B47" s="240">
        <f t="shared" si="11"/>
        <v>0</v>
      </c>
      <c r="C47" s="241"/>
      <c r="D47" s="241"/>
      <c r="E47" s="241"/>
      <c r="F47" s="241"/>
      <c r="G47" s="241"/>
      <c r="H47" s="241"/>
      <c r="I47" s="241"/>
      <c r="J47" s="241"/>
      <c r="K47" s="241"/>
      <c r="L47" s="241"/>
      <c r="M47" s="241"/>
      <c r="N47" s="241"/>
      <c r="O47" s="241"/>
      <c r="P47" s="241"/>
      <c r="Q47" s="241"/>
      <c r="R47" s="241">
        <v>0</v>
      </c>
      <c r="S47" s="241">
        <v>0</v>
      </c>
      <c r="T47" s="241"/>
      <c r="U47" s="237"/>
    </row>
    <row r="48" spans="1:21" s="238" customFormat="1">
      <c r="A48" s="239" t="s">
        <v>973</v>
      </c>
      <c r="B48" s="240">
        <f t="shared" si="11"/>
        <v>0</v>
      </c>
      <c r="C48" s="241"/>
      <c r="D48" s="241"/>
      <c r="E48" s="241"/>
      <c r="F48" s="241"/>
      <c r="G48" s="241"/>
      <c r="H48" s="241"/>
      <c r="I48" s="241"/>
      <c r="J48" s="241"/>
      <c r="K48" s="241"/>
      <c r="L48" s="241"/>
      <c r="M48" s="241"/>
      <c r="N48" s="241"/>
      <c r="O48" s="241"/>
      <c r="P48" s="241"/>
      <c r="Q48" s="241"/>
      <c r="R48" s="241">
        <v>0</v>
      </c>
      <c r="S48" s="241">
        <v>0</v>
      </c>
      <c r="T48" s="241"/>
      <c r="U48" s="237"/>
    </row>
    <row r="49" spans="1:21" s="238" customFormat="1">
      <c r="A49" s="239" t="s">
        <v>976</v>
      </c>
      <c r="B49" s="240">
        <f t="shared" si="11"/>
        <v>32000</v>
      </c>
      <c r="C49" s="241">
        <v>32000</v>
      </c>
      <c r="D49" s="241"/>
      <c r="E49" s="241">
        <v>32000</v>
      </c>
      <c r="F49" s="241"/>
      <c r="G49" s="241"/>
      <c r="H49" s="241"/>
      <c r="I49" s="241"/>
      <c r="J49" s="241"/>
      <c r="K49" s="241"/>
      <c r="L49" s="241"/>
      <c r="M49" s="241"/>
      <c r="N49" s="241"/>
      <c r="O49" s="241"/>
      <c r="P49" s="241"/>
      <c r="Q49" s="241"/>
      <c r="R49" s="241">
        <v>32000</v>
      </c>
      <c r="S49" s="241">
        <v>24000</v>
      </c>
      <c r="T49" s="241"/>
      <c r="U49" s="237"/>
    </row>
    <row r="50" spans="1:21" s="238" customFormat="1">
      <c r="A50" s="239" t="s">
        <v>974</v>
      </c>
      <c r="B50" s="240">
        <f t="shared" si="11"/>
        <v>5000</v>
      </c>
      <c r="C50" s="241">
        <v>5000</v>
      </c>
      <c r="D50" s="241"/>
      <c r="E50" s="241">
        <v>5000</v>
      </c>
      <c r="F50" s="241"/>
      <c r="G50" s="241"/>
      <c r="H50" s="241"/>
      <c r="I50" s="241"/>
      <c r="J50" s="241"/>
      <c r="K50" s="241"/>
      <c r="L50" s="241"/>
      <c r="M50" s="241"/>
      <c r="N50" s="241"/>
      <c r="O50" s="241"/>
      <c r="P50" s="241"/>
      <c r="Q50" s="241"/>
      <c r="R50" s="241">
        <v>5000</v>
      </c>
      <c r="S50" s="241">
        <v>3750</v>
      </c>
      <c r="T50" s="241"/>
      <c r="U50" s="237"/>
    </row>
    <row r="51" spans="1:21" s="238" customFormat="1">
      <c r="A51" s="239" t="s">
        <v>975</v>
      </c>
      <c r="B51" s="240">
        <f t="shared" si="11"/>
        <v>180000</v>
      </c>
      <c r="C51" s="241">
        <v>180000</v>
      </c>
      <c r="D51" s="241"/>
      <c r="E51" s="241">
        <v>180000</v>
      </c>
      <c r="F51" s="241"/>
      <c r="G51" s="241"/>
      <c r="H51" s="241"/>
      <c r="I51" s="241"/>
      <c r="J51" s="241"/>
      <c r="K51" s="241"/>
      <c r="L51" s="241"/>
      <c r="M51" s="241"/>
      <c r="N51" s="241"/>
      <c r="O51" s="241"/>
      <c r="P51" s="241"/>
      <c r="Q51" s="241"/>
      <c r="R51" s="241">
        <v>180000</v>
      </c>
      <c r="S51" s="241">
        <v>135000</v>
      </c>
      <c r="T51" s="241"/>
      <c r="U51" s="237"/>
    </row>
    <row r="52" spans="1:21" s="238" customFormat="1">
      <c r="A52" s="246" t="s">
        <v>2504</v>
      </c>
      <c r="B52" s="240">
        <f t="shared" si="11"/>
        <v>77495</v>
      </c>
      <c r="C52" s="241">
        <v>77495</v>
      </c>
      <c r="D52" s="241"/>
      <c r="E52" s="241">
        <v>77495</v>
      </c>
      <c r="F52" s="241"/>
      <c r="G52" s="241"/>
      <c r="H52" s="241"/>
      <c r="I52" s="241"/>
      <c r="J52" s="241"/>
      <c r="K52" s="241"/>
      <c r="L52" s="241"/>
      <c r="M52" s="241"/>
      <c r="N52" s="241"/>
      <c r="O52" s="241"/>
      <c r="P52" s="241"/>
      <c r="Q52" s="241"/>
      <c r="R52" s="241">
        <v>77495</v>
      </c>
      <c r="S52" s="241">
        <v>77495</v>
      </c>
      <c r="T52" s="241"/>
      <c r="U52" s="237"/>
    </row>
    <row r="53" spans="1:21" s="248" customFormat="1">
      <c r="A53" s="243" t="s">
        <v>977</v>
      </c>
      <c r="B53" s="244">
        <f>SUM(C53:D53)</f>
        <v>2192101</v>
      </c>
      <c r="C53" s="244">
        <f t="shared" ref="C53:T53" si="12">SUM(C45:C52)</f>
        <v>2192101</v>
      </c>
      <c r="D53" s="244">
        <f t="shared" si="12"/>
        <v>0</v>
      </c>
      <c r="E53" s="244">
        <f t="shared" si="12"/>
        <v>2192101</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2192101</v>
      </c>
      <c r="S53" s="244">
        <f t="shared" si="12"/>
        <v>1378663.6100660493</v>
      </c>
      <c r="T53" s="244">
        <f t="shared" si="12"/>
        <v>0</v>
      </c>
      <c r="U53" s="247"/>
    </row>
    <row r="54" spans="1:21" s="238" customFormat="1">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978</v>
      </c>
      <c r="B55" s="240">
        <f t="shared" ref="B55:B60" si="13">SUM(C55+D55)</f>
        <v>10275</v>
      </c>
      <c r="C55" s="241">
        <v>10275</v>
      </c>
      <c r="D55" s="241"/>
      <c r="E55" s="241">
        <v>10275</v>
      </c>
      <c r="F55" s="241"/>
      <c r="G55" s="241"/>
      <c r="H55" s="241"/>
      <c r="I55" s="241"/>
      <c r="J55" s="241"/>
      <c r="K55" s="241"/>
      <c r="L55" s="241"/>
      <c r="M55" s="241"/>
      <c r="N55" s="241"/>
      <c r="O55" s="241"/>
      <c r="P55" s="241"/>
      <c r="Q55" s="241"/>
      <c r="R55" s="241">
        <v>10275</v>
      </c>
      <c r="S55" s="242"/>
      <c r="T55" s="242"/>
      <c r="U55" s="237"/>
    </row>
    <row r="56" spans="1:21" s="238" customFormat="1" ht="11.95" customHeight="1">
      <c r="A56" s="239" t="s">
        <v>972</v>
      </c>
      <c r="B56" s="240">
        <f t="shared" si="13"/>
        <v>0</v>
      </c>
      <c r="C56" s="241"/>
      <c r="D56" s="241"/>
      <c r="E56" s="241"/>
      <c r="F56" s="241"/>
      <c r="G56" s="241"/>
      <c r="H56" s="241"/>
      <c r="I56" s="241"/>
      <c r="J56" s="241"/>
      <c r="K56" s="241"/>
      <c r="L56" s="241"/>
      <c r="M56" s="241"/>
      <c r="N56" s="241"/>
      <c r="O56" s="241"/>
      <c r="P56" s="241"/>
      <c r="Q56" s="241"/>
      <c r="R56" s="241">
        <v>0</v>
      </c>
      <c r="S56" s="242"/>
      <c r="T56" s="242"/>
      <c r="U56" s="237"/>
    </row>
    <row r="57" spans="1:21" s="238" customFormat="1">
      <c r="A57" s="239" t="s">
        <v>976</v>
      </c>
      <c r="B57" s="240">
        <f t="shared" si="13"/>
        <v>5000</v>
      </c>
      <c r="C57" s="241">
        <v>5000</v>
      </c>
      <c r="D57" s="241"/>
      <c r="E57" s="241">
        <v>5000</v>
      </c>
      <c r="F57" s="241"/>
      <c r="G57" s="241"/>
      <c r="H57" s="241"/>
      <c r="I57" s="241"/>
      <c r="J57" s="241"/>
      <c r="K57" s="241"/>
      <c r="L57" s="241"/>
      <c r="M57" s="241"/>
      <c r="N57" s="241"/>
      <c r="O57" s="241"/>
      <c r="P57" s="241"/>
      <c r="Q57" s="241"/>
      <c r="R57" s="241">
        <v>5000</v>
      </c>
      <c r="S57" s="242"/>
      <c r="T57" s="242"/>
      <c r="U57" s="237"/>
    </row>
    <row r="58" spans="1:21" s="238" customFormat="1">
      <c r="A58" s="239" t="s">
        <v>974</v>
      </c>
      <c r="B58" s="240">
        <f t="shared" si="13"/>
        <v>0</v>
      </c>
      <c r="C58" s="241"/>
      <c r="D58" s="241"/>
      <c r="E58" s="241"/>
      <c r="F58" s="241"/>
      <c r="G58" s="241"/>
      <c r="H58" s="241"/>
      <c r="I58" s="241"/>
      <c r="J58" s="241"/>
      <c r="K58" s="241"/>
      <c r="L58" s="241"/>
      <c r="M58" s="241"/>
      <c r="N58" s="241"/>
      <c r="O58" s="241"/>
      <c r="P58" s="241"/>
      <c r="Q58" s="241"/>
      <c r="R58" s="241">
        <v>0</v>
      </c>
      <c r="S58" s="242"/>
      <c r="T58" s="242"/>
      <c r="U58" s="237"/>
    </row>
    <row r="59" spans="1:21" s="238" customFormat="1">
      <c r="A59" s="239" t="s">
        <v>975</v>
      </c>
      <c r="B59" s="240">
        <f t="shared" si="13"/>
        <v>0</v>
      </c>
      <c r="C59" s="241"/>
      <c r="D59" s="241"/>
      <c r="E59" s="241"/>
      <c r="F59" s="241"/>
      <c r="G59" s="241"/>
      <c r="H59" s="241"/>
      <c r="I59" s="241"/>
      <c r="J59" s="241"/>
      <c r="K59" s="241"/>
      <c r="L59" s="241"/>
      <c r="M59" s="241"/>
      <c r="N59" s="241"/>
      <c r="O59" s="241"/>
      <c r="P59" s="241"/>
      <c r="Q59" s="241"/>
      <c r="R59" s="241">
        <v>0</v>
      </c>
      <c r="S59" s="242"/>
      <c r="T59" s="242"/>
      <c r="U59" s="237"/>
    </row>
    <row r="60" spans="1:21" s="238" customFormat="1">
      <c r="A60" s="246"/>
      <c r="B60" s="240">
        <f t="shared" si="13"/>
        <v>0</v>
      </c>
      <c r="C60" s="241"/>
      <c r="D60" s="241"/>
      <c r="E60" s="241"/>
      <c r="F60" s="241"/>
      <c r="G60" s="241"/>
      <c r="H60" s="241"/>
      <c r="I60" s="241"/>
      <c r="J60" s="241"/>
      <c r="K60" s="241"/>
      <c r="L60" s="241"/>
      <c r="M60" s="241"/>
      <c r="N60" s="241"/>
      <c r="O60" s="241"/>
      <c r="P60" s="241"/>
      <c r="Q60" s="241"/>
      <c r="R60" s="241">
        <v>0</v>
      </c>
      <c r="S60" s="242"/>
      <c r="T60" s="242"/>
      <c r="U60" s="237"/>
    </row>
    <row r="61" spans="1:21" s="238" customFormat="1" ht="14.1" customHeight="1">
      <c r="A61" s="243" t="s">
        <v>529</v>
      </c>
      <c r="B61" s="240">
        <f>SUM(C61:D61)</f>
        <v>15275</v>
      </c>
      <c r="C61" s="240">
        <f t="shared" ref="C61:R61" si="14">SUM(C55:C60)</f>
        <v>15275</v>
      </c>
      <c r="D61" s="240">
        <f t="shared" si="14"/>
        <v>0</v>
      </c>
      <c r="E61" s="240">
        <f t="shared" si="14"/>
        <v>15275</v>
      </c>
      <c r="F61" s="240">
        <f t="shared" si="14"/>
        <v>0</v>
      </c>
      <c r="G61" s="240">
        <f t="shared" si="14"/>
        <v>0</v>
      </c>
      <c r="H61" s="240">
        <f t="shared" si="14"/>
        <v>0</v>
      </c>
      <c r="I61" s="240">
        <f t="shared" si="14"/>
        <v>0</v>
      </c>
      <c r="J61" s="240">
        <f t="shared" si="14"/>
        <v>0</v>
      </c>
      <c r="K61" s="240">
        <f t="shared" si="14"/>
        <v>0</v>
      </c>
      <c r="L61" s="240">
        <f t="shared" si="14"/>
        <v>0</v>
      </c>
      <c r="M61" s="240">
        <f t="shared" si="14"/>
        <v>0</v>
      </c>
      <c r="N61" s="240">
        <f t="shared" si="14"/>
        <v>0</v>
      </c>
      <c r="O61" s="240">
        <f t="shared" si="14"/>
        <v>0</v>
      </c>
      <c r="P61" s="240">
        <f t="shared" si="14"/>
        <v>0</v>
      </c>
      <c r="Q61" s="240">
        <f t="shared" si="14"/>
        <v>0</v>
      </c>
      <c r="R61" s="240">
        <f t="shared" si="14"/>
        <v>15275</v>
      </c>
      <c r="S61" s="242"/>
      <c r="T61" s="242"/>
      <c r="U61" s="237"/>
    </row>
    <row r="62" spans="1:21" s="238" customFormat="1">
      <c r="A62" s="249" t="s">
        <v>530</v>
      </c>
      <c r="B62" s="240">
        <f>SUM(C62:D62)</f>
        <v>22199621.217698246</v>
      </c>
      <c r="C62" s="240">
        <f t="shared" ref="C62:R62" si="15">SUM(C8+C11+C13+C14+C15+C26+C27+C38+C42+C43+C53+C61)</f>
        <v>22199621.217698246</v>
      </c>
      <c r="D62" s="240">
        <f t="shared" si="15"/>
        <v>0</v>
      </c>
      <c r="E62" s="240">
        <f t="shared" si="15"/>
        <v>15864399.672698246</v>
      </c>
      <c r="F62" s="240">
        <f t="shared" si="15"/>
        <v>1370000</v>
      </c>
      <c r="G62" s="240">
        <f t="shared" si="15"/>
        <v>400000</v>
      </c>
      <c r="H62" s="240">
        <f t="shared" si="15"/>
        <v>4400310</v>
      </c>
      <c r="I62" s="240">
        <f t="shared" si="15"/>
        <v>0</v>
      </c>
      <c r="J62" s="240">
        <f t="shared" si="15"/>
        <v>164911.54500000001</v>
      </c>
      <c r="K62" s="240">
        <f t="shared" si="15"/>
        <v>0</v>
      </c>
      <c r="L62" s="240">
        <f t="shared" si="15"/>
        <v>0</v>
      </c>
      <c r="M62" s="240">
        <f t="shared" si="15"/>
        <v>0</v>
      </c>
      <c r="N62" s="240">
        <f t="shared" si="15"/>
        <v>0</v>
      </c>
      <c r="O62" s="240">
        <f t="shared" si="15"/>
        <v>0</v>
      </c>
      <c r="P62" s="240">
        <f>SUM(P8+P11+P13+P14+P15+P26+P27+P38+P42+P43+P53+P61)</f>
        <v>0</v>
      </c>
      <c r="Q62" s="240" t="e">
        <f>SUM(Q8+Q11+#REF!+Q13+Q15+Q26+Q27+Q38+Q42+Q43+Q53+Q61)</f>
        <v>#REF!</v>
      </c>
      <c r="R62" s="240">
        <f t="shared" si="15"/>
        <v>22199621.217698246</v>
      </c>
      <c r="S62" s="240">
        <f>SUM(S10+S13+S14+S15+S26+S27+S38+S42+S43+S53)</f>
        <v>20043345.827764295</v>
      </c>
      <c r="T62" s="240">
        <f>SUM(T11+T13+T14+T15+T26+T27+T38+T42+T43+T53)</f>
        <v>0</v>
      </c>
      <c r="U62" s="237"/>
    </row>
    <row r="63" spans="1:21" s="238" customFormat="1" ht="23.6">
      <c r="A63" s="235" t="s">
        <v>2053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65000</v>
      </c>
      <c r="C64" s="241">
        <v>65000</v>
      </c>
      <c r="D64" s="241"/>
      <c r="E64" s="241">
        <v>65000</v>
      </c>
      <c r="F64" s="241"/>
      <c r="G64" s="241"/>
      <c r="H64" s="241"/>
      <c r="I64" s="241"/>
      <c r="J64" s="241"/>
      <c r="K64" s="241"/>
      <c r="L64" s="241"/>
      <c r="M64" s="241"/>
      <c r="N64" s="241"/>
      <c r="O64" s="241"/>
      <c r="P64" s="241"/>
      <c r="Q64" s="241"/>
      <c r="R64" s="241">
        <v>65000</v>
      </c>
      <c r="S64" s="241">
        <v>37500</v>
      </c>
      <c r="T64" s="241"/>
      <c r="U64" s="237"/>
    </row>
    <row r="65" spans="1:21" s="238" customFormat="1" ht="23.6">
      <c r="A65" s="239" t="s">
        <v>2054</v>
      </c>
      <c r="B65" s="240">
        <f>SUM(C65+D65)</f>
        <v>100000</v>
      </c>
      <c r="C65" s="241">
        <v>100000</v>
      </c>
      <c r="D65" s="241"/>
      <c r="E65" s="241">
        <v>100000</v>
      </c>
      <c r="F65" s="241"/>
      <c r="G65" s="241"/>
      <c r="H65" s="241"/>
      <c r="I65" s="241"/>
      <c r="J65" s="241"/>
      <c r="K65" s="241"/>
      <c r="L65" s="241"/>
      <c r="M65" s="241"/>
      <c r="N65" s="241"/>
      <c r="O65" s="241"/>
      <c r="P65" s="241"/>
      <c r="Q65" s="241"/>
      <c r="R65" s="241">
        <v>100000</v>
      </c>
      <c r="S65" s="241">
        <v>100000</v>
      </c>
      <c r="T65" s="241"/>
      <c r="U65" s="237"/>
    </row>
    <row r="66" spans="1:21" s="238" customFormat="1" ht="23.6">
      <c r="A66" s="239" t="s">
        <v>2055</v>
      </c>
      <c r="B66" s="240">
        <f>SUM(C66+D66)</f>
        <v>175000</v>
      </c>
      <c r="C66" s="241">
        <v>175000</v>
      </c>
      <c r="D66" s="241"/>
      <c r="E66" s="241">
        <v>175000</v>
      </c>
      <c r="F66" s="241"/>
      <c r="G66" s="241"/>
      <c r="H66" s="241"/>
      <c r="I66" s="241"/>
      <c r="J66" s="241"/>
      <c r="K66" s="241"/>
      <c r="L66" s="241"/>
      <c r="M66" s="241"/>
      <c r="N66" s="241"/>
      <c r="O66" s="241"/>
      <c r="P66" s="241"/>
      <c r="Q66" s="241"/>
      <c r="R66" s="241">
        <v>175000</v>
      </c>
      <c r="S66" s="241">
        <v>175000</v>
      </c>
      <c r="T66" s="241"/>
      <c r="U66" s="237"/>
    </row>
    <row r="67" spans="1:21" s="238" customFormat="1">
      <c r="A67" s="239" t="s">
        <v>2056</v>
      </c>
      <c r="B67" s="240">
        <f>SUM(C67+D67)</f>
        <v>0</v>
      </c>
      <c r="C67" s="241"/>
      <c r="D67" s="241"/>
      <c r="E67" s="241"/>
      <c r="F67" s="241"/>
      <c r="G67" s="241"/>
      <c r="H67" s="241"/>
      <c r="I67" s="241"/>
      <c r="J67" s="241"/>
      <c r="K67" s="241"/>
      <c r="L67" s="241"/>
      <c r="M67" s="241"/>
      <c r="N67" s="241"/>
      <c r="O67" s="241"/>
      <c r="P67" s="241"/>
      <c r="Q67" s="241"/>
      <c r="R67" s="241">
        <v>0</v>
      </c>
      <c r="S67" s="241">
        <v>0</v>
      </c>
      <c r="T67" s="241"/>
      <c r="U67" s="237"/>
    </row>
    <row r="68" spans="1:21" s="238" customFormat="1">
      <c r="A68" s="246" t="s">
        <v>2505</v>
      </c>
      <c r="B68" s="240">
        <f>SUM(C68+D68)</f>
        <v>162975.15000000002</v>
      </c>
      <c r="C68" s="241">
        <v>162975.15000000002</v>
      </c>
      <c r="D68" s="241"/>
      <c r="E68" s="241">
        <v>162975.15000000002</v>
      </c>
      <c r="F68" s="241"/>
      <c r="G68" s="241"/>
      <c r="H68" s="241"/>
      <c r="I68" s="241"/>
      <c r="J68" s="241"/>
      <c r="K68" s="241"/>
      <c r="L68" s="241"/>
      <c r="M68" s="241"/>
      <c r="N68" s="241"/>
      <c r="O68" s="241"/>
      <c r="P68" s="241"/>
      <c r="Q68" s="241"/>
      <c r="R68" s="241">
        <v>162975.15000000002</v>
      </c>
      <c r="S68" s="241">
        <v>53781.799500000008</v>
      </c>
      <c r="T68" s="241"/>
      <c r="U68" s="237"/>
    </row>
    <row r="69" spans="1:21" s="238" customFormat="1">
      <c r="A69" s="243" t="s">
        <v>2057</v>
      </c>
      <c r="B69" s="240">
        <f>SUM(C69:D69)</f>
        <v>502975.15</v>
      </c>
      <c r="C69" s="240">
        <f>SUM(C63:C68)</f>
        <v>502975.15</v>
      </c>
      <c r="D69" s="240">
        <f>SUM(D63:D68)</f>
        <v>0</v>
      </c>
      <c r="E69" s="240">
        <f t="shared" ref="E69:T69" si="16">SUM(E64:E68)</f>
        <v>502975.15</v>
      </c>
      <c r="F69" s="240">
        <f t="shared" si="16"/>
        <v>0</v>
      </c>
      <c r="G69" s="240">
        <f t="shared" si="16"/>
        <v>0</v>
      </c>
      <c r="H69" s="240">
        <f t="shared" si="16"/>
        <v>0</v>
      </c>
      <c r="I69" s="240">
        <f t="shared" si="16"/>
        <v>0</v>
      </c>
      <c r="J69" s="240">
        <f t="shared" si="16"/>
        <v>0</v>
      </c>
      <c r="K69" s="240">
        <f t="shared" si="16"/>
        <v>0</v>
      </c>
      <c r="L69" s="240">
        <f t="shared" si="16"/>
        <v>0</v>
      </c>
      <c r="M69" s="240">
        <f t="shared" si="16"/>
        <v>0</v>
      </c>
      <c r="N69" s="240">
        <f t="shared" si="16"/>
        <v>0</v>
      </c>
      <c r="O69" s="240">
        <f t="shared" si="16"/>
        <v>0</v>
      </c>
      <c r="P69" s="240">
        <f t="shared" si="16"/>
        <v>0</v>
      </c>
      <c r="Q69" s="240">
        <f t="shared" si="16"/>
        <v>0</v>
      </c>
      <c r="R69" s="240">
        <f t="shared" si="16"/>
        <v>502975.15</v>
      </c>
      <c r="S69" s="244">
        <f t="shared" si="16"/>
        <v>366281.79950000002</v>
      </c>
      <c r="T69" s="244">
        <f t="shared" si="16"/>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c r="F71" s="241"/>
      <c r="G71" s="241"/>
      <c r="H71" s="241"/>
      <c r="I71" s="241"/>
      <c r="J71" s="241"/>
      <c r="K71" s="241"/>
      <c r="L71" s="241"/>
      <c r="M71" s="241"/>
      <c r="N71" s="241"/>
      <c r="O71" s="241"/>
      <c r="P71" s="241"/>
      <c r="Q71" s="241"/>
      <c r="R71" s="241">
        <v>0</v>
      </c>
      <c r="S71" s="242"/>
      <c r="T71" s="242"/>
      <c r="U71" s="237"/>
    </row>
    <row r="72" spans="1:21" s="238" customFormat="1">
      <c r="A72" s="239" t="s">
        <v>302</v>
      </c>
      <c r="B72" s="240">
        <f>SUM(C72+D72)</f>
        <v>0</v>
      </c>
      <c r="C72" s="241"/>
      <c r="D72" s="241"/>
      <c r="E72" s="241"/>
      <c r="F72" s="241"/>
      <c r="G72" s="241"/>
      <c r="H72" s="241"/>
      <c r="I72" s="241"/>
      <c r="J72" s="241"/>
      <c r="K72" s="241"/>
      <c r="L72" s="241"/>
      <c r="M72" s="241"/>
      <c r="N72" s="241"/>
      <c r="O72" s="241"/>
      <c r="P72" s="241"/>
      <c r="Q72" s="241"/>
      <c r="R72" s="241">
        <v>0</v>
      </c>
      <c r="S72" s="242"/>
      <c r="T72" s="242"/>
      <c r="U72" s="237"/>
    </row>
    <row r="73" spans="1:21" s="238" customFormat="1">
      <c r="A73" s="469" t="s">
        <v>1292</v>
      </c>
      <c r="B73" s="240">
        <f>SUM(C73+D73)</f>
        <v>0</v>
      </c>
      <c r="C73" s="241"/>
      <c r="D73" s="241"/>
      <c r="E73" s="241"/>
      <c r="F73" s="241"/>
      <c r="G73" s="241"/>
      <c r="H73" s="241"/>
      <c r="I73" s="241"/>
      <c r="J73" s="241"/>
      <c r="K73" s="241"/>
      <c r="L73" s="241"/>
      <c r="M73" s="241"/>
      <c r="N73" s="241"/>
      <c r="O73" s="241"/>
      <c r="P73" s="241"/>
      <c r="Q73" s="241"/>
      <c r="R73" s="241">
        <v>0</v>
      </c>
      <c r="S73" s="242"/>
      <c r="T73" s="242"/>
      <c r="U73" s="237"/>
    </row>
    <row r="74" spans="1:21" s="238" customFormat="1">
      <c r="A74" s="239" t="s">
        <v>303</v>
      </c>
      <c r="B74" s="240">
        <f>SUM(C74+D74)</f>
        <v>116258.07943215885</v>
      </c>
      <c r="C74" s="241">
        <v>116258.07943215885</v>
      </c>
      <c r="D74" s="241"/>
      <c r="E74" s="241">
        <v>116258.07943215885</v>
      </c>
      <c r="F74" s="241"/>
      <c r="G74" s="241"/>
      <c r="H74" s="241"/>
      <c r="I74" s="241"/>
      <c r="J74" s="241"/>
      <c r="K74" s="241"/>
      <c r="L74" s="241"/>
      <c r="M74" s="241"/>
      <c r="N74" s="241"/>
      <c r="O74" s="241"/>
      <c r="P74" s="241"/>
      <c r="Q74" s="241"/>
      <c r="R74" s="241">
        <v>116258.07943215885</v>
      </c>
      <c r="S74" s="242"/>
      <c r="T74" s="242"/>
      <c r="U74" s="237"/>
    </row>
    <row r="75" spans="1:21" s="238" customFormat="1">
      <c r="A75" s="246" t="s">
        <v>564</v>
      </c>
      <c r="B75" s="240">
        <f>SUM(C75+D75)</f>
        <v>0</v>
      </c>
      <c r="C75" s="241"/>
      <c r="D75" s="241"/>
      <c r="E75" s="241"/>
      <c r="F75" s="241"/>
      <c r="G75" s="241"/>
      <c r="H75" s="241"/>
      <c r="I75" s="241"/>
      <c r="J75" s="241"/>
      <c r="K75" s="241"/>
      <c r="L75" s="241"/>
      <c r="M75" s="241"/>
      <c r="N75" s="241"/>
      <c r="O75" s="241"/>
      <c r="P75" s="241"/>
      <c r="Q75" s="241"/>
      <c r="R75" s="241">
        <v>0</v>
      </c>
      <c r="S75" s="242"/>
      <c r="T75" s="242"/>
      <c r="U75" s="237"/>
    </row>
    <row r="76" spans="1:21" s="238" customFormat="1">
      <c r="A76" s="243" t="s">
        <v>304</v>
      </c>
      <c r="B76" s="240">
        <f>SUM(C76:D76)</f>
        <v>116258.07943215885</v>
      </c>
      <c r="C76" s="240">
        <f t="shared" ref="C76:Q76" si="17">SUM(C71:C75)</f>
        <v>116258.07943215885</v>
      </c>
      <c r="D76" s="240">
        <f t="shared" si="17"/>
        <v>0</v>
      </c>
      <c r="E76" s="240">
        <f>SUM(E71:E75)</f>
        <v>116258.07943215885</v>
      </c>
      <c r="F76" s="240">
        <f>SUM(F71:F75)</f>
        <v>0</v>
      </c>
      <c r="G76" s="240">
        <f>SUM(G71:G75)</f>
        <v>0</v>
      </c>
      <c r="H76" s="240">
        <f t="shared" si="17"/>
        <v>0</v>
      </c>
      <c r="I76" s="240">
        <f t="shared" si="17"/>
        <v>0</v>
      </c>
      <c r="J76" s="240">
        <f t="shared" si="17"/>
        <v>0</v>
      </c>
      <c r="K76" s="240">
        <f t="shared" si="17"/>
        <v>0</v>
      </c>
      <c r="L76" s="240">
        <f t="shared" si="17"/>
        <v>0</v>
      </c>
      <c r="M76" s="240">
        <f t="shared" si="17"/>
        <v>0</v>
      </c>
      <c r="N76" s="240">
        <f t="shared" si="17"/>
        <v>0</v>
      </c>
      <c r="O76" s="240">
        <f t="shared" si="17"/>
        <v>0</v>
      </c>
      <c r="P76" s="240">
        <f t="shared" si="17"/>
        <v>0</v>
      </c>
      <c r="Q76" s="240">
        <f t="shared" si="17"/>
        <v>0</v>
      </c>
      <c r="R76" s="240">
        <f>SUM(R71:R75)</f>
        <v>116258.07943215885</v>
      </c>
      <c r="S76" s="242"/>
      <c r="T76" s="242"/>
      <c r="U76" s="237"/>
    </row>
    <row r="77" spans="1:21" s="238" customFormat="1" ht="11.8" customHeight="1">
      <c r="A77" s="235" t="s">
        <v>1820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1818</v>
      </c>
      <c r="B78" s="240">
        <f>SUM(C78+D78)</f>
        <v>897345.61042000004</v>
      </c>
      <c r="C78" s="241">
        <v>897345.61042000004</v>
      </c>
      <c r="D78" s="241"/>
      <c r="E78" s="241">
        <v>897345.61042000004</v>
      </c>
      <c r="F78" s="241"/>
      <c r="G78" s="241"/>
      <c r="H78" s="241"/>
      <c r="I78" s="241"/>
      <c r="J78" s="241"/>
      <c r="K78" s="241"/>
      <c r="L78" s="241"/>
      <c r="M78" s="241"/>
      <c r="N78" s="241"/>
      <c r="O78" s="241"/>
      <c r="P78" s="241"/>
      <c r="Q78" s="241"/>
      <c r="R78" s="241">
        <v>897345.61042000004</v>
      </c>
      <c r="S78" s="241">
        <v>897345.61042000004</v>
      </c>
      <c r="T78" s="241"/>
      <c r="U78" s="237"/>
    </row>
    <row r="79" spans="1:21" s="238" customFormat="1">
      <c r="A79" s="239" t="s">
        <v>569</v>
      </c>
      <c r="B79" s="240">
        <f>SUM(C79+D79)</f>
        <v>210311.77761081324</v>
      </c>
      <c r="C79" s="241">
        <v>210311.77761081324</v>
      </c>
      <c r="D79" s="241"/>
      <c r="E79" s="241">
        <v>210311.77761081324</v>
      </c>
      <c r="F79" s="241"/>
      <c r="G79" s="241"/>
      <c r="H79" s="241"/>
      <c r="I79" s="241"/>
      <c r="J79" s="241"/>
      <c r="K79" s="241"/>
      <c r="L79" s="241"/>
      <c r="M79" s="241"/>
      <c r="N79" s="241"/>
      <c r="O79" s="241"/>
      <c r="P79" s="241"/>
      <c r="Q79" s="241"/>
      <c r="R79" s="241">
        <v>210311.77761081324</v>
      </c>
      <c r="S79" s="241">
        <v>210311.77761081324</v>
      </c>
      <c r="T79" s="241"/>
      <c r="U79" s="237"/>
    </row>
    <row r="80" spans="1:21" s="238" customFormat="1">
      <c r="A80" s="243" t="s">
        <v>1819</v>
      </c>
      <c r="B80" s="240">
        <f>SUM(C80:D80)</f>
        <v>1107657.3880308133</v>
      </c>
      <c r="C80" s="681">
        <f>SUM(C78:C79)</f>
        <v>1107657.3880308133</v>
      </c>
      <c r="D80" s="681">
        <f t="shared" ref="D80:R80" si="18">SUM(D78:D79)</f>
        <v>0</v>
      </c>
      <c r="E80" s="681">
        <f t="shared" si="18"/>
        <v>1107657.3880308133</v>
      </c>
      <c r="F80" s="681">
        <f t="shared" si="18"/>
        <v>0</v>
      </c>
      <c r="G80" s="681">
        <f t="shared" si="18"/>
        <v>0</v>
      </c>
      <c r="H80" s="681">
        <f t="shared" si="18"/>
        <v>0</v>
      </c>
      <c r="I80" s="681">
        <f t="shared" si="18"/>
        <v>0</v>
      </c>
      <c r="J80" s="681">
        <f t="shared" si="18"/>
        <v>0</v>
      </c>
      <c r="K80" s="681">
        <f t="shared" si="18"/>
        <v>0</v>
      </c>
      <c r="L80" s="681">
        <f t="shared" si="18"/>
        <v>0</v>
      </c>
      <c r="M80" s="681">
        <f t="shared" si="18"/>
        <v>0</v>
      </c>
      <c r="N80" s="681">
        <f t="shared" si="18"/>
        <v>0</v>
      </c>
      <c r="O80" s="681">
        <f t="shared" si="18"/>
        <v>0</v>
      </c>
      <c r="P80" s="681">
        <f t="shared" si="18"/>
        <v>0</v>
      </c>
      <c r="Q80" s="681">
        <f t="shared" si="18"/>
        <v>0</v>
      </c>
      <c r="R80" s="681">
        <f t="shared" si="18"/>
        <v>1107657.3880308133</v>
      </c>
      <c r="S80" s="681">
        <f>SUM(S78:S79)</f>
        <v>1107657.3880308133</v>
      </c>
      <c r="T80" s="681">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2240</v>
      </c>
      <c r="B82" s="240">
        <f>SUM(C82+D82)</f>
        <v>115411.41970558871</v>
      </c>
      <c r="C82" s="241">
        <v>115411.41970558871</v>
      </c>
      <c r="D82" s="241"/>
      <c r="E82" s="241">
        <v>115411.41970558871</v>
      </c>
      <c r="F82" s="241"/>
      <c r="G82" s="241"/>
      <c r="H82" s="241"/>
      <c r="I82" s="241"/>
      <c r="J82" s="241"/>
      <c r="K82" s="241"/>
      <c r="L82" s="241"/>
      <c r="M82" s="241"/>
      <c r="N82" s="241"/>
      <c r="O82" s="241"/>
      <c r="P82" s="241"/>
      <c r="Q82" s="241"/>
      <c r="R82" s="241">
        <v>115411.41970558871</v>
      </c>
      <c r="S82" s="242"/>
      <c r="T82" s="242"/>
      <c r="U82" s="237"/>
    </row>
    <row r="83" spans="1:21" s="238" customFormat="1">
      <c r="A83" s="239" t="s">
        <v>547</v>
      </c>
      <c r="B83" s="240">
        <f t="shared" ref="B83:B93" si="19">SUM(C83+D83)</f>
        <v>12000</v>
      </c>
      <c r="C83" s="241">
        <v>12000</v>
      </c>
      <c r="D83" s="241"/>
      <c r="E83" s="241">
        <v>12000</v>
      </c>
      <c r="F83" s="241"/>
      <c r="G83" s="241"/>
      <c r="H83" s="241"/>
      <c r="I83" s="241"/>
      <c r="J83" s="241"/>
      <c r="K83" s="241"/>
      <c r="L83" s="241"/>
      <c r="M83" s="241"/>
      <c r="N83" s="241"/>
      <c r="O83" s="241"/>
      <c r="P83" s="241"/>
      <c r="Q83" s="241"/>
      <c r="R83" s="241">
        <v>12000</v>
      </c>
      <c r="S83" s="241">
        <f>R83</f>
        <v>12000</v>
      </c>
      <c r="T83" s="241"/>
      <c r="U83" s="237"/>
    </row>
    <row r="84" spans="1:21" s="238" customFormat="1">
      <c r="A84" s="239" t="s">
        <v>548</v>
      </c>
      <c r="B84" s="240">
        <f t="shared" si="19"/>
        <v>673345</v>
      </c>
      <c r="C84" s="241">
        <v>673345</v>
      </c>
      <c r="D84" s="241"/>
      <c r="E84" s="241">
        <v>673345</v>
      </c>
      <c r="F84" s="241"/>
      <c r="G84" s="241"/>
      <c r="H84" s="241"/>
      <c r="I84" s="241"/>
      <c r="J84" s="241"/>
      <c r="K84" s="241"/>
      <c r="L84" s="241"/>
      <c r="M84" s="241"/>
      <c r="N84" s="241"/>
      <c r="O84" s="241"/>
      <c r="P84" s="241"/>
      <c r="Q84" s="241"/>
      <c r="R84" s="241">
        <v>673345</v>
      </c>
      <c r="S84" s="241">
        <f t="shared" ref="S84:S86" si="20">R84</f>
        <v>673345</v>
      </c>
      <c r="T84" s="241"/>
      <c r="U84" s="237"/>
    </row>
    <row r="85" spans="1:21" s="238" customFormat="1">
      <c r="A85" s="239" t="s">
        <v>549</v>
      </c>
      <c r="B85" s="240">
        <f t="shared" si="19"/>
        <v>319000</v>
      </c>
      <c r="C85" s="241">
        <v>319000</v>
      </c>
      <c r="D85" s="241"/>
      <c r="E85" s="241">
        <v>319000</v>
      </c>
      <c r="F85" s="241"/>
      <c r="G85" s="241"/>
      <c r="H85" s="241"/>
      <c r="I85" s="241"/>
      <c r="J85" s="241"/>
      <c r="K85" s="241"/>
      <c r="L85" s="241"/>
      <c r="M85" s="241"/>
      <c r="N85" s="241"/>
      <c r="O85" s="241"/>
      <c r="P85" s="241"/>
      <c r="Q85" s="241"/>
      <c r="R85" s="241">
        <v>319000</v>
      </c>
      <c r="S85" s="241">
        <f t="shared" si="20"/>
        <v>319000</v>
      </c>
      <c r="T85" s="241"/>
      <c r="U85" s="237"/>
    </row>
    <row r="86" spans="1:21" s="238" customFormat="1">
      <c r="A86" s="239" t="s">
        <v>550</v>
      </c>
      <c r="B86" s="240">
        <f t="shared" si="19"/>
        <v>0</v>
      </c>
      <c r="C86" s="241"/>
      <c r="D86" s="241"/>
      <c r="E86" s="241"/>
      <c r="F86" s="241"/>
      <c r="G86" s="241"/>
      <c r="H86" s="241"/>
      <c r="I86" s="241"/>
      <c r="J86" s="241"/>
      <c r="K86" s="241"/>
      <c r="L86" s="241"/>
      <c r="M86" s="241"/>
      <c r="N86" s="241"/>
      <c r="O86" s="241"/>
      <c r="P86" s="241"/>
      <c r="Q86" s="241"/>
      <c r="R86" s="241">
        <v>0</v>
      </c>
      <c r="S86" s="241">
        <f t="shared" si="20"/>
        <v>0</v>
      </c>
      <c r="T86" s="241"/>
      <c r="U86" s="237"/>
    </row>
    <row r="87" spans="1:21" s="238" customFormat="1">
      <c r="A87" s="239" t="s">
        <v>551</v>
      </c>
      <c r="B87" s="240">
        <f t="shared" si="19"/>
        <v>45060</v>
      </c>
      <c r="C87" s="241">
        <v>45060</v>
      </c>
      <c r="D87" s="241"/>
      <c r="E87" s="241">
        <v>45060</v>
      </c>
      <c r="F87" s="241"/>
      <c r="G87" s="241"/>
      <c r="H87" s="241"/>
      <c r="I87" s="241"/>
      <c r="J87" s="241"/>
      <c r="K87" s="241"/>
      <c r="L87" s="241"/>
      <c r="M87" s="241"/>
      <c r="N87" s="241"/>
      <c r="O87" s="241"/>
      <c r="P87" s="241"/>
      <c r="Q87" s="241"/>
      <c r="R87" s="241">
        <v>45060</v>
      </c>
      <c r="S87" s="242"/>
      <c r="T87" s="242"/>
      <c r="U87" s="237"/>
    </row>
    <row r="88" spans="1:21" s="238" customFormat="1">
      <c r="A88" s="239" t="s">
        <v>552</v>
      </c>
      <c r="B88" s="240">
        <f t="shared" si="19"/>
        <v>0</v>
      </c>
      <c r="C88" s="241"/>
      <c r="D88" s="241"/>
      <c r="E88" s="241"/>
      <c r="F88" s="241"/>
      <c r="G88" s="241"/>
      <c r="H88" s="241"/>
      <c r="I88" s="241"/>
      <c r="J88" s="241"/>
      <c r="K88" s="241"/>
      <c r="L88" s="241"/>
      <c r="M88" s="241"/>
      <c r="N88" s="241"/>
      <c r="O88" s="241"/>
      <c r="P88" s="241"/>
      <c r="Q88" s="241"/>
      <c r="R88" s="241">
        <v>0</v>
      </c>
      <c r="S88" s="241">
        <f>R88</f>
        <v>0</v>
      </c>
      <c r="T88" s="241"/>
      <c r="U88" s="237"/>
    </row>
    <row r="89" spans="1:21" s="238" customFormat="1">
      <c r="A89" s="239" t="s">
        <v>553</v>
      </c>
      <c r="B89" s="240">
        <f t="shared" si="19"/>
        <v>19598.34</v>
      </c>
      <c r="C89" s="241">
        <v>19598.34</v>
      </c>
      <c r="D89" s="241"/>
      <c r="E89" s="241">
        <v>19598.34</v>
      </c>
      <c r="F89" s="241"/>
      <c r="G89" s="241"/>
      <c r="H89" s="241"/>
      <c r="I89" s="241"/>
      <c r="J89" s="241"/>
      <c r="K89" s="241"/>
      <c r="L89" s="241"/>
      <c r="M89" s="241"/>
      <c r="N89" s="241"/>
      <c r="O89" s="241"/>
      <c r="P89" s="241"/>
      <c r="Q89" s="241"/>
      <c r="R89" s="241">
        <v>19598.34</v>
      </c>
      <c r="S89" s="241">
        <f t="shared" ref="S89:S94" si="21">R89</f>
        <v>19598.34</v>
      </c>
      <c r="T89" s="241"/>
      <c r="U89" s="237"/>
    </row>
    <row r="90" spans="1:21" s="238" customFormat="1">
      <c r="A90" s="250" t="s">
        <v>1368</v>
      </c>
      <c r="B90" s="240">
        <f t="shared" si="19"/>
        <v>25500</v>
      </c>
      <c r="C90" s="241">
        <v>25500</v>
      </c>
      <c r="D90" s="241"/>
      <c r="E90" s="241">
        <v>25500</v>
      </c>
      <c r="F90" s="241"/>
      <c r="G90" s="241"/>
      <c r="H90" s="241"/>
      <c r="I90" s="241"/>
      <c r="J90" s="241"/>
      <c r="K90" s="241"/>
      <c r="L90" s="241"/>
      <c r="M90" s="241"/>
      <c r="N90" s="241"/>
      <c r="O90" s="241"/>
      <c r="P90" s="241"/>
      <c r="Q90" s="241"/>
      <c r="R90" s="241">
        <v>25500</v>
      </c>
      <c r="S90" s="241">
        <f t="shared" si="21"/>
        <v>25500</v>
      </c>
      <c r="T90" s="241"/>
      <c r="U90" s="237"/>
    </row>
    <row r="91" spans="1:21" s="238" customFormat="1">
      <c r="A91" s="250" t="s">
        <v>1817</v>
      </c>
      <c r="B91" s="240">
        <f t="shared" si="19"/>
        <v>17000</v>
      </c>
      <c r="C91" s="241">
        <v>17000</v>
      </c>
      <c r="D91" s="241"/>
      <c r="E91" s="241">
        <v>17000</v>
      </c>
      <c r="F91" s="241"/>
      <c r="G91" s="241"/>
      <c r="H91" s="241"/>
      <c r="I91" s="241"/>
      <c r="J91" s="241"/>
      <c r="K91" s="241"/>
      <c r="L91" s="241"/>
      <c r="M91" s="241"/>
      <c r="N91" s="241"/>
      <c r="O91" s="241"/>
      <c r="P91" s="241"/>
      <c r="Q91" s="241"/>
      <c r="R91" s="241">
        <v>17000</v>
      </c>
      <c r="S91" s="241">
        <f t="shared" si="21"/>
        <v>17000</v>
      </c>
      <c r="T91" s="241"/>
      <c r="U91" s="237"/>
    </row>
    <row r="92" spans="1:21" s="238" customFormat="1">
      <c r="A92" s="246" t="s">
        <v>2506</v>
      </c>
      <c r="B92" s="240">
        <f t="shared" si="19"/>
        <v>25000</v>
      </c>
      <c r="C92" s="241">
        <v>25000</v>
      </c>
      <c r="D92" s="241"/>
      <c r="E92" s="241">
        <v>25000</v>
      </c>
      <c r="F92" s="241"/>
      <c r="G92" s="241"/>
      <c r="H92" s="241"/>
      <c r="I92" s="241"/>
      <c r="J92" s="241"/>
      <c r="K92" s="241"/>
      <c r="L92" s="241"/>
      <c r="M92" s="241"/>
      <c r="N92" s="241"/>
      <c r="O92" s="241"/>
      <c r="P92" s="241"/>
      <c r="Q92" s="241"/>
      <c r="R92" s="241">
        <v>25000</v>
      </c>
      <c r="S92" s="241"/>
      <c r="T92" s="241"/>
      <c r="U92" s="237"/>
    </row>
    <row r="93" spans="1:21" s="238" customFormat="1">
      <c r="A93" s="246" t="s">
        <v>2509</v>
      </c>
      <c r="B93" s="240">
        <f t="shared" si="19"/>
        <v>0</v>
      </c>
      <c r="C93" s="241">
        <v>0</v>
      </c>
      <c r="D93" s="241"/>
      <c r="E93" s="241">
        <v>0</v>
      </c>
      <c r="F93" s="241"/>
      <c r="G93" s="241"/>
      <c r="H93" s="241"/>
      <c r="I93" s="241"/>
      <c r="J93" s="241"/>
      <c r="K93" s="241"/>
      <c r="L93" s="241"/>
      <c r="M93" s="241"/>
      <c r="N93" s="241"/>
      <c r="O93" s="241"/>
      <c r="P93" s="241"/>
      <c r="Q93" s="241"/>
      <c r="R93" s="241">
        <v>0</v>
      </c>
      <c r="S93" s="241">
        <f t="shared" si="21"/>
        <v>0</v>
      </c>
      <c r="T93" s="241"/>
      <c r="U93" s="237"/>
    </row>
    <row r="94" spans="1:21" s="238" customFormat="1">
      <c r="A94" s="246" t="s">
        <v>2509</v>
      </c>
      <c r="B94" s="240">
        <f>SUM(C94+D94)</f>
        <v>0</v>
      </c>
      <c r="C94" s="241"/>
      <c r="D94" s="241"/>
      <c r="E94" s="241">
        <v>0</v>
      </c>
      <c r="F94" s="241"/>
      <c r="G94" s="241"/>
      <c r="H94" s="241"/>
      <c r="I94" s="241"/>
      <c r="J94" s="241"/>
      <c r="K94" s="241"/>
      <c r="L94" s="241"/>
      <c r="M94" s="241"/>
      <c r="N94" s="241"/>
      <c r="O94" s="241"/>
      <c r="P94" s="241"/>
      <c r="Q94" s="241"/>
      <c r="R94" s="241">
        <v>0</v>
      </c>
      <c r="S94" s="241">
        <f t="shared" si="21"/>
        <v>0</v>
      </c>
      <c r="T94" s="241"/>
      <c r="U94" s="237"/>
    </row>
    <row r="95" spans="1:21" s="238" customFormat="1">
      <c r="A95" s="243" t="s">
        <v>554</v>
      </c>
      <c r="B95" s="240">
        <f>SUM(C95:D95)</f>
        <v>1251914.7597055889</v>
      </c>
      <c r="C95" s="240">
        <f t="shared" ref="C95:R95" si="22">SUM(C82:C94)</f>
        <v>1251914.7597055889</v>
      </c>
      <c r="D95" s="240">
        <f t="shared" si="22"/>
        <v>0</v>
      </c>
      <c r="E95" s="240">
        <f t="shared" si="22"/>
        <v>1251914.7597055889</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1251914.7597055889</v>
      </c>
      <c r="S95" s="244">
        <f>SUM(S83:S86,S88:S94)</f>
        <v>1066443.3399999999</v>
      </c>
      <c r="T95" s="240">
        <f>SUM(T83:T86,T88:T94)</f>
        <v>0</v>
      </c>
      <c r="U95" s="237"/>
    </row>
    <row r="96" spans="1:21" s="238" customFormat="1">
      <c r="A96" s="243" t="s">
        <v>555</v>
      </c>
      <c r="B96" s="240">
        <f>SUM(C96:D96)</f>
        <v>25178426.594866805</v>
      </c>
      <c r="C96" s="240">
        <f t="shared" ref="C96:R96" si="23">SUM(C62+C69+C76+C80+C95)</f>
        <v>25178426.594866805</v>
      </c>
      <c r="D96" s="240">
        <f t="shared" si="23"/>
        <v>0</v>
      </c>
      <c r="E96" s="240">
        <f t="shared" si="23"/>
        <v>18843205.049866807</v>
      </c>
      <c r="F96" s="240">
        <f t="shared" si="23"/>
        <v>1370000</v>
      </c>
      <c r="G96" s="240">
        <f t="shared" si="23"/>
        <v>400000</v>
      </c>
      <c r="H96" s="240">
        <f t="shared" si="23"/>
        <v>4400310</v>
      </c>
      <c r="I96" s="240">
        <f t="shared" si="23"/>
        <v>0</v>
      </c>
      <c r="J96" s="240">
        <f t="shared" si="23"/>
        <v>164911.54500000001</v>
      </c>
      <c r="K96" s="240">
        <f t="shared" si="23"/>
        <v>0</v>
      </c>
      <c r="L96" s="240">
        <f t="shared" si="23"/>
        <v>0</v>
      </c>
      <c r="M96" s="240">
        <f t="shared" si="23"/>
        <v>0</v>
      </c>
      <c r="N96" s="240">
        <f t="shared" si="23"/>
        <v>0</v>
      </c>
      <c r="O96" s="240">
        <f t="shared" si="23"/>
        <v>0</v>
      </c>
      <c r="P96" s="240">
        <f t="shared" si="23"/>
        <v>0</v>
      </c>
      <c r="Q96" s="240" t="e">
        <f t="shared" si="23"/>
        <v>#REF!</v>
      </c>
      <c r="R96" s="240">
        <f t="shared" si="23"/>
        <v>25178426.594866805</v>
      </c>
      <c r="S96" s="244">
        <f>SUM(+S62+S69+S80+S95)</f>
        <v>22583728.355295107</v>
      </c>
      <c r="T96" s="244">
        <f>SUM(T62+T69+T80+T95)</f>
        <v>0</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2200000</v>
      </c>
      <c r="C98" s="241">
        <v>2200000</v>
      </c>
      <c r="D98" s="241"/>
      <c r="E98" s="241">
        <v>2194451.353199102</v>
      </c>
      <c r="F98" s="241"/>
      <c r="G98" s="241"/>
      <c r="H98" s="241"/>
      <c r="I98" s="241">
        <v>5548.6468008980155</v>
      </c>
      <c r="J98" s="241"/>
      <c r="K98" s="241"/>
      <c r="L98" s="241"/>
      <c r="M98" s="241"/>
      <c r="N98" s="241"/>
      <c r="O98" s="241"/>
      <c r="P98" s="241"/>
      <c r="Q98" s="241"/>
      <c r="R98" s="241">
        <v>2200000</v>
      </c>
      <c r="S98" s="241">
        <v>2200000</v>
      </c>
      <c r="T98" s="241"/>
      <c r="U98" s="237"/>
    </row>
    <row r="99" spans="1:21" s="238" customFormat="1">
      <c r="A99" s="239" t="s">
        <v>2058</v>
      </c>
      <c r="B99" s="240">
        <f>SUM(C99+D99)</f>
        <v>0</v>
      </c>
      <c r="C99" s="241"/>
      <c r="D99" s="241"/>
      <c r="E99" s="241"/>
      <c r="F99" s="241"/>
      <c r="G99" s="241"/>
      <c r="H99" s="241"/>
      <c r="I99" s="241"/>
      <c r="J99" s="241"/>
      <c r="K99" s="241"/>
      <c r="L99" s="241"/>
      <c r="M99" s="241"/>
      <c r="N99" s="241"/>
      <c r="O99" s="241"/>
      <c r="P99" s="241"/>
      <c r="Q99" s="241"/>
      <c r="R99" s="241">
        <v>0</v>
      </c>
      <c r="S99" s="241"/>
      <c r="T99" s="241"/>
      <c r="U99" s="237"/>
    </row>
    <row r="100" spans="1:21" s="238" customFormat="1" ht="11.95"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v>0</v>
      </c>
      <c r="S100" s="241"/>
      <c r="T100" s="241"/>
      <c r="U100" s="237"/>
    </row>
    <row r="101" spans="1:21" s="238" customFormat="1">
      <c r="A101" s="239" t="s">
        <v>1293</v>
      </c>
      <c r="B101" s="240">
        <f>SUM(C101+D101)</f>
        <v>0</v>
      </c>
      <c r="C101" s="241"/>
      <c r="D101" s="241"/>
      <c r="E101" s="241"/>
      <c r="F101" s="241"/>
      <c r="G101" s="241"/>
      <c r="H101" s="241"/>
      <c r="I101" s="241"/>
      <c r="J101" s="241"/>
      <c r="K101" s="241"/>
      <c r="L101" s="241"/>
      <c r="M101" s="241"/>
      <c r="N101" s="241"/>
      <c r="O101" s="241"/>
      <c r="P101" s="241"/>
      <c r="Q101" s="241"/>
      <c r="R101" s="241">
        <v>0</v>
      </c>
      <c r="S101" s="241"/>
      <c r="T101" s="241"/>
      <c r="U101" s="237"/>
    </row>
    <row r="102" spans="1:21" s="238" customFormat="1">
      <c r="A102" s="246" t="s">
        <v>564</v>
      </c>
      <c r="B102" s="240">
        <f>SUM(C102+D102)</f>
        <v>0</v>
      </c>
      <c r="C102" s="241"/>
      <c r="D102" s="241"/>
      <c r="E102" s="241"/>
      <c r="F102" s="241"/>
      <c r="G102" s="241"/>
      <c r="H102" s="241"/>
      <c r="I102" s="241"/>
      <c r="J102" s="241"/>
      <c r="K102" s="241"/>
      <c r="L102" s="241"/>
      <c r="M102" s="241"/>
      <c r="N102" s="241"/>
      <c r="O102" s="241"/>
      <c r="P102" s="241"/>
      <c r="Q102" s="241"/>
      <c r="R102" s="241">
        <v>0</v>
      </c>
      <c r="S102" s="241"/>
      <c r="T102" s="241"/>
      <c r="U102" s="237"/>
    </row>
    <row r="103" spans="1:21" s="238" customFormat="1">
      <c r="A103" s="243" t="s">
        <v>559</v>
      </c>
      <c r="B103" s="240">
        <f>SUM(C103:D103)</f>
        <v>2200000</v>
      </c>
      <c r="C103" s="240">
        <f t="shared" ref="C103:T103" si="24">SUM(C98:C102)</f>
        <v>2200000</v>
      </c>
      <c r="D103" s="240">
        <f t="shared" si="24"/>
        <v>0</v>
      </c>
      <c r="E103" s="240">
        <f t="shared" si="24"/>
        <v>2194451.353199102</v>
      </c>
      <c r="F103" s="240">
        <f t="shared" si="24"/>
        <v>0</v>
      </c>
      <c r="G103" s="240">
        <f t="shared" si="24"/>
        <v>0</v>
      </c>
      <c r="H103" s="240">
        <f t="shared" si="24"/>
        <v>0</v>
      </c>
      <c r="I103" s="240">
        <f t="shared" si="24"/>
        <v>5548.6468008980155</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2200000</v>
      </c>
      <c r="S103" s="244">
        <f t="shared" si="24"/>
        <v>2200000</v>
      </c>
      <c r="T103" s="244">
        <f t="shared" si="24"/>
        <v>0</v>
      </c>
      <c r="U103" s="237"/>
    </row>
    <row r="104" spans="1:21" s="238" customFormat="1">
      <c r="A104" s="243" t="s">
        <v>1204</v>
      </c>
      <c r="B104" s="244">
        <f>SUM(C104:D104)</f>
        <v>27378426.594866805</v>
      </c>
      <c r="C104" s="244">
        <f t="shared" ref="C104:R104" si="25">SUM(C96+C103)</f>
        <v>27378426.594866805</v>
      </c>
      <c r="D104" s="244">
        <f t="shared" si="25"/>
        <v>0</v>
      </c>
      <c r="E104" s="244">
        <f t="shared" si="25"/>
        <v>21037656.403065909</v>
      </c>
      <c r="F104" s="244">
        <f t="shared" si="25"/>
        <v>1370000</v>
      </c>
      <c r="G104" s="244">
        <f t="shared" si="25"/>
        <v>400000</v>
      </c>
      <c r="H104" s="244">
        <f t="shared" si="25"/>
        <v>4400310</v>
      </c>
      <c r="I104" s="244">
        <f t="shared" si="25"/>
        <v>5548.6468008980155</v>
      </c>
      <c r="J104" s="244">
        <f t="shared" si="25"/>
        <v>164911.54500000001</v>
      </c>
      <c r="K104" s="244">
        <f t="shared" si="25"/>
        <v>0</v>
      </c>
      <c r="L104" s="244">
        <f t="shared" si="25"/>
        <v>0</v>
      </c>
      <c r="M104" s="244">
        <f t="shared" si="25"/>
        <v>0</v>
      </c>
      <c r="N104" s="244">
        <f t="shared" si="25"/>
        <v>0</v>
      </c>
      <c r="O104" s="244">
        <f t="shared" si="25"/>
        <v>0</v>
      </c>
      <c r="P104" s="244">
        <f t="shared" si="25"/>
        <v>0</v>
      </c>
      <c r="Q104" s="244" t="e">
        <f t="shared" si="25"/>
        <v>#REF!</v>
      </c>
      <c r="R104" s="240">
        <f t="shared" si="25"/>
        <v>27378426.594866805</v>
      </c>
      <c r="S104" s="244">
        <f>S96+S103</f>
        <v>24783728.355295107</v>
      </c>
      <c r="T104" s="244">
        <f>T96+T103</f>
        <v>0</v>
      </c>
      <c r="U104" s="237"/>
    </row>
    <row r="105" spans="1:21" s="253" customFormat="1">
      <c r="A105" s="797" t="s">
        <v>1364</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24783728.355295107</v>
      </c>
      <c r="T106" s="244">
        <f>T104+T105</f>
        <v>0</v>
      </c>
      <c r="U106" s="256"/>
    </row>
    <row r="107" spans="1:21" s="258" customFormat="1">
      <c r="A107" s="257" t="s">
        <v>1154</v>
      </c>
      <c r="B107" s="252"/>
      <c r="C107" s="252"/>
      <c r="D107" s="252"/>
      <c r="E107" s="240">
        <f>Application!AO631</f>
        <v>21037655.785965543</v>
      </c>
      <c r="F107" s="240">
        <f>Application!AO618</f>
        <v>1370000</v>
      </c>
      <c r="G107" s="240">
        <f>Application!AO619</f>
        <v>400000</v>
      </c>
      <c r="H107" s="240">
        <f>Application!AO620</f>
        <v>4400310</v>
      </c>
      <c r="I107" s="240">
        <f>Application!AO621</f>
        <v>5548.6468008980155</v>
      </c>
      <c r="J107" s="240">
        <f>Application!AO622</f>
        <v>164911.54500000001</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1">
      <c r="A109" s="104" t="s">
        <v>1267</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1">
      <c r="A110" s="128" t="s">
        <v>1268</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05">
      <c r="A112" s="297" t="s">
        <v>1363</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
      <c r="A113" s="128" t="s">
        <v>2241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0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05">
      <c r="A115" s="297"/>
      <c r="U115" s="256"/>
    </row>
    <row r="116" spans="1:21" s="258" customFormat="1">
      <c r="A116" s="576" t="s">
        <v>1366</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1365</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1367</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05">
      <c r="A120" s="297"/>
      <c r="U120" s="256"/>
    </row>
    <row r="121" spans="1:21" s="567" customFormat="1" ht="15.05">
      <c r="A121" s="566" t="s">
        <v>1358</v>
      </c>
      <c r="U121" s="568"/>
    </row>
    <row r="122" spans="1:21" s="253" customFormat="1">
      <c r="A122" s="254" t="s">
        <v>1343</v>
      </c>
      <c r="D122" s="1588" t="s">
        <v>1344</v>
      </c>
      <c r="E122" s="1588"/>
      <c r="F122" s="1588"/>
      <c r="U122" s="256"/>
    </row>
    <row r="123" spans="1:21" s="253" customFormat="1">
      <c r="A123" s="253" t="s">
        <v>1345</v>
      </c>
      <c r="B123" s="561"/>
      <c r="D123" s="1579" t="s">
        <v>1369</v>
      </c>
      <c r="E123" s="1580"/>
      <c r="F123" s="1580"/>
      <c r="G123" s="1580"/>
      <c r="H123" s="1580"/>
      <c r="I123" s="1580"/>
      <c r="J123" s="1580"/>
      <c r="K123" s="1580"/>
      <c r="L123" s="1580"/>
      <c r="M123" s="1580"/>
      <c r="N123" s="1580"/>
      <c r="O123" s="1580"/>
      <c r="P123" s="1580"/>
      <c r="Q123" s="1580"/>
      <c r="R123" s="1580"/>
      <c r="S123" s="1580"/>
      <c r="U123" s="256"/>
    </row>
    <row r="124" spans="1:21" s="253" customFormat="1" ht="12.45">
      <c r="A124" s="209" t="s">
        <v>1346</v>
      </c>
      <c r="B124" s="561"/>
      <c r="C124" s="209"/>
      <c r="D124" s="1580"/>
      <c r="E124" s="1580"/>
      <c r="F124" s="1580"/>
      <c r="G124" s="1580"/>
      <c r="H124" s="1580"/>
      <c r="I124" s="1580"/>
      <c r="J124" s="1580"/>
      <c r="K124" s="1580"/>
      <c r="L124" s="1580"/>
      <c r="M124" s="1580"/>
      <c r="N124" s="1580"/>
      <c r="O124" s="1580"/>
      <c r="P124" s="1580"/>
      <c r="Q124" s="1580"/>
      <c r="R124" s="1580"/>
      <c r="S124" s="1580"/>
      <c r="U124" s="256"/>
    </row>
    <row r="125" spans="1:21" s="253" customFormat="1" ht="12.45">
      <c r="A125" s="209" t="s">
        <v>1347</v>
      </c>
      <c r="B125" s="561"/>
      <c r="C125" s="209"/>
      <c r="D125" s="1580"/>
      <c r="E125" s="1580"/>
      <c r="F125" s="1580"/>
      <c r="G125" s="1580"/>
      <c r="H125" s="1580"/>
      <c r="I125" s="1580"/>
      <c r="J125" s="1580"/>
      <c r="K125" s="1580"/>
      <c r="L125" s="1580"/>
      <c r="M125" s="1580"/>
      <c r="N125" s="1580"/>
      <c r="O125" s="1580"/>
      <c r="P125" s="1580"/>
      <c r="Q125" s="1580"/>
      <c r="R125" s="1580"/>
      <c r="S125" s="1580"/>
      <c r="U125" s="256"/>
    </row>
    <row r="126" spans="1:21" s="253" customFormat="1" ht="12.45">
      <c r="A126" s="209" t="s">
        <v>1348</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45">
      <c r="A127" s="209" t="s">
        <v>1349</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45">
      <c r="A128" s="209" t="s">
        <v>1350</v>
      </c>
      <c r="B128" s="561"/>
      <c r="C128" s="209"/>
      <c r="D128" s="1583"/>
      <c r="E128" s="1583"/>
      <c r="F128" s="1583"/>
      <c r="G128" s="1583"/>
      <c r="H128" s="1583"/>
      <c r="I128" s="209"/>
      <c r="J128" s="1578"/>
      <c r="K128" s="1578"/>
      <c r="L128" s="209"/>
      <c r="M128" s="209"/>
      <c r="N128" s="209"/>
      <c r="O128" s="209"/>
      <c r="P128" s="209"/>
      <c r="Q128" s="209"/>
      <c r="R128" s="209"/>
      <c r="S128" s="209"/>
      <c r="U128" s="256"/>
    </row>
    <row r="129" spans="1:21" s="253" customFormat="1" ht="12.45">
      <c r="A129" s="209" t="s">
        <v>528</v>
      </c>
      <c r="B129" s="561"/>
      <c r="C129" s="209"/>
      <c r="D129" s="1587" t="s">
        <v>1351</v>
      </c>
      <c r="E129" s="1587"/>
      <c r="F129" s="1587"/>
      <c r="G129" s="1587"/>
      <c r="H129" s="1587"/>
      <c r="I129" s="209"/>
      <c r="J129" s="209" t="s">
        <v>1352</v>
      </c>
      <c r="K129" s="209"/>
      <c r="L129" s="209"/>
      <c r="M129" s="209"/>
      <c r="N129" s="209"/>
      <c r="O129" s="209"/>
      <c r="P129" s="209"/>
      <c r="Q129" s="209"/>
      <c r="R129" s="209"/>
      <c r="S129" s="209"/>
      <c r="U129" s="256"/>
    </row>
    <row r="130" spans="1:21" s="253" customFormat="1" ht="12.4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
      <c r="A131" s="106" t="s">
        <v>1353</v>
      </c>
      <c r="B131" s="562">
        <f>SUM(B123:B129)</f>
        <v>0</v>
      </c>
      <c r="C131" s="209"/>
      <c r="D131" s="1482"/>
      <c r="E131" s="1482"/>
      <c r="F131" s="1482"/>
      <c r="G131" s="1482"/>
      <c r="H131" s="1482"/>
      <c r="I131" s="209"/>
      <c r="J131" s="1482"/>
      <c r="K131" s="1482"/>
      <c r="L131" s="1482"/>
      <c r="M131" s="1482"/>
      <c r="N131" s="209"/>
      <c r="O131" s="209"/>
      <c r="P131" s="209"/>
      <c r="Q131" s="209"/>
      <c r="R131" s="209"/>
      <c r="S131" s="209"/>
      <c r="U131" s="256"/>
    </row>
    <row r="132" spans="1:21" s="253" customFormat="1" ht="12.45">
      <c r="A132" s="563"/>
      <c r="B132" s="209"/>
      <c r="C132" s="209"/>
      <c r="D132" s="1581" t="s">
        <v>1354</v>
      </c>
      <c r="E132" s="1581"/>
      <c r="F132" s="1581"/>
      <c r="G132" s="1581"/>
      <c r="H132" s="1581"/>
      <c r="I132" s="209"/>
      <c r="J132" s="1581" t="s">
        <v>1355</v>
      </c>
      <c r="K132" s="1581"/>
      <c r="L132" s="1581"/>
      <c r="M132" s="1581"/>
      <c r="N132" s="209"/>
      <c r="O132" s="209"/>
      <c r="P132" s="209"/>
      <c r="Q132" s="209"/>
      <c r="R132" s="209"/>
      <c r="S132" s="209"/>
      <c r="U132" s="256"/>
    </row>
    <row r="133" spans="1:21" s="253" customFormat="1" ht="12.4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45">
      <c r="A134" s="102" t="s">
        <v>1356</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
      <c r="A135" s="128" t="s">
        <v>2261</v>
      </c>
      <c r="B135" s="209"/>
      <c r="C135" s="209"/>
      <c r="D135" s="209"/>
      <c r="E135" s="209"/>
      <c r="F135" s="209"/>
      <c r="G135" s="209"/>
      <c r="H135" s="209"/>
      <c r="I135" s="209"/>
      <c r="J135" s="209"/>
      <c r="K135" s="209"/>
      <c r="L135" s="209"/>
      <c r="M135" s="209"/>
      <c r="N135" s="970"/>
      <c r="O135" s="209"/>
      <c r="P135" s="209"/>
      <c r="Q135" s="209"/>
      <c r="R135" s="209"/>
      <c r="S135" s="209"/>
      <c r="U135" s="256"/>
    </row>
    <row r="136" spans="1:21" ht="12.45">
      <c r="A136" s="563"/>
      <c r="B136" s="209"/>
      <c r="C136" s="209"/>
      <c r="D136" s="209"/>
      <c r="E136" s="209"/>
      <c r="F136" s="209"/>
      <c r="G136" s="209"/>
      <c r="H136" s="209"/>
      <c r="I136" s="209"/>
      <c r="J136" s="209"/>
      <c r="K136" s="209"/>
      <c r="L136" s="209"/>
      <c r="M136" s="209"/>
      <c r="N136" s="209"/>
      <c r="O136" s="209"/>
      <c r="P136" s="209"/>
      <c r="Q136" s="209"/>
      <c r="R136" s="209"/>
      <c r="S136" s="209"/>
    </row>
    <row r="137" spans="1:21" ht="11.95"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1.95" customHeight="1">
      <c r="A138" s="1582"/>
      <c r="B138" s="1583"/>
      <c r="C138" s="1583"/>
      <c r="D138" s="356"/>
      <c r="E138" s="1578"/>
      <c r="F138" s="1578"/>
      <c r="G138" s="209"/>
      <c r="H138" s="209"/>
      <c r="I138" s="209"/>
      <c r="J138" s="209"/>
      <c r="K138" s="209"/>
      <c r="L138" s="209"/>
      <c r="M138" s="209"/>
      <c r="N138" s="209"/>
      <c r="O138" s="209"/>
      <c r="P138" s="209"/>
      <c r="Q138" s="209"/>
      <c r="R138" s="209"/>
      <c r="S138" s="209"/>
    </row>
    <row r="139" spans="1:21" ht="11.95" customHeight="1">
      <c r="A139" s="1577" t="s">
        <v>1357</v>
      </c>
      <c r="B139" s="1577"/>
      <c r="C139" s="1577"/>
      <c r="D139" s="356"/>
      <c r="E139" s="209" t="s">
        <v>1352</v>
      </c>
      <c r="F139" s="209"/>
      <c r="G139" s="209"/>
      <c r="H139" s="209"/>
      <c r="I139" s="209"/>
      <c r="J139" s="209"/>
      <c r="K139" s="209"/>
      <c r="L139" s="209"/>
      <c r="M139" s="209"/>
      <c r="N139" s="209"/>
      <c r="O139" s="209"/>
      <c r="P139" s="209"/>
      <c r="Q139" s="209"/>
      <c r="R139" s="209"/>
      <c r="S139" s="209"/>
    </row>
    <row r="140" spans="1:21" s="296" customFormat="1" ht="11.95"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1.95"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59" priority="8">
      <formula>AND(B25&gt;0,OR(A25="",A25="Other: (Specify)"))</formula>
    </cfRule>
  </conditionalFormatting>
  <conditionalFormatting sqref="A37">
    <cfRule type="expression" dxfId="58" priority="7">
      <formula>AND(B37&gt;0,OR(A37="",A37="Other: (Specify)"))</formula>
    </cfRule>
  </conditionalFormatting>
  <conditionalFormatting sqref="A52">
    <cfRule type="expression" dxfId="57" priority="6">
      <formula>AND(B52&gt;0,OR(A52="",A52="Other: (Specify)"))</formula>
    </cfRule>
  </conditionalFormatting>
  <conditionalFormatting sqref="A60">
    <cfRule type="expression" dxfId="56" priority="5">
      <formula>AND(B60&gt;0,OR(A60="",A60="Other: (Specify)"))</formula>
    </cfRule>
  </conditionalFormatting>
  <conditionalFormatting sqref="A68">
    <cfRule type="expression" dxfId="55" priority="4">
      <formula>AND(B68&gt;0,OR(A68="",A68="Other: (Specify)"))</formula>
    </cfRule>
  </conditionalFormatting>
  <conditionalFormatting sqref="A75">
    <cfRule type="expression" dxfId="54" priority="3">
      <formula>AND(B75&gt;0,OR(A75="",A75="Other: (Specify)"))</formula>
    </cfRule>
  </conditionalFormatting>
  <conditionalFormatting sqref="A92:A94">
    <cfRule type="expression" dxfId="53" priority="2">
      <formula>AND(B92&gt;0,OR(A92="",A92="Other: (Specify)"))</formula>
    </cfRule>
  </conditionalFormatting>
  <conditionalFormatting sqref="A102">
    <cfRule type="expression" dxfId="52" priority="1">
      <formula>AND(B102&gt;0,OR(A102="",A102="Other: (Specify)"))</formula>
    </cfRule>
  </conditionalFormatting>
  <conditionalFormatting sqref="E104:Q104">
    <cfRule type="cellIs" dxfId="51" priority="185" stopIfTrue="1" operator="notEqual">
      <formula>E$107</formula>
    </cfRule>
  </conditionalFormatting>
  <conditionalFormatting sqref="R4:R15">
    <cfRule type="cellIs" dxfId="50"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49"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48"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7"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6"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5"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4"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3"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2" priority="192" stopIfTrue="1" operator="notEqual">
      <formula>$B78</formula>
    </cfRule>
  </conditionalFormatting>
  <conditionalFormatting sqref="R82:R96">
    <cfRule type="cellIs" dxfId="41"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0" priority="186" stopIfTrue="1" operator="notEqual">
      <formula>$B98</formula>
    </cfRule>
  </conditionalFormatting>
  <conditionalFormatting sqref="R103:R104">
    <cfRule type="cellIs" priority="187" stopIfTrue="1" operator="notEqual">
      <formula>$B103</formula>
    </cfRule>
  </conditionalFormatting>
  <conditionalFormatting sqref="S10 S13:S14">
    <cfRule type="expression" dxfId="39" priority="121" stopIfTrue="1">
      <formula>(S10+T10)&gt;C10</formula>
    </cfRule>
  </conditionalFormatting>
  <conditionalFormatting sqref="S17:S25">
    <cfRule type="expression" dxfId="38" priority="101" stopIfTrue="1">
      <formula>(S17+T17)&gt;C17</formula>
    </cfRule>
  </conditionalFormatting>
  <conditionalFormatting sqref="S27">
    <cfRule type="expression" dxfId="37" priority="100" stopIfTrue="1">
      <formula>(S27+T27)&gt;C27</formula>
    </cfRule>
  </conditionalFormatting>
  <conditionalFormatting sqref="S29:S37">
    <cfRule type="expression" dxfId="36" priority="91" stopIfTrue="1">
      <formula>(S29+T29)&gt;C29</formula>
    </cfRule>
  </conditionalFormatting>
  <conditionalFormatting sqref="S40:S41">
    <cfRule type="expression" dxfId="35" priority="79" stopIfTrue="1">
      <formula>(S40+T40)&gt;C40</formula>
    </cfRule>
  </conditionalFormatting>
  <conditionalFormatting sqref="S43">
    <cfRule type="expression" dxfId="34" priority="78" stopIfTrue="1">
      <formula>(S43+T43)&gt;C43</formula>
    </cfRule>
  </conditionalFormatting>
  <conditionalFormatting sqref="S45:S52">
    <cfRule type="expression" dxfId="33" priority="68" stopIfTrue="1">
      <formula>(S45+T45)&gt;C45</formula>
    </cfRule>
  </conditionalFormatting>
  <conditionalFormatting sqref="S64:S68">
    <cfRule type="expression" dxfId="32" priority="55" stopIfTrue="1">
      <formula>(S64+T64)&gt;C64</formula>
    </cfRule>
  </conditionalFormatting>
  <conditionalFormatting sqref="S78:S79">
    <cfRule type="expression" dxfId="31" priority="51" stopIfTrue="1">
      <formula>(S78+T78)&gt;C78</formula>
    </cfRule>
  </conditionalFormatting>
  <conditionalFormatting sqref="S83:S86">
    <cfRule type="expression" dxfId="30" priority="47" stopIfTrue="1">
      <formula>(S83+T83)&gt;C83</formula>
    </cfRule>
  </conditionalFormatting>
  <conditionalFormatting sqref="S88:S94">
    <cfRule type="expression" dxfId="29" priority="34" stopIfTrue="1">
      <formula>(S88+T88)&gt;C88</formula>
    </cfRule>
  </conditionalFormatting>
  <conditionalFormatting sqref="S98:S102">
    <cfRule type="expression" dxfId="28" priority="15" stopIfTrue="1">
      <formula>(S98+T98)&gt;C98</formula>
    </cfRule>
  </conditionalFormatting>
  <conditionalFormatting sqref="T9">
    <cfRule type="expression" dxfId="27" priority="241" stopIfTrue="1">
      <formula>T9&gt;C9</formula>
    </cfRule>
  </conditionalFormatting>
  <conditionalFormatting sqref="T10 T13:T14">
    <cfRule type="expression" dxfId="26" priority="240" stopIfTrue="1">
      <formula>(T10+S10)&gt;C10</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61" workbookViewId="0">
      <selection activeCell="AB70" sqref="AB70:AF70"/>
    </sheetView>
  </sheetViews>
  <sheetFormatPr defaultColWidth="0" defaultRowHeight="12.95" customHeight="1"/>
  <cols>
    <col min="1" max="1" width="1.375" customWidth="1"/>
    <col min="2" max="2" width="0.875" customWidth="1"/>
    <col min="3" max="18" width="2.375" customWidth="1"/>
    <col min="19" max="19" width="4" customWidth="1"/>
    <col min="20" max="24" width="2.75" customWidth="1"/>
    <col min="25" max="28" width="2.375" customWidth="1"/>
    <col min="29" max="29" width="3.375" customWidth="1"/>
    <col min="30" max="34" width="2.75" customWidth="1"/>
    <col min="35" max="39" width="2.375" customWidth="1"/>
    <col min="40" max="40" width="1.375" customWidth="1"/>
    <col min="41" max="43" width="2.375" customWidth="1"/>
    <col min="44" max="44" width="12.25" hidden="1" customWidth="1"/>
    <col min="45" max="16384" width="2.375" hidden="1"/>
  </cols>
  <sheetData>
    <row r="1" spans="1:40" ht="12.95" customHeight="1">
      <c r="A1" s="1624" t="s">
        <v>1823</v>
      </c>
      <c r="B1" s="1394"/>
      <c r="C1" s="1394"/>
      <c r="D1" s="1394"/>
      <c r="E1" s="1394"/>
      <c r="F1" s="1394"/>
      <c r="G1" s="1394"/>
      <c r="H1" s="1394"/>
      <c r="I1" s="1394"/>
      <c r="J1" s="1394"/>
      <c r="K1" s="1394"/>
      <c r="L1" s="1394"/>
      <c r="M1" s="1394"/>
      <c r="N1" s="1394"/>
      <c r="O1" s="1394"/>
      <c r="P1" s="1394"/>
      <c r="Q1" s="1394"/>
      <c r="R1" s="1394"/>
      <c r="S1" s="1394"/>
      <c r="T1" s="1394"/>
      <c r="U1" s="1394"/>
      <c r="V1" s="1394"/>
      <c r="W1" s="1394"/>
      <c r="X1" s="1394"/>
      <c r="Y1" s="1394"/>
      <c r="Z1" s="1394"/>
      <c r="AA1" s="1394"/>
      <c r="AB1" s="1394"/>
      <c r="AC1" s="1394"/>
      <c r="AD1" s="1394"/>
      <c r="AE1" s="1394"/>
      <c r="AF1" s="1394"/>
      <c r="AG1" s="1394"/>
      <c r="AH1" s="1394"/>
      <c r="AI1" s="1394"/>
      <c r="AJ1" s="1394"/>
      <c r="AK1" s="1394"/>
      <c r="AL1" s="1394"/>
      <c r="AM1" s="1394"/>
      <c r="AN1" s="1394"/>
    </row>
    <row r="2" spans="1:40" ht="12.95" customHeight="1" thickBot="1">
      <c r="A2" s="1395"/>
      <c r="B2" s="1395"/>
      <c r="C2" s="1395"/>
      <c r="D2" s="1395"/>
      <c r="E2" s="1395"/>
      <c r="F2" s="1395"/>
      <c r="G2" s="1395"/>
      <c r="H2" s="1395"/>
      <c r="I2" s="1395"/>
      <c r="J2" s="1395"/>
      <c r="K2" s="1395"/>
      <c r="L2" s="1395"/>
      <c r="M2" s="1395"/>
      <c r="N2" s="1395"/>
      <c r="O2" s="1395"/>
      <c r="P2" s="1395"/>
      <c r="Q2" s="1395"/>
      <c r="R2" s="1395"/>
      <c r="S2" s="1395"/>
      <c r="T2" s="1395"/>
      <c r="U2" s="1395"/>
      <c r="V2" s="1395"/>
      <c r="W2" s="1395"/>
      <c r="X2" s="1395"/>
      <c r="Y2" s="1395"/>
      <c r="Z2" s="1395"/>
      <c r="AA2" s="1395"/>
      <c r="AB2" s="1395"/>
      <c r="AC2" s="1395"/>
      <c r="AD2" s="1395"/>
      <c r="AE2" s="1395"/>
      <c r="AF2" s="1395"/>
      <c r="AG2" s="1395"/>
      <c r="AH2" s="1395"/>
      <c r="AI2" s="1395"/>
      <c r="AJ2" s="1395"/>
      <c r="AK2" s="1395"/>
      <c r="AL2" s="1395"/>
      <c r="AM2" s="1395"/>
      <c r="AN2" s="139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689</v>
      </c>
      <c r="C5" s="3" t="s">
        <v>220</v>
      </c>
      <c r="F5" s="3"/>
    </row>
    <row r="6" spans="1:40" ht="12.95" customHeight="1">
      <c r="B6" s="90" t="s">
        <v>1910</v>
      </c>
    </row>
    <row r="7" spans="1:40" ht="12.95" customHeight="1">
      <c r="B7" s="6"/>
      <c r="C7" s="7"/>
      <c r="D7" s="7"/>
      <c r="E7" s="7"/>
      <c r="F7" s="7"/>
      <c r="G7" s="7"/>
      <c r="H7" s="7"/>
      <c r="I7" s="7"/>
      <c r="J7" s="7"/>
      <c r="K7" s="7"/>
      <c r="L7" s="7"/>
      <c r="M7" s="7"/>
      <c r="N7" s="7"/>
      <c r="O7" s="7"/>
      <c r="P7" s="7"/>
      <c r="Q7" s="7"/>
      <c r="R7" s="7"/>
      <c r="S7" s="7"/>
      <c r="T7" s="1608" t="str">
        <f>IF(T25=100%,'Sources and Basis Breakdown'!G2,'Sources and Basis Breakdown'!F2)</f>
        <v>70% PVC for New Const/
Rehabilitation
NON-DDA/
NON-QCT Building(s)</v>
      </c>
      <c r="U7" s="1608"/>
      <c r="V7" s="1608"/>
      <c r="W7" s="1608"/>
      <c r="X7" s="1608"/>
      <c r="Y7" s="1608" t="str">
        <f>IF(T25=100%," ",'Sources and Basis Breakdown'!G2)</f>
        <v xml:space="preserve"> </v>
      </c>
      <c r="Z7" s="1608"/>
      <c r="AA7" s="1608"/>
      <c r="AB7" s="1608"/>
      <c r="AC7" s="1608"/>
      <c r="AD7" s="1608" t="str">
        <f>IF(T25=100%,'Sources and Basis Breakdown'!J2,'Sources and Basis Breakdown'!I2)</f>
        <v>30% PVC for Acquisition
NON-DDA/
NON-QCT Building(s)</v>
      </c>
      <c r="AE7" s="1608"/>
      <c r="AF7" s="1608"/>
      <c r="AG7" s="1608"/>
      <c r="AH7" s="1608"/>
      <c r="AI7" s="1608" t="str">
        <f>IF(T25=100%," ",'Sources and Basis Breakdown'!J2)</f>
        <v xml:space="preserve"> </v>
      </c>
      <c r="AJ7" s="1608"/>
      <c r="AK7" s="1608"/>
      <c r="AL7" s="1608"/>
      <c r="AM7" s="1608"/>
    </row>
    <row r="8" spans="1:40" ht="12.95" customHeight="1">
      <c r="B8" s="204"/>
      <c r="T8" s="1608"/>
      <c r="U8" s="1608"/>
      <c r="V8" s="1608"/>
      <c r="W8" s="1608"/>
      <c r="X8" s="1608"/>
      <c r="Y8" s="1608"/>
      <c r="Z8" s="1608"/>
      <c r="AA8" s="1608"/>
      <c r="AB8" s="1608"/>
      <c r="AC8" s="1608"/>
      <c r="AD8" s="1608"/>
      <c r="AE8" s="1608"/>
      <c r="AF8" s="1608"/>
      <c r="AG8" s="1608"/>
      <c r="AH8" s="1608"/>
      <c r="AI8" s="1608"/>
      <c r="AJ8" s="1608"/>
      <c r="AK8" s="1608"/>
      <c r="AL8" s="1608"/>
      <c r="AM8" s="1608"/>
    </row>
    <row r="9" spans="1:40" ht="12.95" customHeight="1">
      <c r="B9" s="204"/>
      <c r="T9" s="1608"/>
      <c r="U9" s="1608"/>
      <c r="V9" s="1608"/>
      <c r="W9" s="1608"/>
      <c r="X9" s="1608"/>
      <c r="Y9" s="1608"/>
      <c r="Z9" s="1608"/>
      <c r="AA9" s="1608"/>
      <c r="AB9" s="1608"/>
      <c r="AC9" s="1608"/>
      <c r="AD9" s="1608"/>
      <c r="AE9" s="1608"/>
      <c r="AF9" s="1608"/>
      <c r="AG9" s="1608"/>
      <c r="AH9" s="1608"/>
      <c r="AI9" s="1608"/>
      <c r="AJ9" s="1608"/>
      <c r="AK9" s="1608"/>
      <c r="AL9" s="1608"/>
      <c r="AM9" s="1608"/>
    </row>
    <row r="10" spans="1:40" ht="12.95" customHeight="1">
      <c r="B10" s="53"/>
      <c r="C10" s="54"/>
      <c r="D10" s="54"/>
      <c r="E10" s="54"/>
      <c r="F10" s="54"/>
      <c r="G10" s="54"/>
      <c r="H10" s="54"/>
      <c r="I10" s="54"/>
      <c r="J10" s="54"/>
      <c r="K10" s="54"/>
      <c r="L10" s="54"/>
      <c r="M10" s="54"/>
      <c r="N10" s="54"/>
      <c r="O10" s="54"/>
      <c r="P10" s="54"/>
      <c r="Q10" s="54"/>
      <c r="R10" s="54"/>
      <c r="S10" s="54"/>
      <c r="T10" s="1608"/>
      <c r="U10" s="1608"/>
      <c r="V10" s="1608"/>
      <c r="W10" s="1608"/>
      <c r="X10" s="1608"/>
      <c r="Y10" s="1608"/>
      <c r="Z10" s="1608"/>
      <c r="AA10" s="1608"/>
      <c r="AB10" s="1608"/>
      <c r="AC10" s="1608"/>
      <c r="AD10" s="1608"/>
      <c r="AE10" s="1608"/>
      <c r="AF10" s="1608"/>
      <c r="AG10" s="1608"/>
      <c r="AH10" s="1608"/>
      <c r="AI10" s="1608"/>
      <c r="AJ10" s="1608"/>
      <c r="AK10" s="1608"/>
      <c r="AL10" s="1608"/>
      <c r="AM10" s="1608"/>
    </row>
    <row r="11" spans="1:40" ht="12.95" customHeight="1">
      <c r="B11" s="1136" t="s">
        <v>539</v>
      </c>
      <c r="C11" s="1137"/>
      <c r="D11" s="1137"/>
      <c r="E11" s="1137"/>
      <c r="F11" s="1137"/>
      <c r="G11" s="1137"/>
      <c r="H11" s="1137"/>
      <c r="I11" s="1137"/>
      <c r="J11" s="1137"/>
      <c r="K11" s="1137"/>
      <c r="L11" s="1137"/>
      <c r="M11" s="1137"/>
      <c r="N11" s="1137"/>
      <c r="O11" s="1137"/>
      <c r="P11" s="1137"/>
      <c r="Q11" s="1137"/>
      <c r="R11" s="1137"/>
      <c r="S11" s="1138"/>
      <c r="T11" s="1618">
        <f>IF('Sources and Basis Breakdown'!F105=0,'Sources and Basis Breakdown'!E105,'Sources and Basis Breakdown'!F105)</f>
        <v>24783728.355295107</v>
      </c>
      <c r="U11" s="1609"/>
      <c r="V11" s="1609"/>
      <c r="W11" s="1609"/>
      <c r="X11" s="1609"/>
      <c r="Y11" s="1625">
        <f>IF(Y7=" ",0,IF('Sources and Basis Breakdown'!G105+'Sources and Basis Breakdown'!F105='Sources and Basis Breakdown'!E105,'Sources and Basis Breakdown'!G105,0))</f>
        <v>0</v>
      </c>
      <c r="Z11" s="1609"/>
      <c r="AA11" s="1609"/>
      <c r="AB11" s="1609"/>
      <c r="AC11" s="1609"/>
      <c r="AD11" s="1609">
        <f>IF('Sources and Basis Breakdown'!I105=0,'Sources and Basis Breakdown'!H105,'Sources and Basis Breakdown'!I105)</f>
        <v>0</v>
      </c>
      <c r="AE11" s="1609"/>
      <c r="AF11" s="1609"/>
      <c r="AG11" s="1609"/>
      <c r="AH11" s="1609"/>
      <c r="AI11" s="1609">
        <f>IF(AI7=" ",0,IF('Sources and Basis Breakdown'!I105+'Sources and Basis Breakdown'!J105='Sources and Basis Breakdown'!H105,'Sources and Basis Breakdown'!J105,0))</f>
        <v>0</v>
      </c>
      <c r="AJ11" s="1609"/>
      <c r="AK11" s="1609"/>
      <c r="AL11" s="1609"/>
      <c r="AM11" s="1609"/>
    </row>
    <row r="12" spans="1:40" ht="12.95" customHeight="1">
      <c r="B12" s="1612" t="s">
        <v>476</v>
      </c>
      <c r="C12" s="1034"/>
      <c r="D12" s="1034"/>
      <c r="E12" s="1034"/>
      <c r="F12" s="1034"/>
      <c r="G12" s="1034"/>
      <c r="H12" s="1034"/>
      <c r="I12" s="1034"/>
      <c r="J12" s="1034"/>
      <c r="K12" s="1034"/>
      <c r="L12" s="1034"/>
      <c r="M12" s="1034"/>
      <c r="N12" s="1034"/>
      <c r="O12" s="1034"/>
      <c r="P12" s="1034"/>
      <c r="Q12" s="1034"/>
      <c r="R12" s="1034"/>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5" customHeight="1">
      <c r="B13" s="8"/>
      <c r="C13" s="1614" t="s">
        <v>1789</v>
      </c>
      <c r="D13" s="1615"/>
      <c r="E13" s="1615"/>
      <c r="F13" s="1615"/>
      <c r="G13" s="1615"/>
      <c r="H13" s="1615"/>
      <c r="I13" s="1615"/>
      <c r="J13" s="1615"/>
      <c r="K13" s="1615"/>
      <c r="L13" s="1615"/>
      <c r="M13" s="1615"/>
      <c r="N13" s="1615"/>
      <c r="O13" s="1615"/>
      <c r="P13" s="1615"/>
      <c r="Q13" s="1615"/>
      <c r="R13" s="1615"/>
      <c r="S13" s="1616"/>
      <c r="T13" s="1619"/>
      <c r="U13" s="1620"/>
      <c r="V13" s="1620"/>
      <c r="W13" s="1620"/>
      <c r="X13" s="1620"/>
      <c r="Y13" s="1619"/>
      <c r="Z13" s="1620"/>
      <c r="AA13" s="1620"/>
      <c r="AB13" s="1620"/>
      <c r="AC13" s="1620"/>
      <c r="AD13" s="1620"/>
      <c r="AE13" s="1620"/>
      <c r="AF13" s="1620"/>
      <c r="AG13" s="1620"/>
      <c r="AH13" s="1620"/>
      <c r="AI13" s="1620"/>
      <c r="AJ13" s="1620"/>
      <c r="AK13" s="1620"/>
      <c r="AL13" s="1620"/>
      <c r="AM13" s="1620"/>
    </row>
    <row r="14" spans="1:40" ht="12.95" customHeight="1">
      <c r="B14" s="8"/>
      <c r="C14" s="1615" t="s">
        <v>805</v>
      </c>
      <c r="D14" s="1615"/>
      <c r="E14" s="1615"/>
      <c r="F14" s="1615"/>
      <c r="G14" s="1615"/>
      <c r="H14" s="1615"/>
      <c r="I14" s="1615"/>
      <c r="J14" s="1615"/>
      <c r="K14" s="1615"/>
      <c r="L14" s="1615"/>
      <c r="M14" s="1615"/>
      <c r="N14" s="1615"/>
      <c r="O14" s="1615"/>
      <c r="P14" s="1615"/>
      <c r="Q14" s="1615"/>
      <c r="R14" s="1615"/>
      <c r="S14" s="1616"/>
      <c r="T14" s="1180"/>
      <c r="U14" s="1139"/>
      <c r="V14" s="1139"/>
      <c r="W14" s="1139"/>
      <c r="X14" s="1139"/>
      <c r="Y14" s="1180"/>
      <c r="Z14" s="1139"/>
      <c r="AA14" s="1139"/>
      <c r="AB14" s="1139"/>
      <c r="AC14" s="1139"/>
      <c r="AD14" s="1139"/>
      <c r="AE14" s="1139"/>
      <c r="AF14" s="1139"/>
      <c r="AG14" s="1139"/>
      <c r="AH14" s="1139"/>
      <c r="AI14" s="1139"/>
      <c r="AJ14" s="1139"/>
      <c r="AK14" s="1139"/>
      <c r="AL14" s="1139"/>
      <c r="AM14" s="1139"/>
    </row>
    <row r="15" spans="1:40" ht="12.95" customHeight="1">
      <c r="B15" s="8"/>
      <c r="C15" s="1615" t="s">
        <v>806</v>
      </c>
      <c r="D15" s="1615"/>
      <c r="E15" s="1615"/>
      <c r="F15" s="1615"/>
      <c r="G15" s="1615"/>
      <c r="H15" s="1615"/>
      <c r="I15" s="1615"/>
      <c r="J15" s="1615"/>
      <c r="K15" s="1615"/>
      <c r="L15" s="1615"/>
      <c r="M15" s="1615"/>
      <c r="N15" s="1615"/>
      <c r="O15" s="1615"/>
      <c r="P15" s="1615"/>
      <c r="Q15" s="1615"/>
      <c r="R15" s="1615"/>
      <c r="S15" s="1616"/>
      <c r="T15" s="1180"/>
      <c r="U15" s="1139"/>
      <c r="V15" s="1139"/>
      <c r="W15" s="1139"/>
      <c r="X15" s="1139"/>
      <c r="Y15" s="1180"/>
      <c r="Z15" s="1139"/>
      <c r="AA15" s="1139"/>
      <c r="AB15" s="1139"/>
      <c r="AC15" s="1139"/>
      <c r="AD15" s="1139"/>
      <c r="AE15" s="1139"/>
      <c r="AF15" s="1139"/>
      <c r="AG15" s="1139"/>
      <c r="AH15" s="1139"/>
      <c r="AI15" s="1139"/>
      <c r="AJ15" s="1139"/>
      <c r="AK15" s="1139"/>
      <c r="AL15" s="1139"/>
      <c r="AM15" s="1139"/>
    </row>
    <row r="16" spans="1:40" ht="12.95" customHeight="1">
      <c r="B16" s="8"/>
      <c r="C16" s="1614" t="s">
        <v>1057</v>
      </c>
      <c r="D16" s="1614"/>
      <c r="E16" s="1614"/>
      <c r="F16" s="1614"/>
      <c r="G16" s="1614"/>
      <c r="H16" s="1614"/>
      <c r="I16" s="1614"/>
      <c r="J16" s="1614"/>
      <c r="K16" s="1614"/>
      <c r="L16" s="1614"/>
      <c r="M16" s="1614"/>
      <c r="N16" s="1614"/>
      <c r="O16" s="1614"/>
      <c r="P16" s="1614"/>
      <c r="Q16" s="1614"/>
      <c r="R16" s="1614"/>
      <c r="S16" s="1617"/>
      <c r="T16" s="1180"/>
      <c r="U16" s="1139"/>
      <c r="V16" s="1139"/>
      <c r="W16" s="1139"/>
      <c r="X16" s="1139"/>
      <c r="Y16" s="1180"/>
      <c r="Z16" s="1139"/>
      <c r="AA16" s="1139"/>
      <c r="AB16" s="1139"/>
      <c r="AC16" s="1139"/>
      <c r="AD16" s="1139"/>
      <c r="AE16" s="1139"/>
      <c r="AF16" s="1139"/>
      <c r="AG16" s="1139"/>
      <c r="AH16" s="1139"/>
      <c r="AI16" s="1139"/>
      <c r="AJ16" s="1139"/>
      <c r="AK16" s="1139"/>
      <c r="AL16" s="1139"/>
      <c r="AM16" s="1139"/>
    </row>
    <row r="17" spans="1:39" ht="12.95" customHeight="1">
      <c r="B17" s="8"/>
      <c r="C17" s="1615" t="s">
        <v>807</v>
      </c>
      <c r="D17" s="1615"/>
      <c r="E17" s="1615"/>
      <c r="F17" s="1615"/>
      <c r="G17" s="1615"/>
      <c r="H17" s="1615"/>
      <c r="I17" s="1615"/>
      <c r="J17" s="1615"/>
      <c r="K17" s="1615"/>
      <c r="L17" s="1615"/>
      <c r="M17" s="1615"/>
      <c r="N17" s="1615"/>
      <c r="O17" s="1615"/>
      <c r="P17" s="1615"/>
      <c r="Q17" s="1615"/>
      <c r="R17" s="1615"/>
      <c r="S17" s="1616"/>
      <c r="T17" s="1180"/>
      <c r="U17" s="1139"/>
      <c r="V17" s="1139"/>
      <c r="W17" s="1139"/>
      <c r="X17" s="1139"/>
      <c r="Y17" s="1180"/>
      <c r="Z17" s="1139"/>
      <c r="AA17" s="1139"/>
      <c r="AB17" s="1139"/>
      <c r="AC17" s="1139"/>
      <c r="AD17" s="1139"/>
      <c r="AE17" s="1139"/>
      <c r="AF17" s="1139"/>
      <c r="AG17" s="1139"/>
      <c r="AH17" s="1139"/>
      <c r="AI17" s="1139"/>
      <c r="AJ17" s="1139"/>
      <c r="AK17" s="1139"/>
      <c r="AL17" s="1139"/>
      <c r="AM17" s="1139"/>
    </row>
    <row r="18" spans="1:39" ht="12.95" customHeight="1">
      <c r="B18" s="961"/>
      <c r="C18" s="1589" t="s">
        <v>1269</v>
      </c>
      <c r="D18" s="1589"/>
      <c r="E18" s="1589"/>
      <c r="F18" s="1589"/>
      <c r="G18" s="1589"/>
      <c r="H18" s="1589"/>
      <c r="I18" s="1589"/>
      <c r="J18" s="1589"/>
      <c r="K18" s="1589"/>
      <c r="L18" s="1589"/>
      <c r="M18" s="1589"/>
      <c r="N18" s="1589"/>
      <c r="O18" s="1589"/>
      <c r="P18" s="1589"/>
      <c r="Q18" s="1589"/>
      <c r="R18" s="1589"/>
      <c r="S18" s="1590"/>
      <c r="T18" s="1178"/>
      <c r="U18" s="1179"/>
      <c r="V18" s="1179"/>
      <c r="W18" s="1179"/>
      <c r="X18" s="1180"/>
      <c r="Y18" s="1180"/>
      <c r="Z18" s="1139"/>
      <c r="AA18" s="1139"/>
      <c r="AB18" s="1139"/>
      <c r="AC18" s="1139"/>
      <c r="AD18" s="1139"/>
      <c r="AE18" s="1139"/>
      <c r="AF18" s="1139"/>
      <c r="AG18" s="1139"/>
      <c r="AH18" s="1139"/>
      <c r="AI18" s="1139"/>
      <c r="AJ18" s="1139"/>
      <c r="AK18" s="1139"/>
      <c r="AL18" s="1139"/>
      <c r="AM18" s="1139"/>
    </row>
    <row r="19" spans="1:39" ht="12.95" customHeight="1">
      <c r="B19" s="498"/>
      <c r="C19" s="1589" t="s">
        <v>1269</v>
      </c>
      <c r="D19" s="1589"/>
      <c r="E19" s="1589"/>
      <c r="F19" s="1589"/>
      <c r="G19" s="1589"/>
      <c r="H19" s="1589"/>
      <c r="I19" s="1589"/>
      <c r="J19" s="1589"/>
      <c r="K19" s="1589"/>
      <c r="L19" s="1589"/>
      <c r="M19" s="1589"/>
      <c r="N19" s="1589"/>
      <c r="O19" s="1589"/>
      <c r="P19" s="1589"/>
      <c r="Q19" s="1589"/>
      <c r="R19" s="1589"/>
      <c r="S19" s="1590"/>
      <c r="T19" s="1180"/>
      <c r="U19" s="1139"/>
      <c r="V19" s="1139"/>
      <c r="W19" s="1139"/>
      <c r="X19" s="1139"/>
      <c r="Y19" s="1180"/>
      <c r="Z19" s="1139"/>
      <c r="AA19" s="1139"/>
      <c r="AB19" s="1139"/>
      <c r="AC19" s="1139"/>
      <c r="AD19" s="1139"/>
      <c r="AE19" s="1139"/>
      <c r="AF19" s="1139"/>
      <c r="AG19" s="1139"/>
      <c r="AH19" s="1139"/>
      <c r="AI19" s="1139"/>
      <c r="AJ19" s="1139"/>
      <c r="AK19" s="1139"/>
      <c r="AL19" s="1139"/>
      <c r="AM19" s="1139"/>
    </row>
    <row r="20" spans="1:39" ht="12.95" customHeight="1">
      <c r="B20" s="1136" t="s">
        <v>808</v>
      </c>
      <c r="C20" s="1137"/>
      <c r="D20" s="1137"/>
      <c r="E20" s="1137"/>
      <c r="F20" s="1137"/>
      <c r="G20" s="1137"/>
      <c r="H20" s="1137"/>
      <c r="I20" s="1137"/>
      <c r="J20" s="1137"/>
      <c r="K20" s="1137"/>
      <c r="L20" s="1137"/>
      <c r="M20" s="1137"/>
      <c r="N20" s="1137"/>
      <c r="O20" s="1137"/>
      <c r="P20" s="1137"/>
      <c r="Q20" s="1137"/>
      <c r="R20" s="1137"/>
      <c r="S20" s="1138"/>
      <c r="T20" s="1601">
        <f>SUM(T13:X19)</f>
        <v>0</v>
      </c>
      <c r="U20" s="1124"/>
      <c r="V20" s="1124"/>
      <c r="W20" s="1124"/>
      <c r="X20" s="1124"/>
      <c r="Y20" s="1601">
        <f>SUM(Y13:AC19)</f>
        <v>0</v>
      </c>
      <c r="Z20" s="1124"/>
      <c r="AA20" s="1124"/>
      <c r="AB20" s="1124"/>
      <c r="AC20" s="1124"/>
      <c r="AD20" s="1124">
        <f>SUM(AD13:AH19)</f>
        <v>0</v>
      </c>
      <c r="AE20" s="1124"/>
      <c r="AF20" s="1124"/>
      <c r="AG20" s="1124"/>
      <c r="AH20" s="1124"/>
      <c r="AI20" s="1124">
        <f>SUM(AI13:AM19)</f>
        <v>0</v>
      </c>
      <c r="AJ20" s="1124"/>
      <c r="AK20" s="1124"/>
      <c r="AL20" s="1124"/>
      <c r="AM20" s="1124"/>
    </row>
    <row r="21" spans="1:39" ht="12.95" customHeight="1">
      <c r="B21" s="1136" t="s">
        <v>1788</v>
      </c>
      <c r="C21" s="1137"/>
      <c r="D21" s="1137"/>
      <c r="E21" s="1137"/>
      <c r="F21" s="1137"/>
      <c r="G21" s="1137"/>
      <c r="H21" s="1137"/>
      <c r="I21" s="1137"/>
      <c r="J21" s="1137"/>
      <c r="K21" s="1137"/>
      <c r="L21" s="1137"/>
      <c r="M21" s="1137"/>
      <c r="N21" s="1137"/>
      <c r="O21" s="1137"/>
      <c r="P21" s="1137"/>
      <c r="Q21" s="1137"/>
      <c r="R21" s="1137"/>
      <c r="S21" s="1138"/>
      <c r="T21" s="1180"/>
      <c r="U21" s="1139"/>
      <c r="V21" s="1139"/>
      <c r="W21" s="1139"/>
      <c r="X21" s="1139"/>
      <c r="Y21" s="1180"/>
      <c r="Z21" s="1139"/>
      <c r="AA21" s="1139"/>
      <c r="AB21" s="1139"/>
      <c r="AC21" s="1139"/>
      <c r="AD21" s="1139"/>
      <c r="AE21" s="1139"/>
      <c r="AF21" s="1139"/>
      <c r="AG21" s="1139"/>
      <c r="AH21" s="1139"/>
      <c r="AI21" s="1178"/>
      <c r="AJ21" s="1179"/>
      <c r="AK21" s="1179"/>
      <c r="AL21" s="1179"/>
      <c r="AM21" s="1180"/>
    </row>
    <row r="22" spans="1:39" ht="12.95" customHeight="1">
      <c r="B22" s="1136" t="s">
        <v>809</v>
      </c>
      <c r="C22" s="1137"/>
      <c r="D22" s="1137"/>
      <c r="E22" s="1137"/>
      <c r="F22" s="1137"/>
      <c r="G22" s="1137"/>
      <c r="H22" s="1137"/>
      <c r="I22" s="1137"/>
      <c r="J22" s="1137"/>
      <c r="K22" s="1137"/>
      <c r="L22" s="1137"/>
      <c r="M22" s="1137"/>
      <c r="N22" s="1137"/>
      <c r="O22" s="1137"/>
      <c r="P22" s="1137"/>
      <c r="Q22" s="1137"/>
      <c r="R22" s="1137"/>
      <c r="S22" s="1138"/>
      <c r="T22" s="1602">
        <f>(T20+T21)*-1</f>
        <v>0</v>
      </c>
      <c r="U22" s="1603"/>
      <c r="V22" s="1603"/>
      <c r="W22" s="1603"/>
      <c r="X22" s="1603"/>
      <c r="Y22" s="1602">
        <f>(Y20+Y21)*-1</f>
        <v>0</v>
      </c>
      <c r="Z22" s="1603"/>
      <c r="AA22" s="1603"/>
      <c r="AB22" s="1603"/>
      <c r="AC22" s="1603"/>
      <c r="AD22" s="1602">
        <f>(AD20+AD21)*-1</f>
        <v>0</v>
      </c>
      <c r="AE22" s="1603"/>
      <c r="AF22" s="1603"/>
      <c r="AG22" s="1603"/>
      <c r="AH22" s="1603"/>
      <c r="AI22" s="1610">
        <f>(AI20+AI21)*-1</f>
        <v>0</v>
      </c>
      <c r="AJ22" s="1611"/>
      <c r="AK22" s="1611"/>
      <c r="AL22" s="1611"/>
      <c r="AM22" s="1602"/>
    </row>
    <row r="23" spans="1:39" ht="12.95" customHeight="1">
      <c r="B23" s="1136" t="s">
        <v>2001</v>
      </c>
      <c r="C23" s="1137"/>
      <c r="D23" s="1137"/>
      <c r="E23" s="1137"/>
      <c r="F23" s="1137"/>
      <c r="G23" s="1137"/>
      <c r="H23" s="1137"/>
      <c r="I23" s="1137"/>
      <c r="J23" s="1137"/>
      <c r="K23" s="1137"/>
      <c r="L23" s="1137"/>
      <c r="M23" s="1137"/>
      <c r="N23" s="1137"/>
      <c r="O23" s="1137"/>
      <c r="P23" s="1137"/>
      <c r="Q23" s="1137"/>
      <c r="R23" s="1137"/>
      <c r="S23" s="1138"/>
      <c r="T23" s="1601">
        <f>T11+T22</f>
        <v>24783728.355295107</v>
      </c>
      <c r="U23" s="1124"/>
      <c r="V23" s="1124"/>
      <c r="W23" s="1124"/>
      <c r="X23" s="1124"/>
      <c r="Y23" s="1601">
        <f>Y11+Y22</f>
        <v>0</v>
      </c>
      <c r="Z23" s="1124"/>
      <c r="AA23" s="1124"/>
      <c r="AB23" s="1124"/>
      <c r="AC23" s="1124"/>
      <c r="AD23" s="1601">
        <f>IF(AD11=AD21,0,AD11)</f>
        <v>0</v>
      </c>
      <c r="AE23" s="1124"/>
      <c r="AF23" s="1124"/>
      <c r="AG23" s="1124"/>
      <c r="AH23" s="1124"/>
      <c r="AI23" s="1601">
        <f>IF(AI11=AI21,0,AI11)</f>
        <v>0</v>
      </c>
      <c r="AJ23" s="1124"/>
      <c r="AK23" s="1124"/>
      <c r="AL23" s="1124"/>
      <c r="AM23" s="1124"/>
    </row>
    <row r="24" spans="1:39" ht="12.95" customHeight="1">
      <c r="B24" s="1136" t="s">
        <v>1270</v>
      </c>
      <c r="C24" s="1137"/>
      <c r="D24" s="1137"/>
      <c r="E24" s="1137"/>
      <c r="F24" s="1137"/>
      <c r="G24" s="1137"/>
      <c r="H24" s="1137"/>
      <c r="I24" s="1137"/>
      <c r="J24" s="1137"/>
      <c r="K24" s="1137"/>
      <c r="L24" s="1137"/>
      <c r="M24" s="1137"/>
      <c r="N24" s="1137"/>
      <c r="O24" s="1137"/>
      <c r="P24" s="1137"/>
      <c r="Q24" s="1137"/>
      <c r="R24" s="1137"/>
      <c r="S24" s="1138"/>
      <c r="T24" s="1599">
        <f>Application!AJ988</f>
        <v>27193081</v>
      </c>
      <c r="U24" s="1600"/>
      <c r="V24" s="1600"/>
      <c r="W24" s="1600"/>
      <c r="X24" s="1600"/>
      <c r="Y24" s="1600"/>
      <c r="Z24" s="1600"/>
      <c r="AA24" s="1600"/>
      <c r="AB24" s="1600"/>
      <c r="AC24" s="1600"/>
      <c r="AD24" s="1600"/>
      <c r="AE24" s="1600"/>
      <c r="AF24" s="1600"/>
      <c r="AG24" s="1600"/>
      <c r="AH24" s="1600"/>
      <c r="AI24" s="1600"/>
      <c r="AJ24" s="1600"/>
      <c r="AK24" s="1600"/>
      <c r="AL24" s="1600"/>
      <c r="AM24" s="1601"/>
    </row>
    <row r="25" spans="1:39" ht="12.95" customHeight="1">
      <c r="B25" s="1591" t="s">
        <v>2003</v>
      </c>
      <c r="C25" s="1592"/>
      <c r="D25" s="1592"/>
      <c r="E25" s="1592"/>
      <c r="F25" s="1592"/>
      <c r="G25" s="1592"/>
      <c r="H25" s="1592"/>
      <c r="I25" s="1592"/>
      <c r="J25" s="1592"/>
      <c r="K25" s="1592"/>
      <c r="L25" s="1592"/>
      <c r="M25" s="1592"/>
      <c r="N25" s="1592"/>
      <c r="O25" s="1592"/>
      <c r="P25" s="1592"/>
      <c r="Q25" s="1592"/>
      <c r="R25" s="1592"/>
      <c r="S25" s="1593"/>
      <c r="T25" s="1605">
        <f>IF(OR(AND(Application!T193="no",Application!T194="no",Application!T196="no",Application!Y211="no"),Application!T195="yes"),1,1.3)</f>
        <v>1</v>
      </c>
      <c r="U25" s="1606"/>
      <c r="V25" s="1606"/>
      <c r="W25" s="1606"/>
      <c r="X25" s="1606"/>
      <c r="Y25" s="1605">
        <v>1</v>
      </c>
      <c r="Z25" s="1606"/>
      <c r="AA25" s="1606"/>
      <c r="AB25" s="1606"/>
      <c r="AC25" s="1607"/>
      <c r="AD25" s="1605">
        <v>1</v>
      </c>
      <c r="AE25" s="1606"/>
      <c r="AF25" s="1606"/>
      <c r="AG25" s="1606"/>
      <c r="AH25" s="1607"/>
      <c r="AI25" s="1605">
        <v>1</v>
      </c>
      <c r="AJ25" s="1606"/>
      <c r="AK25" s="1606"/>
      <c r="AL25" s="1606"/>
      <c r="AM25" s="1607"/>
    </row>
    <row r="26" spans="1:39" ht="12.95" customHeight="1">
      <c r="B26" s="1136" t="s">
        <v>811</v>
      </c>
      <c r="C26" s="1137"/>
      <c r="D26" s="1137"/>
      <c r="E26" s="1137"/>
      <c r="F26" s="1137"/>
      <c r="G26" s="1137"/>
      <c r="H26" s="1137"/>
      <c r="I26" s="1137"/>
      <c r="J26" s="1137"/>
      <c r="K26" s="1137"/>
      <c r="L26" s="1137"/>
      <c r="M26" s="1137"/>
      <c r="N26" s="1137"/>
      <c r="O26" s="1137"/>
      <c r="P26" s="1137"/>
      <c r="Q26" s="1137"/>
      <c r="R26" s="1137"/>
      <c r="S26" s="1138"/>
      <c r="T26" s="1191">
        <f>T23*T25</f>
        <v>24783728.355295107</v>
      </c>
      <c r="U26" s="1604"/>
      <c r="V26" s="1604"/>
      <c r="W26" s="1604"/>
      <c r="X26" s="1604"/>
      <c r="Y26" s="1191">
        <f>Y23*Y25</f>
        <v>0</v>
      </c>
      <c r="Z26" s="1604"/>
      <c r="AA26" s="1604"/>
      <c r="AB26" s="1604"/>
      <c r="AC26" s="1604"/>
      <c r="AD26" s="1191">
        <f>AD23*AD25</f>
        <v>0</v>
      </c>
      <c r="AE26" s="1604"/>
      <c r="AF26" s="1604"/>
      <c r="AG26" s="1604"/>
      <c r="AH26" s="1604"/>
      <c r="AI26" s="1191">
        <f>AI23*AI25</f>
        <v>0</v>
      </c>
      <c r="AJ26" s="1604"/>
      <c r="AK26" s="1604"/>
      <c r="AL26" s="1604"/>
      <c r="AM26" s="1604"/>
    </row>
    <row r="27" spans="1:39" ht="12.95" customHeight="1">
      <c r="A27" s="4"/>
      <c r="B27" s="1594" t="s">
        <v>920</v>
      </c>
      <c r="C27" s="1595"/>
      <c r="D27" s="1595"/>
      <c r="E27" s="1595"/>
      <c r="F27" s="1595"/>
      <c r="G27" s="1595"/>
      <c r="H27" s="1595"/>
      <c r="I27" s="1595"/>
      <c r="J27" s="1595"/>
      <c r="K27" s="1595"/>
      <c r="L27" s="1595"/>
      <c r="M27" s="1595"/>
      <c r="N27" s="1595"/>
      <c r="O27" s="1595"/>
      <c r="P27" s="1595"/>
      <c r="Q27" s="1595"/>
      <c r="R27" s="1595"/>
      <c r="S27" s="1596"/>
      <c r="T27" s="1597">
        <f>Application!AG438</f>
        <v>1</v>
      </c>
      <c r="U27" s="1598"/>
      <c r="V27" s="1598"/>
      <c r="W27" s="1598"/>
      <c r="X27" s="1598"/>
      <c r="Y27" s="1597">
        <f>Application!AG438</f>
        <v>1</v>
      </c>
      <c r="Z27" s="1598"/>
      <c r="AA27" s="1598"/>
      <c r="AB27" s="1598"/>
      <c r="AC27" s="1598"/>
      <c r="AD27" s="1597">
        <f>Application!AG438</f>
        <v>1</v>
      </c>
      <c r="AE27" s="1598"/>
      <c r="AF27" s="1598"/>
      <c r="AG27" s="1598"/>
      <c r="AH27" s="1598"/>
      <c r="AI27" s="1597">
        <f>Application!AG438</f>
        <v>1</v>
      </c>
      <c r="AJ27" s="1598"/>
      <c r="AK27" s="1598"/>
      <c r="AL27" s="1598"/>
      <c r="AM27" s="1598"/>
    </row>
    <row r="28" spans="1:39" ht="12.95" customHeight="1">
      <c r="A28" s="3"/>
      <c r="B28" s="1136" t="s">
        <v>884</v>
      </c>
      <c r="C28" s="1137"/>
      <c r="D28" s="1137"/>
      <c r="E28" s="1137"/>
      <c r="F28" s="1137"/>
      <c r="G28" s="1137"/>
      <c r="H28" s="1137"/>
      <c r="I28" s="1137"/>
      <c r="J28" s="1137"/>
      <c r="K28" s="1137"/>
      <c r="L28" s="1137"/>
      <c r="M28" s="1137"/>
      <c r="N28" s="1137"/>
      <c r="O28" s="1137"/>
      <c r="P28" s="1137"/>
      <c r="Q28" s="1137"/>
      <c r="R28" s="1137"/>
      <c r="S28" s="1138"/>
      <c r="T28" s="1191">
        <f>IF(ISERROR((T26*T27)),0,(T26*T27))</f>
        <v>24783728.355295107</v>
      </c>
      <c r="U28" s="1604"/>
      <c r="V28" s="1604"/>
      <c r="W28" s="1604"/>
      <c r="X28" s="1604"/>
      <c r="Y28" s="1191">
        <f>IF(ISERROR((Y26*Y27)),0,(Y26*Y27))</f>
        <v>0</v>
      </c>
      <c r="Z28" s="1604"/>
      <c r="AA28" s="1604"/>
      <c r="AB28" s="1604"/>
      <c r="AC28" s="1604"/>
      <c r="AD28" s="1191">
        <f>IF(ISERROR((AD26*AD27)),0,(AD26*AD27))</f>
        <v>0</v>
      </c>
      <c r="AE28" s="1604"/>
      <c r="AF28" s="1604"/>
      <c r="AG28" s="1604"/>
      <c r="AH28" s="1604"/>
      <c r="AI28" s="1191">
        <f>IF(ISERROR((AI26*AI27)),0,(AI26*AI27))</f>
        <v>0</v>
      </c>
      <c r="AJ28" s="1604"/>
      <c r="AK28" s="1604"/>
      <c r="AL28" s="1604"/>
      <c r="AM28" s="1604"/>
    </row>
    <row r="29" spans="1:39" ht="12.95" customHeight="1">
      <c r="B29" s="1136" t="s">
        <v>659</v>
      </c>
      <c r="C29" s="1137"/>
      <c r="D29" s="1137"/>
      <c r="E29" s="1137"/>
      <c r="F29" s="1137"/>
      <c r="G29" s="1137"/>
      <c r="H29" s="1137"/>
      <c r="I29" s="1137"/>
      <c r="J29" s="1137"/>
      <c r="K29" s="1137"/>
      <c r="L29" s="1137"/>
      <c r="M29" s="1137"/>
      <c r="N29" s="1137"/>
      <c r="O29" s="1137"/>
      <c r="P29" s="1137"/>
      <c r="Q29" s="1137"/>
      <c r="R29" s="1137"/>
      <c r="S29" s="1138"/>
      <c r="T29" s="1599">
        <f>T28+Y28+AD28+AI28</f>
        <v>24783728.355295107</v>
      </c>
      <c r="U29" s="1600"/>
      <c r="V29" s="1600"/>
      <c r="W29" s="1600"/>
      <c r="X29" s="1600"/>
      <c r="Y29" s="1600"/>
      <c r="Z29" s="1600"/>
      <c r="AA29" s="1600"/>
      <c r="AB29" s="1600"/>
      <c r="AC29" s="1600"/>
      <c r="AD29" s="1600"/>
      <c r="AE29" s="1600"/>
      <c r="AF29" s="1600"/>
      <c r="AG29" s="1600"/>
      <c r="AH29" s="1600"/>
      <c r="AI29" s="1600"/>
      <c r="AJ29" s="1600"/>
      <c r="AK29" s="1600"/>
      <c r="AL29" s="1600"/>
      <c r="AM29" s="1601"/>
    </row>
    <row r="30" spans="1:39" ht="12.95" customHeight="1">
      <c r="B30" s="1638" t="s">
        <v>2002</v>
      </c>
      <c r="C30" s="1638"/>
      <c r="D30" s="1638"/>
      <c r="E30" s="1638"/>
      <c r="F30" s="1638"/>
      <c r="G30" s="1638"/>
      <c r="H30" s="1638"/>
      <c r="I30" s="1638"/>
      <c r="J30" s="1638"/>
      <c r="K30" s="1638"/>
      <c r="L30" s="1638"/>
      <c r="M30" s="1638"/>
      <c r="N30" s="1638"/>
      <c r="O30" s="1638"/>
      <c r="P30" s="1638"/>
      <c r="Q30" s="1638"/>
      <c r="R30" s="1638"/>
      <c r="S30" s="1638"/>
      <c r="T30" s="1638"/>
      <c r="U30" s="1638"/>
      <c r="V30" s="1638"/>
      <c r="W30" s="1638"/>
      <c r="X30" s="1638"/>
      <c r="Y30" s="1638"/>
      <c r="Z30" s="1638"/>
      <c r="AA30" s="1638"/>
      <c r="AB30" s="1638"/>
      <c r="AC30" s="1638"/>
      <c r="AD30" s="1638"/>
      <c r="AE30" s="1638"/>
      <c r="AF30" s="1638"/>
      <c r="AG30" s="1638"/>
      <c r="AH30" s="1638"/>
      <c r="AI30" s="1638"/>
      <c r="AJ30" s="1638"/>
      <c r="AK30" s="1638"/>
      <c r="AL30" s="1638"/>
      <c r="AM30" s="1638"/>
    </row>
    <row r="31" spans="1:39" ht="12.95" customHeight="1">
      <c r="B31" s="1639" t="s">
        <v>2004</v>
      </c>
      <c r="C31" s="1639"/>
      <c r="D31" s="1639"/>
      <c r="E31" s="1639"/>
      <c r="F31" s="1639"/>
      <c r="G31" s="1639"/>
      <c r="H31" s="1639"/>
      <c r="I31" s="1639"/>
      <c r="J31" s="1639"/>
      <c r="K31" s="1639"/>
      <c r="L31" s="1639"/>
      <c r="M31" s="1639"/>
      <c r="N31" s="1639"/>
      <c r="O31" s="1639"/>
      <c r="P31" s="1639"/>
      <c r="Q31" s="1639"/>
      <c r="R31" s="1639"/>
      <c r="S31" s="1639"/>
      <c r="T31" s="1639"/>
      <c r="U31" s="1639"/>
      <c r="V31" s="1639"/>
      <c r="W31" s="1639"/>
      <c r="X31" s="1639"/>
      <c r="Y31" s="1639"/>
      <c r="Z31" s="1639"/>
      <c r="AA31" s="1639"/>
      <c r="AB31" s="1639"/>
      <c r="AC31" s="1639"/>
      <c r="AD31" s="1639"/>
      <c r="AE31" s="1639"/>
      <c r="AF31" s="1639"/>
      <c r="AG31" s="1639"/>
      <c r="AH31" s="1639"/>
      <c r="AI31" s="1639"/>
      <c r="AJ31" s="1639"/>
      <c r="AK31" s="1639"/>
      <c r="AL31" s="1639"/>
      <c r="AM31" s="1639"/>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8" t="s">
        <v>1679</v>
      </c>
      <c r="Z35" s="1608"/>
      <c r="AA35" s="1608"/>
      <c r="AB35" s="1608"/>
      <c r="AC35" s="1608"/>
      <c r="AD35" s="1177" t="s">
        <v>45</v>
      </c>
      <c r="AE35" s="1177"/>
      <c r="AF35" s="1177"/>
      <c r="AG35" s="1177"/>
      <c r="AH35" s="1177"/>
    </row>
    <row r="36" spans="1:44" ht="12.95" customHeight="1">
      <c r="B36" s="204"/>
      <c r="X36" s="71"/>
      <c r="Y36" s="1608"/>
      <c r="Z36" s="1608"/>
      <c r="AA36" s="1608"/>
      <c r="AB36" s="1608"/>
      <c r="AC36" s="1608"/>
      <c r="AD36" s="1177"/>
      <c r="AE36" s="1177"/>
      <c r="AF36" s="1177"/>
      <c r="AG36" s="1177"/>
      <c r="AH36" s="1177"/>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8"/>
      <c r="Z37" s="1608"/>
      <c r="AA37" s="1608"/>
      <c r="AB37" s="1608"/>
      <c r="AC37" s="1608"/>
      <c r="AD37" s="1177"/>
      <c r="AE37" s="1177"/>
      <c r="AF37" s="1177"/>
      <c r="AG37" s="1177"/>
      <c r="AH37" s="1177"/>
    </row>
    <row r="38" spans="1:44" ht="12.95" customHeight="1">
      <c r="A38" s="3"/>
      <c r="B38" s="1136" t="s">
        <v>884</v>
      </c>
      <c r="C38" s="1137"/>
      <c r="D38" s="1137"/>
      <c r="E38" s="1137"/>
      <c r="F38" s="1137"/>
      <c r="G38" s="1137"/>
      <c r="H38" s="1137"/>
      <c r="I38" s="1137"/>
      <c r="J38" s="1137"/>
      <c r="K38" s="1137"/>
      <c r="L38" s="1137"/>
      <c r="M38" s="1137"/>
      <c r="N38" s="1137"/>
      <c r="O38" s="1137"/>
      <c r="P38" s="1137"/>
      <c r="Q38" s="1137"/>
      <c r="R38" s="1137"/>
      <c r="S38" s="1137"/>
      <c r="T38" s="1137"/>
      <c r="U38" s="1137"/>
      <c r="V38" s="1137"/>
      <c r="W38" s="1137"/>
      <c r="X38" s="1138"/>
      <c r="Y38" s="1124">
        <f>IF(T24&gt;=(T23+Y23+AD23+AI23),T28+Y28,0)</f>
        <v>24783728.355295107</v>
      </c>
      <c r="Z38" s="1124"/>
      <c r="AA38" s="1124"/>
      <c r="AB38" s="1124"/>
      <c r="AC38" s="1124"/>
      <c r="AD38" s="1124">
        <f>IF(T24&gt;=(T23+Y23+AD23+AI23),AD28+AI28,0)</f>
        <v>0</v>
      </c>
      <c r="AE38" s="1124"/>
      <c r="AF38" s="1124"/>
      <c r="AG38" s="1124"/>
      <c r="AH38" s="1124"/>
    </row>
    <row r="39" spans="1:44" ht="12.95" customHeight="1">
      <c r="B39" s="1136" t="s">
        <v>1895</v>
      </c>
      <c r="C39" s="1137"/>
      <c r="D39" s="1137"/>
      <c r="E39" s="1137"/>
      <c r="F39" s="1137"/>
      <c r="G39" s="1137"/>
      <c r="H39" s="1137"/>
      <c r="I39" s="1137"/>
      <c r="J39" s="1137"/>
      <c r="K39" s="1137"/>
      <c r="L39" s="1137"/>
      <c r="M39" s="1137"/>
      <c r="N39" s="1137"/>
      <c r="O39" s="1137"/>
      <c r="P39" s="1137"/>
      <c r="Q39" s="1137"/>
      <c r="R39" s="1137"/>
      <c r="S39" s="1137"/>
      <c r="T39" s="1137"/>
      <c r="U39" s="1137"/>
      <c r="V39" s="1137"/>
      <c r="W39" s="1137"/>
      <c r="X39" s="1138"/>
      <c r="Y39" s="1643">
        <v>0.09</v>
      </c>
      <c r="Z39" s="1643"/>
      <c r="AA39" s="1643"/>
      <c r="AB39" s="1643"/>
      <c r="AC39" s="1643"/>
      <c r="AD39" s="1643">
        <v>0.04</v>
      </c>
      <c r="AE39" s="1643"/>
      <c r="AF39" s="1643"/>
      <c r="AG39" s="1643"/>
      <c r="AH39" s="1643"/>
    </row>
    <row r="40" spans="1:44" ht="12.95" customHeight="1">
      <c r="A40" s="3"/>
      <c r="B40" s="1136" t="s">
        <v>25</v>
      </c>
      <c r="C40" s="1137"/>
      <c r="D40" s="1137"/>
      <c r="E40" s="1137"/>
      <c r="F40" s="1137"/>
      <c r="G40" s="1137"/>
      <c r="H40" s="1137"/>
      <c r="I40" s="1137"/>
      <c r="J40" s="1137"/>
      <c r="K40" s="1137"/>
      <c r="L40" s="1137"/>
      <c r="M40" s="1137"/>
      <c r="N40" s="1137"/>
      <c r="O40" s="1137"/>
      <c r="P40" s="1137"/>
      <c r="Q40" s="1137"/>
      <c r="R40" s="1137"/>
      <c r="S40" s="1137"/>
      <c r="T40" s="1137"/>
      <c r="U40" s="1137"/>
      <c r="V40" s="1137"/>
      <c r="W40" s="1137"/>
      <c r="X40" s="1138"/>
      <c r="Y40" s="1124">
        <f>ROUND(Y38*Y39,0)</f>
        <v>2230536</v>
      </c>
      <c r="Z40" s="1124"/>
      <c r="AA40" s="1124"/>
      <c r="AB40" s="1124"/>
      <c r="AC40" s="1124"/>
      <c r="AD40" s="1601">
        <f>ROUND(AD38*AD39,0)</f>
        <v>0</v>
      </c>
      <c r="AE40" s="1124"/>
      <c r="AF40" s="1124"/>
      <c r="AG40" s="1124"/>
      <c r="AH40" s="1124"/>
    </row>
    <row r="41" spans="1:44" ht="12.95" customHeight="1">
      <c r="B41" s="1136" t="s">
        <v>653</v>
      </c>
      <c r="C41" s="1137"/>
      <c r="D41" s="1137"/>
      <c r="E41" s="1137"/>
      <c r="F41" s="1137"/>
      <c r="G41" s="1137"/>
      <c r="H41" s="1137"/>
      <c r="I41" s="1137"/>
      <c r="J41" s="1137"/>
      <c r="K41" s="1137"/>
      <c r="L41" s="1137"/>
      <c r="M41" s="1137"/>
      <c r="N41" s="1137"/>
      <c r="O41" s="1137"/>
      <c r="P41" s="1137"/>
      <c r="Q41" s="1137"/>
      <c r="R41" s="1137"/>
      <c r="S41" s="1137"/>
      <c r="T41" s="1137"/>
      <c r="U41" s="1137"/>
      <c r="V41" s="1137"/>
      <c r="W41" s="1137"/>
      <c r="X41" s="1138"/>
      <c r="Y41" s="1599">
        <f>IF(Application!Y211="No",'Basis &amp; Credits'!AR42,AR43)</f>
        <v>2230536</v>
      </c>
      <c r="Z41" s="1600"/>
      <c r="AA41" s="1600"/>
      <c r="AB41" s="1600"/>
      <c r="AC41" s="1600"/>
      <c r="AD41" s="1600"/>
      <c r="AE41" s="1600"/>
      <c r="AF41" s="1600"/>
      <c r="AG41" s="1600"/>
      <c r="AH41" s="1601"/>
    </row>
    <row r="42" spans="1:44" ht="12.95" customHeight="1">
      <c r="A42" s="3"/>
      <c r="B42" s="1633" t="s">
        <v>1896</v>
      </c>
      <c r="C42" s="1633"/>
      <c r="D42" s="1633"/>
      <c r="E42" s="1633"/>
      <c r="F42" s="1633"/>
      <c r="G42" s="1633"/>
      <c r="H42" s="1633"/>
      <c r="I42" s="1633"/>
      <c r="J42" s="1633"/>
      <c r="K42" s="1633"/>
      <c r="L42" s="1633"/>
      <c r="M42" s="1633"/>
      <c r="N42" s="1633"/>
      <c r="O42" s="1633"/>
      <c r="P42" s="1633"/>
      <c r="Q42" s="1633"/>
      <c r="R42" s="1633"/>
      <c r="S42" s="1633"/>
      <c r="T42" s="1633"/>
      <c r="U42" s="1633"/>
      <c r="V42" s="1633"/>
      <c r="W42" s="1633"/>
      <c r="X42" s="1633"/>
      <c r="Y42" s="1633"/>
      <c r="Z42" s="1633"/>
      <c r="AA42" s="1633"/>
      <c r="AB42" s="1633"/>
      <c r="AC42" s="1633"/>
      <c r="AD42" s="1633"/>
      <c r="AE42" s="1633"/>
      <c r="AF42" s="1633"/>
      <c r="AG42" s="1633"/>
      <c r="AH42" s="1633"/>
      <c r="AI42" s="26"/>
      <c r="AJ42" s="26"/>
      <c r="AK42" s="26"/>
      <c r="AL42" s="26"/>
      <c r="AM42" s="26"/>
      <c r="AN42" s="26"/>
      <c r="AR42">
        <f>IF((Y40+AD40)&gt;2500000,2500000,Y40+AD40)</f>
        <v>2230536</v>
      </c>
    </row>
    <row r="43" spans="1:44"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2230536</v>
      </c>
    </row>
    <row r="44" spans="1:44"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5" customHeight="1">
      <c r="A45" s="3" t="s">
        <v>127</v>
      </c>
      <c r="C45" s="3" t="s">
        <v>268</v>
      </c>
    </row>
    <row r="46" spans="1:44" ht="12.95" customHeight="1">
      <c r="D46" s="3" t="s">
        <v>269</v>
      </c>
      <c r="AB46" s="1153">
        <f>'Sources and Uses Budget'!B104-(MAX(IF('Sources and Uses Budget'!B15="",0,'Sources and Uses Budget'!B15),IF(Application!AG387="",0,Application!AG387)))</f>
        <v>27378426.594866805</v>
      </c>
      <c r="AC46" s="1154"/>
      <c r="AD46" s="1154"/>
      <c r="AE46" s="1154"/>
      <c r="AF46" s="1155"/>
    </row>
    <row r="47" spans="1:44" ht="12.95" customHeight="1">
      <c r="D47" s="3" t="s">
        <v>878</v>
      </c>
      <c r="AB47" s="1153">
        <f>Application!AO630-MAX(IF('Sources and Uses Budget'!B15="",0,'Sources and Uses Budget'!B15),IF(Application!AG387="",0,Application!AG387))</f>
        <v>6340770.1918008979</v>
      </c>
      <c r="AC47" s="1154"/>
      <c r="AD47" s="1154"/>
      <c r="AE47" s="1154"/>
      <c r="AF47" s="1155"/>
    </row>
    <row r="48" spans="1:44" ht="12.95" customHeight="1">
      <c r="D48" s="3" t="s">
        <v>403</v>
      </c>
      <c r="AB48" s="1153">
        <f>AB46-AB47</f>
        <v>21037656.403065905</v>
      </c>
      <c r="AC48" s="1154"/>
      <c r="AD48" s="1154"/>
      <c r="AE48" s="1154"/>
      <c r="AF48" s="1155"/>
    </row>
    <row r="49" spans="1:40" ht="12.95" customHeight="1">
      <c r="D49" s="3" t="s">
        <v>913</v>
      </c>
      <c r="AA49" s="34"/>
      <c r="AB49" s="1628">
        <v>0.87</v>
      </c>
      <c r="AC49" s="1629"/>
      <c r="AD49" s="1629"/>
      <c r="AE49" s="1629"/>
      <c r="AF49" s="1630"/>
    </row>
    <row r="50" spans="1:40" s="324" customFormat="1" ht="12.95" customHeight="1">
      <c r="A50"/>
      <c r="B50"/>
      <c r="C50"/>
      <c r="D50"/>
      <c r="E50" s="1637" t="s">
        <v>2051</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8"/>
      <c r="AB50" s="358"/>
      <c r="AC50" s="358"/>
      <c r="AD50" s="358"/>
      <c r="AE50" s="358"/>
      <c r="AF50" s="358"/>
      <c r="AG50"/>
      <c r="AH50"/>
      <c r="AI50"/>
      <c r="AJ50"/>
      <c r="AK50"/>
      <c r="AL50"/>
      <c r="AM50"/>
      <c r="AN50"/>
    </row>
    <row r="51" spans="1:40" s="324" customFormat="1" ht="12.95"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3">
        <f>ROUND(IF(ISERROR((AB48/AB49)),0,(AB48/AB49)),0)</f>
        <v>24181214</v>
      </c>
      <c r="AC53" s="1154"/>
      <c r="AD53" s="1154"/>
      <c r="AE53" s="1154"/>
      <c r="AF53" s="1155"/>
    </row>
    <row r="54" spans="1:40" ht="12.95" customHeight="1">
      <c r="D54" s="3" t="s">
        <v>592</v>
      </c>
      <c r="AB54" s="1153">
        <f>(AB53/10)</f>
        <v>2418121.4</v>
      </c>
      <c r="AC54" s="1154"/>
      <c r="AD54" s="1154"/>
      <c r="AE54" s="1154"/>
      <c r="AF54" s="1155"/>
    </row>
    <row r="55" spans="1:40" ht="12.95" customHeight="1">
      <c r="D55" s="3" t="s">
        <v>362</v>
      </c>
      <c r="AB55" s="1634">
        <f>(IF((Y41&lt;AB54),Y41,AB54))</f>
        <v>2230536</v>
      </c>
      <c r="AC55" s="1635"/>
      <c r="AD55" s="1635"/>
      <c r="AE55" s="1635"/>
      <c r="AF55" s="1636"/>
    </row>
    <row r="56" spans="1:40" ht="12.95" customHeight="1">
      <c r="D56" s="3" t="s">
        <v>115</v>
      </c>
      <c r="AB56" s="1153">
        <f>ROUND((10*AB55*AB49),0)</f>
        <v>19405663</v>
      </c>
      <c r="AC56" s="1154"/>
      <c r="AD56" s="1154"/>
      <c r="AE56" s="1154"/>
      <c r="AF56" s="1155"/>
    </row>
    <row r="57" spans="1:40" ht="12.95" customHeight="1">
      <c r="D57" s="3"/>
      <c r="AB57" s="276"/>
      <c r="AC57" s="276"/>
      <c r="AD57" s="276"/>
      <c r="AE57" s="276"/>
      <c r="AF57" s="276"/>
    </row>
    <row r="58" spans="1:40" ht="12.95" customHeight="1">
      <c r="D58" s="3" t="s">
        <v>114</v>
      </c>
      <c r="AB58" s="1168">
        <f>AB48-AB56</f>
        <v>1631993.403065905</v>
      </c>
      <c r="AC58" s="1168"/>
      <c r="AD58" s="1168"/>
      <c r="AE58" s="1168"/>
      <c r="AF58" s="1168"/>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0" t="s">
        <v>1827</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5" customHeight="1" thickTop="1">
      <c r="A61" s="1504"/>
      <c r="B61" s="1504"/>
      <c r="C61" s="1504"/>
      <c r="D61" s="1504"/>
      <c r="E61" s="1504"/>
      <c r="F61" s="1504"/>
      <c r="G61" s="1504"/>
      <c r="H61" s="1504"/>
      <c r="I61" s="1504"/>
      <c r="J61" s="1504"/>
      <c r="K61" s="1504"/>
      <c r="L61" s="1504"/>
      <c r="M61" s="1504"/>
      <c r="N61" s="1504"/>
      <c r="O61" s="1504"/>
      <c r="P61" s="1504"/>
      <c r="Q61" s="1504"/>
      <c r="R61" s="1504"/>
      <c r="S61" s="1504"/>
      <c r="T61" s="1504"/>
      <c r="U61" s="1504"/>
      <c r="V61" s="1504"/>
      <c r="W61" s="1504"/>
      <c r="X61" s="1504"/>
      <c r="Y61" s="1504"/>
      <c r="Z61" s="1504"/>
      <c r="AA61" s="1504"/>
      <c r="AB61" s="1504"/>
      <c r="AC61" s="1504"/>
      <c r="AD61" s="1504"/>
      <c r="AE61" s="1504"/>
      <c r="AF61" s="1504"/>
      <c r="AG61" s="1504"/>
      <c r="AH61" s="1504"/>
      <c r="AI61" s="1504"/>
      <c r="AJ61" s="1504"/>
      <c r="AK61" s="1504"/>
      <c r="AL61" s="1504"/>
      <c r="AM61" s="1504"/>
      <c r="AN61" s="1504"/>
    </row>
    <row r="62" spans="1:40" ht="12.95" customHeight="1">
      <c r="A62" s="3" t="s">
        <v>130</v>
      </c>
      <c r="C62" s="3" t="s">
        <v>540</v>
      </c>
      <c r="Y62" s="1642" t="s">
        <v>316</v>
      </c>
      <c r="Z62" s="1642"/>
      <c r="AA62" s="1642"/>
      <c r="AB62" s="1642"/>
      <c r="AC62" s="1642"/>
      <c r="AD62" s="1642" t="s">
        <v>45</v>
      </c>
      <c r="AE62" s="1642"/>
      <c r="AF62" s="1642"/>
      <c r="AG62" s="1642"/>
      <c r="AH62" s="1642"/>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604">
        <f>IF(AND(Application!T193="No",Application!T194="No"),T28,IF(OR(AND(T25=1.3,Application!T196="Yes",Application!D214="Special Needs"),T25=1),(T23*T27)+Y28,Y28))</f>
        <v>24783728.355295107</v>
      </c>
      <c r="Z63" s="1631"/>
      <c r="AA63" s="1631"/>
      <c r="AB63" s="1631"/>
      <c r="AC63" s="1631"/>
      <c r="AD63" s="1124">
        <f>IF(AND(T25=1.3,Application!D214="At-Risk"),AI28,IF(Application!D214&lt;&gt;"At-Risk",0,AD28))</f>
        <v>0</v>
      </c>
      <c r="AE63" s="1631"/>
      <c r="AF63" s="1631"/>
      <c r="AG63" s="1631"/>
      <c r="AH63" s="1631"/>
    </row>
    <row r="64" spans="1:40" ht="12.95" customHeight="1">
      <c r="C64" s="3"/>
      <c r="E64" s="1641" t="s">
        <v>1342</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21.8"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7">
        <f>IF(Application!W198="Yes",95%, 30%)</f>
        <v>0.3</v>
      </c>
      <c r="Z66" s="1627"/>
      <c r="AA66" s="1627"/>
      <c r="AB66" s="1627"/>
      <c r="AC66" s="1627"/>
      <c r="AD66" s="1627">
        <f>IF(Application!W198="Yes",95%, 13%)</f>
        <v>0.13</v>
      </c>
      <c r="AE66" s="1627"/>
      <c r="AF66" s="1627"/>
      <c r="AG66" s="1627"/>
      <c r="AH66" s="1627"/>
    </row>
    <row r="67" spans="1:34" ht="12.95" customHeight="1">
      <c r="C67" s="3"/>
      <c r="D67" s="3" t="s">
        <v>985</v>
      </c>
      <c r="Y67" s="1124">
        <f>ROUND(Y63*Y66,0)</f>
        <v>7435119</v>
      </c>
      <c r="Z67" s="1631"/>
      <c r="AA67" s="1631"/>
      <c r="AB67" s="1631"/>
      <c r="AC67" s="1631"/>
      <c r="AD67" s="1124" t="str">
        <f>IF(OR(Application!D211="At-Risk",Application!D211="At-Risk/Located in Rural Census Tract",Application!D214="At-Risk"),ROUND(AD63*AD66,0),"$0")</f>
        <v>$0</v>
      </c>
      <c r="AE67" s="1124"/>
      <c r="AF67" s="1124"/>
      <c r="AG67" s="1124"/>
      <c r="AH67" s="1124"/>
    </row>
    <row r="68" spans="1:34" ht="12.95" customHeight="1">
      <c r="C68" s="3"/>
      <c r="E68" s="816" t="s">
        <v>2005</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5"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5" customHeight="1">
      <c r="A70" s="3"/>
      <c r="C70" s="3"/>
      <c r="D70" s="3" t="s">
        <v>914</v>
      </c>
      <c r="AB70" s="1628">
        <v>0.8</v>
      </c>
      <c r="AC70" s="1629"/>
      <c r="AD70" s="1629"/>
      <c r="AE70" s="1629"/>
      <c r="AF70" s="1630"/>
    </row>
    <row r="71" spans="1:34" ht="12.95" customHeight="1">
      <c r="A71" s="3"/>
      <c r="C71" s="3"/>
      <c r="D71" s="3"/>
      <c r="E71" s="1632" t="s">
        <v>1822</v>
      </c>
      <c r="F71" s="1632"/>
      <c r="G71" s="1632"/>
      <c r="H71" s="1632"/>
      <c r="I71" s="1632"/>
      <c r="J71" s="1632"/>
      <c r="K71" s="1632"/>
      <c r="L71" s="1632"/>
      <c r="M71" s="1632"/>
      <c r="N71" s="1632"/>
      <c r="O71" s="1632"/>
      <c r="P71" s="1632"/>
      <c r="Q71" s="1632"/>
      <c r="R71" s="1632"/>
      <c r="S71" s="1632"/>
      <c r="T71" s="1632"/>
      <c r="U71" s="1632"/>
      <c r="V71" s="1632"/>
      <c r="W71" s="1632"/>
      <c r="X71" s="1632"/>
      <c r="Y71" s="1632"/>
      <c r="Z71" s="1632"/>
      <c r="AA71" s="253"/>
      <c r="AB71" s="253"/>
      <c r="AC71" s="253"/>
    </row>
    <row r="72" spans="1:34" ht="12.95" customHeight="1">
      <c r="A72" s="3"/>
      <c r="C72" s="3"/>
      <c r="D72" s="3"/>
      <c r="E72" s="1632"/>
      <c r="F72" s="1632"/>
      <c r="G72" s="1632"/>
      <c r="H72" s="1632"/>
      <c r="I72" s="1632"/>
      <c r="J72" s="1632"/>
      <c r="K72" s="1632"/>
      <c r="L72" s="1632"/>
      <c r="M72" s="1632"/>
      <c r="N72" s="1632"/>
      <c r="O72" s="1632"/>
      <c r="P72" s="1632"/>
      <c r="Q72" s="1632"/>
      <c r="R72" s="1632"/>
      <c r="S72" s="1632"/>
      <c r="T72" s="1632"/>
      <c r="U72" s="1632"/>
      <c r="V72" s="1632"/>
      <c r="W72" s="1632"/>
      <c r="X72" s="1632"/>
      <c r="Y72" s="1632"/>
      <c r="Z72" s="1632"/>
      <c r="AA72" s="253"/>
      <c r="AB72" s="253"/>
      <c r="AC72" s="253"/>
    </row>
    <row r="73" spans="1:34" ht="12.95" customHeight="1">
      <c r="A73" s="3"/>
      <c r="C73" s="3"/>
      <c r="D73" s="3"/>
      <c r="E73" s="1632"/>
      <c r="F73" s="1632"/>
      <c r="G73" s="1632"/>
      <c r="H73" s="1632"/>
      <c r="I73" s="1632"/>
      <c r="J73" s="1632"/>
      <c r="K73" s="1632"/>
      <c r="L73" s="1632"/>
      <c r="M73" s="1632"/>
      <c r="N73" s="1632"/>
      <c r="O73" s="1632"/>
      <c r="P73" s="1632"/>
      <c r="Q73" s="1632"/>
      <c r="R73" s="1632"/>
      <c r="S73" s="1632"/>
      <c r="T73" s="1632"/>
      <c r="U73" s="1632"/>
      <c r="V73" s="1632"/>
      <c r="W73" s="1632"/>
      <c r="X73" s="1632"/>
      <c r="Y73" s="1632"/>
      <c r="Z73" s="1632"/>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36">
        <f>ROUND(IF(ISERROR((AB58/AB70)),0,(AB58/AB70)),0)</f>
        <v>2039992</v>
      </c>
      <c r="AC75" s="1536"/>
      <c r="AD75" s="1536"/>
      <c r="AE75" s="1536"/>
      <c r="AF75" s="1536"/>
    </row>
    <row r="76" spans="1:34" ht="12.95" customHeight="1">
      <c r="C76" s="3"/>
      <c r="D76" s="3" t="s">
        <v>113</v>
      </c>
      <c r="AB76" s="1533">
        <f>IF((Y67+AD67&lt;AB75),Y67+AD67,AB75)</f>
        <v>2039992</v>
      </c>
      <c r="AC76" s="1534"/>
      <c r="AD76" s="1534"/>
      <c r="AE76" s="1534"/>
      <c r="AF76" s="1535"/>
    </row>
    <row r="77" spans="1:34" ht="12.95" customHeight="1">
      <c r="C77" s="3"/>
      <c r="D77" s="3" t="s">
        <v>986</v>
      </c>
      <c r="AB77" s="1626">
        <f>AB76*AB70</f>
        <v>1631993.6</v>
      </c>
      <c r="AC77" s="1626"/>
      <c r="AD77" s="1626"/>
      <c r="AE77" s="1626"/>
      <c r="AF77" s="1626"/>
    </row>
    <row r="78" spans="1:34" ht="12.95" customHeight="1">
      <c r="C78" s="3"/>
      <c r="D78" s="3"/>
      <c r="AB78" s="613"/>
      <c r="AC78" s="613"/>
      <c r="AD78" s="613"/>
      <c r="AE78" s="613"/>
      <c r="AF78" s="613"/>
    </row>
    <row r="79" spans="1:34" ht="12.95" customHeight="1">
      <c r="D79" s="3" t="s">
        <v>114</v>
      </c>
      <c r="AB79" s="1168">
        <f>AB48-(AB56+AB77)</f>
        <v>-0.19693409651517868</v>
      </c>
      <c r="AC79" s="1168"/>
      <c r="AD79" s="1168"/>
      <c r="AE79" s="1168"/>
      <c r="AF79" s="1168"/>
    </row>
    <row r="80" spans="1:34" ht="12.95" customHeight="1">
      <c r="F80" s="16"/>
      <c r="J80" s="16" t="str">
        <f>IF(AB79&gt;0,"FUNDING GAP MUST NOT EXCEED ZERO","")</f>
        <v/>
      </c>
    </row>
    <row r="81" spans="4:4" ht="12.9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4"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topLeftCell="A64" workbookViewId="0">
      <selection activeCell="D84" sqref="D84"/>
    </sheetView>
  </sheetViews>
  <sheetFormatPr defaultColWidth="8.875" defaultRowHeight="11.8" zeroHeight="1"/>
  <cols>
    <col min="1" max="1" width="32.625" style="497" customWidth="1"/>
    <col min="2" max="3" width="12.125" style="495" customWidth="1"/>
    <col min="4" max="4" width="12.875" style="495" customWidth="1"/>
    <col min="5" max="6" width="12.75" style="495" customWidth="1"/>
    <col min="7" max="7" width="13.375" style="495" customWidth="1"/>
    <col min="8" max="9" width="12.125" style="495" customWidth="1"/>
    <col min="10" max="10" width="12.125" style="590" customWidth="1"/>
    <col min="11" max="11" width="7" style="596" customWidth="1"/>
    <col min="12" max="16384" width="8.875" style="495"/>
  </cols>
  <sheetData>
    <row r="1" spans="1:11" s="356" customFormat="1" ht="13.1">
      <c r="A1" s="1644" t="s">
        <v>1903</v>
      </c>
      <c r="B1" s="1645"/>
      <c r="C1" s="1645"/>
      <c r="D1" s="1645"/>
      <c r="E1" s="1645"/>
      <c r="F1" s="1645"/>
      <c r="G1" s="1645"/>
      <c r="H1" s="1645"/>
      <c r="I1" s="1645"/>
      <c r="J1" s="1646"/>
      <c r="K1" s="593"/>
    </row>
    <row r="2" spans="1:11" s="611" customFormat="1" ht="70.7">
      <c r="A2" s="609"/>
      <c r="B2" s="232" t="s">
        <v>1418</v>
      </c>
      <c r="C2" s="232" t="s">
        <v>1904</v>
      </c>
      <c r="D2" s="232" t="s">
        <v>1905</v>
      </c>
      <c r="E2" s="232" t="s">
        <v>1422</v>
      </c>
      <c r="F2" s="232" t="s">
        <v>1906</v>
      </c>
      <c r="G2" s="232" t="s">
        <v>1907</v>
      </c>
      <c r="H2" s="232" t="s">
        <v>1421</v>
      </c>
      <c r="I2" s="232" t="s">
        <v>1908</v>
      </c>
      <c r="J2" s="679" t="s">
        <v>1909</v>
      </c>
      <c r="K2" s="610"/>
    </row>
    <row r="3" spans="1:11" s="253" customFormat="1">
      <c r="A3" s="235" t="s">
        <v>364</v>
      </c>
      <c r="B3" s="598"/>
      <c r="C3" s="598"/>
      <c r="D3" s="598"/>
      <c r="E3" s="598"/>
      <c r="F3" s="598"/>
      <c r="G3" s="598"/>
      <c r="H3" s="598"/>
      <c r="I3" s="598"/>
      <c r="J3" s="598"/>
      <c r="K3" s="594"/>
    </row>
    <row r="4" spans="1:11" s="253" customFormat="1" ht="13.75">
      <c r="A4" s="300" t="s">
        <v>72</v>
      </c>
      <c r="B4" s="599">
        <f>'Sources and Uses Budget'!C4</f>
        <v>1200000</v>
      </c>
      <c r="C4" s="600"/>
      <c r="D4" s="600">
        <v>1200000</v>
      </c>
      <c r="E4" s="601"/>
      <c r="F4" s="601"/>
      <c r="G4" s="601"/>
      <c r="H4" s="601"/>
      <c r="I4" s="601"/>
      <c r="J4" s="601"/>
      <c r="K4" s="594"/>
    </row>
    <row r="5" spans="1:11" s="253" customFormat="1" ht="13.75">
      <c r="A5" s="300" t="s">
        <v>73</v>
      </c>
      <c r="B5" s="599">
        <f>'Sources and Uses Budget'!C5</f>
        <v>0</v>
      </c>
      <c r="C5" s="600"/>
      <c r="D5" s="600"/>
      <c r="E5" s="601"/>
      <c r="F5" s="601"/>
      <c r="G5" s="601"/>
      <c r="H5" s="601"/>
      <c r="I5" s="601"/>
      <c r="J5" s="601"/>
      <c r="K5" s="594"/>
    </row>
    <row r="6" spans="1:11" s="253" customFormat="1">
      <c r="A6" s="239" t="s">
        <v>365</v>
      </c>
      <c r="B6" s="599">
        <f>'Sources and Uses Budget'!C6</f>
        <v>3563</v>
      </c>
      <c r="C6" s="600"/>
      <c r="D6" s="600">
        <v>160163</v>
      </c>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75">
      <c r="A8" s="301" t="s">
        <v>740</v>
      </c>
      <c r="B8" s="599">
        <f>'Sources and Uses Budget'!C8</f>
        <v>1203563</v>
      </c>
      <c r="C8" s="599">
        <f>SUM(C4:C7)</f>
        <v>0</v>
      </c>
      <c r="D8" s="599">
        <f>SUM(D4:D7)</f>
        <v>1360163</v>
      </c>
      <c r="E8" s="601"/>
      <c r="F8" s="601"/>
      <c r="G8" s="601"/>
      <c r="H8" s="601"/>
      <c r="I8" s="601"/>
      <c r="J8" s="601"/>
      <c r="K8" s="594"/>
    </row>
    <row r="9" spans="1:11" s="253" customFormat="1">
      <c r="A9" s="239" t="s">
        <v>1797</v>
      </c>
      <c r="B9" s="599">
        <f>'Sources and Uses Budget'!C9</f>
        <v>0</v>
      </c>
      <c r="C9" s="600"/>
      <c r="D9" s="600"/>
      <c r="E9" s="601"/>
      <c r="F9" s="601"/>
      <c r="G9" s="601"/>
      <c r="H9" s="599">
        <f>'Sources and Uses Budget'!T9</f>
        <v>0</v>
      </c>
      <c r="I9" s="600"/>
      <c r="J9" s="600"/>
      <c r="K9" s="594"/>
    </row>
    <row r="10" spans="1:11" s="253" customFormat="1" ht="13.75">
      <c r="A10" s="300" t="s">
        <v>74</v>
      </c>
      <c r="B10" s="599">
        <f>'Sources and Uses Budget'!C10</f>
        <v>409628</v>
      </c>
      <c r="C10" s="600"/>
      <c r="D10" s="600">
        <v>409627</v>
      </c>
      <c r="E10" s="599">
        <f>'Sources and Uses Budget'!S10</f>
        <v>409628</v>
      </c>
      <c r="F10" s="600"/>
      <c r="G10" s="600">
        <v>409627</v>
      </c>
      <c r="H10" s="599">
        <f>'Sources and Uses Budget'!T10</f>
        <v>0</v>
      </c>
      <c r="I10" s="600"/>
      <c r="J10" s="600"/>
      <c r="K10" s="594"/>
    </row>
    <row r="11" spans="1:11" s="253" customFormat="1">
      <c r="A11" s="243" t="s">
        <v>617</v>
      </c>
      <c r="B11" s="599">
        <f>'Sources and Uses Budget'!C11</f>
        <v>409628</v>
      </c>
      <c r="C11" s="599">
        <f>SUM(C9:C10)</f>
        <v>0</v>
      </c>
      <c r="D11" s="599">
        <f>SUM(D9:D10)</f>
        <v>409627</v>
      </c>
      <c r="E11" s="601"/>
      <c r="F11" s="601"/>
      <c r="G11" s="601"/>
      <c r="H11" s="599">
        <f>'Sources and Uses Budget'!T11</f>
        <v>0</v>
      </c>
      <c r="I11" s="599">
        <f>SUM(I9:I10)</f>
        <v>0</v>
      </c>
      <c r="J11" s="599">
        <f>SUM(J9:J10)</f>
        <v>0</v>
      </c>
      <c r="K11" s="594"/>
    </row>
    <row r="12" spans="1:11" s="253" customFormat="1">
      <c r="A12" s="243" t="s">
        <v>747</v>
      </c>
      <c r="B12" s="599">
        <f>'Sources and Uses Budget'!C12</f>
        <v>1613191</v>
      </c>
      <c r="C12" s="599">
        <f>SUM(C8+C11)</f>
        <v>0</v>
      </c>
      <c r="D12" s="599">
        <f>SUM(D8+D11)</f>
        <v>1769790</v>
      </c>
      <c r="E12" s="601"/>
      <c r="F12" s="601"/>
      <c r="G12" s="601"/>
      <c r="H12" s="601"/>
      <c r="I12" s="601"/>
      <c r="J12" s="601"/>
      <c r="K12" s="594"/>
    </row>
    <row r="13" spans="1:11" s="253" customFormat="1">
      <c r="A13" s="469" t="s">
        <v>1157</v>
      </c>
      <c r="B13" s="599">
        <f>'Sources and Uses Budget'!C13</f>
        <v>124000</v>
      </c>
      <c r="C13" s="600"/>
      <c r="D13" s="600">
        <v>177087</v>
      </c>
      <c r="E13" s="599">
        <f>'Sources and Uses Budget'!S13</f>
        <v>0</v>
      </c>
      <c r="F13" s="600"/>
      <c r="G13" s="600">
        <v>177087</v>
      </c>
      <c r="H13" s="599">
        <f>'Sources and Uses Budget'!T13</f>
        <v>0</v>
      </c>
      <c r="I13" s="600"/>
      <c r="J13" s="600"/>
      <c r="K13" s="594"/>
    </row>
    <row r="14" spans="1:11" s="253" customFormat="1" ht="23.6">
      <c r="A14" s="239" t="s">
        <v>1189</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1756</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953</v>
      </c>
      <c r="B16" s="598"/>
      <c r="C16" s="598"/>
      <c r="D16" s="598"/>
      <c r="E16" s="598"/>
      <c r="F16" s="598"/>
      <c r="G16" s="598"/>
      <c r="H16" s="598"/>
      <c r="I16" s="598"/>
      <c r="J16" s="598"/>
      <c r="K16" s="594"/>
    </row>
    <row r="17" spans="1:11" s="253" customFormat="1">
      <c r="A17" s="239" t="s">
        <v>954</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955</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956</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957</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958</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959</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960</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961</v>
      </c>
      <c r="B26" s="599">
        <f>'Sources and Uses Budget'!C27</f>
        <v>0</v>
      </c>
      <c r="C26" s="600"/>
      <c r="D26" s="600"/>
      <c r="E26" s="599">
        <f>'Sources and Uses Budget'!S27</f>
        <v>0</v>
      </c>
      <c r="F26" s="600"/>
      <c r="G26" s="600"/>
      <c r="H26" s="599">
        <f>'Sources and Uses Budget'!T27</f>
        <v>0</v>
      </c>
      <c r="I26" s="600"/>
      <c r="J26" s="600"/>
      <c r="K26" s="594"/>
    </row>
    <row r="27" spans="1:11" s="253" customFormat="1">
      <c r="A27" s="235" t="s">
        <v>962</v>
      </c>
      <c r="B27" s="598"/>
      <c r="C27" s="598"/>
      <c r="D27" s="598"/>
      <c r="E27" s="598"/>
      <c r="F27" s="598"/>
      <c r="G27" s="598"/>
      <c r="H27" s="598"/>
      <c r="I27" s="598"/>
      <c r="J27" s="598"/>
      <c r="K27" s="594"/>
    </row>
    <row r="28" spans="1:11" s="253" customFormat="1">
      <c r="A28" s="239" t="s">
        <v>954</v>
      </c>
      <c r="B28" s="599">
        <f>'Sources and Uses Budget'!C29</f>
        <v>3771034</v>
      </c>
      <c r="C28" s="600"/>
      <c r="D28" s="600">
        <v>3771034</v>
      </c>
      <c r="E28" s="599">
        <f>'Sources and Uses Budget'!S29</f>
        <v>3771034</v>
      </c>
      <c r="F28" s="600"/>
      <c r="G28" s="600">
        <v>3676257</v>
      </c>
      <c r="H28" s="599">
        <f>'Sources and Uses Budget'!T29</f>
        <v>0</v>
      </c>
      <c r="I28" s="600"/>
      <c r="J28" s="600"/>
      <c r="K28" s="594"/>
    </row>
    <row r="29" spans="1:11" s="253" customFormat="1">
      <c r="A29" s="239" t="s">
        <v>955</v>
      </c>
      <c r="B29" s="599">
        <f>'Sources and Uses Budget'!C30</f>
        <v>11350402</v>
      </c>
      <c r="C29" s="600"/>
      <c r="D29" s="600">
        <v>10001596</v>
      </c>
      <c r="E29" s="599">
        <f>'Sources and Uses Budget'!S30</f>
        <v>11350402</v>
      </c>
      <c r="F29" s="600"/>
      <c r="G29" s="600">
        <v>10001596</v>
      </c>
      <c r="H29" s="599">
        <f>'Sources and Uses Budget'!T30</f>
        <v>0</v>
      </c>
      <c r="I29" s="600"/>
      <c r="J29" s="600"/>
      <c r="K29" s="594"/>
    </row>
    <row r="30" spans="1:11" s="253" customFormat="1">
      <c r="A30" s="239" t="s">
        <v>956</v>
      </c>
      <c r="B30" s="599">
        <f>'Sources and Uses Budget'!C31</f>
        <v>621242.53362807014</v>
      </c>
      <c r="C30" s="600"/>
      <c r="D30" s="600">
        <v>633633</v>
      </c>
      <c r="E30" s="599">
        <f>'Sources and Uses Budget'!S31</f>
        <v>621242.53362807014</v>
      </c>
      <c r="F30" s="600"/>
      <c r="G30" s="600">
        <v>633633</v>
      </c>
      <c r="H30" s="599">
        <f>'Sources and Uses Budget'!T31</f>
        <v>0</v>
      </c>
      <c r="I30" s="600"/>
      <c r="J30" s="600"/>
      <c r="K30" s="594"/>
    </row>
    <row r="31" spans="1:11" s="253" customFormat="1">
      <c r="A31" s="239" t="s">
        <v>957</v>
      </c>
      <c r="B31" s="599">
        <f>'Sources and Uses Budget'!C32</f>
        <v>465931.90022105258</v>
      </c>
      <c r="C31" s="600"/>
      <c r="D31" s="600">
        <v>494234</v>
      </c>
      <c r="E31" s="599">
        <f>'Sources and Uses Budget'!S32</f>
        <v>465931.90022105258</v>
      </c>
      <c r="F31" s="600"/>
      <c r="G31" s="600">
        <v>494234</v>
      </c>
      <c r="H31" s="599">
        <f>'Sources and Uses Budget'!T32</f>
        <v>0</v>
      </c>
      <c r="I31" s="600"/>
      <c r="J31" s="600"/>
      <c r="K31" s="594"/>
    </row>
    <row r="32" spans="1:11" s="253" customFormat="1">
      <c r="A32" s="239" t="s">
        <v>958</v>
      </c>
      <c r="B32" s="599">
        <f>'Sources and Uses Budget'!C33</f>
        <v>1087174.4338491228</v>
      </c>
      <c r="C32" s="600"/>
      <c r="D32" s="600">
        <v>1153213</v>
      </c>
      <c r="E32" s="599">
        <f>'Sources and Uses Budget'!S33</f>
        <v>1087174.4338491228</v>
      </c>
      <c r="F32" s="600"/>
      <c r="G32" s="600">
        <v>1153213</v>
      </c>
      <c r="H32" s="599">
        <f>'Sources and Uses Budget'!T33</f>
        <v>0</v>
      </c>
      <c r="I32" s="600"/>
      <c r="J32" s="600"/>
      <c r="K32" s="594"/>
    </row>
    <row r="33" spans="1:11" s="253" customFormat="1">
      <c r="A33" s="239" t="s">
        <v>959</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960</v>
      </c>
      <c r="B34" s="599">
        <f>'Sources and Uses Budget'!C35</f>
        <v>0</v>
      </c>
      <c r="C34" s="600"/>
      <c r="D34" s="600"/>
      <c r="E34" s="599">
        <f>'Sources and Uses Budget'!S35</f>
        <v>0</v>
      </c>
      <c r="F34" s="600"/>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 xml:space="preserve">Other: </v>
      </c>
      <c r="B36" s="599">
        <f>'Sources and Uses Budget'!C37</f>
        <v>0</v>
      </c>
      <c r="C36" s="600"/>
      <c r="D36" s="600">
        <v>554250</v>
      </c>
      <c r="E36" s="599">
        <f>'Sources and Uses Budget'!S37</f>
        <v>0</v>
      </c>
      <c r="F36" s="600"/>
      <c r="G36" s="600">
        <v>554250</v>
      </c>
      <c r="H36" s="599">
        <f>'Sources and Uses Budget'!T37</f>
        <v>0</v>
      </c>
      <c r="I36" s="600"/>
      <c r="J36" s="600"/>
      <c r="K36" s="594"/>
    </row>
    <row r="37" spans="1:11" s="253" customFormat="1">
      <c r="A37" s="243" t="s">
        <v>963</v>
      </c>
      <c r="B37" s="599">
        <f>'Sources and Uses Budget'!C38</f>
        <v>17295784.867698245</v>
      </c>
      <c r="C37" s="599">
        <f>SUM(C28:C36)</f>
        <v>0</v>
      </c>
      <c r="D37" s="599">
        <f>SUM(D28:D36)</f>
        <v>16607960</v>
      </c>
      <c r="E37" s="599">
        <f>'Sources and Uses Budget'!S38</f>
        <v>17295784.867698245</v>
      </c>
      <c r="F37" s="602">
        <f>SUM(F28:F36)</f>
        <v>0</v>
      </c>
      <c r="G37" s="602">
        <f>SUM(G28:G36)</f>
        <v>16513183</v>
      </c>
      <c r="H37" s="599">
        <f>'Sources and Uses Budget'!T38</f>
        <v>0</v>
      </c>
      <c r="I37" s="602">
        <f>SUM(I28:I36)</f>
        <v>0</v>
      </c>
      <c r="J37" s="602">
        <f>SUM(J28:J36)</f>
        <v>0</v>
      </c>
      <c r="K37" s="594"/>
    </row>
    <row r="38" spans="1:11" s="253" customFormat="1">
      <c r="A38" s="235" t="s">
        <v>964</v>
      </c>
      <c r="B38" s="598"/>
      <c r="C38" s="598"/>
      <c r="D38" s="598"/>
      <c r="E38" s="598"/>
      <c r="F38" s="598"/>
      <c r="G38" s="598"/>
      <c r="H38" s="598"/>
      <c r="I38" s="598"/>
      <c r="J38" s="598"/>
      <c r="K38" s="594"/>
    </row>
    <row r="39" spans="1:11" s="253" customFormat="1">
      <c r="A39" s="239" t="s">
        <v>965</v>
      </c>
      <c r="B39" s="599">
        <f>'Sources and Uses Budget'!C40</f>
        <v>416500</v>
      </c>
      <c r="C39" s="600"/>
      <c r="D39" s="600">
        <v>350000</v>
      </c>
      <c r="E39" s="599">
        <f>'Sources and Uses Budget'!S40</f>
        <v>416500</v>
      </c>
      <c r="F39" s="600"/>
      <c r="G39" s="600">
        <v>350000</v>
      </c>
      <c r="H39" s="599">
        <f>'Sources and Uses Budget'!T40</f>
        <v>0</v>
      </c>
      <c r="I39" s="600"/>
      <c r="J39" s="600"/>
      <c r="K39" s="594"/>
    </row>
    <row r="40" spans="1:11" s="253" customFormat="1">
      <c r="A40" s="239" t="s">
        <v>966</v>
      </c>
      <c r="B40" s="599">
        <f>'Sources and Uses Budget'!C41</f>
        <v>0</v>
      </c>
      <c r="C40" s="600"/>
      <c r="D40" s="600">
        <v>77344</v>
      </c>
      <c r="E40" s="599">
        <f>'Sources and Uses Budget'!S41</f>
        <v>0</v>
      </c>
      <c r="F40" s="600"/>
      <c r="G40" s="600">
        <v>77344</v>
      </c>
      <c r="H40" s="599">
        <f>'Sources and Uses Budget'!T41</f>
        <v>0</v>
      </c>
      <c r="I40" s="600"/>
      <c r="J40" s="600"/>
      <c r="K40" s="594"/>
    </row>
    <row r="41" spans="1:11" s="253" customFormat="1">
      <c r="A41" s="243" t="s">
        <v>967</v>
      </c>
      <c r="B41" s="599">
        <f>'Sources and Uses Budget'!C42</f>
        <v>416500</v>
      </c>
      <c r="C41" s="599">
        <f>SUM(C38:C40)</f>
        <v>0</v>
      </c>
      <c r="D41" s="599">
        <f>SUM(D38:D40)</f>
        <v>427344</v>
      </c>
      <c r="E41" s="599">
        <f>'Sources and Uses Budget'!S42</f>
        <v>416500</v>
      </c>
      <c r="F41" s="602">
        <f>SUM(F39:F40)</f>
        <v>0</v>
      </c>
      <c r="G41" s="602">
        <f>SUM(G39:G40)</f>
        <v>427344</v>
      </c>
      <c r="H41" s="599">
        <f>'Sources and Uses Budget'!T42</f>
        <v>0</v>
      </c>
      <c r="I41" s="602">
        <f>SUM(I39:I40)</f>
        <v>0</v>
      </c>
      <c r="J41" s="602">
        <f>SUM(J39:J40)</f>
        <v>0</v>
      </c>
      <c r="K41" s="594"/>
    </row>
    <row r="42" spans="1:11" s="253" customFormat="1">
      <c r="A42" s="243" t="s">
        <v>968</v>
      </c>
      <c r="B42" s="599">
        <f>'Sources and Uses Budget'!C43</f>
        <v>542769.35</v>
      </c>
      <c r="C42" s="600"/>
      <c r="D42" s="600">
        <v>430400</v>
      </c>
      <c r="E42" s="599">
        <f>'Sources and Uses Budget'!S43</f>
        <v>542769.35</v>
      </c>
      <c r="F42" s="600"/>
      <c r="G42" s="600">
        <v>430400</v>
      </c>
      <c r="H42" s="599">
        <f>'Sources and Uses Budget'!T43</f>
        <v>0</v>
      </c>
      <c r="I42" s="600"/>
      <c r="J42" s="600"/>
      <c r="K42" s="594"/>
    </row>
    <row r="43" spans="1:11" s="253" customFormat="1">
      <c r="A43" s="235" t="s">
        <v>969</v>
      </c>
      <c r="B43" s="598"/>
      <c r="C43" s="598"/>
      <c r="D43" s="598"/>
      <c r="E43" s="598"/>
      <c r="F43" s="598"/>
      <c r="G43" s="598"/>
      <c r="H43" s="598"/>
      <c r="I43" s="598"/>
      <c r="J43" s="598"/>
      <c r="K43" s="594"/>
    </row>
    <row r="44" spans="1:11" s="253" customFormat="1">
      <c r="A44" s="239" t="s">
        <v>970</v>
      </c>
      <c r="B44" s="599">
        <f>'Sources and Uses Budget'!C45</f>
        <v>1750731</v>
      </c>
      <c r="C44" s="600"/>
      <c r="D44" s="600">
        <f>B44</f>
        <v>1750731</v>
      </c>
      <c r="E44" s="599">
        <f>'Sources and Uses Budget'!S45</f>
        <v>1028262.2147667017</v>
      </c>
      <c r="F44" s="600"/>
      <c r="G44" s="600">
        <v>958701</v>
      </c>
      <c r="H44" s="599">
        <f>'Sources and Uses Budget'!T45</f>
        <v>0</v>
      </c>
      <c r="I44" s="600"/>
      <c r="J44" s="600"/>
      <c r="K44" s="594"/>
    </row>
    <row r="45" spans="1:11" s="253" customFormat="1">
      <c r="A45" s="239" t="s">
        <v>971</v>
      </c>
      <c r="B45" s="599">
        <f>'Sources and Uses Budget'!C46</f>
        <v>146875</v>
      </c>
      <c r="C45" s="600"/>
      <c r="D45" s="600">
        <f>B45</f>
        <v>146875</v>
      </c>
      <c r="E45" s="599">
        <f>'Sources and Uses Budget'!S46</f>
        <v>110156.39529934758</v>
      </c>
      <c r="F45" s="600"/>
      <c r="G45" s="600">
        <v>132940</v>
      </c>
      <c r="H45" s="599">
        <f>'Sources and Uses Budget'!T46</f>
        <v>0</v>
      </c>
      <c r="I45" s="600"/>
      <c r="J45" s="600"/>
      <c r="K45" s="594"/>
    </row>
    <row r="46" spans="1:11" s="253" customFormat="1" ht="11.95" customHeight="1">
      <c r="A46" s="239" t="s">
        <v>972</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973</v>
      </c>
      <c r="B47" s="599">
        <f>'Sources and Uses Budget'!C48</f>
        <v>0</v>
      </c>
      <c r="C47" s="600"/>
      <c r="D47" s="600"/>
      <c r="E47" s="599">
        <f>'Sources and Uses Budget'!S48</f>
        <v>0</v>
      </c>
      <c r="F47" s="600"/>
      <c r="G47" s="600"/>
      <c r="H47" s="599">
        <f>'Sources and Uses Budget'!T48</f>
        <v>0</v>
      </c>
      <c r="I47" s="600"/>
      <c r="J47" s="600"/>
      <c r="K47" s="594"/>
    </row>
    <row r="48" spans="1:11" s="253" customFormat="1">
      <c r="A48" s="239" t="s">
        <v>976</v>
      </c>
      <c r="B48" s="599">
        <f>'Sources and Uses Budget'!C49</f>
        <v>32000</v>
      </c>
      <c r="C48" s="600"/>
      <c r="D48" s="600">
        <v>32000</v>
      </c>
      <c r="E48" s="599">
        <f>'Sources and Uses Budget'!S49</f>
        <v>24000</v>
      </c>
      <c r="F48" s="600"/>
      <c r="G48" s="600">
        <v>22750</v>
      </c>
      <c r="H48" s="599">
        <f>'Sources and Uses Budget'!T49</f>
        <v>0</v>
      </c>
      <c r="I48" s="600"/>
      <c r="J48" s="600"/>
      <c r="K48" s="594"/>
    </row>
    <row r="49" spans="1:11" s="253" customFormat="1">
      <c r="A49" s="239" t="s">
        <v>974</v>
      </c>
      <c r="B49" s="599">
        <f>'Sources and Uses Budget'!C50</f>
        <v>5000</v>
      </c>
      <c r="C49" s="600"/>
      <c r="D49" s="600">
        <v>5000</v>
      </c>
      <c r="E49" s="599">
        <f>'Sources and Uses Budget'!S50</f>
        <v>3750</v>
      </c>
      <c r="F49" s="600"/>
      <c r="G49" s="600">
        <v>5000</v>
      </c>
      <c r="H49" s="599">
        <f>'Sources and Uses Budget'!T50</f>
        <v>0</v>
      </c>
      <c r="I49" s="600"/>
      <c r="J49" s="600"/>
      <c r="K49" s="594"/>
    </row>
    <row r="50" spans="1:11" s="253" customFormat="1">
      <c r="A50" s="239" t="s">
        <v>975</v>
      </c>
      <c r="B50" s="599">
        <f>'Sources and Uses Budget'!C51</f>
        <v>180000</v>
      </c>
      <c r="C50" s="600"/>
      <c r="D50" s="600">
        <v>180000</v>
      </c>
      <c r="E50" s="599">
        <f>'Sources and Uses Budget'!S51</f>
        <v>135000</v>
      </c>
      <c r="F50" s="600"/>
      <c r="G50" s="600">
        <v>135000</v>
      </c>
      <c r="H50" s="599">
        <f>'Sources and Uses Budget'!T51</f>
        <v>0</v>
      </c>
      <c r="I50" s="600"/>
      <c r="J50" s="600"/>
      <c r="K50" s="594"/>
    </row>
    <row r="51" spans="1:11" s="253" customFormat="1">
      <c r="A51" s="239" t="str">
        <f>'Sources and Uses Budget'!$A52</f>
        <v>Other: Lender reports/Inspections</v>
      </c>
      <c r="B51" s="599">
        <f>'Sources and Uses Budget'!C52</f>
        <v>77495</v>
      </c>
      <c r="C51" s="600"/>
      <c r="D51" s="600">
        <v>47500</v>
      </c>
      <c r="E51" s="599">
        <f>'Sources and Uses Budget'!S52</f>
        <v>77495</v>
      </c>
      <c r="F51" s="600"/>
      <c r="G51" s="600">
        <v>47500</v>
      </c>
      <c r="H51" s="599">
        <f>'Sources and Uses Budget'!T52</f>
        <v>0</v>
      </c>
      <c r="I51" s="600"/>
      <c r="J51" s="600"/>
      <c r="K51" s="594"/>
    </row>
    <row r="52" spans="1:11" s="592" customFormat="1">
      <c r="A52" s="243" t="s">
        <v>977</v>
      </c>
      <c r="B52" s="599">
        <f>'Sources and Uses Budget'!C53</f>
        <v>2192101</v>
      </c>
      <c r="C52" s="602">
        <f>SUM(C44:C51)</f>
        <v>0</v>
      </c>
      <c r="D52" s="602">
        <f>SUM(D44:D51)</f>
        <v>2162106</v>
      </c>
      <c r="E52" s="599">
        <f>'Sources and Uses Budget'!S53</f>
        <v>1378663.6100660493</v>
      </c>
      <c r="F52" s="602">
        <f>SUM(F44:F51)</f>
        <v>0</v>
      </c>
      <c r="G52" s="602">
        <f>SUM(G44:G51)</f>
        <v>1301891</v>
      </c>
      <c r="H52" s="599">
        <f>'Sources and Uses Budget'!T53</f>
        <v>0</v>
      </c>
      <c r="I52" s="602">
        <f>SUM(I44:I51)</f>
        <v>0</v>
      </c>
      <c r="J52" s="602">
        <f>SUM(J44:J51)</f>
        <v>0</v>
      </c>
      <c r="K52" s="595"/>
    </row>
    <row r="53" spans="1:11" s="253" customFormat="1">
      <c r="A53" s="235" t="s">
        <v>719</v>
      </c>
      <c r="B53" s="598"/>
      <c r="C53" s="598"/>
      <c r="D53" s="598"/>
      <c r="E53" s="598"/>
      <c r="F53" s="598"/>
      <c r="G53" s="598"/>
      <c r="H53" s="598"/>
      <c r="I53" s="598"/>
      <c r="J53" s="598"/>
      <c r="K53" s="594"/>
    </row>
    <row r="54" spans="1:11" s="253" customFormat="1">
      <c r="A54" s="239" t="s">
        <v>978</v>
      </c>
      <c r="B54" s="599">
        <f>'Sources and Uses Budget'!C55</f>
        <v>10275</v>
      </c>
      <c r="C54" s="600"/>
      <c r="D54" s="600">
        <f>B54</f>
        <v>10275</v>
      </c>
      <c r="E54" s="601"/>
      <c r="F54" s="601"/>
      <c r="G54" s="601"/>
      <c r="H54" s="601"/>
      <c r="I54" s="601"/>
      <c r="J54" s="601"/>
      <c r="K54" s="594"/>
    </row>
    <row r="55" spans="1:11" s="253" customFormat="1" ht="11.95" customHeight="1">
      <c r="A55" s="239" t="s">
        <v>972</v>
      </c>
      <c r="B55" s="599">
        <f>'Sources and Uses Budget'!C56</f>
        <v>0</v>
      </c>
      <c r="C55" s="600"/>
      <c r="D55" s="600"/>
      <c r="E55" s="601"/>
      <c r="F55" s="601"/>
      <c r="G55" s="601"/>
      <c r="H55" s="601"/>
      <c r="I55" s="601"/>
      <c r="J55" s="601"/>
      <c r="K55" s="594"/>
    </row>
    <row r="56" spans="1:11" s="253" customFormat="1">
      <c r="A56" s="239" t="s">
        <v>976</v>
      </c>
      <c r="B56" s="599">
        <f>'Sources and Uses Budget'!C57</f>
        <v>5000</v>
      </c>
      <c r="C56" s="600"/>
      <c r="D56" s="600">
        <v>5000</v>
      </c>
      <c r="E56" s="601"/>
      <c r="F56" s="601"/>
      <c r="G56" s="601"/>
      <c r="H56" s="601"/>
      <c r="I56" s="601"/>
      <c r="J56" s="601"/>
      <c r="K56" s="594"/>
    </row>
    <row r="57" spans="1:11" s="253" customFormat="1">
      <c r="A57" s="239" t="s">
        <v>974</v>
      </c>
      <c r="B57" s="599">
        <f>'Sources and Uses Budget'!C58</f>
        <v>0</v>
      </c>
      <c r="C57" s="600"/>
      <c r="D57" s="600"/>
      <c r="E57" s="601"/>
      <c r="F57" s="601"/>
      <c r="G57" s="601"/>
      <c r="H57" s="601"/>
      <c r="I57" s="601"/>
      <c r="J57" s="601"/>
      <c r="K57" s="594"/>
    </row>
    <row r="58" spans="1:11" s="253" customFormat="1">
      <c r="A58" s="239" t="s">
        <v>975</v>
      </c>
      <c r="B58" s="599">
        <f>'Sources and Uses Budget'!C59</f>
        <v>0</v>
      </c>
      <c r="C58" s="600"/>
      <c r="D58" s="600"/>
      <c r="E58" s="601"/>
      <c r="F58" s="601"/>
      <c r="G58" s="601"/>
      <c r="H58" s="601"/>
      <c r="I58" s="601"/>
      <c r="J58" s="601"/>
      <c r="K58" s="594"/>
    </row>
    <row r="59" spans="1:11" s="253" customFormat="1">
      <c r="A59" s="239">
        <f>'Sources and Uses Budget'!$A60</f>
        <v>0</v>
      </c>
      <c r="B59" s="599">
        <f>'Sources and Uses Budget'!C60</f>
        <v>0</v>
      </c>
      <c r="C59" s="600"/>
      <c r="D59" s="600"/>
      <c r="E59" s="601"/>
      <c r="F59" s="601"/>
      <c r="G59" s="601"/>
      <c r="H59" s="601"/>
      <c r="I59" s="601"/>
      <c r="J59" s="601"/>
      <c r="K59" s="594"/>
    </row>
    <row r="60" spans="1:11" s="253" customFormat="1" ht="14.1" customHeight="1">
      <c r="A60" s="243" t="s">
        <v>529</v>
      </c>
      <c r="B60" s="599">
        <f>'Sources and Uses Budget'!C61</f>
        <v>15275</v>
      </c>
      <c r="C60" s="599">
        <f>SUM(C54:C59)</f>
        <v>0</v>
      </c>
      <c r="D60" s="599">
        <f>SUM(D54:D59)</f>
        <v>15275</v>
      </c>
      <c r="E60" s="601"/>
      <c r="F60" s="601"/>
      <c r="G60" s="601"/>
      <c r="H60" s="601"/>
      <c r="I60" s="601"/>
      <c r="J60" s="601"/>
      <c r="K60" s="594"/>
    </row>
    <row r="61" spans="1:11" s="253" customFormat="1">
      <c r="A61" s="249" t="s">
        <v>530</v>
      </c>
      <c r="B61" s="599">
        <f>'Sources and Uses Budget'!C62</f>
        <v>22199621.217698246</v>
      </c>
      <c r="C61" s="599">
        <f>SUM(C8+C11+C13+C14+C15+C25+C26+C37+C41+C42+C52+C60)</f>
        <v>0</v>
      </c>
      <c r="D61" s="599">
        <f>SUM(D8+D11+D13+D14+D15+D25+D26+D37+D41+D42+D52+D60)</f>
        <v>21589962</v>
      </c>
      <c r="E61" s="599">
        <f>'Sources and Uses Budget'!S62</f>
        <v>20043345.827764295</v>
      </c>
      <c r="F61" s="599">
        <f>SUM(F10+F13+F14+F15+F25+F26+F37+F41+F42+F52)</f>
        <v>0</v>
      </c>
      <c r="G61" s="599">
        <f>SUM(G10+G13+G14+G15+G25+G26+G37+G41+G42+G52)</f>
        <v>19259532</v>
      </c>
      <c r="H61" s="599">
        <f>'Sources and Uses Budget'!T62</f>
        <v>0</v>
      </c>
      <c r="I61" s="599">
        <f>SUM(I11+I13+I14+I15+I25+I26+I37+I41+I42+I52)</f>
        <v>0</v>
      </c>
      <c r="J61" s="599">
        <f>SUM(J11+J13+J14+J15+J25+J26+J37+J41+J42+J52)</f>
        <v>0</v>
      </c>
      <c r="K61" s="594"/>
    </row>
    <row r="62" spans="1:11" s="253" customFormat="1" ht="23.6">
      <c r="A62" s="235" t="s">
        <v>2053</v>
      </c>
      <c r="B62" s="598"/>
      <c r="C62" s="598"/>
      <c r="D62" s="598"/>
      <c r="E62" s="598"/>
      <c r="F62" s="598"/>
      <c r="G62" s="598"/>
      <c r="H62" s="598"/>
      <c r="I62" s="598"/>
      <c r="J62" s="598"/>
      <c r="K62" s="594"/>
    </row>
    <row r="63" spans="1:11" s="253" customFormat="1">
      <c r="A63" s="239" t="s">
        <v>299</v>
      </c>
      <c r="B63" s="599">
        <f>'Sources and Uses Budget'!C64</f>
        <v>65000</v>
      </c>
      <c r="C63" s="600"/>
      <c r="D63" s="600">
        <v>65000</v>
      </c>
      <c r="E63" s="599">
        <f>'Sources and Uses Budget'!S64</f>
        <v>37500</v>
      </c>
      <c r="F63" s="600"/>
      <c r="G63" s="600">
        <v>37500</v>
      </c>
      <c r="H63" s="599">
        <f>'Sources and Uses Budget'!T64</f>
        <v>0</v>
      </c>
      <c r="I63" s="600"/>
      <c r="J63" s="600"/>
      <c r="K63" s="594"/>
    </row>
    <row r="64" spans="1:11" s="253" customFormat="1" ht="23.6">
      <c r="A64" s="239" t="s">
        <v>2054</v>
      </c>
      <c r="B64" s="599">
        <f>'Sources and Uses Budget'!C65</f>
        <v>100000</v>
      </c>
      <c r="C64" s="600"/>
      <c r="D64" s="600">
        <v>100000</v>
      </c>
      <c r="E64" s="599">
        <f>'Sources and Uses Budget'!S65</f>
        <v>100000</v>
      </c>
      <c r="F64" s="600"/>
      <c r="G64" s="600">
        <v>100000</v>
      </c>
      <c r="H64" s="599">
        <f>'Sources and Uses Budget'!T65</f>
        <v>0</v>
      </c>
      <c r="I64" s="600"/>
      <c r="J64" s="600"/>
      <c r="K64" s="594"/>
    </row>
    <row r="65" spans="1:11" s="253" customFormat="1" ht="23.6">
      <c r="A65" s="239" t="s">
        <v>2055</v>
      </c>
      <c r="B65" s="599">
        <f>'Sources and Uses Budget'!C66</f>
        <v>175000</v>
      </c>
      <c r="C65" s="600"/>
      <c r="D65" s="600">
        <v>175000</v>
      </c>
      <c r="E65" s="599">
        <f>'Sources and Uses Budget'!S66</f>
        <v>175000</v>
      </c>
      <c r="F65" s="600"/>
      <c r="G65" s="600">
        <v>175000</v>
      </c>
      <c r="H65" s="599">
        <f>'Sources and Uses Budget'!T66</f>
        <v>0</v>
      </c>
      <c r="I65" s="600"/>
      <c r="J65" s="600"/>
      <c r="K65" s="594"/>
    </row>
    <row r="66" spans="1:11" s="253" customFormat="1">
      <c r="A66" s="239" t="s">
        <v>2056</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Other: Sponsor Legal</v>
      </c>
      <c r="B67" s="599">
        <f>'Sources and Uses Budget'!C68</f>
        <v>162975.15000000002</v>
      </c>
      <c r="C67" s="600"/>
      <c r="D67" s="600">
        <v>162975</v>
      </c>
      <c r="E67" s="599">
        <f>'Sources and Uses Budget'!S68</f>
        <v>53781.799500000008</v>
      </c>
      <c r="F67" s="600"/>
      <c r="G67" s="600">
        <v>53782</v>
      </c>
      <c r="H67" s="599">
        <f>'Sources and Uses Budget'!T68</f>
        <v>0</v>
      </c>
      <c r="I67" s="600"/>
      <c r="J67" s="600"/>
      <c r="K67" s="594"/>
    </row>
    <row r="68" spans="1:11" s="253" customFormat="1">
      <c r="A68" s="243" t="s">
        <v>2057</v>
      </c>
      <c r="B68" s="599">
        <f>'Sources and Uses Budget'!C69</f>
        <v>502975.15</v>
      </c>
      <c r="C68" s="599">
        <f>SUM(C62:C67)</f>
        <v>0</v>
      </c>
      <c r="D68" s="599">
        <f>SUM(D62:D67)</f>
        <v>502975</v>
      </c>
      <c r="E68" s="599">
        <f>'Sources and Uses Budget'!S69</f>
        <v>366281.79950000002</v>
      </c>
      <c r="F68" s="602">
        <f>SUM(F63:F67)</f>
        <v>0</v>
      </c>
      <c r="G68" s="602">
        <f>SUM(G63:G67)</f>
        <v>366282</v>
      </c>
      <c r="H68" s="599">
        <f>'Sources and Uses Budget'!T69</f>
        <v>0</v>
      </c>
      <c r="I68" s="602">
        <f>SUM(I63:I67)</f>
        <v>0</v>
      </c>
      <c r="J68" s="602">
        <f>SUM(J63:J67)</f>
        <v>0</v>
      </c>
      <c r="K68" s="594"/>
    </row>
    <row r="69" spans="1:11" s="253" customFormat="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1292</v>
      </c>
      <c r="B72" s="599">
        <f>'Sources and Uses Budget'!C73</f>
        <v>0</v>
      </c>
      <c r="C72" s="600"/>
      <c r="D72" s="600"/>
      <c r="E72" s="601"/>
      <c r="F72" s="601"/>
      <c r="G72" s="601"/>
      <c r="H72" s="601"/>
      <c r="I72" s="601"/>
      <c r="J72" s="601"/>
      <c r="K72" s="594"/>
    </row>
    <row r="73" spans="1:11" s="253" customFormat="1">
      <c r="A73" s="239" t="s">
        <v>303</v>
      </c>
      <c r="B73" s="599">
        <f>'Sources and Uses Budget'!C74</f>
        <v>116258.07943215885</v>
      </c>
      <c r="C73" s="600"/>
      <c r="D73" s="600">
        <f>B73</f>
        <v>116258.07943215885</v>
      </c>
      <c r="E73" s="601"/>
      <c r="F73" s="601"/>
      <c r="G73" s="601"/>
      <c r="H73" s="601"/>
      <c r="I73" s="601"/>
      <c r="J73" s="601"/>
      <c r="K73" s="594"/>
    </row>
    <row r="74" spans="1:11" s="253" customFormat="1">
      <c r="A74" s="239" t="str">
        <f>'Sources and Uses Budget'!$A75</f>
        <v>Other: (Specify)</v>
      </c>
      <c r="B74" s="599">
        <f>'Sources and Uses Budget'!C75</f>
        <v>0</v>
      </c>
      <c r="C74" s="600"/>
      <c r="D74" s="600"/>
      <c r="E74" s="601"/>
      <c r="F74" s="601"/>
      <c r="G74" s="601"/>
      <c r="H74" s="601"/>
      <c r="I74" s="601"/>
      <c r="J74" s="601"/>
      <c r="K74" s="594"/>
    </row>
    <row r="75" spans="1:11" s="253" customFormat="1">
      <c r="A75" s="243" t="s">
        <v>304</v>
      </c>
      <c r="B75" s="599">
        <f>'Sources and Uses Budget'!C76</f>
        <v>116258.07943215885</v>
      </c>
      <c r="C75" s="599">
        <f>SUM(C70:C74)</f>
        <v>0</v>
      </c>
      <c r="D75" s="599">
        <f>SUM(D70:D74)</f>
        <v>116258.07943215885</v>
      </c>
      <c r="E75" s="601"/>
      <c r="F75" s="601"/>
      <c r="G75" s="601"/>
      <c r="H75" s="601"/>
      <c r="I75" s="601"/>
      <c r="J75" s="601"/>
      <c r="K75" s="594"/>
    </row>
    <row r="76" spans="1:11" s="253" customFormat="1">
      <c r="A76" s="235" t="s">
        <v>1820</v>
      </c>
      <c r="B76" s="598"/>
      <c r="C76" s="598"/>
      <c r="D76" s="598"/>
      <c r="E76" s="598"/>
      <c r="F76" s="598"/>
      <c r="G76" s="598"/>
      <c r="H76" s="598"/>
      <c r="I76" s="598"/>
      <c r="J76" s="598"/>
      <c r="K76" s="594"/>
    </row>
    <row r="77" spans="1:11" s="253" customFormat="1">
      <c r="A77" s="239" t="s">
        <v>1821</v>
      </c>
      <c r="B77" s="599">
        <f>'Sources and Uses Budget'!C78</f>
        <v>897345.61042000004</v>
      </c>
      <c r="C77" s="600"/>
      <c r="D77" s="600">
        <v>1651671</v>
      </c>
      <c r="E77" s="599">
        <f>'Sources and Uses Budget'!S78</f>
        <v>897345.61042000004</v>
      </c>
      <c r="F77" s="600"/>
      <c r="G77" s="600">
        <v>1651671</v>
      </c>
      <c r="H77" s="599">
        <f>'Sources and Uses Budget'!T78</f>
        <v>0</v>
      </c>
      <c r="I77" s="600"/>
      <c r="J77" s="600"/>
      <c r="K77" s="594"/>
    </row>
    <row r="78" spans="1:11" s="253" customFormat="1">
      <c r="A78" s="239" t="s">
        <v>569</v>
      </c>
      <c r="B78" s="599">
        <f>'Sources and Uses Budget'!C79</f>
        <v>210311.77761081324</v>
      </c>
      <c r="C78" s="600"/>
      <c r="D78" s="600">
        <f>B78</f>
        <v>210311.77761081324</v>
      </c>
      <c r="E78" s="599">
        <f>'Sources and Uses Budget'!S79</f>
        <v>210311.77761081324</v>
      </c>
      <c r="F78" s="600"/>
      <c r="G78" s="600">
        <v>210484</v>
      </c>
      <c r="H78" s="599">
        <f>'Sources and Uses Budget'!T79</f>
        <v>0</v>
      </c>
      <c r="I78" s="600"/>
      <c r="J78" s="600"/>
      <c r="K78" s="594"/>
    </row>
    <row r="79" spans="1:11" s="253" customFormat="1">
      <c r="A79" s="243" t="s">
        <v>1819</v>
      </c>
      <c r="B79" s="599">
        <f>'Sources and Uses Budget'!C80</f>
        <v>1107657.3880308133</v>
      </c>
      <c r="C79" s="682">
        <f>SUM(C77:C78)</f>
        <v>0</v>
      </c>
      <c r="D79" s="682">
        <f>SUM(D77:D78)</f>
        <v>1861982.7776108133</v>
      </c>
      <c r="E79" s="599">
        <f>'Sources and Uses Budget'!S80</f>
        <v>1107657.3880308133</v>
      </c>
      <c r="F79" s="682">
        <f>SUM(F77:F78)</f>
        <v>0</v>
      </c>
      <c r="G79" s="682">
        <f>SUM(G77:G78)</f>
        <v>1862155</v>
      </c>
      <c r="H79" s="599">
        <f>'Sources and Uses Budget'!T80</f>
        <v>0</v>
      </c>
      <c r="I79" s="682">
        <f>SUM(I77:I78)</f>
        <v>0</v>
      </c>
      <c r="J79" s="682">
        <f>SUM(J77:J78)</f>
        <v>0</v>
      </c>
      <c r="K79" s="594"/>
    </row>
    <row r="80" spans="1:11" s="253" customFormat="1">
      <c r="A80" s="235" t="s">
        <v>546</v>
      </c>
      <c r="B80" s="598"/>
      <c r="C80" s="598"/>
      <c r="D80" s="598"/>
      <c r="E80" s="598"/>
      <c r="F80" s="598"/>
      <c r="G80" s="598"/>
      <c r="H80" s="598"/>
      <c r="I80" s="598"/>
      <c r="J80" s="598"/>
      <c r="K80" s="594"/>
    </row>
    <row r="81" spans="1:11" s="253" customFormat="1" ht="14.1" customHeight="1">
      <c r="A81" s="239" t="s">
        <v>2240</v>
      </c>
      <c r="B81" s="599">
        <f>'Sources and Uses Budget'!C82</f>
        <v>115411.41970558871</v>
      </c>
      <c r="C81" s="600"/>
      <c r="D81" s="600">
        <f>B81</f>
        <v>115411.41970558871</v>
      </c>
      <c r="E81" s="601"/>
      <c r="F81" s="601"/>
      <c r="G81" s="601"/>
      <c r="H81" s="601"/>
      <c r="I81" s="601"/>
      <c r="J81" s="601"/>
      <c r="K81" s="594"/>
    </row>
    <row r="82" spans="1:11" s="253" customFormat="1">
      <c r="A82" s="239" t="s">
        <v>547</v>
      </c>
      <c r="B82" s="599">
        <f>'Sources and Uses Budget'!C83</f>
        <v>12000</v>
      </c>
      <c r="C82" s="600"/>
      <c r="D82" s="600">
        <v>12000</v>
      </c>
      <c r="E82" s="599">
        <f>'Sources and Uses Budget'!S83</f>
        <v>12000</v>
      </c>
      <c r="F82" s="600"/>
      <c r="G82" s="600">
        <v>12000</v>
      </c>
      <c r="H82" s="599">
        <f>'Sources and Uses Budget'!T83</f>
        <v>0</v>
      </c>
      <c r="I82" s="600"/>
      <c r="J82" s="600"/>
      <c r="K82" s="594"/>
    </row>
    <row r="83" spans="1:11" s="253" customFormat="1">
      <c r="A83" s="239" t="s">
        <v>548</v>
      </c>
      <c r="B83" s="599">
        <f>'Sources and Uses Budget'!C84</f>
        <v>673345</v>
      </c>
      <c r="C83" s="600"/>
      <c r="D83" s="600">
        <v>673345</v>
      </c>
      <c r="E83" s="599">
        <f>'Sources and Uses Budget'!S84</f>
        <v>673345</v>
      </c>
      <c r="F83" s="600"/>
      <c r="G83" s="600">
        <v>673345</v>
      </c>
      <c r="H83" s="599">
        <f>'Sources and Uses Budget'!T84</f>
        <v>0</v>
      </c>
      <c r="I83" s="600"/>
      <c r="J83" s="600"/>
      <c r="K83" s="594"/>
    </row>
    <row r="84" spans="1:11" s="253" customFormat="1">
      <c r="A84" s="239" t="s">
        <v>549</v>
      </c>
      <c r="B84" s="599">
        <f>'Sources and Uses Budget'!C85</f>
        <v>319000</v>
      </c>
      <c r="C84" s="600"/>
      <c r="D84" s="600">
        <v>319000</v>
      </c>
      <c r="E84" s="599">
        <f>'Sources and Uses Budget'!S85</f>
        <v>319000</v>
      </c>
      <c r="F84" s="600"/>
      <c r="G84" s="600">
        <v>319000</v>
      </c>
      <c r="H84" s="599">
        <f>'Sources and Uses Budget'!T85</f>
        <v>0</v>
      </c>
      <c r="I84" s="600"/>
      <c r="J84" s="600"/>
      <c r="K84" s="594"/>
    </row>
    <row r="85" spans="1:11" s="253" customFormat="1">
      <c r="A85" s="239" t="s">
        <v>550</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551</v>
      </c>
      <c r="B86" s="599">
        <f>'Sources and Uses Budget'!C87</f>
        <v>45060</v>
      </c>
      <c r="C86" s="600"/>
      <c r="D86" s="600">
        <v>45060</v>
      </c>
      <c r="E86" s="601"/>
      <c r="F86" s="601"/>
      <c r="G86" s="601"/>
      <c r="H86" s="601"/>
      <c r="I86" s="601"/>
      <c r="J86" s="601"/>
      <c r="K86" s="594"/>
    </row>
    <row r="87" spans="1:11" s="253" customFormat="1">
      <c r="A87" s="239" t="s">
        <v>552</v>
      </c>
      <c r="B87" s="599">
        <f>'Sources and Uses Budget'!C88</f>
        <v>0</v>
      </c>
      <c r="C87" s="600"/>
      <c r="D87" s="600"/>
      <c r="E87" s="599">
        <f>'Sources and Uses Budget'!S88</f>
        <v>0</v>
      </c>
      <c r="F87" s="600"/>
      <c r="G87" s="600"/>
      <c r="H87" s="599">
        <f>'Sources and Uses Budget'!T88</f>
        <v>0</v>
      </c>
      <c r="I87" s="600"/>
      <c r="J87" s="600"/>
      <c r="K87" s="594"/>
    </row>
    <row r="88" spans="1:11" s="253" customFormat="1">
      <c r="A88" s="239" t="s">
        <v>553</v>
      </c>
      <c r="B88" s="599">
        <f>'Sources and Uses Budget'!C89</f>
        <v>19598.34</v>
      </c>
      <c r="C88" s="600"/>
      <c r="D88" s="600">
        <v>19598</v>
      </c>
      <c r="E88" s="599">
        <f>'Sources and Uses Budget'!S89</f>
        <v>19598.34</v>
      </c>
      <c r="F88" s="600"/>
      <c r="G88" s="600">
        <v>19598</v>
      </c>
      <c r="H88" s="599">
        <f>'Sources and Uses Budget'!T89</f>
        <v>0</v>
      </c>
      <c r="I88" s="600"/>
      <c r="J88" s="600"/>
      <c r="K88" s="594"/>
    </row>
    <row r="89" spans="1:11" s="253" customFormat="1">
      <c r="A89" s="239" t="s">
        <v>1368</v>
      </c>
      <c r="B89" s="599">
        <f>'Sources and Uses Budget'!C90</f>
        <v>25500</v>
      </c>
      <c r="C89" s="600"/>
      <c r="D89" s="600">
        <v>25500</v>
      </c>
      <c r="E89" s="599">
        <f>'Sources and Uses Budget'!S90</f>
        <v>25500</v>
      </c>
      <c r="F89" s="600"/>
      <c r="G89" s="600">
        <v>25500</v>
      </c>
      <c r="H89" s="599">
        <f>'Sources and Uses Budget'!T90</f>
        <v>0</v>
      </c>
      <c r="I89" s="600"/>
      <c r="J89" s="600"/>
      <c r="K89" s="594"/>
    </row>
    <row r="90" spans="1:11" s="253" customFormat="1">
      <c r="A90" s="239" t="s">
        <v>1817</v>
      </c>
      <c r="B90" s="599">
        <f>'Sources and Uses Budget'!C91</f>
        <v>17000</v>
      </c>
      <c r="C90" s="600"/>
      <c r="D90" s="600">
        <v>17000</v>
      </c>
      <c r="E90" s="599">
        <f>'Sources and Uses Budget'!S91</f>
        <v>17000</v>
      </c>
      <c r="F90" s="600"/>
      <c r="G90" s="600">
        <v>17000</v>
      </c>
      <c r="H90" s="599">
        <f>'Sources and Uses Budget'!T91</f>
        <v>0</v>
      </c>
      <c r="I90" s="600"/>
      <c r="J90" s="600"/>
      <c r="K90" s="594"/>
    </row>
    <row r="91" spans="1:11" s="253" customFormat="1">
      <c r="A91" s="239" t="str">
        <f>'Sources and Uses Budget'!$A92</f>
        <v>Other: GP Service Fee</v>
      </c>
      <c r="B91" s="599">
        <f>'Sources and Uses Budget'!C92</f>
        <v>25000</v>
      </c>
      <c r="C91" s="600"/>
      <c r="D91" s="600">
        <v>25000</v>
      </c>
      <c r="E91" s="599">
        <f>'Sources and Uses Budget'!S92</f>
        <v>0</v>
      </c>
      <c r="F91" s="600"/>
      <c r="G91" s="600"/>
      <c r="H91" s="599">
        <f>'Sources and Uses Budget'!T92</f>
        <v>0</v>
      </c>
      <c r="I91" s="600"/>
      <c r="J91" s="600"/>
      <c r="K91" s="594"/>
    </row>
    <row r="92" spans="1:11" s="253" customFormat="1">
      <c r="A92" s="239" t="str">
        <f>'Sources and Uses Budget'!$A93</f>
        <v xml:space="preserve">Other: </v>
      </c>
      <c r="B92" s="599">
        <f>'Sources and Uses Budget'!C93</f>
        <v>0</v>
      </c>
      <c r="C92" s="600"/>
      <c r="D92" s="600">
        <v>35026</v>
      </c>
      <c r="E92" s="599">
        <f>'Sources and Uses Budget'!S93</f>
        <v>0</v>
      </c>
      <c r="F92" s="600"/>
      <c r="G92" s="600">
        <v>35026</v>
      </c>
      <c r="H92" s="599">
        <f>'Sources and Uses Budget'!T93</f>
        <v>0</v>
      </c>
      <c r="I92" s="600"/>
      <c r="J92" s="600"/>
      <c r="K92" s="594"/>
    </row>
    <row r="93" spans="1:11" s="253" customFormat="1">
      <c r="A93" s="239" t="str">
        <f>'Sources and Uses Budget'!$A94</f>
        <v xml:space="preserve">Other: </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554</v>
      </c>
      <c r="B94" s="599">
        <f>'Sources and Uses Budget'!C95</f>
        <v>1251914.7597055889</v>
      </c>
      <c r="C94" s="599">
        <f>SUM(C81:C93)</f>
        <v>0</v>
      </c>
      <c r="D94" s="599">
        <f>SUM(D81:D93)</f>
        <v>1286940.4197055888</v>
      </c>
      <c r="E94" s="599">
        <f>'Sources and Uses Budget'!S95</f>
        <v>1066443.3399999999</v>
      </c>
      <c r="F94" s="602">
        <f>SUM(F82:F85,F87:F93)</f>
        <v>0</v>
      </c>
      <c r="G94" s="602">
        <f>SUM(G82:G85,G87:G93)</f>
        <v>1101469</v>
      </c>
      <c r="H94" s="599">
        <f>'Sources and Uses Budget'!T95</f>
        <v>0</v>
      </c>
      <c r="I94" s="599">
        <f>SUM(I82:I85,I87:I93)</f>
        <v>0</v>
      </c>
      <c r="J94" s="599">
        <f>SUM(J82:J85,J87:J93)</f>
        <v>0</v>
      </c>
      <c r="K94" s="594"/>
    </row>
    <row r="95" spans="1:11" s="253" customFormat="1">
      <c r="A95" s="243" t="s">
        <v>1419</v>
      </c>
      <c r="B95" s="599">
        <f>'Sources and Uses Budget'!C96</f>
        <v>25178426.594866805</v>
      </c>
      <c r="C95" s="599">
        <f>SUM(C61+C68+C75+C79+C94)</f>
        <v>0</v>
      </c>
      <c r="D95" s="599">
        <f>SUM(D61+D68+D75+D79+D94)</f>
        <v>25358118.27674856</v>
      </c>
      <c r="E95" s="599">
        <f>'Sources and Uses Budget'!S96</f>
        <v>22583728.355295107</v>
      </c>
      <c r="F95" s="602">
        <f>SUM(+F61+F68+F79+F94)</f>
        <v>0</v>
      </c>
      <c r="G95" s="602">
        <f>SUM(+G61+G68+G79+G94)</f>
        <v>22589438</v>
      </c>
      <c r="H95" s="599">
        <f>'Sources and Uses Budget'!T96</f>
        <v>0</v>
      </c>
      <c r="I95" s="602">
        <f>SUM(I61+I68+I79+I94)</f>
        <v>0</v>
      </c>
      <c r="J95" s="602">
        <f>SUM(J61+J68+J79+J94)</f>
        <v>0</v>
      </c>
      <c r="K95" s="594"/>
    </row>
    <row r="96" spans="1:11" s="253" customFormat="1">
      <c r="A96" s="235" t="s">
        <v>556</v>
      </c>
      <c r="B96" s="598"/>
      <c r="C96" s="598"/>
      <c r="D96" s="598"/>
      <c r="E96" s="598"/>
      <c r="F96" s="598"/>
      <c r="G96" s="598"/>
      <c r="H96" s="598"/>
      <c r="I96" s="598"/>
      <c r="J96" s="598"/>
      <c r="K96" s="594"/>
    </row>
    <row r="97" spans="1:11" s="253" customFormat="1">
      <c r="A97" s="239" t="s">
        <v>557</v>
      </c>
      <c r="B97" s="599">
        <f>'Sources and Uses Budget'!C98</f>
        <v>2200000</v>
      </c>
      <c r="C97" s="600"/>
      <c r="D97" s="600">
        <v>2200000</v>
      </c>
      <c r="E97" s="599">
        <f>'Sources and Uses Budget'!S98</f>
        <v>2200000</v>
      </c>
      <c r="F97" s="600"/>
      <c r="G97" s="600">
        <v>2200000</v>
      </c>
      <c r="H97" s="599">
        <f>'Sources and Uses Budget'!T98</f>
        <v>0</v>
      </c>
      <c r="I97" s="600"/>
      <c r="J97" s="600"/>
      <c r="K97" s="594"/>
    </row>
    <row r="98" spans="1:11" s="253" customFormat="1">
      <c r="A98" s="239" t="s">
        <v>2058</v>
      </c>
      <c r="B98" s="599">
        <f>'Sources and Uses Budget'!C99</f>
        <v>0</v>
      </c>
      <c r="C98" s="600"/>
      <c r="D98" s="600"/>
      <c r="E98" s="599">
        <f>'Sources and Uses Budget'!S99</f>
        <v>0</v>
      </c>
      <c r="F98" s="600"/>
      <c r="G98" s="600"/>
      <c r="H98" s="599">
        <f>'Sources and Uses Budget'!T99</f>
        <v>0</v>
      </c>
      <c r="I98" s="600"/>
      <c r="J98" s="600"/>
      <c r="K98" s="594"/>
    </row>
    <row r="99" spans="1:11" s="253" customFormat="1" ht="11.95"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1293</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2200000</v>
      </c>
      <c r="C102" s="599">
        <f>SUM(C97:C101)</f>
        <v>0</v>
      </c>
      <c r="D102" s="599">
        <f>SUM(D97:D101)</f>
        <v>2200000</v>
      </c>
      <c r="E102" s="599">
        <f>'Sources and Uses Budget'!S103</f>
        <v>2200000</v>
      </c>
      <c r="F102" s="602">
        <f>SUM(F97:F101)</f>
        <v>0</v>
      </c>
      <c r="G102" s="602">
        <f>SUM(G97:G101)</f>
        <v>2200000</v>
      </c>
      <c r="H102" s="599">
        <f>'Sources and Uses Budget'!T103</f>
        <v>0</v>
      </c>
      <c r="I102" s="602">
        <f>SUM(I97:I101)</f>
        <v>0</v>
      </c>
      <c r="J102" s="602">
        <f>SUM(J97:J101)</f>
        <v>0</v>
      </c>
      <c r="K102" s="594"/>
    </row>
    <row r="103" spans="1:11" s="253" customFormat="1">
      <c r="A103" s="243" t="s">
        <v>1420</v>
      </c>
      <c r="B103" s="599">
        <f>'Sources and Uses Budget'!C104</f>
        <v>27378426.594866805</v>
      </c>
      <c r="C103" s="602">
        <f>SUM(C95+C102)</f>
        <v>0</v>
      </c>
      <c r="D103" s="602">
        <f>SUM(D95+D102)</f>
        <v>27558118.27674856</v>
      </c>
      <c r="E103" s="599">
        <f>'Sources and Uses Budget'!S104</f>
        <v>24783728.355295107</v>
      </c>
      <c r="F103" s="602">
        <f>F95+F102</f>
        <v>0</v>
      </c>
      <c r="G103" s="602">
        <f>G95+G102</f>
        <v>24789438</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24783728.355295107</v>
      </c>
      <c r="F105" s="602">
        <f>F103+F104</f>
        <v>0</v>
      </c>
      <c r="G105" s="602">
        <f>G103+G104</f>
        <v>24789438</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E39"/>
  <sheetViews>
    <sheetView workbookViewId="0">
      <selection sqref="A1:AQ2"/>
    </sheetView>
  </sheetViews>
  <sheetFormatPr defaultColWidth="0" defaultRowHeight="12.45"/>
  <cols>
    <col min="1" max="10" width="2.625" style="916" customWidth="1"/>
    <col min="11" max="11" width="2.625" style="917" customWidth="1"/>
    <col min="12" max="43" width="2.625" style="916" customWidth="1"/>
    <col min="44" max="47" width="2.625" style="916" hidden="1" customWidth="1"/>
    <col min="48" max="16384" width="9.125" style="916" hidden="1"/>
  </cols>
  <sheetData>
    <row r="1" spans="1:57" ht="15.05" customHeight="1">
      <c r="A1" s="1663" t="s">
        <v>2137</v>
      </c>
      <c r="B1" s="1663"/>
      <c r="C1" s="1663"/>
      <c r="D1" s="1663"/>
      <c r="E1" s="1663"/>
      <c r="F1" s="1663"/>
      <c r="G1" s="1663"/>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c r="AN1" s="1663"/>
      <c r="AO1" s="1663"/>
      <c r="AP1" s="1663"/>
      <c r="AQ1" s="1663"/>
    </row>
    <row r="2" spans="1:57" ht="15.05" customHeight="1">
      <c r="A2" s="1663"/>
      <c r="B2" s="1663"/>
      <c r="C2" s="1663"/>
      <c r="D2" s="1663"/>
      <c r="E2" s="1663"/>
      <c r="F2" s="1663"/>
      <c r="G2" s="1663"/>
      <c r="H2" s="1663"/>
      <c r="I2" s="1663"/>
      <c r="J2" s="1663"/>
      <c r="K2" s="1663"/>
      <c r="L2" s="1663"/>
      <c r="M2" s="1663"/>
      <c r="N2" s="1663"/>
      <c r="O2" s="1663"/>
      <c r="P2" s="1663"/>
      <c r="Q2" s="1663"/>
      <c r="R2" s="1663"/>
      <c r="S2" s="1663"/>
      <c r="T2" s="1663"/>
      <c r="U2" s="1663"/>
      <c r="V2" s="1663"/>
      <c r="W2" s="1663"/>
      <c r="X2" s="1663"/>
      <c r="Y2" s="1663"/>
      <c r="Z2" s="1663"/>
      <c r="AA2" s="1663"/>
      <c r="AB2" s="1663"/>
      <c r="AC2" s="1663"/>
      <c r="AD2" s="1663"/>
      <c r="AE2" s="1663"/>
      <c r="AF2" s="1663"/>
      <c r="AG2" s="1663"/>
      <c r="AH2" s="1663"/>
      <c r="AI2" s="1663"/>
      <c r="AJ2" s="1663"/>
      <c r="AK2" s="1663"/>
      <c r="AL2" s="1663"/>
      <c r="AM2" s="1663"/>
      <c r="AN2" s="1663"/>
      <c r="AO2" s="1663"/>
      <c r="AP2" s="1663"/>
      <c r="AQ2" s="1663"/>
    </row>
    <row r="3" spans="1:57" ht="13.1">
      <c r="A3" s="918"/>
      <c r="B3" s="918"/>
      <c r="I3" s="919"/>
      <c r="K3" s="920"/>
    </row>
    <row r="4" spans="1:57" ht="14.25" customHeight="1">
      <c r="A4" s="1652" t="s">
        <v>2138</v>
      </c>
      <c r="B4" s="1652"/>
      <c r="C4" s="1652"/>
      <c r="D4" s="1652"/>
      <c r="E4" s="1652"/>
      <c r="F4" s="1652"/>
      <c r="G4" s="1652"/>
      <c r="H4" s="1652"/>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c r="AP4" s="1652"/>
      <c r="AQ4" s="1652"/>
    </row>
    <row r="5" spans="1:57" ht="13.1">
      <c r="A5" s="918"/>
      <c r="B5" s="918"/>
      <c r="I5" s="919"/>
      <c r="K5" s="920"/>
    </row>
    <row r="6" spans="1:57" ht="13.1">
      <c r="A6" s="918"/>
      <c r="B6" s="918"/>
      <c r="D6" s="916" t="s">
        <v>2141</v>
      </c>
      <c r="I6" s="919"/>
      <c r="K6" s="920"/>
      <c r="U6" s="1662"/>
      <c r="V6" s="1662"/>
      <c r="W6" s="1662"/>
      <c r="BC6" s="916" t="s">
        <v>2139</v>
      </c>
    </row>
    <row r="7" spans="1:57" ht="13.1">
      <c r="A7" s="918"/>
      <c r="B7" s="918"/>
      <c r="D7" s="516" t="s">
        <v>2142</v>
      </c>
      <c r="I7" s="919"/>
      <c r="K7" s="920"/>
      <c r="BC7" s="916" t="s">
        <v>2140</v>
      </c>
    </row>
    <row r="8" spans="1:57" ht="13.1">
      <c r="A8" s="918"/>
      <c r="B8" s="918"/>
      <c r="D8" s="516"/>
      <c r="E8" s="916" t="s">
        <v>2154</v>
      </c>
      <c r="BC8" s="916" t="s">
        <v>2143</v>
      </c>
    </row>
    <row r="9" spans="1:57" ht="13.1">
      <c r="A9" s="918"/>
      <c r="B9" s="918"/>
      <c r="E9" s="916" t="s">
        <v>2153</v>
      </c>
      <c r="I9" s="919"/>
      <c r="K9" s="920"/>
      <c r="P9" s="1653"/>
      <c r="Q9" s="1653"/>
      <c r="R9" s="1653"/>
      <c r="S9" s="1653"/>
      <c r="T9" s="1653"/>
    </row>
    <row r="10" spans="1:57" ht="13.1">
      <c r="A10" s="918"/>
      <c r="B10" s="918"/>
      <c r="I10" s="919"/>
      <c r="K10" s="920"/>
    </row>
    <row r="11" spans="1:57" ht="13.1">
      <c r="A11" s="1652" t="s">
        <v>2144</v>
      </c>
      <c r="B11" s="1652"/>
      <c r="C11" s="1652"/>
      <c r="D11" s="1652"/>
      <c r="E11" s="1652"/>
      <c r="F11" s="1652"/>
      <c r="G11" s="1652"/>
      <c r="H11" s="1652"/>
      <c r="I11" s="1652"/>
      <c r="J11" s="1652"/>
      <c r="K11" s="1652"/>
      <c r="L11" s="1652"/>
      <c r="M11" s="1652"/>
      <c r="N11" s="1652"/>
      <c r="O11" s="1652"/>
      <c r="P11" s="1652"/>
      <c r="Q11" s="1652"/>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c r="AP11" s="1652"/>
      <c r="AQ11" s="1652"/>
      <c r="BC11" s="916" t="s">
        <v>116</v>
      </c>
    </row>
    <row r="12" spans="1:57" ht="13.1">
      <c r="A12" s="918"/>
      <c r="B12" s="918"/>
      <c r="I12" s="919"/>
      <c r="K12" s="920"/>
      <c r="BC12" s="916" t="s">
        <v>511</v>
      </c>
    </row>
    <row r="13" spans="1:57" ht="13.1">
      <c r="A13" s="918"/>
      <c r="B13" s="918"/>
      <c r="D13" s="916" t="s">
        <v>2145</v>
      </c>
      <c r="I13" s="919"/>
      <c r="K13" s="920"/>
      <c r="T13" s="1662"/>
      <c r="U13" s="1662"/>
      <c r="V13" s="1662"/>
    </row>
    <row r="14" spans="1:57" ht="13.1">
      <c r="A14" s="918"/>
      <c r="B14" s="918"/>
      <c r="E14" s="916" t="s">
        <v>2152</v>
      </c>
      <c r="I14" s="919"/>
      <c r="K14" s="920"/>
      <c r="N14" s="1650"/>
      <c r="O14" s="1650"/>
      <c r="P14" s="1650"/>
      <c r="Q14" s="1650"/>
      <c r="R14" s="1650"/>
      <c r="S14" s="1650"/>
      <c r="T14" s="1650"/>
      <c r="U14" s="1650"/>
      <c r="V14" s="1650"/>
      <c r="W14" s="1650"/>
      <c r="X14" s="1650"/>
      <c r="Y14" s="1650"/>
      <c r="Z14" s="1650"/>
      <c r="AA14" s="1650"/>
      <c r="AB14" s="1650"/>
      <c r="AC14" s="1650"/>
      <c r="AD14" s="1650"/>
      <c r="AE14" s="1650"/>
    </row>
    <row r="15" spans="1:57" ht="13.1">
      <c r="A15" s="918"/>
      <c r="B15" s="918"/>
      <c r="E15" s="916" t="s">
        <v>2146</v>
      </c>
      <c r="I15" s="919"/>
      <c r="K15" s="920"/>
      <c r="N15" s="937"/>
      <c r="O15" s="937"/>
      <c r="P15" s="937"/>
      <c r="Q15" s="937"/>
      <c r="R15" s="937"/>
      <c r="S15" s="937"/>
      <c r="T15" s="937"/>
      <c r="U15" s="937"/>
      <c r="V15" s="937"/>
      <c r="W15" s="937"/>
      <c r="X15" s="937"/>
      <c r="Y15" s="937"/>
      <c r="Z15" s="937"/>
      <c r="AA15" s="937"/>
      <c r="AB15" s="937"/>
      <c r="AC15" s="937"/>
      <c r="AD15" s="937"/>
      <c r="AE15" s="937"/>
      <c r="BC15" s="916" t="s">
        <v>2155</v>
      </c>
      <c r="BE15" s="916">
        <f>'Basis &amp; Credits'!AB55</f>
        <v>2230536</v>
      </c>
    </row>
    <row r="16" spans="1:57" ht="13.1">
      <c r="A16" s="918"/>
      <c r="B16" s="918"/>
      <c r="BC16" s="916" t="s">
        <v>2156</v>
      </c>
      <c r="BE16" s="916">
        <f>'Basis &amp; Credits'!T11+'Basis &amp; Credits'!AD11</f>
        <v>24783728.355295107</v>
      </c>
    </row>
    <row r="17" spans="1:43" ht="13.1">
      <c r="A17" s="918"/>
      <c r="B17" s="918"/>
      <c r="D17" s="916" t="s">
        <v>2147</v>
      </c>
      <c r="I17" s="919"/>
      <c r="K17" s="920"/>
      <c r="U17" s="1651" t="str">
        <f>IF(T13="yes",(BE15/BE16)," ")</f>
        <v xml:space="preserve"> </v>
      </c>
      <c r="V17" s="1651"/>
      <c r="W17" s="1651"/>
      <c r="X17" s="1651"/>
      <c r="Y17" s="1651"/>
    </row>
    <row r="18" spans="1:43" ht="13.1">
      <c r="A18" s="918"/>
      <c r="B18" s="918"/>
      <c r="I18" s="919"/>
      <c r="K18" s="920"/>
    </row>
    <row r="19" spans="1:43" ht="13.1">
      <c r="A19" s="1652" t="s">
        <v>2149</v>
      </c>
      <c r="B19" s="1652"/>
      <c r="C19" s="1652"/>
      <c r="D19" s="1652"/>
      <c r="E19" s="1652"/>
      <c r="F19" s="1652"/>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c r="AP19" s="1652"/>
      <c r="AQ19" s="1652"/>
    </row>
    <row r="20" spans="1:43" ht="13.1">
      <c r="C20" s="918"/>
      <c r="D20" s="918"/>
      <c r="K20" s="919"/>
      <c r="M20" s="920"/>
    </row>
    <row r="21" spans="1:43" ht="13.1">
      <c r="C21" s="918"/>
      <c r="D21" s="918"/>
      <c r="K21" s="919"/>
      <c r="M21" s="920"/>
    </row>
    <row r="22" spans="1:43">
      <c r="C22" s="921" t="s">
        <v>764</v>
      </c>
      <c r="D22" s="921"/>
      <c r="E22" s="916" t="s">
        <v>2150</v>
      </c>
      <c r="H22" s="922"/>
      <c r="K22" s="916"/>
      <c r="Q22" s="1654">
        <f>ROUND('Basis &amp; Credits'!AB55,0)</f>
        <v>2230536</v>
      </c>
      <c r="R22" s="1654"/>
      <c r="S22" s="1654"/>
      <c r="T22" s="1654"/>
      <c r="U22" s="1654"/>
      <c r="V22" s="1654"/>
      <c r="W22" s="1654"/>
      <c r="X22" s="1654"/>
      <c r="Y22" s="936"/>
    </row>
    <row r="23" spans="1:43" ht="13.1">
      <c r="C23" s="918"/>
      <c r="D23" s="918"/>
      <c r="G23" s="923"/>
      <c r="H23" s="923"/>
      <c r="I23" s="924"/>
      <c r="J23" s="924"/>
      <c r="K23" s="923"/>
      <c r="M23" s="917"/>
    </row>
    <row r="24" spans="1:43" ht="13.1">
      <c r="C24" s="925"/>
      <c r="D24" s="925"/>
      <c r="E24" s="926"/>
      <c r="J24" s="924"/>
      <c r="K24" s="916"/>
      <c r="L24" s="1661" t="s">
        <v>2127</v>
      </c>
      <c r="M24" s="1661"/>
      <c r="N24" s="1661"/>
      <c r="P24" s="1657" t="s">
        <v>2128</v>
      </c>
      <c r="Q24" s="1657"/>
      <c r="R24" s="1657"/>
      <c r="S24" s="1657"/>
      <c r="T24" s="1657"/>
      <c r="V24" s="1657" t="s">
        <v>2129</v>
      </c>
      <c r="W24" s="1657"/>
      <c r="X24" s="1657"/>
    </row>
    <row r="25" spans="1:43">
      <c r="C25" s="921" t="s">
        <v>201</v>
      </c>
      <c r="D25" s="921"/>
      <c r="E25" s="916" t="s">
        <v>1030</v>
      </c>
      <c r="J25" s="924"/>
      <c r="L25" s="1658" t="s">
        <v>2130</v>
      </c>
      <c r="M25" s="1658"/>
      <c r="N25" s="1658"/>
      <c r="P25" s="1658" t="s">
        <v>2131</v>
      </c>
      <c r="Q25" s="1658"/>
      <c r="R25" s="1658"/>
      <c r="S25" s="1658"/>
      <c r="T25" s="1658"/>
      <c r="V25" s="1658" t="s">
        <v>2130</v>
      </c>
      <c r="W25" s="1658"/>
      <c r="X25" s="1658"/>
    </row>
    <row r="26" spans="1:43" ht="13.1">
      <c r="C26" s="918"/>
      <c r="D26" s="918"/>
      <c r="E26" s="927" t="s">
        <v>2132</v>
      </c>
      <c r="F26" s="927"/>
      <c r="J26" s="928"/>
      <c r="L26" s="1655">
        <f>Application!BN613</f>
        <v>0</v>
      </c>
      <c r="M26" s="1655"/>
      <c r="N26" s="1655"/>
      <c r="P26" s="1659">
        <v>0.9</v>
      </c>
      <c r="Q26" s="1659"/>
      <c r="R26" s="1659"/>
      <c r="S26" s="1659"/>
      <c r="T26" s="1659"/>
      <c r="V26" s="1659">
        <f>L26*P26</f>
        <v>0</v>
      </c>
      <c r="W26" s="1659"/>
      <c r="X26" s="1659"/>
    </row>
    <row r="27" spans="1:43" ht="13.1">
      <c r="C27" s="918"/>
      <c r="D27" s="918"/>
      <c r="E27" s="916" t="s">
        <v>2133</v>
      </c>
      <c r="J27" s="928"/>
      <c r="L27" s="1664">
        <f>Application!BS613</f>
        <v>18</v>
      </c>
      <c r="M27" s="1664">
        <f>Application!BS621+Application!BS630+Application!CX644</f>
        <v>0</v>
      </c>
      <c r="N27" s="1664"/>
      <c r="P27" s="1660">
        <v>1</v>
      </c>
      <c r="Q27" s="1660"/>
      <c r="R27" s="1660"/>
      <c r="S27" s="1660"/>
      <c r="T27" s="1660"/>
      <c r="V27" s="1660">
        <f>L27*P27</f>
        <v>18</v>
      </c>
      <c r="W27" s="1660"/>
      <c r="X27" s="1660"/>
    </row>
    <row r="28" spans="1:43" ht="13.1">
      <c r="C28" s="918"/>
      <c r="D28" s="918"/>
      <c r="E28" s="916" t="s">
        <v>2134</v>
      </c>
      <c r="J28" s="928"/>
      <c r="L28" s="1664">
        <f>Application!BX613</f>
        <v>23</v>
      </c>
      <c r="M28" s="1664">
        <f>Application!BX621+Application!BX630+Application!DC644</f>
        <v>0</v>
      </c>
      <c r="N28" s="1664"/>
      <c r="P28" s="1660">
        <v>1.25</v>
      </c>
      <c r="Q28" s="1660"/>
      <c r="R28" s="1660"/>
      <c r="S28" s="1660"/>
      <c r="T28" s="1660"/>
      <c r="V28" s="1660">
        <f>L28*P28</f>
        <v>28.75</v>
      </c>
      <c r="W28" s="1660"/>
      <c r="X28" s="1660"/>
    </row>
    <row r="29" spans="1:43" ht="13.1">
      <c r="C29" s="918"/>
      <c r="D29" s="918"/>
      <c r="E29" s="916" t="s">
        <v>2135</v>
      </c>
      <c r="J29" s="928"/>
      <c r="L29" s="1664">
        <f>Application!CC613</f>
        <v>18</v>
      </c>
      <c r="M29" s="1664">
        <f>Application!CC621+Application!CC630+Application!DH644</f>
        <v>0</v>
      </c>
      <c r="N29" s="1664"/>
      <c r="P29" s="1660">
        <v>1.5</v>
      </c>
      <c r="Q29" s="1660"/>
      <c r="R29" s="1660"/>
      <c r="S29" s="1660"/>
      <c r="T29" s="1660"/>
      <c r="V29" s="1660">
        <f>L29*P29</f>
        <v>27</v>
      </c>
      <c r="W29" s="1660"/>
      <c r="X29" s="1660"/>
    </row>
    <row r="30" spans="1:43" ht="13.1">
      <c r="C30" s="918"/>
      <c r="D30" s="918"/>
      <c r="E30" s="916" t="s">
        <v>2136</v>
      </c>
      <c r="J30" s="928"/>
      <c r="L30" s="1665">
        <f>Application!CH613+Application!CM613</f>
        <v>0</v>
      </c>
      <c r="M30" s="1665"/>
      <c r="N30" s="1665"/>
      <c r="P30" s="1660">
        <v>1.75</v>
      </c>
      <c r="Q30" s="1660"/>
      <c r="R30" s="1660">
        <f>1.75+0.25*0</f>
        <v>1.75</v>
      </c>
      <c r="S30" s="1660"/>
      <c r="T30" s="1660"/>
      <c r="V30" s="1669">
        <f>L30*P30</f>
        <v>0</v>
      </c>
      <c r="W30" s="1669"/>
      <c r="X30" s="1669"/>
    </row>
    <row r="31" spans="1:43" ht="13.1">
      <c r="C31" s="918"/>
      <c r="D31" s="918"/>
      <c r="L31" s="1655">
        <f>SUM(L26:N30)</f>
        <v>59</v>
      </c>
      <c r="M31" s="1656"/>
      <c r="N31" s="1656"/>
      <c r="V31" s="1659">
        <f>SUM(V26:X30)</f>
        <v>73.75</v>
      </c>
      <c r="W31" s="1659"/>
      <c r="X31" s="1659"/>
    </row>
    <row r="32" spans="1:43" ht="13.1">
      <c r="C32" s="918"/>
      <c r="D32" s="918"/>
      <c r="K32" s="929"/>
    </row>
    <row r="33" spans="1:27" ht="13.1">
      <c r="C33" s="921" t="s">
        <v>202</v>
      </c>
      <c r="D33" s="921"/>
      <c r="E33" s="918" t="s">
        <v>2151</v>
      </c>
      <c r="H33" s="930"/>
      <c r="I33" s="931"/>
      <c r="J33" s="932"/>
      <c r="K33" s="929"/>
      <c r="M33" s="917"/>
      <c r="V33" s="1666">
        <f>IF(V31&gt;0,V31/Q22," ")</f>
        <v>3.3063801705061026E-5</v>
      </c>
      <c r="W33" s="1667"/>
      <c r="X33" s="1667"/>
      <c r="Y33" s="1667"/>
      <c r="Z33" s="1667"/>
      <c r="AA33" s="1668"/>
    </row>
    <row r="34" spans="1:27">
      <c r="K34" s="916"/>
      <c r="M34" s="917"/>
    </row>
    <row r="35" spans="1:27" ht="13.1">
      <c r="E35" s="918" t="s">
        <v>2157</v>
      </c>
      <c r="F35" s="918"/>
      <c r="G35" s="918"/>
      <c r="H35" s="918"/>
      <c r="I35" s="918"/>
      <c r="J35" s="918"/>
      <c r="K35" s="918"/>
      <c r="L35" s="918"/>
      <c r="M35" s="938"/>
      <c r="N35" s="918"/>
      <c r="O35" s="918"/>
      <c r="P35" s="918"/>
      <c r="Q35" s="918"/>
      <c r="R35" s="918"/>
      <c r="V35" s="1647">
        <f>IF(V31&gt;0,1/V33," ")</f>
        <v>30244.555932203388</v>
      </c>
      <c r="W35" s="1648"/>
      <c r="X35" s="1648"/>
      <c r="Y35" s="1648"/>
      <c r="Z35" s="1648"/>
      <c r="AA35" s="1649"/>
    </row>
    <row r="36" spans="1:27" ht="12.8"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7" priority="1">
      <formula>$U$17=" "</formula>
    </cfRule>
    <cfRule type="expression" dxfId="6" priority="2">
      <formula>$U$17&gt;0.075</formula>
    </cfRule>
  </conditionalFormatting>
  <dataValidations count="2">
    <dataValidation type="list" allowBlank="1" showInputMessage="1" showErrorMessage="1" sqref="P9" xr:uid="{00000000-0002-0000-0700-000000000000}">
      <formula1>$BC$5:$BC$8</formula1>
    </dataValidation>
    <dataValidation type="list" allowBlank="1" showInputMessage="1" showErrorMessage="1" sqref="T13:V13 U6:W6" xr:uid="{00000000-0002-0000-0700-000001000000}">
      <formula1>$BC$10:$BC$12</formula1>
    </dataValidation>
  </dataValidations>
  <hyperlinks>
    <hyperlink ref="D7" r:id="rId1" xr:uid="{00000000-0004-0000-0700-000000000000}"/>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dimension ref="A1:EW897"/>
  <sheetViews>
    <sheetView showGridLines="0" topLeftCell="A391" workbookViewId="0">
      <selection activeCell="AM606" sqref="AM606"/>
    </sheetView>
  </sheetViews>
  <sheetFormatPr defaultColWidth="0" defaultRowHeight="12.45" zeroHeight="1"/>
  <cols>
    <col min="1" max="3" width="2.375" style="21" customWidth="1"/>
    <col min="4" max="4" width="3.125" style="21" customWidth="1"/>
    <col min="5" max="5" width="3.375" style="21" customWidth="1"/>
    <col min="6" max="6" width="2.875" style="21" customWidth="1"/>
    <col min="7" max="16" width="2.375" style="21" customWidth="1"/>
    <col min="17" max="17" width="3.125" style="21" customWidth="1"/>
    <col min="18" max="18" width="4.625" style="21" customWidth="1"/>
    <col min="19" max="26" width="2.375" style="21" customWidth="1"/>
    <col min="27" max="30" width="2.625" style="21" customWidth="1"/>
    <col min="31" max="32" width="2.375" style="21" customWidth="1"/>
    <col min="33" max="33" width="3.375" style="21" customWidth="1"/>
    <col min="34" max="36" width="2.375" style="21" customWidth="1"/>
    <col min="37" max="37" width="5.625" style="21" customWidth="1"/>
    <col min="38" max="38" width="2.375" style="21" customWidth="1"/>
    <col min="39" max="39" width="3.375" style="21" customWidth="1"/>
    <col min="40" max="40" width="5.625" style="684" customWidth="1"/>
    <col min="41" max="41" width="5.625" style="38" hidden="1" customWidth="1"/>
    <col min="42" max="55" width="5.625" style="21" hidden="1" customWidth="1"/>
    <col min="56" max="60" width="5.625" style="40" hidden="1" customWidth="1"/>
    <col min="61" max="109" width="5.625" style="21" hidden="1" customWidth="1"/>
    <col min="110" max="16384" width="9.125" style="21" hidden="1"/>
  </cols>
  <sheetData>
    <row r="1" spans="1:42" ht="15.75" customHeight="1">
      <c r="A1" s="1394" t="s">
        <v>887</v>
      </c>
      <c r="B1" s="1394"/>
      <c r="C1" s="1394"/>
      <c r="D1" s="1394"/>
      <c r="E1" s="1394"/>
      <c r="F1" s="1394"/>
      <c r="G1" s="1394"/>
      <c r="H1" s="1394"/>
      <c r="I1" s="1394"/>
      <c r="J1" s="1394"/>
      <c r="K1" s="1394"/>
      <c r="L1" s="1394"/>
      <c r="M1" s="1394"/>
      <c r="N1" s="1394"/>
      <c r="O1" s="1394"/>
      <c r="P1" s="1394"/>
      <c r="Q1" s="1394"/>
      <c r="R1" s="1394"/>
      <c r="S1" s="1394"/>
      <c r="T1" s="1394"/>
      <c r="U1" s="1394"/>
      <c r="V1" s="1394"/>
      <c r="W1" s="1394"/>
      <c r="X1" s="1394"/>
      <c r="Y1" s="1394"/>
      <c r="Z1" s="1394"/>
      <c r="AA1" s="1394"/>
      <c r="AB1" s="1394"/>
      <c r="AC1" s="1394"/>
      <c r="AD1" s="1394"/>
      <c r="AE1" s="1394"/>
      <c r="AF1" s="1394"/>
      <c r="AG1" s="1394"/>
      <c r="AH1" s="1394"/>
      <c r="AI1" s="1394"/>
      <c r="AJ1" s="1394"/>
      <c r="AK1" s="1394"/>
      <c r="AL1" s="1394"/>
      <c r="AM1" s="1394"/>
    </row>
    <row r="2" spans="1:42" s="5" customFormat="1" ht="12.8" customHeight="1" thickBot="1">
      <c r="A2" s="1395"/>
      <c r="B2" s="1395"/>
      <c r="C2" s="1395"/>
      <c r="D2" s="1395"/>
      <c r="E2" s="1395"/>
      <c r="F2" s="1395"/>
      <c r="G2" s="1395"/>
      <c r="H2" s="1395"/>
      <c r="I2" s="1395"/>
      <c r="J2" s="1395"/>
      <c r="K2" s="1395"/>
      <c r="L2" s="1395"/>
      <c r="M2" s="1395"/>
      <c r="N2" s="1395"/>
      <c r="O2" s="1395"/>
      <c r="P2" s="1395"/>
      <c r="Q2" s="1395"/>
      <c r="R2" s="1395"/>
      <c r="S2" s="1395"/>
      <c r="T2" s="1395"/>
      <c r="U2" s="1395"/>
      <c r="V2" s="1395"/>
      <c r="W2" s="1395"/>
      <c r="X2" s="1395"/>
      <c r="Y2" s="1395"/>
      <c r="Z2" s="1395"/>
      <c r="AA2" s="1395"/>
      <c r="AB2" s="1395"/>
      <c r="AC2" s="1395"/>
      <c r="AD2" s="1395"/>
      <c r="AE2" s="1395"/>
      <c r="AF2" s="1395"/>
      <c r="AG2" s="1395"/>
      <c r="AH2" s="1395"/>
      <c r="AI2" s="1395"/>
      <c r="AJ2" s="1395"/>
      <c r="AK2" s="1395"/>
      <c r="AL2" s="1395"/>
      <c r="AM2" s="1395"/>
      <c r="AN2" s="685"/>
    </row>
    <row r="3" spans="1:42" s="3" customFormat="1" ht="12.8"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8" customHeight="1">
      <c r="A4" s="63" t="s">
        <v>1525</v>
      </c>
      <c r="AE4" s="1835" t="s">
        <v>389</v>
      </c>
      <c r="AF4" s="1835"/>
      <c r="AG4" s="1835"/>
      <c r="AH4" s="1835"/>
      <c r="AI4" s="1835"/>
      <c r="AJ4" s="1835"/>
      <c r="AK4" s="1835"/>
      <c r="AL4" s="18"/>
      <c r="AN4" s="686"/>
    </row>
    <row r="5" spans="1:42" s="3" customFormat="1" ht="12.95" customHeight="1">
      <c r="A5" s="63"/>
      <c r="AE5" s="18"/>
      <c r="AF5" s="18"/>
      <c r="AG5" s="18"/>
      <c r="AH5" s="18"/>
      <c r="AI5" s="18"/>
      <c r="AJ5" s="18"/>
      <c r="AK5" s="18"/>
      <c r="AL5" s="18"/>
      <c r="AN5" s="686"/>
    </row>
    <row r="6" spans="1:42" s="5" customFormat="1" ht="12.8" customHeight="1">
      <c r="A6" s="63"/>
      <c r="B6" s="63" t="s">
        <v>1526</v>
      </c>
      <c r="C6" s="3"/>
      <c r="D6" s="3"/>
      <c r="E6" s="3"/>
      <c r="F6" s="3"/>
      <c r="G6" s="3"/>
      <c r="H6" s="3"/>
      <c r="I6" s="3"/>
      <c r="J6" s="3"/>
      <c r="K6" s="3"/>
      <c r="L6" s="3"/>
      <c r="M6" s="3"/>
      <c r="N6" s="3"/>
      <c r="O6" s="3"/>
      <c r="P6" s="3"/>
      <c r="Q6" s="3"/>
      <c r="R6" s="3"/>
      <c r="S6" s="3"/>
      <c r="T6" s="3"/>
      <c r="U6" s="3"/>
      <c r="V6" s="3"/>
      <c r="W6" s="3"/>
      <c r="X6" s="3"/>
      <c r="Y6" s="3"/>
      <c r="Z6" s="3"/>
      <c r="AA6" s="3"/>
      <c r="AB6" s="3"/>
      <c r="AC6" s="3"/>
      <c r="AD6" s="3"/>
      <c r="AF6" s="1731" t="s">
        <v>895</v>
      </c>
      <c r="AG6" s="1731"/>
      <c r="AH6" s="1731"/>
      <c r="AI6" s="1731"/>
      <c r="AJ6" s="1731"/>
      <c r="AK6" s="1731"/>
      <c r="AL6" s="1731"/>
      <c r="AM6" s="3"/>
      <c r="AN6" s="685"/>
    </row>
    <row r="7" spans="1:42" s="5" customFormat="1" ht="12.8"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05" customHeight="1">
      <c r="A8" s="63"/>
      <c r="B8" s="1831" t="s">
        <v>2418</v>
      </c>
      <c r="C8" s="1831"/>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3"/>
      <c r="AE8" s="108"/>
      <c r="AF8" s="108"/>
      <c r="AG8" s="108"/>
      <c r="AH8" s="108"/>
      <c r="AI8" s="108"/>
      <c r="AJ8" s="108"/>
      <c r="AK8" s="108"/>
      <c r="AL8" s="108"/>
      <c r="AM8" s="3"/>
      <c r="AN8" s="685"/>
      <c r="AP8" s="10"/>
    </row>
    <row r="9" spans="1:42" s="5" customFormat="1" ht="12.8"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8"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1295</v>
      </c>
      <c r="AP10" s="374">
        <v>5</v>
      </c>
    </row>
    <row r="11" spans="1:42" s="5" customFormat="1" ht="12.8" customHeight="1">
      <c r="A11" s="63"/>
      <c r="B11" s="1831" t="s">
        <v>1296</v>
      </c>
      <c r="C11" s="1831"/>
      <c r="D11" s="1831"/>
      <c r="E11" s="1831"/>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M11" s="3"/>
      <c r="AN11" s="685"/>
      <c r="AO11" s="365" t="s">
        <v>1296</v>
      </c>
      <c r="AP11" s="374">
        <v>7</v>
      </c>
    </row>
    <row r="12" spans="1:42" s="5" customFormat="1" ht="12.8"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8" customHeight="1">
      <c r="A13" s="63"/>
      <c r="B13" s="20" t="s">
        <v>1297</v>
      </c>
      <c r="AB13" s="1832" t="s">
        <v>132</v>
      </c>
      <c r="AC13" s="1832"/>
      <c r="AD13" s="18"/>
      <c r="AM13" s="3"/>
      <c r="AN13" s="685"/>
      <c r="AO13" s="365"/>
      <c r="AP13" s="365"/>
    </row>
    <row r="14" spans="1:42" s="5" customFormat="1" ht="12.8"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1166</v>
      </c>
      <c r="AP14" s="374"/>
    </row>
    <row r="15" spans="1:42" s="5" customFormat="1" ht="12.8"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1298</v>
      </c>
      <c r="AP15" s="374">
        <v>5</v>
      </c>
    </row>
    <row r="16" spans="1:42" s="5" customFormat="1" ht="12.8" customHeight="1">
      <c r="A16" s="63"/>
      <c r="B16" s="1831" t="s">
        <v>1166</v>
      </c>
      <c r="C16" s="1831"/>
      <c r="D16" s="1831"/>
      <c r="E16" s="1831"/>
      <c r="F16" s="1831"/>
      <c r="G16" s="1831"/>
      <c r="H16" s="1831"/>
      <c r="I16" s="1831"/>
      <c r="J16" s="1831"/>
      <c r="K16" s="1831"/>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c r="AH16" s="1831"/>
      <c r="AI16" s="1831"/>
      <c r="AJ16" s="1831"/>
      <c r="AK16" s="505"/>
      <c r="AL16" s="505"/>
      <c r="AM16" s="505"/>
      <c r="AN16" s="685"/>
      <c r="AO16" s="365" t="s">
        <v>1299</v>
      </c>
      <c r="AP16" s="374">
        <v>7</v>
      </c>
    </row>
    <row r="17" spans="1:42" s="5" customFormat="1" ht="12.8" customHeight="1">
      <c r="B17" s="61" t="s">
        <v>1916</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8" customHeight="1">
      <c r="B18" s="20" t="s">
        <v>1915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8"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8" customHeight="1">
      <c r="B20" s="1670" t="s">
        <v>2343</v>
      </c>
      <c r="C20" s="1670"/>
      <c r="D20" s="1670"/>
      <c r="E20" s="1670"/>
      <c r="F20" s="1670"/>
      <c r="G20" s="1670"/>
      <c r="H20" s="1670"/>
      <c r="I20" s="1670"/>
      <c r="J20" s="1670"/>
      <c r="K20" s="1670"/>
      <c r="L20" s="1670"/>
      <c r="M20" s="1670"/>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c r="AL20" s="103"/>
      <c r="AM20" s="27"/>
      <c r="AN20" s="685"/>
    </row>
    <row r="21" spans="1:42" s="5" customFormat="1" ht="12.8" customHeight="1">
      <c r="A21" s="27"/>
      <c r="B21" s="1670"/>
      <c r="C21" s="1670"/>
      <c r="D21" s="1670"/>
      <c r="E21" s="1670"/>
      <c r="F21" s="1670"/>
      <c r="G21" s="1670"/>
      <c r="H21" s="1670"/>
      <c r="I21" s="1670"/>
      <c r="J21" s="1670"/>
      <c r="K21" s="1670"/>
      <c r="L21" s="1670"/>
      <c r="M21" s="1670"/>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c r="AL21" s="103"/>
      <c r="AM21" s="27"/>
      <c r="AN21" s="685"/>
      <c r="AP21" s="341"/>
    </row>
    <row r="22" spans="1:42" s="5" customFormat="1" ht="12.8" customHeight="1">
      <c r="A22" s="27"/>
      <c r="B22" s="1670"/>
      <c r="C22" s="1670"/>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1670"/>
      <c r="AB22" s="1670"/>
      <c r="AC22" s="1670"/>
      <c r="AD22" s="1670"/>
      <c r="AE22" s="1670"/>
      <c r="AF22" s="1670"/>
      <c r="AG22" s="1670"/>
      <c r="AH22" s="1670"/>
      <c r="AI22" s="1670"/>
      <c r="AJ22" s="1670"/>
      <c r="AK22" s="1670"/>
      <c r="AL22" s="103"/>
      <c r="AM22" s="27"/>
      <c r="AN22" s="685"/>
    </row>
    <row r="23" spans="1:42" s="4" customFormat="1" ht="12.8" customHeight="1">
      <c r="A23" s="27"/>
      <c r="B23" s="1670"/>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c r="AL23" s="103"/>
      <c r="AM23" s="27"/>
      <c r="AN23" s="281"/>
    </row>
    <row r="24" spans="1:42" s="4" customFormat="1" ht="12.8" customHeight="1">
      <c r="A24" s="27"/>
      <c r="B24" s="1670"/>
      <c r="C24" s="1670"/>
      <c r="D24" s="1670"/>
      <c r="E24" s="1670"/>
      <c r="F24" s="1670"/>
      <c r="G24" s="1670"/>
      <c r="H24" s="1670"/>
      <c r="I24" s="1670"/>
      <c r="J24" s="1670"/>
      <c r="K24" s="1670"/>
      <c r="L24" s="1670"/>
      <c r="M24" s="1670"/>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c r="AL24" s="103"/>
      <c r="AM24" s="27"/>
      <c r="AN24" s="687"/>
      <c r="AO24" s="91"/>
    </row>
    <row r="25" spans="1:42" s="4" customFormat="1" ht="12.8" customHeight="1">
      <c r="A25" s="27"/>
      <c r="B25" s="1670"/>
      <c r="C25" s="1670"/>
      <c r="D25" s="1670"/>
      <c r="E25" s="1670"/>
      <c r="F25" s="1670"/>
      <c r="G25" s="1670"/>
      <c r="H25" s="1670"/>
      <c r="I25" s="1670"/>
      <c r="J25" s="1670"/>
      <c r="K25" s="1670"/>
      <c r="L25" s="1670"/>
      <c r="M25" s="1670"/>
      <c r="N25" s="1670"/>
      <c r="O25" s="1670"/>
      <c r="P25" s="1670"/>
      <c r="Q25" s="1670"/>
      <c r="R25" s="1670"/>
      <c r="S25" s="1670"/>
      <c r="T25" s="1670"/>
      <c r="U25" s="1670"/>
      <c r="V25" s="1670"/>
      <c r="W25" s="1670"/>
      <c r="X25" s="1670"/>
      <c r="Y25" s="1670"/>
      <c r="Z25" s="1670"/>
      <c r="AA25" s="1670"/>
      <c r="AB25" s="1670"/>
      <c r="AC25" s="1670"/>
      <c r="AD25" s="1670"/>
      <c r="AE25" s="1670"/>
      <c r="AF25" s="1670"/>
      <c r="AG25" s="1670"/>
      <c r="AH25" s="1670"/>
      <c r="AI25" s="1670"/>
      <c r="AJ25" s="1670"/>
      <c r="AK25" s="1670"/>
      <c r="AL25" s="103"/>
      <c r="AM25" s="27"/>
      <c r="AN25" s="687"/>
    </row>
    <row r="26" spans="1:42" s="4" customFormat="1" ht="12.8" customHeight="1">
      <c r="A26" s="27"/>
      <c r="B26" s="1670"/>
      <c r="C26" s="1670"/>
      <c r="D26" s="1670"/>
      <c r="E26" s="1670"/>
      <c r="F26" s="1670"/>
      <c r="G26" s="1670"/>
      <c r="H26" s="1670"/>
      <c r="I26" s="1670"/>
      <c r="J26" s="1670"/>
      <c r="K26" s="1670"/>
      <c r="L26" s="1670"/>
      <c r="M26" s="1670"/>
      <c r="N26" s="1670"/>
      <c r="O26" s="1670"/>
      <c r="P26" s="1670"/>
      <c r="Q26" s="1670"/>
      <c r="R26" s="1670"/>
      <c r="S26" s="1670"/>
      <c r="T26" s="1670"/>
      <c r="U26" s="1670"/>
      <c r="V26" s="1670"/>
      <c r="W26" s="1670"/>
      <c r="X26" s="1670"/>
      <c r="Y26" s="1670"/>
      <c r="Z26" s="1670"/>
      <c r="AA26" s="1670"/>
      <c r="AB26" s="1670"/>
      <c r="AC26" s="1670"/>
      <c r="AD26" s="1670"/>
      <c r="AE26" s="1670"/>
      <c r="AF26" s="1670"/>
      <c r="AG26" s="1670"/>
      <c r="AH26" s="1670"/>
      <c r="AI26" s="1670"/>
      <c r="AJ26" s="1670"/>
      <c r="AK26" s="1670"/>
      <c r="AL26" s="103"/>
      <c r="AM26" s="27"/>
      <c r="AN26" s="281"/>
    </row>
    <row r="27" spans="1:42" s="4" customFormat="1" ht="12.8" customHeight="1">
      <c r="A27" s="27"/>
      <c r="B27" s="1670"/>
      <c r="C27" s="1670"/>
      <c r="D27" s="1670"/>
      <c r="E27" s="1670"/>
      <c r="F27" s="1670"/>
      <c r="G27" s="1670"/>
      <c r="H27" s="1670"/>
      <c r="I27" s="1670"/>
      <c r="J27" s="1670"/>
      <c r="K27" s="1670"/>
      <c r="L27" s="1670"/>
      <c r="M27" s="1670"/>
      <c r="N27" s="1670"/>
      <c r="O27" s="1670"/>
      <c r="P27" s="1670"/>
      <c r="Q27" s="1670"/>
      <c r="R27" s="1670"/>
      <c r="S27" s="1670"/>
      <c r="T27" s="1670"/>
      <c r="U27" s="1670"/>
      <c r="V27" s="1670"/>
      <c r="W27" s="1670"/>
      <c r="X27" s="1670"/>
      <c r="Y27" s="1670"/>
      <c r="Z27" s="1670"/>
      <c r="AA27" s="1670"/>
      <c r="AB27" s="1670"/>
      <c r="AC27" s="1670"/>
      <c r="AD27" s="1670"/>
      <c r="AE27" s="1670"/>
      <c r="AF27" s="1670"/>
      <c r="AG27" s="1670"/>
      <c r="AH27" s="1670"/>
      <c r="AI27" s="1670"/>
      <c r="AJ27" s="1670"/>
      <c r="AK27" s="1670"/>
      <c r="AL27" s="103"/>
      <c r="AM27" s="27"/>
      <c r="AN27" s="629"/>
    </row>
    <row r="28" spans="1:42" s="4" customFormat="1" ht="12.8" customHeight="1">
      <c r="A28" s="27"/>
      <c r="B28" s="1670"/>
      <c r="C28" s="1670"/>
      <c r="D28" s="1670"/>
      <c r="E28" s="1670"/>
      <c r="F28" s="1670"/>
      <c r="G28" s="1670"/>
      <c r="H28" s="1670"/>
      <c r="I28" s="1670"/>
      <c r="J28" s="1670"/>
      <c r="K28" s="1670"/>
      <c r="L28" s="1670"/>
      <c r="M28" s="1670"/>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c r="AL28" s="103"/>
      <c r="AM28" s="27"/>
      <c r="AN28" s="629"/>
    </row>
    <row r="29" spans="1:42" s="4" customFormat="1" ht="31.75" customHeight="1">
      <c r="A29" s="27"/>
      <c r="B29" s="1670"/>
      <c r="C29" s="1670"/>
      <c r="D29" s="1670"/>
      <c r="E29" s="1670"/>
      <c r="F29" s="1670"/>
      <c r="G29" s="1670"/>
      <c r="H29" s="1670"/>
      <c r="I29" s="1670"/>
      <c r="J29" s="1670"/>
      <c r="K29" s="1670"/>
      <c r="L29" s="1670"/>
      <c r="M29" s="1670"/>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c r="AL29" s="103"/>
      <c r="AM29" s="27"/>
      <c r="AN29" s="629"/>
      <c r="AO29" s="365" t="s">
        <v>84</v>
      </c>
      <c r="AP29" s="365"/>
    </row>
    <row r="30" spans="1:42" s="4" customFormat="1" ht="12.8" customHeight="1">
      <c r="A30" s="5"/>
      <c r="B30" s="1838"/>
      <c r="C30" s="1838"/>
      <c r="D30" s="1838"/>
      <c r="E30" s="1838"/>
      <c r="F30" s="1838"/>
      <c r="G30" s="1838"/>
      <c r="H30" s="1838"/>
      <c r="I30" s="1838"/>
      <c r="J30" s="1838"/>
      <c r="K30" s="1838"/>
      <c r="L30" s="1838"/>
      <c r="M30" s="1838"/>
      <c r="N30" s="1838"/>
      <c r="O30" s="1838"/>
      <c r="P30" s="1838"/>
      <c r="Q30" s="1838"/>
      <c r="R30" s="1838"/>
      <c r="S30" s="1838"/>
      <c r="T30" s="1838"/>
      <c r="U30" s="1838"/>
      <c r="V30" s="1838"/>
      <c r="W30" s="1838"/>
      <c r="X30" s="1838"/>
      <c r="Y30" s="1838"/>
      <c r="Z30" s="1838"/>
      <c r="AA30" s="1838"/>
      <c r="AB30" s="1838"/>
      <c r="AC30" s="1838"/>
      <c r="AD30" s="1838"/>
      <c r="AE30" s="1838"/>
      <c r="AF30" s="1838"/>
      <c r="AG30" s="1838"/>
      <c r="AH30" s="1838"/>
      <c r="AI30" s="1838"/>
      <c r="AJ30" s="1838"/>
      <c r="AK30" s="1838"/>
      <c r="AL30" s="10"/>
      <c r="AM30" s="5"/>
      <c r="AN30" s="629"/>
      <c r="AO30" s="365" t="s">
        <v>1301</v>
      </c>
      <c r="AP30" s="484">
        <v>2</v>
      </c>
    </row>
    <row r="31" spans="1:42" s="4" customFormat="1" ht="12.8"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689">
        <f>IF((AND(AND(OR(Application!D211="Nonprofit (qualified nonprofit organization)",Application!D211="Nonprofit (homeless assistance)",Application!D211="Special Needs/SRO"),Application!D214="Special Needs"),$AB$13="N/A")),VLOOKUP($B$16,$AO$14:$AP$16,2,FALSE),VLOOKUP($B$11,$AO$9:$AP$11,2,FALSE))</f>
        <v>7</v>
      </c>
      <c r="AK31" s="1689"/>
      <c r="AL31" s="10"/>
      <c r="AM31" s="5"/>
      <c r="AN31" s="629"/>
      <c r="AO31" s="365" t="s">
        <v>1300</v>
      </c>
      <c r="AP31" s="484">
        <v>3</v>
      </c>
    </row>
    <row r="32" spans="1:42" s="4" customFormat="1" ht="12.8"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8" customHeight="1">
      <c r="A33" s="5"/>
      <c r="B33" s="63" t="s">
        <v>1527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31" t="s">
        <v>65</v>
      </c>
      <c r="AG33" s="1731"/>
      <c r="AH33" s="1731"/>
      <c r="AI33" s="1731"/>
      <c r="AJ33" s="1731"/>
      <c r="AK33" s="1731"/>
      <c r="AL33" s="1731"/>
      <c r="AM33" s="27"/>
      <c r="AN33" s="629"/>
      <c r="AO33" s="463"/>
      <c r="AP33" s="463"/>
    </row>
    <row r="34" spans="1:43" s="4" customFormat="1" ht="12.8" customHeight="1">
      <c r="A34" s="5"/>
      <c r="B34" s="20" t="s">
        <v>1167</v>
      </c>
      <c r="AA34" s="3"/>
      <c r="AB34" s="3"/>
      <c r="AC34" s="3"/>
      <c r="AD34" s="3"/>
      <c r="AM34" s="27"/>
      <c r="AN34" s="629"/>
      <c r="AO34" s="463"/>
      <c r="AP34" s="463"/>
    </row>
    <row r="35" spans="1:43" s="4" customFormat="1" ht="12.8" customHeight="1">
      <c r="A35" s="5"/>
      <c r="C35" s="1831" t="s">
        <v>1300</v>
      </c>
      <c r="D35" s="1831"/>
      <c r="E35" s="1831"/>
      <c r="F35" s="1831"/>
      <c r="G35" s="1831"/>
      <c r="H35" s="1831"/>
      <c r="I35" s="1831"/>
      <c r="J35" s="1831"/>
      <c r="K35" s="1831"/>
      <c r="L35" s="1831"/>
      <c r="M35" s="1831"/>
      <c r="N35" s="1831"/>
      <c r="O35" s="1831"/>
      <c r="P35" s="1831"/>
      <c r="Q35" s="1831"/>
      <c r="R35" s="1831"/>
      <c r="S35" s="1831"/>
      <c r="T35" s="1831"/>
      <c r="U35" s="1831"/>
      <c r="V35" s="1831"/>
      <c r="W35" s="1831"/>
      <c r="X35" s="1831"/>
      <c r="Y35" s="1831"/>
      <c r="Z35" s="1831"/>
      <c r="AA35" s="1831"/>
      <c r="AB35" s="1831"/>
      <c r="AC35" s="1831"/>
      <c r="AD35" s="1831"/>
      <c r="AM35" s="27"/>
      <c r="AN35" s="281"/>
      <c r="AO35" s="365" t="s">
        <v>1166</v>
      </c>
      <c r="AP35" s="365"/>
    </row>
    <row r="36" spans="1:43" s="4" customFormat="1" ht="12.8"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1330</v>
      </c>
      <c r="AP36" s="484">
        <v>2</v>
      </c>
    </row>
    <row r="37" spans="1:43" s="4" customFormat="1" ht="12.8"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832" t="s">
        <v>132</v>
      </c>
      <c r="AD37" s="1832"/>
      <c r="AM37" s="27"/>
      <c r="AN37" s="281"/>
      <c r="AO37" s="365" t="s">
        <v>1331</v>
      </c>
      <c r="AP37" s="484">
        <v>3</v>
      </c>
    </row>
    <row r="38" spans="1:43" s="4" customFormat="1" ht="12.8"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8"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8" customHeight="1">
      <c r="A40" s="5"/>
      <c r="C40" s="1831" t="s">
        <v>1166</v>
      </c>
      <c r="D40" s="1831"/>
      <c r="E40" s="1831"/>
      <c r="F40" s="1831"/>
      <c r="G40" s="1831"/>
      <c r="H40" s="1831"/>
      <c r="I40" s="1831"/>
      <c r="J40" s="1831"/>
      <c r="K40" s="1831"/>
      <c r="L40" s="1831"/>
      <c r="M40" s="1831"/>
      <c r="N40" s="1831"/>
      <c r="O40" s="1831"/>
      <c r="P40" s="1831"/>
      <c r="Q40" s="1831"/>
      <c r="R40" s="1831"/>
      <c r="S40" s="1831"/>
      <c r="T40" s="1831"/>
      <c r="U40" s="1831"/>
      <c r="V40" s="1831"/>
      <c r="W40" s="1831"/>
      <c r="X40" s="1831"/>
      <c r="Y40" s="1831"/>
      <c r="Z40" s="1831"/>
      <c r="AA40" s="1831"/>
      <c r="AB40" s="1831"/>
      <c r="AC40" s="1831"/>
      <c r="AD40" s="1831"/>
      <c r="AM40" s="27"/>
      <c r="AN40" s="281"/>
    </row>
    <row r="41" spans="1:43" s="4" customFormat="1" ht="12.8" customHeight="1">
      <c r="A41" s="5"/>
      <c r="B41" s="5"/>
      <c r="C41" s="20" t="s">
        <v>1928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8" customHeight="1">
      <c r="A42" s="5"/>
      <c r="B42" s="5"/>
      <c r="C42" s="20" t="s">
        <v>1929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8" customHeight="1">
      <c r="A43" s="5"/>
      <c r="B43" s="5"/>
      <c r="AM43" s="27"/>
      <c r="AN43" s="281"/>
    </row>
    <row r="44" spans="1:43" s="4" customFormat="1" ht="12.8"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8" customHeight="1">
      <c r="A45" s="5"/>
      <c r="C45" s="1831" t="s">
        <v>2395</v>
      </c>
      <c r="D45" s="1831"/>
      <c r="E45" s="1831"/>
      <c r="F45" s="1831"/>
      <c r="G45" s="1831"/>
      <c r="H45" s="1831"/>
      <c r="I45" s="1831"/>
      <c r="J45" s="1831"/>
      <c r="K45" s="1831"/>
      <c r="L45" s="1831"/>
      <c r="M45" s="1831"/>
      <c r="N45" s="1831"/>
      <c r="O45" s="1831"/>
      <c r="P45" s="1831"/>
      <c r="Q45" s="1831"/>
      <c r="R45" s="1831"/>
      <c r="S45" s="1831"/>
      <c r="T45" s="1831"/>
      <c r="U45" s="1831"/>
      <c r="V45" s="1831"/>
      <c r="W45" s="1831"/>
      <c r="X45" s="1831"/>
      <c r="Y45" s="1831"/>
      <c r="Z45" s="1831"/>
      <c r="AA45" s="1831"/>
      <c r="AB45" s="1831"/>
      <c r="AC45" s="1831"/>
      <c r="AD45" s="1831"/>
      <c r="AM45" s="27"/>
      <c r="AN45" s="281"/>
      <c r="AP45" s="4" t="s">
        <v>702</v>
      </c>
      <c r="AQ45" s="4">
        <v>0</v>
      </c>
    </row>
    <row r="46" spans="1:43" s="4" customFormat="1" ht="12.8"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8"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83">
        <f>IF((AND(AND(OR(Application!D211="Nonprofit (qualified nonprofit organization)",Application!D211="Nonprofit (homeless assistance)",Application!D211="Special Needs/SRO"),Application!D214="Special Needs"),$AC$37="N/A")),VLOOKUP($C$40,$AO$35:$AP$37,2,FALSE),VLOOKUP($C$35,$AO$29:$AP$32,2,FALSE))</f>
        <v>3</v>
      </c>
      <c r="AK47" s="1783"/>
      <c r="AL47" s="320"/>
      <c r="AM47" s="90"/>
      <c r="AN47" s="281"/>
      <c r="AP47" s="4" t="s">
        <v>701</v>
      </c>
      <c r="AQ47" s="4">
        <v>10</v>
      </c>
    </row>
    <row r="48" spans="1:43" s="4" customFormat="1" ht="12.8" customHeight="1">
      <c r="A48" s="5"/>
      <c r="B48" s="42"/>
      <c r="R48" s="5"/>
      <c r="S48" s="42"/>
      <c r="AN48" s="281"/>
      <c r="AP48" s="4" t="s">
        <v>700</v>
      </c>
      <c r="AQ48" s="4">
        <v>10</v>
      </c>
    </row>
    <row r="49" spans="1:43" s="4" customFormat="1" ht="12.8" customHeight="1">
      <c r="B49" s="1670" t="s">
        <v>1539</v>
      </c>
      <c r="C49" s="1670"/>
      <c r="D49" s="1670"/>
      <c r="E49" s="1670"/>
      <c r="F49" s="1670"/>
      <c r="G49" s="1670"/>
      <c r="H49" s="1670"/>
      <c r="I49" s="1670"/>
      <c r="J49" s="1670"/>
      <c r="K49" s="1670"/>
      <c r="L49" s="1670"/>
      <c r="M49" s="1670"/>
      <c r="N49" s="1670"/>
      <c r="O49" s="1670"/>
      <c r="P49" s="1670"/>
      <c r="Q49" s="1670"/>
      <c r="R49" s="1670"/>
      <c r="S49" s="1670"/>
      <c r="T49" s="1670"/>
      <c r="U49" s="1670"/>
      <c r="V49" s="1670"/>
      <c r="W49" s="1670"/>
      <c r="X49" s="1670"/>
      <c r="Y49" s="1670"/>
      <c r="Z49" s="1670"/>
      <c r="AA49" s="1670"/>
      <c r="AB49" s="1670"/>
      <c r="AC49" s="1670"/>
      <c r="AD49" s="1670"/>
      <c r="AE49" s="1670"/>
      <c r="AF49" s="1670"/>
      <c r="AG49" s="1670"/>
      <c r="AH49" s="1670"/>
      <c r="AI49" s="1670"/>
      <c r="AJ49" s="1670"/>
      <c r="AK49" s="1670"/>
      <c r="AL49" s="103"/>
      <c r="AM49" s="27"/>
      <c r="AN49" s="281"/>
      <c r="AP49" s="4" t="s">
        <v>595</v>
      </c>
      <c r="AQ49" s="4">
        <v>10</v>
      </c>
    </row>
    <row r="50" spans="1:43" s="4" customFormat="1" ht="12.8" customHeight="1">
      <c r="A50" s="26"/>
      <c r="B50" s="1670"/>
      <c r="C50" s="1670"/>
      <c r="D50" s="1670"/>
      <c r="E50" s="1670"/>
      <c r="F50" s="1670"/>
      <c r="G50" s="1670"/>
      <c r="H50" s="1670"/>
      <c r="I50" s="1670"/>
      <c r="J50" s="1670"/>
      <c r="K50" s="1670"/>
      <c r="L50" s="1670"/>
      <c r="M50" s="1670"/>
      <c r="N50" s="1670"/>
      <c r="O50" s="1670"/>
      <c r="P50" s="1670"/>
      <c r="Q50" s="1670"/>
      <c r="R50" s="1670"/>
      <c r="S50" s="1670"/>
      <c r="T50" s="1670"/>
      <c r="U50" s="1670"/>
      <c r="V50" s="1670"/>
      <c r="W50" s="1670"/>
      <c r="X50" s="1670"/>
      <c r="Y50" s="1670"/>
      <c r="Z50" s="1670"/>
      <c r="AA50" s="1670"/>
      <c r="AB50" s="1670"/>
      <c r="AC50" s="1670"/>
      <c r="AD50" s="1670"/>
      <c r="AE50" s="1670"/>
      <c r="AF50" s="1670"/>
      <c r="AG50" s="1670"/>
      <c r="AH50" s="1670"/>
      <c r="AI50" s="1670"/>
      <c r="AJ50" s="1670"/>
      <c r="AK50" s="1670"/>
      <c r="AL50" s="103"/>
      <c r="AM50" s="27"/>
      <c r="AN50" s="281"/>
      <c r="AP50" s="4" t="s">
        <v>651</v>
      </c>
      <c r="AQ50" s="4">
        <v>10</v>
      </c>
    </row>
    <row r="51" spans="1:43" s="4" customFormat="1" ht="12.8" customHeight="1">
      <c r="A51" s="26"/>
      <c r="B51" s="1670"/>
      <c r="C51" s="1670"/>
      <c r="D51" s="1670"/>
      <c r="E51" s="1670"/>
      <c r="F51" s="1670"/>
      <c r="G51" s="1670"/>
      <c r="H51" s="1670"/>
      <c r="I51" s="1670"/>
      <c r="J51" s="1670"/>
      <c r="K51" s="1670"/>
      <c r="L51" s="1670"/>
      <c r="M51" s="1670"/>
      <c r="N51" s="1670"/>
      <c r="O51" s="1670"/>
      <c r="P51" s="1670"/>
      <c r="Q51" s="1670"/>
      <c r="R51" s="1670"/>
      <c r="S51" s="1670"/>
      <c r="T51" s="1670"/>
      <c r="U51" s="1670"/>
      <c r="V51" s="1670"/>
      <c r="W51" s="1670"/>
      <c r="X51" s="1670"/>
      <c r="Y51" s="1670"/>
      <c r="Z51" s="1670"/>
      <c r="AA51" s="1670"/>
      <c r="AB51" s="1670"/>
      <c r="AC51" s="1670"/>
      <c r="AD51" s="1670"/>
      <c r="AE51" s="1670"/>
      <c r="AF51" s="1670"/>
      <c r="AG51" s="1670"/>
      <c r="AH51" s="1670"/>
      <c r="AI51" s="1670"/>
      <c r="AJ51" s="1670"/>
      <c r="AK51" s="1670"/>
      <c r="AL51" s="103"/>
      <c r="AM51" s="27"/>
      <c r="AN51" s="281"/>
    </row>
    <row r="52" spans="1:43" s="4" customFormat="1" ht="12.8" customHeight="1">
      <c r="A52" s="26"/>
      <c r="B52" s="1670"/>
      <c r="C52" s="1670"/>
      <c r="D52" s="1670"/>
      <c r="E52" s="1670"/>
      <c r="F52" s="1670"/>
      <c r="G52" s="1670"/>
      <c r="H52" s="1670"/>
      <c r="I52" s="1670"/>
      <c r="J52" s="1670"/>
      <c r="K52" s="1670"/>
      <c r="L52" s="1670"/>
      <c r="M52" s="1670"/>
      <c r="N52" s="1670"/>
      <c r="O52" s="1670"/>
      <c r="P52" s="1670"/>
      <c r="Q52" s="1670"/>
      <c r="R52" s="1670"/>
      <c r="S52" s="1670"/>
      <c r="T52" s="1670"/>
      <c r="U52" s="1670"/>
      <c r="V52" s="1670"/>
      <c r="W52" s="1670"/>
      <c r="X52" s="1670"/>
      <c r="Y52" s="1670"/>
      <c r="Z52" s="1670"/>
      <c r="AA52" s="1670"/>
      <c r="AB52" s="1670"/>
      <c r="AC52" s="1670"/>
      <c r="AD52" s="1670"/>
      <c r="AE52" s="1670"/>
      <c r="AF52" s="1670"/>
      <c r="AG52" s="1670"/>
      <c r="AH52" s="1670"/>
      <c r="AI52" s="1670"/>
      <c r="AJ52" s="1670"/>
      <c r="AK52" s="1670"/>
      <c r="AL52" s="103"/>
      <c r="AM52" s="27"/>
      <c r="AN52" s="281"/>
    </row>
    <row r="53" spans="1:43" s="4" customFormat="1" ht="12.8" customHeight="1">
      <c r="A53" s="26"/>
      <c r="B53" s="1670"/>
      <c r="C53" s="1670"/>
      <c r="D53" s="1670"/>
      <c r="E53" s="1670"/>
      <c r="F53" s="1670"/>
      <c r="G53" s="1670"/>
      <c r="H53" s="1670"/>
      <c r="I53" s="1670"/>
      <c r="J53" s="1670"/>
      <c r="K53" s="1670"/>
      <c r="L53" s="1670"/>
      <c r="M53" s="1670"/>
      <c r="N53" s="1670"/>
      <c r="O53" s="1670"/>
      <c r="P53" s="1670"/>
      <c r="Q53" s="1670"/>
      <c r="R53" s="1670"/>
      <c r="S53" s="1670"/>
      <c r="T53" s="1670"/>
      <c r="U53" s="1670"/>
      <c r="V53" s="1670"/>
      <c r="W53" s="1670"/>
      <c r="X53" s="1670"/>
      <c r="Y53" s="1670"/>
      <c r="Z53" s="1670"/>
      <c r="AA53" s="1670"/>
      <c r="AB53" s="1670"/>
      <c r="AC53" s="1670"/>
      <c r="AD53" s="1670"/>
      <c r="AE53" s="1670"/>
      <c r="AF53" s="1670"/>
      <c r="AG53" s="1670"/>
      <c r="AH53" s="1670"/>
      <c r="AI53" s="1670"/>
      <c r="AJ53" s="1670"/>
      <c r="AK53" s="1670"/>
      <c r="AL53" s="103"/>
      <c r="AM53" s="27"/>
      <c r="AN53" s="281"/>
    </row>
    <row r="54" spans="1:43" s="4" customFormat="1" ht="12.8" customHeight="1">
      <c r="A54" s="26"/>
      <c r="B54" s="1670"/>
      <c r="C54" s="1670"/>
      <c r="D54" s="1670"/>
      <c r="E54" s="1670"/>
      <c r="F54" s="1670"/>
      <c r="G54" s="1670"/>
      <c r="H54" s="1670"/>
      <c r="I54" s="1670"/>
      <c r="J54" s="1670"/>
      <c r="K54" s="1670"/>
      <c r="L54" s="1670"/>
      <c r="M54" s="1670"/>
      <c r="N54" s="1670"/>
      <c r="O54" s="1670"/>
      <c r="P54" s="1670"/>
      <c r="Q54" s="1670"/>
      <c r="R54" s="1670"/>
      <c r="S54" s="1670"/>
      <c r="T54" s="1670"/>
      <c r="U54" s="1670"/>
      <c r="V54" s="1670"/>
      <c r="W54" s="1670"/>
      <c r="X54" s="1670"/>
      <c r="Y54" s="1670"/>
      <c r="Z54" s="1670"/>
      <c r="AA54" s="1670"/>
      <c r="AB54" s="1670"/>
      <c r="AC54" s="1670"/>
      <c r="AD54" s="1670"/>
      <c r="AE54" s="1670"/>
      <c r="AF54" s="1670"/>
      <c r="AG54" s="1670"/>
      <c r="AH54" s="1670"/>
      <c r="AI54" s="1670"/>
      <c r="AJ54" s="1670"/>
      <c r="AK54" s="1670"/>
      <c r="AL54" s="103"/>
      <c r="AM54" s="27"/>
      <c r="AN54" s="281"/>
    </row>
    <row r="55" spans="1:43" s="4" customFormat="1" ht="33.4" customHeight="1">
      <c r="A55" s="26"/>
      <c r="B55" s="1670"/>
      <c r="C55" s="1670"/>
      <c r="D55" s="1670"/>
      <c r="E55" s="1670"/>
      <c r="F55" s="1670"/>
      <c r="G55" s="1670"/>
      <c r="H55" s="1670"/>
      <c r="I55" s="1670"/>
      <c r="J55" s="1670"/>
      <c r="K55" s="1670"/>
      <c r="L55" s="1670"/>
      <c r="M55" s="1670"/>
      <c r="N55" s="1670"/>
      <c r="O55" s="1670"/>
      <c r="P55" s="1670"/>
      <c r="Q55" s="1670"/>
      <c r="R55" s="1670"/>
      <c r="S55" s="1670"/>
      <c r="T55" s="1670"/>
      <c r="U55" s="1670"/>
      <c r="V55" s="1670"/>
      <c r="W55" s="1670"/>
      <c r="X55" s="1670"/>
      <c r="Y55" s="1670"/>
      <c r="Z55" s="1670"/>
      <c r="AA55" s="1670"/>
      <c r="AB55" s="1670"/>
      <c r="AC55" s="1670"/>
      <c r="AD55" s="1670"/>
      <c r="AE55" s="1670"/>
      <c r="AF55" s="1670"/>
      <c r="AG55" s="1670"/>
      <c r="AH55" s="1670"/>
      <c r="AI55" s="1670"/>
      <c r="AJ55" s="1670"/>
      <c r="AK55" s="1670"/>
      <c r="AL55" s="103"/>
      <c r="AM55" s="27"/>
      <c r="AN55" s="281"/>
    </row>
    <row r="56" spans="1:43" s="4" customFormat="1" ht="12.8"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8" customHeight="1">
      <c r="A57" s="437"/>
      <c r="B57" s="1670" t="s">
        <v>2333</v>
      </c>
      <c r="C57" s="1670"/>
      <c r="D57" s="1670"/>
      <c r="E57" s="1670"/>
      <c r="F57" s="1670"/>
      <c r="G57" s="1670"/>
      <c r="H57" s="1670"/>
      <c r="I57" s="1670"/>
      <c r="J57" s="1670"/>
      <c r="K57" s="1670"/>
      <c r="L57" s="1670"/>
      <c r="M57" s="1670"/>
      <c r="N57" s="1670"/>
      <c r="O57" s="1670"/>
      <c r="P57" s="1670"/>
      <c r="Q57" s="1670"/>
      <c r="R57" s="1670"/>
      <c r="S57" s="1670"/>
      <c r="T57" s="1670"/>
      <c r="U57" s="1670"/>
      <c r="V57" s="1670"/>
      <c r="W57" s="1670"/>
      <c r="X57" s="1670"/>
      <c r="Y57" s="1670"/>
      <c r="Z57" s="1670"/>
      <c r="AA57" s="1670"/>
      <c r="AB57" s="1670"/>
      <c r="AC57" s="1670"/>
      <c r="AD57" s="1670"/>
      <c r="AE57" s="1670"/>
      <c r="AF57" s="1670"/>
      <c r="AG57" s="1670"/>
      <c r="AH57" s="1670"/>
      <c r="AI57" s="1670"/>
      <c r="AJ57" s="1670"/>
      <c r="AK57" s="1670"/>
      <c r="AL57" s="103"/>
      <c r="AM57" s="27"/>
      <c r="AN57" s="281"/>
    </row>
    <row r="58" spans="1:43" s="4" customFormat="1" ht="12.8" customHeight="1">
      <c r="B58" s="1670"/>
      <c r="C58" s="1670"/>
      <c r="D58" s="1670"/>
      <c r="E58" s="1670"/>
      <c r="F58" s="1670"/>
      <c r="G58" s="1670"/>
      <c r="H58" s="1670"/>
      <c r="I58" s="1670"/>
      <c r="J58" s="1670"/>
      <c r="K58" s="1670"/>
      <c r="L58" s="1670"/>
      <c r="M58" s="1670"/>
      <c r="N58" s="1670"/>
      <c r="O58" s="1670"/>
      <c r="P58" s="1670"/>
      <c r="Q58" s="1670"/>
      <c r="R58" s="1670"/>
      <c r="S58" s="1670"/>
      <c r="T58" s="1670"/>
      <c r="U58" s="1670"/>
      <c r="V58" s="1670"/>
      <c r="W58" s="1670"/>
      <c r="X58" s="1670"/>
      <c r="Y58" s="1670"/>
      <c r="Z58" s="1670"/>
      <c r="AA58" s="1670"/>
      <c r="AB58" s="1670"/>
      <c r="AC58" s="1670"/>
      <c r="AD58" s="1670"/>
      <c r="AE58" s="1670"/>
      <c r="AF58" s="1670"/>
      <c r="AG58" s="1670"/>
      <c r="AH58" s="1670"/>
      <c r="AI58" s="1670"/>
      <c r="AJ58" s="1670"/>
      <c r="AK58" s="1670"/>
      <c r="AL58" s="103"/>
      <c r="AM58" s="27"/>
      <c r="AN58" s="281"/>
    </row>
    <row r="59" spans="1:43" s="4" customFormat="1" ht="23.1" customHeight="1">
      <c r="A59" s="437"/>
      <c r="B59" s="1670"/>
      <c r="C59" s="1670"/>
      <c r="D59" s="1670"/>
      <c r="E59" s="1670"/>
      <c r="F59" s="1670"/>
      <c r="G59" s="1670"/>
      <c r="H59" s="1670"/>
      <c r="I59" s="1670"/>
      <c r="J59" s="1670"/>
      <c r="K59" s="1670"/>
      <c r="L59" s="1670"/>
      <c r="M59" s="1670"/>
      <c r="N59" s="1670"/>
      <c r="O59" s="1670"/>
      <c r="P59" s="1670"/>
      <c r="Q59" s="1670"/>
      <c r="R59" s="1670"/>
      <c r="S59" s="1670"/>
      <c r="T59" s="1670"/>
      <c r="U59" s="1670"/>
      <c r="V59" s="1670"/>
      <c r="W59" s="1670"/>
      <c r="X59" s="1670"/>
      <c r="Y59" s="1670"/>
      <c r="Z59" s="1670"/>
      <c r="AA59" s="1670"/>
      <c r="AB59" s="1670"/>
      <c r="AC59" s="1670"/>
      <c r="AD59" s="1670"/>
      <c r="AE59" s="1670"/>
      <c r="AF59" s="1670"/>
      <c r="AG59" s="1670"/>
      <c r="AH59" s="1670"/>
      <c r="AI59" s="1670"/>
      <c r="AJ59" s="1670"/>
      <c r="AK59" s="1670"/>
      <c r="AL59" s="103"/>
      <c r="AM59" s="27"/>
      <c r="AN59" s="281"/>
    </row>
    <row r="60" spans="1:43" s="4" customFormat="1" ht="12.8"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8"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69">
        <f>$AJ$31+$AJ$47</f>
        <v>10</v>
      </c>
      <c r="AL61" s="1770"/>
      <c r="AM61" s="1771"/>
      <c r="AN61" s="281"/>
    </row>
    <row r="62" spans="1:43" s="100" customFormat="1" ht="12.8" customHeight="1" thickBot="1">
      <c r="A62" s="98"/>
      <c r="B62" s="99"/>
    </row>
    <row r="63" spans="1:43" s="4" customFormat="1" ht="12.8"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8" customHeight="1">
      <c r="A64" s="63" t="s">
        <v>1528</v>
      </c>
      <c r="B64" s="102"/>
      <c r="C64" s="104"/>
      <c r="D64" s="105"/>
      <c r="E64" s="105"/>
      <c r="F64" s="105"/>
      <c r="G64" s="105"/>
      <c r="H64" s="105"/>
      <c r="I64" s="105"/>
      <c r="J64" s="105"/>
      <c r="Y64" s="106"/>
      <c r="Z64" s="106"/>
      <c r="AA64" s="106"/>
      <c r="AB64" s="106"/>
      <c r="AE64" s="1835" t="s">
        <v>389</v>
      </c>
      <c r="AF64" s="1835"/>
      <c r="AG64" s="1835"/>
      <c r="AH64" s="1835"/>
      <c r="AI64" s="1835"/>
      <c r="AJ64" s="1835"/>
      <c r="AK64" s="1835"/>
      <c r="AL64" s="18"/>
      <c r="AN64" s="281"/>
    </row>
    <row r="65" spans="1:42" s="4" customFormat="1" ht="12.8"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8" customHeight="1">
      <c r="B66" s="1831" t="s">
        <v>699</v>
      </c>
      <c r="C66" s="1831"/>
      <c r="D66" s="1831"/>
      <c r="E66" s="1831"/>
      <c r="F66" s="1831"/>
      <c r="G66" s="1831"/>
      <c r="H66" s="1831"/>
      <c r="I66" s="1831"/>
      <c r="J66" s="1831"/>
      <c r="K66" s="1831"/>
      <c r="AF66" s="1731" t="s">
        <v>982</v>
      </c>
      <c r="AG66" s="1731"/>
      <c r="AH66" s="1731"/>
      <c r="AI66" s="1731"/>
      <c r="AJ66" s="1731"/>
      <c r="AK66" s="1731"/>
      <c r="AL66" s="1731"/>
      <c r="AN66" s="281"/>
      <c r="AP66" s="4" t="s">
        <v>132</v>
      </c>
    </row>
    <row r="67" spans="1:42" s="4" customFormat="1" ht="12.8" customHeight="1">
      <c r="B67" s="1841" t="s">
        <v>1372</v>
      </c>
      <c r="C67" s="1841"/>
      <c r="D67" s="1841"/>
      <c r="E67" s="1841"/>
      <c r="F67" s="1841"/>
      <c r="G67" s="1841"/>
      <c r="H67" s="1841"/>
      <c r="I67" s="1841"/>
      <c r="J67" s="1841"/>
      <c r="K67" s="1841"/>
      <c r="L67" s="1841"/>
      <c r="M67" s="1841"/>
      <c r="N67" s="1841"/>
      <c r="O67" s="1841"/>
      <c r="P67" s="1841"/>
      <c r="Q67" s="1841"/>
      <c r="R67" s="1841"/>
      <c r="S67" s="1841"/>
      <c r="T67" s="1831" t="s">
        <v>132</v>
      </c>
      <c r="U67" s="1831"/>
      <c r="V67" s="1831"/>
      <c r="W67" s="1831"/>
      <c r="X67" s="1831"/>
      <c r="Y67" s="1831"/>
      <c r="Z67" s="1831"/>
      <c r="AA67" s="1831"/>
      <c r="AB67" s="1831"/>
      <c r="AC67" s="1831"/>
      <c r="AJ67" s="62"/>
      <c r="AK67" s="10"/>
      <c r="AL67" s="10"/>
      <c r="AM67" s="10"/>
      <c r="AN67" s="281"/>
      <c r="AP67" s="4" t="s">
        <v>1370</v>
      </c>
    </row>
    <row r="68" spans="1:42" s="4" customFormat="1" ht="12.8"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35">
        <f>VLOOKUP($B$66,$AP$45:$AR$50,2,FALSE)</f>
        <v>10</v>
      </c>
      <c r="AL68" s="1236"/>
      <c r="AM68" s="1236"/>
      <c r="AN68" s="685"/>
      <c r="AP68" s="4" t="s">
        <v>1371</v>
      </c>
    </row>
    <row r="69" spans="1:42" s="4" customFormat="1" ht="12.8"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8"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8" customHeight="1">
      <c r="A71" s="3" t="s">
        <v>1529</v>
      </c>
      <c r="B71" s="5"/>
      <c r="C71" s="3"/>
      <c r="AE71" s="3"/>
      <c r="AF71" s="3"/>
      <c r="AG71" s="3"/>
      <c r="AH71" s="3"/>
      <c r="AI71" s="3"/>
      <c r="AJ71" s="3"/>
      <c r="AK71" s="3"/>
      <c r="AL71" s="3"/>
      <c r="AN71" s="281"/>
    </row>
    <row r="72" spans="1:42" s="4" customFormat="1" ht="12.8" customHeight="1">
      <c r="A72" s="3"/>
      <c r="C72" s="3"/>
      <c r="AC72" s="18"/>
      <c r="AD72" s="18"/>
      <c r="AE72" s="18"/>
      <c r="AN72" s="281"/>
    </row>
    <row r="73" spans="1:42" s="4" customFormat="1" ht="12.8" customHeight="1">
      <c r="A73" s="111"/>
      <c r="B73" s="3" t="s">
        <v>1530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35" t="s">
        <v>1021</v>
      </c>
      <c r="AF73" s="1835"/>
      <c r="AG73" s="1835"/>
      <c r="AH73" s="1835"/>
      <c r="AI73" s="1835"/>
      <c r="AJ73" s="1835"/>
      <c r="AK73" s="1835"/>
      <c r="AL73" s="18"/>
      <c r="AM73" s="27"/>
      <c r="AN73" s="281"/>
    </row>
    <row r="74" spans="1:42" s="4" customFormat="1" ht="12.8"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8" customHeight="1">
      <c r="A75" s="27"/>
      <c r="B75" s="1670" t="s">
        <v>2242</v>
      </c>
      <c r="C75" s="1670"/>
      <c r="D75" s="1670"/>
      <c r="E75" s="1670"/>
      <c r="F75" s="1670"/>
      <c r="G75" s="1670"/>
      <c r="H75" s="1670"/>
      <c r="I75" s="1670"/>
      <c r="J75" s="1670"/>
      <c r="K75" s="1670"/>
      <c r="L75" s="1670"/>
      <c r="M75" s="1670"/>
      <c r="N75" s="1670"/>
      <c r="O75" s="1670"/>
      <c r="P75" s="1670"/>
      <c r="Q75" s="1670"/>
      <c r="R75" s="1670"/>
      <c r="S75" s="1670"/>
      <c r="T75" s="1670"/>
      <c r="U75" s="1670"/>
      <c r="V75" s="1670"/>
      <c r="W75" s="1670"/>
      <c r="X75" s="1670"/>
      <c r="Y75" s="1670"/>
      <c r="Z75" s="1670"/>
      <c r="AA75" s="1670"/>
      <c r="AB75" s="1670"/>
      <c r="AC75" s="1670"/>
      <c r="AD75" s="1670"/>
      <c r="AE75" s="1670"/>
      <c r="AF75" s="1670"/>
      <c r="AG75" s="1670"/>
      <c r="AH75" s="1670"/>
      <c r="AI75" s="1670"/>
      <c r="AJ75" s="1670"/>
      <c r="AK75" s="1670"/>
      <c r="AL75" s="103"/>
      <c r="AM75" s="27"/>
      <c r="AN75" s="281"/>
    </row>
    <row r="76" spans="1:42" s="4" customFormat="1" ht="12.8" customHeight="1">
      <c r="A76" s="27"/>
      <c r="B76" s="1670"/>
      <c r="C76" s="1670"/>
      <c r="D76" s="1670"/>
      <c r="E76" s="1670"/>
      <c r="F76" s="1670"/>
      <c r="G76" s="1670"/>
      <c r="H76" s="1670"/>
      <c r="I76" s="1670"/>
      <c r="J76" s="1670"/>
      <c r="K76" s="1670"/>
      <c r="L76" s="1670"/>
      <c r="M76" s="1670"/>
      <c r="N76" s="1670"/>
      <c r="O76" s="1670"/>
      <c r="P76" s="1670"/>
      <c r="Q76" s="1670"/>
      <c r="R76" s="1670"/>
      <c r="S76" s="1670"/>
      <c r="T76" s="1670"/>
      <c r="U76" s="1670"/>
      <c r="V76" s="1670"/>
      <c r="W76" s="1670"/>
      <c r="X76" s="1670"/>
      <c r="Y76" s="1670"/>
      <c r="Z76" s="1670"/>
      <c r="AA76" s="1670"/>
      <c r="AB76" s="1670"/>
      <c r="AC76" s="1670"/>
      <c r="AD76" s="1670"/>
      <c r="AE76" s="1670"/>
      <c r="AF76" s="1670"/>
      <c r="AG76" s="1670"/>
      <c r="AH76" s="1670"/>
      <c r="AI76" s="1670"/>
      <c r="AJ76" s="1670"/>
      <c r="AK76" s="1670"/>
      <c r="AL76" s="103"/>
      <c r="AM76" s="27"/>
      <c r="AN76" s="281"/>
    </row>
    <row r="77" spans="1:42" s="4" customFormat="1" ht="12.8" customHeight="1">
      <c r="A77" s="27"/>
      <c r="B77" s="1670"/>
      <c r="C77" s="1670"/>
      <c r="D77" s="1670"/>
      <c r="E77" s="1670"/>
      <c r="F77" s="1670"/>
      <c r="G77" s="1670"/>
      <c r="H77" s="1670"/>
      <c r="I77" s="1670"/>
      <c r="J77" s="1670"/>
      <c r="K77" s="1670"/>
      <c r="L77" s="1670"/>
      <c r="M77" s="1670"/>
      <c r="N77" s="1670"/>
      <c r="O77" s="1670"/>
      <c r="P77" s="1670"/>
      <c r="Q77" s="1670"/>
      <c r="R77" s="1670"/>
      <c r="S77" s="1670"/>
      <c r="T77" s="1670"/>
      <c r="U77" s="1670"/>
      <c r="V77" s="1670"/>
      <c r="W77" s="1670"/>
      <c r="X77" s="1670"/>
      <c r="Y77" s="1670"/>
      <c r="Z77" s="1670"/>
      <c r="AA77" s="1670"/>
      <c r="AB77" s="1670"/>
      <c r="AC77" s="1670"/>
      <c r="AD77" s="1670"/>
      <c r="AE77" s="1670"/>
      <c r="AF77" s="1670"/>
      <c r="AG77" s="1670"/>
      <c r="AH77" s="1670"/>
      <c r="AI77" s="1670"/>
      <c r="AJ77" s="1670"/>
      <c r="AK77" s="1670"/>
      <c r="AL77" s="103"/>
      <c r="AM77" s="27"/>
      <c r="AN77" s="281"/>
    </row>
    <row r="78" spans="1:42" s="4" customFormat="1" ht="12.8" customHeight="1">
      <c r="A78" s="27"/>
      <c r="B78" s="1670"/>
      <c r="C78" s="1670"/>
      <c r="D78" s="1670"/>
      <c r="E78" s="1670"/>
      <c r="F78" s="1670"/>
      <c r="G78" s="1670"/>
      <c r="H78" s="1670"/>
      <c r="I78" s="1670"/>
      <c r="J78" s="1670"/>
      <c r="K78" s="1670"/>
      <c r="L78" s="1670"/>
      <c r="M78" s="1670"/>
      <c r="N78" s="1670"/>
      <c r="O78" s="1670"/>
      <c r="P78" s="1670"/>
      <c r="Q78" s="1670"/>
      <c r="R78" s="1670"/>
      <c r="S78" s="1670"/>
      <c r="T78" s="1670"/>
      <c r="U78" s="1670"/>
      <c r="V78" s="1670"/>
      <c r="W78" s="1670"/>
      <c r="X78" s="1670"/>
      <c r="Y78" s="1670"/>
      <c r="Z78" s="1670"/>
      <c r="AA78" s="1670"/>
      <c r="AB78" s="1670"/>
      <c r="AC78" s="1670"/>
      <c r="AD78" s="1670"/>
      <c r="AE78" s="1670"/>
      <c r="AF78" s="1670"/>
      <c r="AG78" s="1670"/>
      <c r="AH78" s="1670"/>
      <c r="AI78" s="1670"/>
      <c r="AJ78" s="1670"/>
      <c r="AK78" s="1670"/>
      <c r="AL78" s="103"/>
      <c r="AM78" s="27"/>
      <c r="AN78" s="281"/>
    </row>
    <row r="79" spans="1:42" s="4" customFormat="1" ht="12.8" customHeight="1">
      <c r="A79" s="27"/>
      <c r="B79" s="1670"/>
      <c r="C79" s="1670"/>
      <c r="D79" s="1670"/>
      <c r="E79" s="1670"/>
      <c r="F79" s="1670"/>
      <c r="G79" s="1670"/>
      <c r="H79" s="1670"/>
      <c r="I79" s="1670"/>
      <c r="J79" s="1670"/>
      <c r="K79" s="1670"/>
      <c r="L79" s="1670"/>
      <c r="M79" s="1670"/>
      <c r="N79" s="1670"/>
      <c r="O79" s="1670"/>
      <c r="P79" s="1670"/>
      <c r="Q79" s="1670"/>
      <c r="R79" s="1670"/>
      <c r="S79" s="1670"/>
      <c r="T79" s="1670"/>
      <c r="U79" s="1670"/>
      <c r="V79" s="1670"/>
      <c r="W79" s="1670"/>
      <c r="X79" s="1670"/>
      <c r="Y79" s="1670"/>
      <c r="Z79" s="1670"/>
      <c r="AA79" s="1670"/>
      <c r="AB79" s="1670"/>
      <c r="AC79" s="1670"/>
      <c r="AD79" s="1670"/>
      <c r="AE79" s="1670"/>
      <c r="AF79" s="1670"/>
      <c r="AG79" s="1670"/>
      <c r="AH79" s="1670"/>
      <c r="AI79" s="1670"/>
      <c r="AJ79" s="1670"/>
      <c r="AK79" s="1670"/>
      <c r="AL79" s="103"/>
      <c r="AM79" s="27"/>
      <c r="AN79" s="281"/>
    </row>
    <row r="80" spans="1:42" s="4" customFormat="1" ht="12.8" customHeight="1">
      <c r="A80" s="27"/>
      <c r="B80" s="1670"/>
      <c r="C80" s="1670"/>
      <c r="D80" s="1670"/>
      <c r="E80" s="1670"/>
      <c r="F80" s="1670"/>
      <c r="G80" s="1670"/>
      <c r="H80" s="1670"/>
      <c r="I80" s="1670"/>
      <c r="J80" s="1670"/>
      <c r="K80" s="1670"/>
      <c r="L80" s="1670"/>
      <c r="M80" s="1670"/>
      <c r="N80" s="1670"/>
      <c r="O80" s="1670"/>
      <c r="P80" s="1670"/>
      <c r="Q80" s="1670"/>
      <c r="R80" s="1670"/>
      <c r="S80" s="1670"/>
      <c r="T80" s="1670"/>
      <c r="U80" s="1670"/>
      <c r="V80" s="1670"/>
      <c r="W80" s="1670"/>
      <c r="X80" s="1670"/>
      <c r="Y80" s="1670"/>
      <c r="Z80" s="1670"/>
      <c r="AA80" s="1670"/>
      <c r="AB80" s="1670"/>
      <c r="AC80" s="1670"/>
      <c r="AD80" s="1670"/>
      <c r="AE80" s="1670"/>
      <c r="AF80" s="1670"/>
      <c r="AG80" s="1670"/>
      <c r="AH80" s="1670"/>
      <c r="AI80" s="1670"/>
      <c r="AJ80" s="1670"/>
      <c r="AK80" s="1670"/>
      <c r="AL80" s="103"/>
      <c r="AM80" s="27"/>
      <c r="AN80" s="281"/>
    </row>
    <row r="81" spans="1:42" ht="12.8" customHeight="1">
      <c r="A81" s="27"/>
      <c r="B81" s="1670"/>
      <c r="C81" s="1670"/>
      <c r="D81" s="1670"/>
      <c r="E81" s="1670"/>
      <c r="F81" s="1670"/>
      <c r="G81" s="1670"/>
      <c r="H81" s="1670"/>
      <c r="I81" s="1670"/>
      <c r="J81" s="1670"/>
      <c r="K81" s="1670"/>
      <c r="L81" s="1670"/>
      <c r="M81" s="1670"/>
      <c r="N81" s="1670"/>
      <c r="O81" s="1670"/>
      <c r="P81" s="1670"/>
      <c r="Q81" s="1670"/>
      <c r="R81" s="1670"/>
      <c r="S81" s="1670"/>
      <c r="T81" s="1670"/>
      <c r="U81" s="1670"/>
      <c r="V81" s="1670"/>
      <c r="W81" s="1670"/>
      <c r="X81" s="1670"/>
      <c r="Y81" s="1670"/>
      <c r="Z81" s="1670"/>
      <c r="AA81" s="1670"/>
      <c r="AB81" s="1670"/>
      <c r="AC81" s="1670"/>
      <c r="AD81" s="1670"/>
      <c r="AE81" s="1670"/>
      <c r="AF81" s="1670"/>
      <c r="AG81" s="1670"/>
      <c r="AH81" s="1670"/>
      <c r="AI81" s="1670"/>
      <c r="AJ81" s="1670"/>
      <c r="AK81" s="1670"/>
      <c r="AL81" s="103"/>
      <c r="AM81" s="27"/>
    </row>
    <row r="82" spans="1:42" s="4" customFormat="1" ht="12.8" customHeight="1">
      <c r="B82" s="1670"/>
      <c r="C82" s="1670"/>
      <c r="D82" s="1670"/>
      <c r="E82" s="1670"/>
      <c r="F82" s="1670"/>
      <c r="G82" s="1670"/>
      <c r="H82" s="1670"/>
      <c r="I82" s="1670"/>
      <c r="J82" s="1670"/>
      <c r="K82" s="1670"/>
      <c r="L82" s="1670"/>
      <c r="M82" s="1670"/>
      <c r="N82" s="1670"/>
      <c r="O82" s="1670"/>
      <c r="P82" s="1670"/>
      <c r="Q82" s="1670"/>
      <c r="R82" s="1670"/>
      <c r="S82" s="1670"/>
      <c r="T82" s="1670"/>
      <c r="U82" s="1670"/>
      <c r="V82" s="1670"/>
      <c r="W82" s="1670"/>
      <c r="X82" s="1670"/>
      <c r="Y82" s="1670"/>
      <c r="Z82" s="1670"/>
      <c r="AA82" s="1670"/>
      <c r="AB82" s="1670"/>
      <c r="AC82" s="1670"/>
      <c r="AD82" s="1670"/>
      <c r="AE82" s="1670"/>
      <c r="AF82" s="1670"/>
      <c r="AG82" s="1670"/>
      <c r="AH82" s="1670"/>
      <c r="AI82" s="1670"/>
      <c r="AJ82" s="1670"/>
      <c r="AK82" s="1670"/>
      <c r="AL82" s="103"/>
      <c r="AN82" s="281"/>
    </row>
    <row r="83" spans="1:42" s="4" customFormat="1" ht="12.8" customHeight="1">
      <c r="B83" s="1670"/>
      <c r="C83" s="1670"/>
      <c r="D83" s="1670"/>
      <c r="E83" s="1670"/>
      <c r="F83" s="1670"/>
      <c r="G83" s="1670"/>
      <c r="H83" s="1670"/>
      <c r="I83" s="1670"/>
      <c r="J83" s="1670"/>
      <c r="K83" s="1670"/>
      <c r="L83" s="1670"/>
      <c r="M83" s="1670"/>
      <c r="N83" s="1670"/>
      <c r="O83" s="1670"/>
      <c r="P83" s="1670"/>
      <c r="Q83" s="1670"/>
      <c r="R83" s="1670"/>
      <c r="S83" s="1670"/>
      <c r="T83" s="1670"/>
      <c r="U83" s="1670"/>
      <c r="V83" s="1670"/>
      <c r="W83" s="1670"/>
      <c r="X83" s="1670"/>
      <c r="Y83" s="1670"/>
      <c r="Z83" s="1670"/>
      <c r="AA83" s="1670"/>
      <c r="AB83" s="1670"/>
      <c r="AC83" s="1670"/>
      <c r="AD83" s="1670"/>
      <c r="AE83" s="1670"/>
      <c r="AF83" s="1670"/>
      <c r="AG83" s="1670"/>
      <c r="AH83" s="1670"/>
      <c r="AI83" s="1670"/>
      <c r="AJ83" s="1670"/>
      <c r="AK83" s="1670"/>
      <c r="AL83" s="103"/>
      <c r="AN83" s="281"/>
    </row>
    <row r="84" spans="1:42" s="4" customFormat="1" ht="14.4" customHeight="1">
      <c r="B84" s="1670"/>
      <c r="C84" s="1670"/>
      <c r="D84" s="1670"/>
      <c r="E84" s="1670"/>
      <c r="F84" s="1670"/>
      <c r="G84" s="1670"/>
      <c r="H84" s="1670"/>
      <c r="I84" s="1670"/>
      <c r="J84" s="1670"/>
      <c r="K84" s="1670"/>
      <c r="L84" s="1670"/>
      <c r="M84" s="1670"/>
      <c r="N84" s="1670"/>
      <c r="O84" s="1670"/>
      <c r="P84" s="1670"/>
      <c r="Q84" s="1670"/>
      <c r="R84" s="1670"/>
      <c r="S84" s="1670"/>
      <c r="T84" s="1670"/>
      <c r="U84" s="1670"/>
      <c r="V84" s="1670"/>
      <c r="W84" s="1670"/>
      <c r="X84" s="1670"/>
      <c r="Y84" s="1670"/>
      <c r="Z84" s="1670"/>
      <c r="AA84" s="1670"/>
      <c r="AB84" s="1670"/>
      <c r="AC84" s="1670"/>
      <c r="AD84" s="1670"/>
      <c r="AE84" s="1670"/>
      <c r="AF84" s="1670"/>
      <c r="AG84" s="1670"/>
      <c r="AH84" s="1670"/>
      <c r="AI84" s="1670"/>
      <c r="AJ84" s="1670"/>
      <c r="AK84" s="1670"/>
      <c r="AL84" s="103"/>
      <c r="AN84" s="281"/>
    </row>
    <row r="85" spans="1:42" s="4" customFormat="1" ht="12.8" customHeight="1">
      <c r="B85" s="1670"/>
      <c r="C85" s="1670"/>
      <c r="D85" s="1670"/>
      <c r="E85" s="1670"/>
      <c r="F85" s="1670"/>
      <c r="G85" s="1670"/>
      <c r="H85" s="1670"/>
      <c r="I85" s="1670"/>
      <c r="J85" s="1670"/>
      <c r="K85" s="1670"/>
      <c r="L85" s="1670"/>
      <c r="M85" s="1670"/>
      <c r="N85" s="1670"/>
      <c r="O85" s="1670"/>
      <c r="P85" s="1670"/>
      <c r="Q85" s="1670"/>
      <c r="R85" s="1670"/>
      <c r="S85" s="1670"/>
      <c r="T85" s="1670"/>
      <c r="U85" s="1670"/>
      <c r="V85" s="1670"/>
      <c r="W85" s="1670"/>
      <c r="X85" s="1670"/>
      <c r="Y85" s="1670"/>
      <c r="Z85" s="1670"/>
      <c r="AA85" s="1670"/>
      <c r="AB85" s="1670"/>
      <c r="AC85" s="1670"/>
      <c r="AD85" s="1670"/>
      <c r="AE85" s="1670"/>
      <c r="AF85" s="1670"/>
      <c r="AG85" s="1670"/>
      <c r="AH85" s="1670"/>
      <c r="AI85" s="1670"/>
      <c r="AJ85" s="1670"/>
      <c r="AK85" s="1670"/>
      <c r="AN85" s="281"/>
    </row>
    <row r="86" spans="1:42" s="4" customFormat="1" ht="12.8" customHeight="1">
      <c r="B86" s="26" t="s">
        <v>1320</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8"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8" customHeight="1">
      <c r="C88" s="3" t="s">
        <v>1333</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8"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8" customHeight="1">
      <c r="D90" s="26" t="s">
        <v>612</v>
      </c>
      <c r="E90" s="437" t="s">
        <v>1373</v>
      </c>
      <c r="F90" s="27"/>
      <c r="G90" s="27"/>
      <c r="H90" s="27"/>
      <c r="I90" s="27"/>
      <c r="J90" s="27"/>
      <c r="K90" s="27"/>
      <c r="L90" s="27"/>
      <c r="M90" s="27"/>
      <c r="N90" s="27"/>
      <c r="O90" s="27"/>
      <c r="P90" s="27"/>
      <c r="Q90" s="27"/>
      <c r="R90" s="27"/>
      <c r="S90" s="27"/>
      <c r="T90" s="27"/>
      <c r="U90" s="27"/>
      <c r="V90" s="27"/>
      <c r="W90" s="27"/>
      <c r="X90" s="27"/>
      <c r="Y90" s="27"/>
      <c r="Z90" s="27"/>
      <c r="AA90" s="27"/>
      <c r="AB90" s="27"/>
      <c r="AF90" s="1731" t="s">
        <v>895</v>
      </c>
      <c r="AG90" s="1731"/>
      <c r="AH90" s="1731"/>
      <c r="AI90" s="1731"/>
      <c r="AJ90" s="1731"/>
      <c r="AK90" s="1731"/>
      <c r="AL90" s="1731"/>
      <c r="AN90" s="281"/>
    </row>
    <row r="91" spans="1:42" s="4" customFormat="1" ht="12.8" customHeight="1">
      <c r="C91" s="19"/>
      <c r="D91" s="26"/>
      <c r="E91" s="437" t="s">
        <v>1374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8" customHeight="1">
      <c r="C92" s="19"/>
      <c r="D92" s="26"/>
      <c r="E92" s="437" t="s">
        <v>1375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8" customHeight="1">
      <c r="C93" s="19"/>
      <c r="D93" s="26"/>
      <c r="E93" s="437" t="s">
        <v>1376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8"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8" customHeight="1">
      <c r="A95" s="35"/>
      <c r="B95" s="5"/>
      <c r="C95" s="45"/>
      <c r="D95" s="26" t="s">
        <v>208</v>
      </c>
      <c r="E95" s="437" t="s">
        <v>1302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31" t="s">
        <v>62</v>
      </c>
      <c r="AG95" s="1731"/>
      <c r="AH95" s="1731"/>
      <c r="AI95" s="1731"/>
      <c r="AJ95" s="1731"/>
      <c r="AK95" s="1731"/>
      <c r="AL95" s="1731"/>
      <c r="AN95" s="281"/>
    </row>
    <row r="96" spans="1:42" s="4" customFormat="1" ht="12.8" customHeight="1">
      <c r="B96" s="5"/>
      <c r="C96" s="115"/>
      <c r="D96" s="26"/>
      <c r="E96" s="437" t="s">
        <v>1377</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8" customHeight="1">
      <c r="B97" s="42"/>
      <c r="C97" s="45"/>
      <c r="D97" s="26"/>
      <c r="E97" s="437" t="s">
        <v>1378</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8" customHeight="1">
      <c r="B98" s="42"/>
      <c r="C98" s="45"/>
      <c r="D98" s="26"/>
      <c r="E98" s="437" t="s">
        <v>1379</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8"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8" customHeight="1">
      <c r="B100" s="5"/>
      <c r="C100" s="45"/>
      <c r="D100" s="26" t="s">
        <v>932</v>
      </c>
      <c r="E100" s="437" t="s">
        <v>1303</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31" t="s">
        <v>63</v>
      </c>
      <c r="AG100" s="1731"/>
      <c r="AH100" s="1731"/>
      <c r="AI100" s="1731"/>
      <c r="AJ100" s="1731"/>
      <c r="AK100" s="1731"/>
      <c r="AL100" s="1731"/>
      <c r="AN100" s="281"/>
      <c r="AO100" s="26" t="s">
        <v>767</v>
      </c>
      <c r="AP100" s="4">
        <v>4</v>
      </c>
    </row>
    <row r="101" spans="1:53" s="4" customFormat="1" ht="12.8" customHeight="1">
      <c r="B101" s="5"/>
      <c r="C101" s="115"/>
      <c r="D101" s="26"/>
      <c r="E101" s="437" t="s">
        <v>1380</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8" customHeight="1">
      <c r="B102" s="5"/>
      <c r="C102" s="115"/>
      <c r="D102" s="26"/>
      <c r="E102" s="437" t="s">
        <v>1378</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8" customHeight="1">
      <c r="B103" s="5"/>
      <c r="C103" s="115"/>
      <c r="D103" s="26"/>
      <c r="E103" s="437" t="s">
        <v>1379</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8"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8" customHeight="1">
      <c r="B105" s="5"/>
      <c r="C105" s="45"/>
      <c r="D105" s="26" t="s">
        <v>767</v>
      </c>
      <c r="E105" s="437" t="s">
        <v>1302</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31" t="s">
        <v>64</v>
      </c>
      <c r="AG105" s="1731"/>
      <c r="AH105" s="1731"/>
      <c r="AI105" s="1731"/>
      <c r="AJ105" s="1731"/>
      <c r="AK105" s="1731"/>
      <c r="AL105" s="1731"/>
      <c r="AN105" s="281"/>
      <c r="AO105" s="4" t="str">
        <f>S133</f>
        <v>N/A</v>
      </c>
    </row>
    <row r="106" spans="1:53" s="4" customFormat="1" ht="12.8" customHeight="1">
      <c r="B106" s="5"/>
      <c r="C106" s="115"/>
      <c r="D106" s="26"/>
      <c r="E106" s="437" t="s">
        <v>1381</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8" customHeight="1">
      <c r="B107" s="42"/>
      <c r="C107" s="45"/>
      <c r="D107" s="26"/>
      <c r="E107" s="437" t="s">
        <v>1382</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2207</v>
      </c>
    </row>
    <row r="108" spans="1:53" s="4" customFormat="1" ht="12.8"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2205</v>
      </c>
    </row>
    <row r="109" spans="1:53" s="4" customFormat="1" ht="12.8" customHeight="1">
      <c r="B109" s="5"/>
      <c r="C109" s="45"/>
      <c r="D109" s="26" t="s">
        <v>768</v>
      </c>
      <c r="E109" s="437" t="s">
        <v>1303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31" t="s">
        <v>65</v>
      </c>
      <c r="AG109" s="1731"/>
      <c r="AH109" s="1731"/>
      <c r="AI109" s="1731"/>
      <c r="AJ109" s="1731"/>
      <c r="AK109" s="1731"/>
      <c r="AL109" s="1731"/>
      <c r="AN109" s="281"/>
      <c r="AO109" s="4" t="s">
        <v>2206</v>
      </c>
    </row>
    <row r="110" spans="1:53" s="4" customFormat="1" ht="12.8" customHeight="1">
      <c r="B110" s="5"/>
      <c r="C110" s="45"/>
      <c r="D110" s="26"/>
      <c r="E110" s="437" t="s">
        <v>1383</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8"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8" customHeight="1">
      <c r="B112" s="5"/>
      <c r="C112" s="115"/>
      <c r="D112" s="4" t="s">
        <v>157</v>
      </c>
      <c r="E112" s="116"/>
      <c r="F112" s="116"/>
      <c r="G112" s="116"/>
      <c r="H112" s="1836" t="s">
        <v>767</v>
      </c>
      <c r="I112" s="1836"/>
      <c r="J112" s="116"/>
      <c r="K112" s="116"/>
      <c r="L112" s="116"/>
      <c r="M112" s="116"/>
      <c r="O112" s="957" t="s">
        <v>2204</v>
      </c>
      <c r="T112" s="1840"/>
      <c r="U112" s="1840"/>
      <c r="V112" s="1840"/>
      <c r="W112" s="1840"/>
      <c r="X112" s="1840"/>
      <c r="Y112" s="1840"/>
      <c r="AN112" s="281"/>
      <c r="AO112" s="26" t="s">
        <v>612</v>
      </c>
      <c r="AP112" s="4">
        <v>3</v>
      </c>
      <c r="AT112" s="26" t="s">
        <v>612</v>
      </c>
      <c r="AU112" s="4">
        <v>3</v>
      </c>
    </row>
    <row r="113" spans="1:47" s="4" customFormat="1" ht="12.8"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8" customHeight="1">
      <c r="B114" s="5"/>
      <c r="C114" s="115"/>
      <c r="D114" s="4" t="s">
        <v>1917</v>
      </c>
      <c r="E114" s="116"/>
      <c r="F114" s="116"/>
      <c r="G114" s="116"/>
      <c r="H114" s="116"/>
      <c r="I114" s="116"/>
      <c r="J114" s="116"/>
      <c r="K114" s="116"/>
      <c r="L114" s="116"/>
      <c r="M114" s="116"/>
      <c r="AN114" s="281"/>
    </row>
    <row r="115" spans="1:47" s="4" customFormat="1" ht="12.8" customHeight="1">
      <c r="B115" s="5"/>
      <c r="C115" s="115"/>
      <c r="D115" s="4" t="s">
        <v>1918</v>
      </c>
      <c r="E115" s="116"/>
      <c r="F115" s="116"/>
      <c r="G115" s="116"/>
      <c r="H115" s="116"/>
      <c r="I115" s="116"/>
      <c r="J115" s="116"/>
      <c r="K115" s="116"/>
      <c r="L115" s="116"/>
      <c r="M115" s="116"/>
      <c r="AN115" s="281"/>
    </row>
    <row r="116" spans="1:47" s="4" customFormat="1" ht="12.8" customHeight="1">
      <c r="B116" s="5"/>
      <c r="C116" s="115"/>
      <c r="D116" s="29" t="s">
        <v>1919</v>
      </c>
      <c r="E116" s="116"/>
      <c r="F116" s="116"/>
      <c r="G116" s="116"/>
      <c r="H116" s="116"/>
      <c r="I116" s="116"/>
      <c r="J116" s="116"/>
      <c r="K116" s="116"/>
      <c r="L116" s="116"/>
      <c r="M116" s="116"/>
      <c r="AN116" s="281"/>
      <c r="AO116" s="4" t="s">
        <v>132</v>
      </c>
      <c r="AP116" s="486">
        <v>0</v>
      </c>
    </row>
    <row r="117" spans="1:47" s="4" customFormat="1" ht="12.8" customHeight="1">
      <c r="B117" s="5"/>
      <c r="C117" s="115"/>
      <c r="D117" s="4" t="s">
        <v>1920</v>
      </c>
      <c r="AN117" s="281"/>
      <c r="AO117" s="4" t="s">
        <v>1540</v>
      </c>
      <c r="AP117" s="4">
        <v>3</v>
      </c>
    </row>
    <row r="118" spans="1:47" s="4" customFormat="1" ht="12.8" customHeight="1">
      <c r="B118" s="5"/>
      <c r="C118" s="115"/>
      <c r="E118" s="4" t="s">
        <v>157</v>
      </c>
      <c r="F118" s="116"/>
      <c r="G118" s="116"/>
      <c r="H118" s="1839" t="s">
        <v>132</v>
      </c>
      <c r="I118" s="1839"/>
      <c r="J118" s="1839"/>
      <c r="K118" s="1839"/>
      <c r="L118" s="1839"/>
      <c r="M118" s="1839"/>
      <c r="N118" s="1839"/>
      <c r="O118" s="1839"/>
      <c r="P118" s="1839"/>
      <c r="Q118" s="1839"/>
      <c r="R118" s="1839"/>
      <c r="S118" s="1839"/>
      <c r="T118" s="1839"/>
      <c r="U118" s="1839"/>
      <c r="V118" s="1839"/>
      <c r="W118" s="1839"/>
      <c r="X118" s="1839"/>
      <c r="Y118" s="1839"/>
      <c r="Z118" s="1839"/>
      <c r="AA118" s="1839"/>
      <c r="AB118" s="1839"/>
      <c r="AC118" s="1839"/>
      <c r="AD118" s="1839"/>
      <c r="AE118" s="1839"/>
      <c r="AN118" s="281"/>
      <c r="AO118" s="4" t="s">
        <v>1541</v>
      </c>
      <c r="AP118" s="4">
        <v>2</v>
      </c>
    </row>
    <row r="119" spans="1:47" s="4" customFormat="1" ht="12.8"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8" customHeight="1">
      <c r="B120" s="1266" t="s">
        <v>132</v>
      </c>
      <c r="C120" s="1266"/>
      <c r="D120" s="49"/>
      <c r="E120" s="1670" t="s">
        <v>1848</v>
      </c>
      <c r="F120" s="1670"/>
      <c r="G120" s="1670"/>
      <c r="H120" s="1670"/>
      <c r="I120" s="1670"/>
      <c r="J120" s="1670"/>
      <c r="K120" s="1670"/>
      <c r="L120" s="1670"/>
      <c r="M120" s="1670"/>
      <c r="N120" s="1670"/>
      <c r="O120" s="1670"/>
      <c r="P120" s="1670"/>
      <c r="Q120" s="1670"/>
      <c r="R120" s="1670"/>
      <c r="S120" s="1670"/>
      <c r="T120" s="1670"/>
      <c r="U120" s="1670"/>
      <c r="V120" s="1670"/>
      <c r="W120" s="1670"/>
      <c r="X120" s="1670"/>
      <c r="Y120" s="1670"/>
      <c r="Z120" s="1670"/>
      <c r="AA120" s="1670"/>
      <c r="AB120" s="1670"/>
      <c r="AC120" s="1670"/>
      <c r="AD120" s="1670"/>
      <c r="AE120" s="1670"/>
      <c r="AF120" s="1670"/>
      <c r="AG120" s="1670"/>
      <c r="AH120" s="49"/>
      <c r="AI120" s="49"/>
      <c r="AJ120" s="49"/>
      <c r="AK120" s="49"/>
      <c r="AL120" s="49"/>
      <c r="AN120" s="281"/>
    </row>
    <row r="121" spans="1:47" s="4" customFormat="1" ht="12.8" customHeight="1">
      <c r="B121" s="5"/>
      <c r="C121" s="115"/>
      <c r="D121" s="49"/>
      <c r="E121" s="1670"/>
      <c r="F121" s="1670"/>
      <c r="G121" s="1670"/>
      <c r="H121" s="1670"/>
      <c r="I121" s="1670"/>
      <c r="J121" s="1670"/>
      <c r="K121" s="1670"/>
      <c r="L121" s="1670"/>
      <c r="M121" s="1670"/>
      <c r="N121" s="1670"/>
      <c r="O121" s="1670"/>
      <c r="P121" s="1670"/>
      <c r="Q121" s="1670"/>
      <c r="R121" s="1670"/>
      <c r="S121" s="1670"/>
      <c r="T121" s="1670"/>
      <c r="U121" s="1670"/>
      <c r="V121" s="1670"/>
      <c r="W121" s="1670"/>
      <c r="X121" s="1670"/>
      <c r="Y121" s="1670"/>
      <c r="Z121" s="1670"/>
      <c r="AA121" s="1670"/>
      <c r="AB121" s="1670"/>
      <c r="AC121" s="1670"/>
      <c r="AD121" s="1670"/>
      <c r="AE121" s="1670"/>
      <c r="AF121" s="1670"/>
      <c r="AG121" s="1670"/>
      <c r="AH121" s="49"/>
      <c r="AI121" s="49"/>
      <c r="AJ121" s="49"/>
      <c r="AK121" s="49"/>
      <c r="AL121" s="49"/>
      <c r="AN121" s="281"/>
    </row>
    <row r="122" spans="1:47" s="4" customFormat="1" ht="12.8" customHeight="1">
      <c r="B122" s="5"/>
      <c r="C122" s="115"/>
      <c r="D122" s="49"/>
      <c r="E122" s="1670"/>
      <c r="F122" s="1670"/>
      <c r="G122" s="1670"/>
      <c r="H122" s="1670"/>
      <c r="I122" s="1670"/>
      <c r="J122" s="1670"/>
      <c r="K122" s="1670"/>
      <c r="L122" s="1670"/>
      <c r="M122" s="1670"/>
      <c r="N122" s="1670"/>
      <c r="O122" s="1670"/>
      <c r="P122" s="1670"/>
      <c r="Q122" s="1670"/>
      <c r="R122" s="1670"/>
      <c r="S122" s="1670"/>
      <c r="T122" s="1670"/>
      <c r="U122" s="1670"/>
      <c r="V122" s="1670"/>
      <c r="W122" s="1670"/>
      <c r="X122" s="1670"/>
      <c r="Y122" s="1670"/>
      <c r="Z122" s="1670"/>
      <c r="AA122" s="1670"/>
      <c r="AB122" s="1670"/>
      <c r="AC122" s="1670"/>
      <c r="AD122" s="1670"/>
      <c r="AE122" s="1670"/>
      <c r="AF122" s="1670"/>
      <c r="AG122" s="1670"/>
      <c r="AH122" s="49"/>
      <c r="AI122" s="49"/>
      <c r="AJ122" s="49"/>
      <c r="AK122" s="49"/>
      <c r="AL122" s="49"/>
      <c r="AN122" s="281"/>
    </row>
    <row r="123" spans="1:47" s="4" customFormat="1" ht="12.8" customHeight="1">
      <c r="B123" s="5"/>
      <c r="C123" s="115"/>
      <c r="D123" s="299"/>
      <c r="E123" s="1838"/>
      <c r="F123" s="1838"/>
      <c r="G123" s="1838"/>
      <c r="H123" s="1838"/>
      <c r="I123" s="1838"/>
      <c r="J123" s="1838"/>
      <c r="K123" s="1838"/>
      <c r="L123" s="1838"/>
      <c r="M123" s="1838"/>
      <c r="N123" s="1838"/>
      <c r="O123" s="1838"/>
      <c r="P123" s="1838"/>
      <c r="Q123" s="1838"/>
      <c r="R123" s="1838"/>
      <c r="S123" s="1838"/>
      <c r="T123" s="1838"/>
      <c r="U123" s="1838"/>
      <c r="V123" s="1838"/>
      <c r="W123" s="1838"/>
      <c r="X123" s="1838"/>
      <c r="Y123" s="1838"/>
      <c r="Z123" s="1838"/>
      <c r="AA123" s="1838"/>
      <c r="AB123" s="1838"/>
      <c r="AC123" s="1838"/>
      <c r="AD123" s="1838"/>
      <c r="AE123" s="1838"/>
      <c r="AF123" s="1838"/>
      <c r="AG123" s="1838"/>
      <c r="AH123" s="299"/>
      <c r="AI123" s="299"/>
      <c r="AJ123" s="299"/>
      <c r="AK123" s="299"/>
      <c r="AL123" s="49"/>
      <c r="AN123" s="281"/>
    </row>
    <row r="124" spans="1:47" s="4" customFormat="1" ht="12.8"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1332</v>
      </c>
      <c r="AJ124" s="1235">
        <f>VLOOKUP($H$112,$AO$96:$AP$101,2,FALSE)+IF(T112=AO108,0,VLOOKUP($H$118,$AO$116:$AP$118,2,FALSE))</f>
        <v>4</v>
      </c>
      <c r="AK124" s="1237"/>
      <c r="AL124" s="10"/>
      <c r="AM124" s="116"/>
      <c r="AN124" s="281"/>
    </row>
    <row r="125" spans="1:47" s="4" customFormat="1" ht="12.8"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8"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8"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8" customHeight="1">
      <c r="A128" s="4"/>
      <c r="B128" s="4"/>
      <c r="C128" s="4"/>
      <c r="D128" s="26" t="s">
        <v>612</v>
      </c>
      <c r="E128" s="1837" t="s">
        <v>1921</v>
      </c>
      <c r="F128" s="1837"/>
      <c r="G128" s="1837"/>
      <c r="H128" s="1837"/>
      <c r="I128" s="1837"/>
      <c r="J128" s="1837"/>
      <c r="K128" s="1837"/>
      <c r="L128" s="1837"/>
      <c r="M128" s="1837"/>
      <c r="N128" s="1837"/>
      <c r="O128" s="1837"/>
      <c r="P128" s="1837"/>
      <c r="Q128" s="1837"/>
      <c r="R128" s="1837"/>
      <c r="S128" s="1837"/>
      <c r="T128" s="1837"/>
      <c r="U128" s="1837"/>
      <c r="V128" s="1837"/>
      <c r="W128" s="1837"/>
      <c r="X128" s="1837"/>
      <c r="Y128" s="1837"/>
      <c r="Z128" s="1837"/>
      <c r="AA128" s="1837"/>
      <c r="AB128" s="1837"/>
      <c r="AC128" s="1837"/>
      <c r="AD128" s="1837"/>
      <c r="AF128" s="1731" t="s">
        <v>65</v>
      </c>
      <c r="AG128" s="1731"/>
      <c r="AH128" s="1731"/>
      <c r="AI128" s="1731"/>
      <c r="AJ128" s="1731"/>
      <c r="AK128" s="1731"/>
      <c r="AL128" s="1731"/>
      <c r="AM128" s="4"/>
      <c r="AN128" s="298"/>
    </row>
    <row r="129" spans="1:42" s="4" customFormat="1" ht="12.8" customHeight="1">
      <c r="A129" s="120"/>
      <c r="B129" s="5"/>
      <c r="C129" s="115"/>
      <c r="D129" s="26"/>
      <c r="E129" s="1837"/>
      <c r="F129" s="1837"/>
      <c r="G129" s="1837"/>
      <c r="H129" s="1837"/>
      <c r="I129" s="1837"/>
      <c r="J129" s="1837"/>
      <c r="K129" s="1837"/>
      <c r="L129" s="1837"/>
      <c r="M129" s="1837"/>
      <c r="N129" s="1837"/>
      <c r="O129" s="1837"/>
      <c r="P129" s="1837"/>
      <c r="Q129" s="1837"/>
      <c r="R129" s="1837"/>
      <c r="S129" s="1837"/>
      <c r="T129" s="1837"/>
      <c r="U129" s="1837"/>
      <c r="V129" s="1837"/>
      <c r="W129" s="1837"/>
      <c r="X129" s="1837"/>
      <c r="Y129" s="1837"/>
      <c r="Z129" s="1837"/>
      <c r="AA129" s="1837"/>
      <c r="AB129" s="1837"/>
      <c r="AC129" s="1837"/>
      <c r="AD129" s="1837"/>
      <c r="AF129" s="5"/>
      <c r="AN129" s="281"/>
    </row>
    <row r="130" spans="1:42" s="4" customFormat="1" ht="12.8" customHeight="1">
      <c r="B130" s="5"/>
      <c r="C130" s="45"/>
      <c r="D130" s="26"/>
      <c r="E130" s="1837"/>
      <c r="F130" s="1837"/>
      <c r="G130" s="1837"/>
      <c r="H130" s="1837"/>
      <c r="I130" s="1837"/>
      <c r="J130" s="1837"/>
      <c r="K130" s="1837"/>
      <c r="L130" s="1837"/>
      <c r="M130" s="1837"/>
      <c r="N130" s="1837"/>
      <c r="O130" s="1837"/>
      <c r="P130" s="1837"/>
      <c r="Q130" s="1837"/>
      <c r="R130" s="1837"/>
      <c r="S130" s="1837"/>
      <c r="T130" s="1837"/>
      <c r="U130" s="1837"/>
      <c r="V130" s="1837"/>
      <c r="W130" s="1837"/>
      <c r="X130" s="1837"/>
      <c r="Y130" s="1837"/>
      <c r="Z130" s="1837"/>
      <c r="AA130" s="1837"/>
      <c r="AB130" s="1837"/>
      <c r="AC130" s="1837"/>
      <c r="AD130" s="1837"/>
      <c r="AF130" s="5"/>
      <c r="AN130" s="281"/>
    </row>
    <row r="131" spans="1:42" s="4" customFormat="1" ht="12.8" customHeight="1">
      <c r="A131" s="35"/>
      <c r="B131" s="102"/>
      <c r="C131" s="121"/>
      <c r="D131" s="26"/>
      <c r="E131" s="1837"/>
      <c r="F131" s="1837"/>
      <c r="G131" s="1837"/>
      <c r="H131" s="1837"/>
      <c r="I131" s="1837"/>
      <c r="J131" s="1837"/>
      <c r="K131" s="1837"/>
      <c r="L131" s="1837"/>
      <c r="M131" s="1837"/>
      <c r="N131" s="1837"/>
      <c r="O131" s="1837"/>
      <c r="P131" s="1837"/>
      <c r="Q131" s="1837"/>
      <c r="R131" s="1837"/>
      <c r="S131" s="1837"/>
      <c r="T131" s="1837"/>
      <c r="U131" s="1837"/>
      <c r="V131" s="1837"/>
      <c r="W131" s="1837"/>
      <c r="X131" s="1837"/>
      <c r="Y131" s="1837"/>
      <c r="Z131" s="1837"/>
      <c r="AA131" s="1837"/>
      <c r="AB131" s="1837"/>
      <c r="AC131" s="1837"/>
      <c r="AD131" s="1837"/>
      <c r="AE131" s="19"/>
      <c r="AF131" s="102"/>
      <c r="AG131" s="19"/>
      <c r="AH131" s="19"/>
      <c r="AI131" s="19"/>
      <c r="AJ131" s="19"/>
      <c r="AN131" s="281"/>
    </row>
    <row r="132" spans="1:42" s="4" customFormat="1" ht="23.1" customHeight="1">
      <c r="B132" s="102"/>
      <c r="C132" s="121"/>
      <c r="D132" s="26"/>
      <c r="E132" s="1837"/>
      <c r="F132" s="1837"/>
      <c r="G132" s="1837"/>
      <c r="H132" s="1837"/>
      <c r="I132" s="1837"/>
      <c r="J132" s="1837"/>
      <c r="K132" s="1837"/>
      <c r="L132" s="1837"/>
      <c r="M132" s="1837"/>
      <c r="N132" s="1837"/>
      <c r="O132" s="1837"/>
      <c r="P132" s="1837"/>
      <c r="Q132" s="1837"/>
      <c r="R132" s="1837"/>
      <c r="S132" s="1837"/>
      <c r="T132" s="1837"/>
      <c r="U132" s="1837"/>
      <c r="V132" s="1837"/>
      <c r="W132" s="1837"/>
      <c r="X132" s="1837"/>
      <c r="Y132" s="1837"/>
      <c r="Z132" s="1837"/>
      <c r="AA132" s="1837"/>
      <c r="AB132" s="1837"/>
      <c r="AC132" s="1837"/>
      <c r="AD132" s="1837"/>
      <c r="AE132" s="19"/>
      <c r="AF132" s="102"/>
      <c r="AG132" s="19"/>
      <c r="AH132" s="19"/>
      <c r="AI132" s="19"/>
      <c r="AJ132" s="19"/>
      <c r="AN132" s="281"/>
      <c r="AO132" s="4" t="s">
        <v>132</v>
      </c>
      <c r="AP132" s="486">
        <v>0</v>
      </c>
    </row>
    <row r="133" spans="1:42" s="4" customFormat="1" ht="12.8" customHeight="1">
      <c r="B133" s="102"/>
      <c r="C133" s="45"/>
      <c r="D133" s="26"/>
      <c r="E133" s="19" t="s">
        <v>110</v>
      </c>
      <c r="F133" s="698"/>
      <c r="G133" s="698"/>
      <c r="H133" s="698"/>
      <c r="I133" s="698"/>
      <c r="J133" s="698"/>
      <c r="K133" s="698"/>
      <c r="L133" s="698"/>
      <c r="M133" s="698"/>
      <c r="N133" s="698"/>
      <c r="O133" s="698"/>
      <c r="P133" s="698"/>
      <c r="Q133" s="698"/>
      <c r="R133" s="698"/>
      <c r="S133" s="1833" t="s">
        <v>132</v>
      </c>
      <c r="T133" s="1833"/>
      <c r="U133" s="698"/>
      <c r="V133" s="698"/>
      <c r="W133" s="698"/>
      <c r="X133" s="698"/>
      <c r="Y133" s="698"/>
      <c r="Z133" s="698"/>
      <c r="AA133" s="698"/>
      <c r="AB133" s="698"/>
      <c r="AC133" s="698"/>
      <c r="AD133" s="698"/>
      <c r="AF133" s="102"/>
      <c r="AG133" s="19"/>
      <c r="AH133" s="19"/>
      <c r="AI133" s="19"/>
      <c r="AJ133" s="19"/>
      <c r="AN133" s="281"/>
      <c r="AO133" s="26" t="s">
        <v>612</v>
      </c>
      <c r="AP133" s="4">
        <v>5</v>
      </c>
    </row>
    <row r="134" spans="1:42" s="4" customFormat="1" ht="12.8" customHeight="1">
      <c r="B134" s="102"/>
      <c r="C134" s="121"/>
      <c r="W134" s="19"/>
      <c r="X134" s="19"/>
      <c r="Y134" s="19"/>
      <c r="Z134" s="19"/>
      <c r="AA134" s="19"/>
      <c r="AB134" s="19"/>
      <c r="AN134" s="281"/>
      <c r="AO134" s="26" t="s">
        <v>208</v>
      </c>
      <c r="AP134" s="127">
        <v>4</v>
      </c>
    </row>
    <row r="135" spans="1:42" s="4" customFormat="1" ht="12.8" customHeight="1">
      <c r="B135" s="5"/>
      <c r="C135" s="45"/>
      <c r="D135" s="26" t="s">
        <v>208</v>
      </c>
      <c r="E135" s="345" t="s">
        <v>1304</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31" t="s">
        <v>111</v>
      </c>
      <c r="AG135" s="1731"/>
      <c r="AH135" s="1731"/>
      <c r="AI135" s="1731"/>
      <c r="AJ135" s="1731"/>
      <c r="AK135" s="1731"/>
      <c r="AL135" s="1731"/>
      <c r="AN135" s="281"/>
      <c r="AO135" s="26" t="s">
        <v>932</v>
      </c>
      <c r="AP135" s="4">
        <v>3</v>
      </c>
    </row>
    <row r="136" spans="1:42" s="4" customFormat="1" ht="12.8"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8" customHeight="1">
      <c r="B137" s="5"/>
      <c r="C137" s="45"/>
      <c r="D137" s="4" t="s">
        <v>157</v>
      </c>
      <c r="E137" s="116"/>
      <c r="F137" s="116"/>
      <c r="G137" s="116"/>
      <c r="H137" s="1836" t="s">
        <v>612</v>
      </c>
      <c r="I137" s="1836"/>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8"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8"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35">
        <f>VLOOKUP($H$137,$AO$111:$AP$113,2,FALSE)</f>
        <v>3</v>
      </c>
      <c r="AK139" s="1237"/>
      <c r="AL139" s="10"/>
      <c r="AN139" s="281"/>
      <c r="AO139" s="26" t="s">
        <v>296</v>
      </c>
      <c r="AP139" s="4">
        <v>1</v>
      </c>
    </row>
    <row r="140" spans="1:42" s="4" customFormat="1" ht="12.8"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8"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8"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8"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31" t="s">
        <v>65</v>
      </c>
      <c r="AG143" s="1731"/>
      <c r="AH143" s="1731"/>
      <c r="AI143" s="1731"/>
      <c r="AJ143" s="1731"/>
      <c r="AK143" s="1731"/>
      <c r="AL143" s="1731"/>
      <c r="AN143" s="281"/>
    </row>
    <row r="144" spans="1:42" s="4" customFormat="1" ht="12.8"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8"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8" customHeight="1">
      <c r="B146" s="5"/>
      <c r="C146" s="45"/>
      <c r="D146" s="26" t="s">
        <v>208</v>
      </c>
      <c r="E146" s="19" t="s">
        <v>1305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31" t="s">
        <v>111</v>
      </c>
      <c r="AG146" s="1731"/>
      <c r="AH146" s="1731"/>
      <c r="AI146" s="1731"/>
      <c r="AJ146" s="1731"/>
      <c r="AK146" s="1731"/>
      <c r="AL146" s="1731"/>
      <c r="AN146" s="281"/>
    </row>
    <row r="147" spans="1:42" s="4" customFormat="1" ht="12.8" customHeight="1">
      <c r="B147" s="5"/>
      <c r="C147" s="45"/>
      <c r="D147" s="26"/>
      <c r="E147" s="19" t="s">
        <v>1306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8"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8" customHeight="1">
      <c r="B149" s="5"/>
      <c r="C149" s="45"/>
      <c r="D149" s="4" t="s">
        <v>157</v>
      </c>
      <c r="E149" s="116"/>
      <c r="F149" s="116"/>
      <c r="G149" s="116"/>
      <c r="H149" s="1836" t="s">
        <v>612</v>
      </c>
      <c r="I149" s="1836"/>
      <c r="J149" s="19"/>
      <c r="K149" s="19"/>
      <c r="L149" s="19"/>
      <c r="M149" s="19"/>
      <c r="N149" s="19"/>
      <c r="O149" s="19"/>
      <c r="P149" s="19"/>
      <c r="Q149" s="19"/>
      <c r="R149" s="19"/>
      <c r="S149" s="19"/>
      <c r="T149" s="19"/>
      <c r="U149" s="19"/>
      <c r="V149" s="19"/>
      <c r="AN149" s="281"/>
    </row>
    <row r="150" spans="1:42" s="4" customFormat="1" ht="12.8"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8"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35">
        <f>VLOOKUP(H149,AT111:AU113,2,FALSE)</f>
        <v>3</v>
      </c>
      <c r="AK151" s="1237"/>
      <c r="AL151" s="10"/>
      <c r="AN151" s="281"/>
      <c r="AO151" s="4" t="s">
        <v>132</v>
      </c>
      <c r="AP151" s="486">
        <v>0</v>
      </c>
    </row>
    <row r="152" spans="1:42" s="4" customFormat="1" ht="12.8" customHeight="1">
      <c r="B152" s="5"/>
      <c r="C152" s="45"/>
      <c r="AN152" s="281"/>
      <c r="AO152" s="26" t="s">
        <v>612</v>
      </c>
      <c r="AP152" s="4">
        <v>3</v>
      </c>
    </row>
    <row r="153" spans="1:42" s="4" customFormat="1" ht="12.8" customHeight="1">
      <c r="C153" s="3" t="s">
        <v>328</v>
      </c>
      <c r="AN153" s="281"/>
      <c r="AO153" s="26" t="s">
        <v>208</v>
      </c>
      <c r="AP153" s="4">
        <v>2</v>
      </c>
    </row>
    <row r="154" spans="1:42" s="4" customFormat="1" ht="12.8" customHeight="1">
      <c r="C154" s="3"/>
      <c r="D154" s="269" t="s">
        <v>1169</v>
      </c>
      <c r="AN154" s="281"/>
    </row>
    <row r="155" spans="1:42" s="4" customFormat="1" ht="12.8" customHeight="1">
      <c r="C155" s="3"/>
      <c r="AN155" s="281"/>
    </row>
    <row r="156" spans="1:42" s="4" customFormat="1" ht="12.8" customHeight="1">
      <c r="C156" s="3"/>
      <c r="D156" s="26" t="s">
        <v>612</v>
      </c>
      <c r="E156" s="1670" t="s">
        <v>782</v>
      </c>
      <c r="F156" s="1670"/>
      <c r="G156" s="1670"/>
      <c r="H156" s="1670"/>
      <c r="I156" s="1670"/>
      <c r="J156" s="1670"/>
      <c r="K156" s="1670"/>
      <c r="L156" s="1670"/>
      <c r="M156" s="1670"/>
      <c r="N156" s="1670"/>
      <c r="O156" s="1670"/>
      <c r="P156" s="1670"/>
      <c r="Q156" s="1670"/>
      <c r="R156" s="1670"/>
      <c r="S156" s="1670"/>
      <c r="T156" s="1670"/>
      <c r="U156" s="1670"/>
      <c r="V156" s="1670"/>
      <c r="W156" s="1670"/>
      <c r="X156" s="1670"/>
      <c r="Y156" s="1670"/>
      <c r="Z156" s="1670"/>
      <c r="AA156" s="1670"/>
      <c r="AB156" s="1670"/>
      <c r="AC156" s="1670"/>
      <c r="AF156" s="1731" t="s">
        <v>63</v>
      </c>
      <c r="AG156" s="1731"/>
      <c r="AH156" s="1731"/>
      <c r="AI156" s="1731"/>
      <c r="AJ156" s="1731"/>
      <c r="AK156" s="1731"/>
      <c r="AL156" s="1731"/>
      <c r="AN156" s="281"/>
    </row>
    <row r="157" spans="1:42" s="4" customFormat="1" ht="12.8" customHeight="1">
      <c r="C157" s="3"/>
      <c r="E157" s="1670"/>
      <c r="F157" s="1670"/>
      <c r="G157" s="1670"/>
      <c r="H157" s="1670"/>
      <c r="I157" s="1670"/>
      <c r="J157" s="1670"/>
      <c r="K157" s="1670"/>
      <c r="L157" s="1670"/>
      <c r="M157" s="1670"/>
      <c r="N157" s="1670"/>
      <c r="O157" s="1670"/>
      <c r="P157" s="1670"/>
      <c r="Q157" s="1670"/>
      <c r="R157" s="1670"/>
      <c r="S157" s="1670"/>
      <c r="T157" s="1670"/>
      <c r="U157" s="1670"/>
      <c r="V157" s="1670"/>
      <c r="W157" s="1670"/>
      <c r="X157" s="1670"/>
      <c r="Y157" s="1670"/>
      <c r="Z157" s="1670"/>
      <c r="AA157" s="1670"/>
      <c r="AB157" s="1670"/>
      <c r="AC157" s="1670"/>
      <c r="AN157" s="281"/>
    </row>
    <row r="158" spans="1:42" s="4" customFormat="1" ht="12.8" customHeight="1">
      <c r="C158" s="3"/>
      <c r="D158" s="26"/>
      <c r="E158" s="1670"/>
      <c r="F158" s="1670"/>
      <c r="G158" s="1670"/>
      <c r="H158" s="1670"/>
      <c r="I158" s="1670"/>
      <c r="J158" s="1670"/>
      <c r="K158" s="1670"/>
      <c r="L158" s="1670"/>
      <c r="M158" s="1670"/>
      <c r="N158" s="1670"/>
      <c r="O158" s="1670"/>
      <c r="P158" s="1670"/>
      <c r="Q158" s="1670"/>
      <c r="R158" s="1670"/>
      <c r="S158" s="1670"/>
      <c r="T158" s="1670"/>
      <c r="U158" s="1670"/>
      <c r="V158" s="1670"/>
      <c r="W158" s="1670"/>
      <c r="X158" s="1670"/>
      <c r="Y158" s="1670"/>
      <c r="Z158" s="1670"/>
      <c r="AA158" s="1670"/>
      <c r="AB158" s="1670"/>
      <c r="AC158" s="1670"/>
      <c r="AN158" s="281"/>
    </row>
    <row r="159" spans="1:42" s="4" customFormat="1" ht="15.0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8" customHeight="1">
      <c r="C160" s="3"/>
      <c r="D160" s="26" t="s">
        <v>208</v>
      </c>
      <c r="E160" s="1670" t="s">
        <v>1790</v>
      </c>
      <c r="F160" s="1670"/>
      <c r="G160" s="1670"/>
      <c r="H160" s="1670"/>
      <c r="I160" s="1670"/>
      <c r="J160" s="1670"/>
      <c r="K160" s="1670"/>
      <c r="L160" s="1670"/>
      <c r="M160" s="1670"/>
      <c r="N160" s="1670"/>
      <c r="O160" s="1670"/>
      <c r="P160" s="1670"/>
      <c r="Q160" s="1670"/>
      <c r="R160" s="1670"/>
      <c r="S160" s="1670"/>
      <c r="T160" s="1670"/>
      <c r="U160" s="1670"/>
      <c r="V160" s="1670"/>
      <c r="W160" s="1670"/>
      <c r="X160" s="1670"/>
      <c r="Y160" s="1670"/>
      <c r="Z160" s="1670"/>
      <c r="AA160" s="1670"/>
      <c r="AB160" s="1670"/>
      <c r="AC160" s="1670"/>
      <c r="AF160" s="1731" t="s">
        <v>64</v>
      </c>
      <c r="AG160" s="1731"/>
      <c r="AH160" s="1731"/>
      <c r="AI160" s="1731"/>
      <c r="AJ160" s="1731"/>
      <c r="AK160" s="1731"/>
      <c r="AL160" s="1731"/>
      <c r="AN160" s="281"/>
    </row>
    <row r="161" spans="1:42" s="4" customFormat="1" ht="12.8" customHeight="1">
      <c r="C161" s="3"/>
      <c r="E161" s="1670"/>
      <c r="F161" s="1670"/>
      <c r="G161" s="1670"/>
      <c r="H161" s="1670"/>
      <c r="I161" s="1670"/>
      <c r="J161" s="1670"/>
      <c r="K161" s="1670"/>
      <c r="L161" s="1670"/>
      <c r="M161" s="1670"/>
      <c r="N161" s="1670"/>
      <c r="O161" s="1670"/>
      <c r="P161" s="1670"/>
      <c r="Q161" s="1670"/>
      <c r="R161" s="1670"/>
      <c r="S161" s="1670"/>
      <c r="T161" s="1670"/>
      <c r="U161" s="1670"/>
      <c r="V161" s="1670"/>
      <c r="W161" s="1670"/>
      <c r="X161" s="1670"/>
      <c r="Y161" s="1670"/>
      <c r="Z161" s="1670"/>
      <c r="AA161" s="1670"/>
      <c r="AB161" s="1670"/>
      <c r="AC161" s="1670"/>
      <c r="AN161" s="281"/>
    </row>
    <row r="162" spans="1:42" s="4" customFormat="1" ht="15.05" customHeight="1">
      <c r="C162" s="3"/>
      <c r="D162" s="26"/>
      <c r="E162" s="1670"/>
      <c r="F162" s="1670"/>
      <c r="G162" s="1670"/>
      <c r="H162" s="1670"/>
      <c r="I162" s="1670"/>
      <c r="J162" s="1670"/>
      <c r="K162" s="1670"/>
      <c r="L162" s="1670"/>
      <c r="M162" s="1670"/>
      <c r="N162" s="1670"/>
      <c r="O162" s="1670"/>
      <c r="P162" s="1670"/>
      <c r="Q162" s="1670"/>
      <c r="R162" s="1670"/>
      <c r="S162" s="1670"/>
      <c r="T162" s="1670"/>
      <c r="U162" s="1670"/>
      <c r="V162" s="1670"/>
      <c r="W162" s="1670"/>
      <c r="X162" s="1670"/>
      <c r="Y162" s="1670"/>
      <c r="Z162" s="1670"/>
      <c r="AA162" s="1670"/>
      <c r="AB162" s="1670"/>
      <c r="AC162" s="1670"/>
      <c r="AN162" s="281"/>
    </row>
    <row r="163" spans="1:42" s="4" customFormat="1" ht="12.8"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8" customHeight="1">
      <c r="C164" s="3"/>
      <c r="D164" s="26" t="s">
        <v>932</v>
      </c>
      <c r="E164" s="1670" t="s">
        <v>1791</v>
      </c>
      <c r="F164" s="1670"/>
      <c r="G164" s="1670"/>
      <c r="H164" s="1670"/>
      <c r="I164" s="1670"/>
      <c r="J164" s="1670"/>
      <c r="K164" s="1670"/>
      <c r="L164" s="1670"/>
      <c r="M164" s="1670"/>
      <c r="N164" s="1670"/>
      <c r="O164" s="1670"/>
      <c r="P164" s="1670"/>
      <c r="Q164" s="1670"/>
      <c r="R164" s="1670"/>
      <c r="S164" s="1670"/>
      <c r="T164" s="1670"/>
      <c r="U164" s="1670"/>
      <c r="V164" s="1670"/>
      <c r="W164" s="1670"/>
      <c r="X164" s="1670"/>
      <c r="Y164" s="1670"/>
      <c r="Z164" s="1670"/>
      <c r="AA164" s="1670"/>
      <c r="AB164" s="1670"/>
      <c r="AC164" s="1670"/>
      <c r="AF164" s="1731" t="s">
        <v>65</v>
      </c>
      <c r="AG164" s="1731"/>
      <c r="AH164" s="1731"/>
      <c r="AI164" s="1731"/>
      <c r="AJ164" s="1731"/>
      <c r="AK164" s="1731"/>
      <c r="AL164" s="1731"/>
      <c r="AN164" s="281"/>
    </row>
    <row r="165" spans="1:42" s="4" customFormat="1" ht="12.8" customHeight="1">
      <c r="B165" s="5"/>
      <c r="C165" s="45"/>
      <c r="E165" s="1670"/>
      <c r="F165" s="1670"/>
      <c r="G165" s="1670"/>
      <c r="H165" s="1670"/>
      <c r="I165" s="1670"/>
      <c r="J165" s="1670"/>
      <c r="K165" s="1670"/>
      <c r="L165" s="1670"/>
      <c r="M165" s="1670"/>
      <c r="N165" s="1670"/>
      <c r="O165" s="1670"/>
      <c r="P165" s="1670"/>
      <c r="Q165" s="1670"/>
      <c r="R165" s="1670"/>
      <c r="S165" s="1670"/>
      <c r="T165" s="1670"/>
      <c r="U165" s="1670"/>
      <c r="V165" s="1670"/>
      <c r="W165" s="1670"/>
      <c r="X165" s="1670"/>
      <c r="Y165" s="1670"/>
      <c r="Z165" s="1670"/>
      <c r="AA165" s="1670"/>
      <c r="AB165" s="1670"/>
      <c r="AC165" s="1670"/>
      <c r="AE165" s="1731"/>
      <c r="AF165" s="1731"/>
      <c r="AG165" s="1731"/>
      <c r="AH165" s="1731"/>
      <c r="AI165" s="1731"/>
      <c r="AJ165" s="1731"/>
      <c r="AK165" s="1731"/>
      <c r="AL165" s="108"/>
      <c r="AN165" s="281"/>
      <c r="AO165" s="4" t="s">
        <v>132</v>
      </c>
      <c r="AP165" s="486">
        <v>0</v>
      </c>
    </row>
    <row r="166" spans="1:42" s="4" customFormat="1" ht="12.8" customHeight="1">
      <c r="A166" s="120"/>
      <c r="D166" s="26"/>
      <c r="E166" s="1670"/>
      <c r="F166" s="1670"/>
      <c r="G166" s="1670"/>
      <c r="H166" s="1670"/>
      <c r="I166" s="1670"/>
      <c r="J166" s="1670"/>
      <c r="K166" s="1670"/>
      <c r="L166" s="1670"/>
      <c r="M166" s="1670"/>
      <c r="N166" s="1670"/>
      <c r="O166" s="1670"/>
      <c r="P166" s="1670"/>
      <c r="Q166" s="1670"/>
      <c r="R166" s="1670"/>
      <c r="S166" s="1670"/>
      <c r="T166" s="1670"/>
      <c r="U166" s="1670"/>
      <c r="V166" s="1670"/>
      <c r="W166" s="1670"/>
      <c r="X166" s="1670"/>
      <c r="Y166" s="1670"/>
      <c r="Z166" s="1670"/>
      <c r="AA166" s="1670"/>
      <c r="AB166" s="1670"/>
      <c r="AC166" s="1670"/>
      <c r="AF166" s="5"/>
      <c r="AN166" s="281"/>
      <c r="AO166" s="26" t="s">
        <v>612</v>
      </c>
      <c r="AP166" s="4">
        <v>3</v>
      </c>
    </row>
    <row r="167" spans="1:42" s="4" customFormat="1" ht="12.8"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8" customHeight="1">
      <c r="A168" s="111"/>
      <c r="B168" s="5"/>
      <c r="C168" s="126"/>
      <c r="D168" s="26" t="s">
        <v>767</v>
      </c>
      <c r="E168" s="1670" t="s">
        <v>1792</v>
      </c>
      <c r="F168" s="1670"/>
      <c r="G168" s="1670"/>
      <c r="H168" s="1670"/>
      <c r="I168" s="1670"/>
      <c r="J168" s="1670"/>
      <c r="K168" s="1670"/>
      <c r="L168" s="1670"/>
      <c r="M168" s="1670"/>
      <c r="N168" s="1670"/>
      <c r="O168" s="1670"/>
      <c r="P168" s="1670"/>
      <c r="Q168" s="1670"/>
      <c r="R168" s="1670"/>
      <c r="S168" s="1670"/>
      <c r="T168" s="1670"/>
      <c r="U168" s="1670"/>
      <c r="V168" s="1670"/>
      <c r="W168" s="1670"/>
      <c r="X168" s="1670"/>
      <c r="Y168" s="1670"/>
      <c r="Z168" s="1670"/>
      <c r="AA168" s="1670"/>
      <c r="AB168" s="1670"/>
      <c r="AC168" s="1670"/>
      <c r="AF168" s="1731" t="s">
        <v>64</v>
      </c>
      <c r="AG168" s="1731"/>
      <c r="AH168" s="1731"/>
      <c r="AI168" s="1731"/>
      <c r="AJ168" s="1731"/>
      <c r="AK168" s="1731"/>
      <c r="AL168" s="1731"/>
      <c r="AN168" s="281"/>
    </row>
    <row r="169" spans="1:42" s="4" customFormat="1" ht="12.8" customHeight="1">
      <c r="A169" s="111"/>
      <c r="B169" s="5"/>
      <c r="C169" s="126"/>
      <c r="D169" s="26"/>
      <c r="E169" s="1670"/>
      <c r="F169" s="1670"/>
      <c r="G169" s="1670"/>
      <c r="H169" s="1670"/>
      <c r="I169" s="1670"/>
      <c r="J169" s="1670"/>
      <c r="K169" s="1670"/>
      <c r="L169" s="1670"/>
      <c r="M169" s="1670"/>
      <c r="N169" s="1670"/>
      <c r="O169" s="1670"/>
      <c r="P169" s="1670"/>
      <c r="Q169" s="1670"/>
      <c r="R169" s="1670"/>
      <c r="S169" s="1670"/>
      <c r="T169" s="1670"/>
      <c r="U169" s="1670"/>
      <c r="V169" s="1670"/>
      <c r="W169" s="1670"/>
      <c r="X169" s="1670"/>
      <c r="Y169" s="1670"/>
      <c r="Z169" s="1670"/>
      <c r="AA169" s="1670"/>
      <c r="AB169" s="1670"/>
      <c r="AC169" s="1670"/>
      <c r="AE169" s="108"/>
      <c r="AF169" s="108"/>
      <c r="AG169" s="108"/>
      <c r="AH169" s="108"/>
      <c r="AI169" s="108"/>
      <c r="AJ169" s="108"/>
      <c r="AK169" s="108"/>
      <c r="AL169" s="108"/>
      <c r="AM169" s="20"/>
      <c r="AN169" s="281"/>
    </row>
    <row r="170" spans="1:42" s="4" customFormat="1" ht="12.8" customHeight="1">
      <c r="A170" s="111"/>
      <c r="B170" s="5"/>
      <c r="C170" s="126"/>
      <c r="D170" s="26"/>
      <c r="E170" s="1670"/>
      <c r="F170" s="1670"/>
      <c r="G170" s="1670"/>
      <c r="H170" s="1670"/>
      <c r="I170" s="1670"/>
      <c r="J170" s="1670"/>
      <c r="K170" s="1670"/>
      <c r="L170" s="1670"/>
      <c r="M170" s="1670"/>
      <c r="N170" s="1670"/>
      <c r="O170" s="1670"/>
      <c r="P170" s="1670"/>
      <c r="Q170" s="1670"/>
      <c r="R170" s="1670"/>
      <c r="S170" s="1670"/>
      <c r="T170" s="1670"/>
      <c r="U170" s="1670"/>
      <c r="V170" s="1670"/>
      <c r="W170" s="1670"/>
      <c r="X170" s="1670"/>
      <c r="Y170" s="1670"/>
      <c r="Z170" s="1670"/>
      <c r="AA170" s="1670"/>
      <c r="AB170" s="1670"/>
      <c r="AC170" s="1670"/>
      <c r="AE170" s="108"/>
      <c r="AF170" s="108"/>
      <c r="AG170" s="108"/>
      <c r="AH170" s="108"/>
      <c r="AI170" s="108"/>
      <c r="AJ170" s="108"/>
      <c r="AK170" s="108"/>
      <c r="AL170" s="108"/>
      <c r="AM170" s="20"/>
      <c r="AN170" s="281"/>
    </row>
    <row r="171" spans="1:42" s="4" customFormat="1" ht="12.8"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8" customHeight="1">
      <c r="B172" s="5"/>
      <c r="C172" s="45"/>
      <c r="D172" s="26" t="s">
        <v>768</v>
      </c>
      <c r="E172" s="1670" t="s">
        <v>1793</v>
      </c>
      <c r="F172" s="1670"/>
      <c r="G172" s="1670"/>
      <c r="H172" s="1670"/>
      <c r="I172" s="1670"/>
      <c r="J172" s="1670"/>
      <c r="K172" s="1670"/>
      <c r="L172" s="1670"/>
      <c r="M172" s="1670"/>
      <c r="N172" s="1670"/>
      <c r="O172" s="1670"/>
      <c r="P172" s="1670"/>
      <c r="Q172" s="1670"/>
      <c r="R172" s="1670"/>
      <c r="S172" s="1670"/>
      <c r="T172" s="1670"/>
      <c r="U172" s="1670"/>
      <c r="V172" s="1670"/>
      <c r="W172" s="1670"/>
      <c r="X172" s="1670"/>
      <c r="Y172" s="1670"/>
      <c r="Z172" s="1670"/>
      <c r="AA172" s="1670"/>
      <c r="AB172" s="1670"/>
      <c r="AC172" s="1670"/>
      <c r="AF172" s="1731" t="s">
        <v>65</v>
      </c>
      <c r="AG172" s="1731"/>
      <c r="AH172" s="1731"/>
      <c r="AI172" s="1731"/>
      <c r="AJ172" s="1731"/>
      <c r="AK172" s="1731"/>
      <c r="AL172" s="1731"/>
      <c r="AM172" s="20"/>
      <c r="AN172" s="281"/>
    </row>
    <row r="173" spans="1:42" s="4" customFormat="1" ht="12.8" customHeight="1">
      <c r="B173" s="5"/>
      <c r="C173" s="45"/>
      <c r="D173" s="26"/>
      <c r="E173" s="1670"/>
      <c r="F173" s="1670"/>
      <c r="G173" s="1670"/>
      <c r="H173" s="1670"/>
      <c r="I173" s="1670"/>
      <c r="J173" s="1670"/>
      <c r="K173" s="1670"/>
      <c r="L173" s="1670"/>
      <c r="M173" s="1670"/>
      <c r="N173" s="1670"/>
      <c r="O173" s="1670"/>
      <c r="P173" s="1670"/>
      <c r="Q173" s="1670"/>
      <c r="R173" s="1670"/>
      <c r="S173" s="1670"/>
      <c r="T173" s="1670"/>
      <c r="U173" s="1670"/>
      <c r="V173" s="1670"/>
      <c r="W173" s="1670"/>
      <c r="X173" s="1670"/>
      <c r="Y173" s="1670"/>
      <c r="Z173" s="1670"/>
      <c r="AA173" s="1670"/>
      <c r="AB173" s="1670"/>
      <c r="AC173" s="1670"/>
      <c r="AF173" s="5"/>
      <c r="AM173" s="20"/>
      <c r="AN173" s="281"/>
    </row>
    <row r="174" spans="1:42" s="4" customFormat="1" ht="12.8" customHeight="1">
      <c r="B174" s="5"/>
      <c r="C174" s="45"/>
      <c r="D174" s="26"/>
      <c r="E174" s="1670"/>
      <c r="F174" s="1670"/>
      <c r="G174" s="1670"/>
      <c r="H174" s="1670"/>
      <c r="I174" s="1670"/>
      <c r="J174" s="1670"/>
      <c r="K174" s="1670"/>
      <c r="L174" s="1670"/>
      <c r="M174" s="1670"/>
      <c r="N174" s="1670"/>
      <c r="O174" s="1670"/>
      <c r="P174" s="1670"/>
      <c r="Q174" s="1670"/>
      <c r="R174" s="1670"/>
      <c r="S174" s="1670"/>
      <c r="T174" s="1670"/>
      <c r="U174" s="1670"/>
      <c r="V174" s="1670"/>
      <c r="W174" s="1670"/>
      <c r="X174" s="1670"/>
      <c r="Y174" s="1670"/>
      <c r="Z174" s="1670"/>
      <c r="AA174" s="1670"/>
      <c r="AB174" s="1670"/>
      <c r="AC174" s="1670"/>
      <c r="AF174" s="5"/>
      <c r="AM174" s="20"/>
      <c r="AN174" s="281"/>
    </row>
    <row r="175" spans="1:42" s="4" customFormat="1" ht="12.8" customHeight="1">
      <c r="B175" s="5"/>
      <c r="C175" s="45"/>
      <c r="D175" s="26"/>
      <c r="AM175" s="20"/>
      <c r="AN175" s="281"/>
    </row>
    <row r="176" spans="1:42" s="4" customFormat="1" ht="12.8" customHeight="1">
      <c r="A176" s="120"/>
      <c r="B176" s="5"/>
      <c r="C176" s="45"/>
      <c r="D176" s="26" t="s">
        <v>295</v>
      </c>
      <c r="E176" s="1670" t="s">
        <v>1542</v>
      </c>
      <c r="F176" s="1670"/>
      <c r="G176" s="1670"/>
      <c r="H176" s="1670"/>
      <c r="I176" s="1670"/>
      <c r="J176" s="1670"/>
      <c r="K176" s="1670"/>
      <c r="L176" s="1670"/>
      <c r="M176" s="1670"/>
      <c r="N176" s="1670"/>
      <c r="O176" s="1670"/>
      <c r="P176" s="1670"/>
      <c r="Q176" s="1670"/>
      <c r="R176" s="1670"/>
      <c r="S176" s="1670"/>
      <c r="T176" s="1670"/>
      <c r="U176" s="1670"/>
      <c r="V176" s="1670"/>
      <c r="W176" s="1670"/>
      <c r="X176" s="1670"/>
      <c r="Y176" s="1670"/>
      <c r="Z176" s="1670"/>
      <c r="AA176" s="1670"/>
      <c r="AB176" s="1670"/>
      <c r="AC176" s="1670"/>
      <c r="AF176" s="1731" t="s">
        <v>111</v>
      </c>
      <c r="AG176" s="1731"/>
      <c r="AH176" s="1731"/>
      <c r="AI176" s="1731"/>
      <c r="AJ176" s="1731"/>
      <c r="AK176" s="1731"/>
      <c r="AL176" s="1731"/>
      <c r="AM176" s="20"/>
      <c r="AN176" s="281"/>
    </row>
    <row r="177" spans="1:42" s="4" customFormat="1" ht="23.1" customHeight="1">
      <c r="A177" s="120"/>
      <c r="B177" s="5"/>
      <c r="C177" s="45"/>
      <c r="D177" s="26"/>
      <c r="E177" s="1670"/>
      <c r="F177" s="1670"/>
      <c r="G177" s="1670"/>
      <c r="H177" s="1670"/>
      <c r="I177" s="1670"/>
      <c r="J177" s="1670"/>
      <c r="K177" s="1670"/>
      <c r="L177" s="1670"/>
      <c r="M177" s="1670"/>
      <c r="N177" s="1670"/>
      <c r="O177" s="1670"/>
      <c r="P177" s="1670"/>
      <c r="Q177" s="1670"/>
      <c r="R177" s="1670"/>
      <c r="S177" s="1670"/>
      <c r="T177" s="1670"/>
      <c r="U177" s="1670"/>
      <c r="V177" s="1670"/>
      <c r="W177" s="1670"/>
      <c r="X177" s="1670"/>
      <c r="Y177" s="1670"/>
      <c r="Z177" s="1670"/>
      <c r="AA177" s="1670"/>
      <c r="AB177" s="1670"/>
      <c r="AC177" s="1670"/>
      <c r="AE177" s="108"/>
      <c r="AF177" s="108"/>
      <c r="AG177" s="108"/>
      <c r="AH177" s="108"/>
      <c r="AI177" s="108"/>
      <c r="AJ177" s="108"/>
      <c r="AK177" s="108"/>
      <c r="AL177" s="108"/>
      <c r="AM177" s="20"/>
      <c r="AN177" s="281"/>
    </row>
    <row r="178" spans="1:42" s="4" customFormat="1" ht="12.8"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8" customHeight="1">
      <c r="A179" s="120"/>
      <c r="B179" s="5"/>
      <c r="C179" s="45"/>
      <c r="D179" s="26" t="s">
        <v>296</v>
      </c>
      <c r="E179" s="1670" t="s">
        <v>1543</v>
      </c>
      <c r="F179" s="1670"/>
      <c r="G179" s="1670"/>
      <c r="H179" s="1670"/>
      <c r="I179" s="1670"/>
      <c r="J179" s="1670"/>
      <c r="K179" s="1670"/>
      <c r="L179" s="1670"/>
      <c r="M179" s="1670"/>
      <c r="N179" s="1670"/>
      <c r="O179" s="1670"/>
      <c r="P179" s="1670"/>
      <c r="Q179" s="1670"/>
      <c r="R179" s="1670"/>
      <c r="S179" s="1670"/>
      <c r="T179" s="1670"/>
      <c r="U179" s="1670"/>
      <c r="V179" s="1670"/>
      <c r="W179" s="1670"/>
      <c r="X179" s="1670"/>
      <c r="Y179" s="1670"/>
      <c r="Z179" s="1670"/>
      <c r="AA179" s="1670"/>
      <c r="AB179" s="1670"/>
      <c r="AC179" s="1670"/>
      <c r="AF179" s="1731" t="s">
        <v>339</v>
      </c>
      <c r="AG179" s="1731"/>
      <c r="AH179" s="1731"/>
      <c r="AI179" s="1731"/>
      <c r="AJ179" s="1731"/>
      <c r="AK179" s="1731"/>
      <c r="AL179" s="1731"/>
      <c r="AM179" s="20"/>
      <c r="AN179" s="281"/>
      <c r="AO179" s="26" t="s">
        <v>612</v>
      </c>
      <c r="AP179" s="4">
        <v>3</v>
      </c>
    </row>
    <row r="180" spans="1:42" s="4" customFormat="1" ht="23.1" customHeight="1">
      <c r="A180" s="120"/>
      <c r="B180" s="5"/>
      <c r="C180" s="45"/>
      <c r="D180" s="26"/>
      <c r="E180" s="1670"/>
      <c r="F180" s="1670"/>
      <c r="G180" s="1670"/>
      <c r="H180" s="1670"/>
      <c r="I180" s="1670"/>
      <c r="J180" s="1670"/>
      <c r="K180" s="1670"/>
      <c r="L180" s="1670"/>
      <c r="M180" s="1670"/>
      <c r="N180" s="1670"/>
      <c r="O180" s="1670"/>
      <c r="P180" s="1670"/>
      <c r="Q180" s="1670"/>
      <c r="R180" s="1670"/>
      <c r="S180" s="1670"/>
      <c r="T180" s="1670"/>
      <c r="U180" s="1670"/>
      <c r="V180" s="1670"/>
      <c r="W180" s="1670"/>
      <c r="X180" s="1670"/>
      <c r="Y180" s="1670"/>
      <c r="Z180" s="1670"/>
      <c r="AA180" s="1670"/>
      <c r="AB180" s="1670"/>
      <c r="AC180" s="1670"/>
      <c r="AE180" s="108"/>
      <c r="AF180" s="108"/>
      <c r="AG180" s="108"/>
      <c r="AH180" s="108"/>
      <c r="AI180" s="108"/>
      <c r="AJ180" s="108"/>
      <c r="AK180" s="108"/>
      <c r="AL180" s="108"/>
      <c r="AM180" s="20"/>
      <c r="AN180" s="281"/>
      <c r="AO180" s="26" t="s">
        <v>208</v>
      </c>
      <c r="AP180" s="26">
        <v>2</v>
      </c>
    </row>
    <row r="181" spans="1:42" s="4" customFormat="1" ht="12.8"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8" customHeight="1">
      <c r="A182" s="120"/>
      <c r="B182" s="5"/>
      <c r="C182" s="45"/>
      <c r="D182" s="4" t="s">
        <v>157</v>
      </c>
      <c r="E182" s="116"/>
      <c r="F182" s="116"/>
      <c r="G182" s="116"/>
      <c r="H182" s="1836" t="s">
        <v>612</v>
      </c>
      <c r="I182" s="1836"/>
      <c r="J182" s="19"/>
      <c r="K182" s="19"/>
      <c r="AN182" s="281"/>
    </row>
    <row r="183" spans="1:42" s="4" customFormat="1" ht="12.8"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8"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35">
        <f>VLOOKUP($H$182,$AO$132:$AP$139,2,FALSE)</f>
        <v>5</v>
      </c>
      <c r="AK184" s="1237"/>
      <c r="AL184" s="10"/>
      <c r="AN184" s="281"/>
    </row>
    <row r="185" spans="1:42" s="4" customFormat="1" ht="12.8"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8" customHeight="1">
      <c r="A186" s="120"/>
      <c r="C186" s="3" t="s">
        <v>2346</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8" customHeight="1">
      <c r="A187" s="120"/>
      <c r="B187" s="5"/>
      <c r="C187" s="130"/>
      <c r="AD187" s="5"/>
      <c r="AN187" s="281"/>
    </row>
    <row r="188" spans="1:42" s="4" customFormat="1" ht="12.8" customHeight="1">
      <c r="C188" s="45"/>
      <c r="D188" s="26" t="s">
        <v>612</v>
      </c>
      <c r="E188" s="1670" t="s">
        <v>2344</v>
      </c>
      <c r="F188" s="1670"/>
      <c r="G188" s="1670"/>
      <c r="H188" s="1670"/>
      <c r="I188" s="1670"/>
      <c r="J188" s="1670"/>
      <c r="K188" s="1670"/>
      <c r="L188" s="1670"/>
      <c r="M188" s="1670"/>
      <c r="N188" s="1670"/>
      <c r="O188" s="1670"/>
      <c r="P188" s="1670"/>
      <c r="Q188" s="1670"/>
      <c r="R188" s="1670"/>
      <c r="S188" s="1670"/>
      <c r="T188" s="1670"/>
      <c r="U188" s="1670"/>
      <c r="V188" s="1670"/>
      <c r="W188" s="1670"/>
      <c r="X188" s="1670"/>
      <c r="Y188" s="1670"/>
      <c r="Z188" s="1670"/>
      <c r="AA188" s="1670"/>
      <c r="AB188" s="1670"/>
      <c r="AF188" s="1731" t="s">
        <v>65</v>
      </c>
      <c r="AG188" s="1731"/>
      <c r="AH188" s="1731"/>
      <c r="AI188" s="1731"/>
      <c r="AJ188" s="1731"/>
      <c r="AK188" s="1731"/>
      <c r="AL188" s="1731"/>
      <c r="AN188" s="281"/>
    </row>
    <row r="189" spans="1:42" s="4" customFormat="1" ht="12.8" customHeight="1">
      <c r="B189" s="5"/>
      <c r="C189" s="121"/>
      <c r="D189" s="26"/>
      <c r="E189" s="1670"/>
      <c r="F189" s="1670"/>
      <c r="G189" s="1670"/>
      <c r="H189" s="1670"/>
      <c r="I189" s="1670"/>
      <c r="J189" s="1670"/>
      <c r="K189" s="1670"/>
      <c r="L189" s="1670"/>
      <c r="M189" s="1670"/>
      <c r="N189" s="1670"/>
      <c r="O189" s="1670"/>
      <c r="P189" s="1670"/>
      <c r="Q189" s="1670"/>
      <c r="R189" s="1670"/>
      <c r="S189" s="1670"/>
      <c r="T189" s="1670"/>
      <c r="U189" s="1670"/>
      <c r="V189" s="1670"/>
      <c r="W189" s="1670"/>
      <c r="X189" s="1670"/>
      <c r="Y189" s="1670"/>
      <c r="Z189" s="1670"/>
      <c r="AA189" s="1670"/>
      <c r="AB189" s="1670"/>
      <c r="AE189" s="19"/>
      <c r="AN189" s="281"/>
      <c r="AO189" s="1388"/>
      <c r="AP189" s="1388"/>
    </row>
    <row r="190" spans="1:42" s="4" customFormat="1" ht="12.8" customHeight="1">
      <c r="B190" s="5"/>
      <c r="C190" s="121"/>
      <c r="D190" s="26"/>
      <c r="E190" s="1670"/>
      <c r="F190" s="1670"/>
      <c r="G190" s="1670"/>
      <c r="H190" s="1670"/>
      <c r="I190" s="1670"/>
      <c r="J190" s="1670"/>
      <c r="K190" s="1670"/>
      <c r="L190" s="1670"/>
      <c r="M190" s="1670"/>
      <c r="N190" s="1670"/>
      <c r="O190" s="1670"/>
      <c r="P190" s="1670"/>
      <c r="Q190" s="1670"/>
      <c r="R190" s="1670"/>
      <c r="S190" s="1670"/>
      <c r="T190" s="1670"/>
      <c r="U190" s="1670"/>
      <c r="V190" s="1670"/>
      <c r="W190" s="1670"/>
      <c r="X190" s="1670"/>
      <c r="Y190" s="1670"/>
      <c r="Z190" s="1670"/>
      <c r="AA190" s="1670"/>
      <c r="AB190" s="1670"/>
      <c r="AE190" s="19"/>
      <c r="AF190" s="102"/>
      <c r="AG190" s="19"/>
      <c r="AH190" s="19"/>
      <c r="AI190" s="19"/>
      <c r="AJ190" s="19"/>
      <c r="AK190" s="19"/>
      <c r="AL190" s="19"/>
      <c r="AN190" s="281"/>
    </row>
    <row r="191" spans="1:42" s="4" customFormat="1" ht="11.3" customHeight="1">
      <c r="B191" s="5"/>
      <c r="C191" s="121"/>
      <c r="D191" s="26"/>
      <c r="E191" s="1670"/>
      <c r="F191" s="1670"/>
      <c r="G191" s="1670"/>
      <c r="H191" s="1670"/>
      <c r="I191" s="1670"/>
      <c r="J191" s="1670"/>
      <c r="K191" s="1670"/>
      <c r="L191" s="1670"/>
      <c r="M191" s="1670"/>
      <c r="N191" s="1670"/>
      <c r="O191" s="1670"/>
      <c r="P191" s="1670"/>
      <c r="Q191" s="1670"/>
      <c r="R191" s="1670"/>
      <c r="S191" s="1670"/>
      <c r="T191" s="1670"/>
      <c r="U191" s="1670"/>
      <c r="V191" s="1670"/>
      <c r="W191" s="1670"/>
      <c r="X191" s="1670"/>
      <c r="Y191" s="1670"/>
      <c r="Z191" s="1670"/>
      <c r="AA191" s="1670"/>
      <c r="AB191" s="1670"/>
      <c r="AE191" s="19"/>
      <c r="AF191" s="102"/>
      <c r="AG191" s="19"/>
      <c r="AH191" s="19"/>
      <c r="AI191" s="19"/>
      <c r="AJ191" s="19"/>
      <c r="AK191" s="19"/>
      <c r="AL191" s="19"/>
      <c r="AN191" s="281"/>
      <c r="AO191" s="4" t="s">
        <v>132</v>
      </c>
      <c r="AP191" s="486">
        <v>0</v>
      </c>
    </row>
    <row r="192" spans="1:42" s="4" customFormat="1" ht="12.8"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8" customHeight="1">
      <c r="B193" s="5"/>
      <c r="C193" s="45"/>
      <c r="D193" s="26" t="s">
        <v>208</v>
      </c>
      <c r="E193" s="1670" t="s">
        <v>2345</v>
      </c>
      <c r="F193" s="1670"/>
      <c r="G193" s="1670"/>
      <c r="H193" s="1670"/>
      <c r="I193" s="1670"/>
      <c r="J193" s="1670"/>
      <c r="K193" s="1670"/>
      <c r="L193" s="1670"/>
      <c r="M193" s="1670"/>
      <c r="N193" s="1670"/>
      <c r="O193" s="1670"/>
      <c r="P193" s="1670"/>
      <c r="Q193" s="1670"/>
      <c r="R193" s="1670"/>
      <c r="S193" s="1670"/>
      <c r="T193" s="1670"/>
      <c r="U193" s="1670"/>
      <c r="V193" s="1670"/>
      <c r="W193" s="1670"/>
      <c r="X193" s="1670"/>
      <c r="Y193" s="1670"/>
      <c r="Z193" s="1670"/>
      <c r="AA193" s="1670"/>
      <c r="AB193" s="1670"/>
      <c r="AF193" s="1731" t="s">
        <v>111</v>
      </c>
      <c r="AG193" s="1731"/>
      <c r="AH193" s="1731"/>
      <c r="AI193" s="1731"/>
      <c r="AJ193" s="1731"/>
      <c r="AK193" s="1731"/>
      <c r="AL193" s="1731"/>
      <c r="AN193" s="281"/>
      <c r="AO193" s="26" t="s">
        <v>208</v>
      </c>
      <c r="AP193" s="4">
        <v>1</v>
      </c>
    </row>
    <row r="194" spans="1:42" s="4" customFormat="1" ht="12.8" customHeight="1">
      <c r="B194" s="5"/>
      <c r="C194" s="45"/>
      <c r="E194" s="1670"/>
      <c r="F194" s="1670"/>
      <c r="G194" s="1670"/>
      <c r="H194" s="1670"/>
      <c r="I194" s="1670"/>
      <c r="J194" s="1670"/>
      <c r="K194" s="1670"/>
      <c r="L194" s="1670"/>
      <c r="M194" s="1670"/>
      <c r="N194" s="1670"/>
      <c r="O194" s="1670"/>
      <c r="P194" s="1670"/>
      <c r="Q194" s="1670"/>
      <c r="R194" s="1670"/>
      <c r="S194" s="1670"/>
      <c r="T194" s="1670"/>
      <c r="U194" s="1670"/>
      <c r="V194" s="1670"/>
      <c r="W194" s="1670"/>
      <c r="X194" s="1670"/>
      <c r="Y194" s="1670"/>
      <c r="Z194" s="1670"/>
      <c r="AA194" s="1670"/>
      <c r="AB194" s="1670"/>
      <c r="AD194" s="5"/>
      <c r="AE194" s="19"/>
      <c r="AN194" s="281"/>
    </row>
    <row r="195" spans="1:42" s="4" customFormat="1" ht="12.8" customHeight="1">
      <c r="B195" s="5"/>
      <c r="C195" s="45"/>
      <c r="E195" s="1670"/>
      <c r="F195" s="1670"/>
      <c r="G195" s="1670"/>
      <c r="H195" s="1670"/>
      <c r="I195" s="1670"/>
      <c r="J195" s="1670"/>
      <c r="K195" s="1670"/>
      <c r="L195" s="1670"/>
      <c r="M195" s="1670"/>
      <c r="N195" s="1670"/>
      <c r="O195" s="1670"/>
      <c r="P195" s="1670"/>
      <c r="Q195" s="1670"/>
      <c r="R195" s="1670"/>
      <c r="S195" s="1670"/>
      <c r="T195" s="1670"/>
      <c r="U195" s="1670"/>
      <c r="V195" s="1670"/>
      <c r="W195" s="1670"/>
      <c r="X195" s="1670"/>
      <c r="Y195" s="1670"/>
      <c r="Z195" s="1670"/>
      <c r="AA195" s="1670"/>
      <c r="AB195" s="1670"/>
      <c r="AD195" s="5"/>
      <c r="AE195" s="19"/>
      <c r="AN195" s="281"/>
    </row>
    <row r="196" spans="1:42" customFormat="1" ht="12.8" customHeight="1">
      <c r="A196" s="4"/>
      <c r="B196" s="5"/>
      <c r="C196" s="45"/>
      <c r="D196" s="4"/>
      <c r="E196" s="1670"/>
      <c r="F196" s="1670"/>
      <c r="G196" s="1670"/>
      <c r="H196" s="1670"/>
      <c r="I196" s="1670"/>
      <c r="J196" s="1670"/>
      <c r="K196" s="1670"/>
      <c r="L196" s="1670"/>
      <c r="M196" s="1670"/>
      <c r="N196" s="1670"/>
      <c r="O196" s="1670"/>
      <c r="P196" s="1670"/>
      <c r="Q196" s="1670"/>
      <c r="R196" s="1670"/>
      <c r="S196" s="1670"/>
      <c r="T196" s="1670"/>
      <c r="U196" s="1670"/>
      <c r="V196" s="1670"/>
      <c r="W196" s="1670"/>
      <c r="X196" s="1670"/>
      <c r="Y196" s="1670"/>
      <c r="Z196" s="1670"/>
      <c r="AA196" s="1670"/>
      <c r="AB196" s="1670"/>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8" customHeight="1">
      <c r="A198" s="4"/>
      <c r="B198" s="5"/>
      <c r="C198" s="45"/>
      <c r="D198" s="4"/>
      <c r="E198" s="1733" t="s">
        <v>2050</v>
      </c>
      <c r="F198" s="1733"/>
      <c r="G198" s="1733"/>
      <c r="H198" s="1733"/>
      <c r="I198" s="1733"/>
      <c r="J198" s="1733"/>
      <c r="K198" s="1733"/>
      <c r="L198" s="1733"/>
      <c r="M198" s="1733"/>
      <c r="N198" s="1733"/>
      <c r="O198" s="1733"/>
      <c r="P198" s="1733"/>
      <c r="Q198" s="1733"/>
      <c r="R198" s="1733"/>
      <c r="S198" s="1733"/>
      <c r="T198" s="1733"/>
      <c r="U198" s="1733"/>
      <c r="V198" s="1733"/>
      <c r="W198" s="1733"/>
      <c r="X198" s="1733"/>
      <c r="Y198" s="1733"/>
      <c r="Z198" s="1733"/>
      <c r="AA198" s="1733"/>
      <c r="AB198" s="1733"/>
      <c r="AC198" s="4"/>
      <c r="AD198" s="5"/>
      <c r="AE198" s="19"/>
      <c r="AF198" s="19"/>
      <c r="AG198" s="19"/>
      <c r="AH198" s="19"/>
      <c r="AI198" s="19"/>
      <c r="AJ198" s="4"/>
      <c r="AK198" s="4"/>
      <c r="AL198" s="4"/>
      <c r="AM198" s="4"/>
      <c r="AN198" s="204"/>
    </row>
    <row r="199" spans="1:42" customFormat="1" ht="12.8" customHeight="1">
      <c r="A199" s="4"/>
      <c r="B199" s="5"/>
      <c r="C199" s="45"/>
      <c r="D199" s="4"/>
      <c r="E199" s="1733"/>
      <c r="F199" s="1733"/>
      <c r="G199" s="1733"/>
      <c r="H199" s="1733"/>
      <c r="I199" s="1733"/>
      <c r="J199" s="1733"/>
      <c r="K199" s="1733"/>
      <c r="L199" s="1733"/>
      <c r="M199" s="1733"/>
      <c r="N199" s="1733"/>
      <c r="O199" s="1733"/>
      <c r="P199" s="1733"/>
      <c r="Q199" s="1733"/>
      <c r="R199" s="1733"/>
      <c r="S199" s="1733"/>
      <c r="T199" s="1733"/>
      <c r="U199" s="1733"/>
      <c r="V199" s="1733"/>
      <c r="W199" s="1733"/>
      <c r="X199" s="1733"/>
      <c r="Y199" s="1733"/>
      <c r="Z199" s="1733"/>
      <c r="AA199" s="1733"/>
      <c r="AB199" s="1733"/>
      <c r="AC199" s="4"/>
      <c r="AD199" s="5"/>
      <c r="AE199" s="19"/>
      <c r="AF199" s="19"/>
      <c r="AG199" s="19"/>
      <c r="AH199" s="19"/>
      <c r="AI199" s="19"/>
      <c r="AJ199" s="4"/>
      <c r="AK199" s="4"/>
      <c r="AL199" s="4"/>
      <c r="AM199" s="4"/>
      <c r="AN199" s="204"/>
    </row>
    <row r="200" spans="1:42" customFormat="1" ht="18" customHeight="1">
      <c r="A200" s="4"/>
      <c r="B200" s="5"/>
      <c r="C200" s="45"/>
      <c r="D200" s="4"/>
      <c r="E200" s="1733"/>
      <c r="F200" s="1733"/>
      <c r="G200" s="1733"/>
      <c r="H200" s="1733"/>
      <c r="I200" s="1733"/>
      <c r="J200" s="1733"/>
      <c r="K200" s="1733"/>
      <c r="L200" s="1733"/>
      <c r="M200" s="1733"/>
      <c r="N200" s="1733"/>
      <c r="O200" s="1733"/>
      <c r="P200" s="1733"/>
      <c r="Q200" s="1733"/>
      <c r="R200" s="1733"/>
      <c r="S200" s="1733"/>
      <c r="T200" s="1733"/>
      <c r="U200" s="1733"/>
      <c r="V200" s="1733"/>
      <c r="W200" s="1733"/>
      <c r="X200" s="1733"/>
      <c r="Y200" s="1733"/>
      <c r="Z200" s="1733"/>
      <c r="AA200" s="1733"/>
      <c r="AB200" s="1733"/>
      <c r="AC200" s="4"/>
      <c r="AD200" s="5"/>
      <c r="AE200" s="19"/>
      <c r="AF200" s="19"/>
      <c r="AG200" s="19"/>
      <c r="AH200" s="19"/>
      <c r="AI200" s="19"/>
      <c r="AJ200" s="4"/>
      <c r="AK200" s="4"/>
      <c r="AL200" s="4"/>
      <c r="AM200" s="4"/>
      <c r="AN200" s="204"/>
    </row>
    <row r="201" spans="1:42" customFormat="1" ht="12.8" customHeight="1">
      <c r="A201" s="4"/>
      <c r="B201" s="5"/>
      <c r="C201" s="45"/>
      <c r="D201" s="4" t="s">
        <v>157</v>
      </c>
      <c r="E201" s="116"/>
      <c r="F201" s="116"/>
      <c r="G201" s="116"/>
      <c r="H201" s="1836" t="s">
        <v>612</v>
      </c>
      <c r="I201" s="1836"/>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8"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2334</v>
      </c>
      <c r="AJ203" s="1235">
        <f>VLOOKUP($H$201,$AO$151:$AP$153,2,FALSE)</f>
        <v>3</v>
      </c>
      <c r="AK203" s="1237"/>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8"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8"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8" customHeight="1">
      <c r="A207" s="35"/>
      <c r="B207" s="4"/>
      <c r="C207" s="45"/>
      <c r="D207" s="26" t="s">
        <v>612</v>
      </c>
      <c r="E207" s="1834" t="s">
        <v>1307</v>
      </c>
      <c r="F207" s="1834"/>
      <c r="G207" s="1834"/>
      <c r="H207" s="1834"/>
      <c r="I207" s="1834"/>
      <c r="J207" s="1834"/>
      <c r="K207" s="1834"/>
      <c r="L207" s="1834"/>
      <c r="M207" s="1834"/>
      <c r="N207" s="1834"/>
      <c r="O207" s="1834"/>
      <c r="P207" s="1834"/>
      <c r="Q207" s="1834"/>
      <c r="R207" s="1834"/>
      <c r="S207" s="1834"/>
      <c r="T207" s="1834"/>
      <c r="U207" s="1834"/>
      <c r="V207" s="1834"/>
      <c r="W207" s="1834"/>
      <c r="X207" s="1834"/>
      <c r="Y207" s="1834"/>
      <c r="Z207" s="1834"/>
      <c r="AA207" s="1834"/>
      <c r="AB207" s="1834"/>
      <c r="AC207" s="4"/>
      <c r="AD207" s="4"/>
      <c r="AF207" s="1731" t="s">
        <v>65</v>
      </c>
      <c r="AG207" s="1731"/>
      <c r="AH207" s="1731"/>
      <c r="AI207" s="1731"/>
      <c r="AJ207" s="1731"/>
      <c r="AK207" s="1731"/>
      <c r="AL207" s="1731"/>
      <c r="AM207" s="4"/>
      <c r="AN207" s="204"/>
      <c r="AP207" t="s">
        <v>106</v>
      </c>
    </row>
    <row r="208" spans="1:42" customFormat="1" ht="11.8" customHeight="1">
      <c r="A208" s="4"/>
      <c r="B208" s="5"/>
      <c r="C208" s="115"/>
      <c r="D208" s="26"/>
      <c r="E208" s="1834"/>
      <c r="F208" s="1834"/>
      <c r="G208" s="1834"/>
      <c r="H208" s="1834"/>
      <c r="I208" s="1834"/>
      <c r="J208" s="1834"/>
      <c r="K208" s="1834"/>
      <c r="L208" s="1834"/>
      <c r="M208" s="1834"/>
      <c r="N208" s="1834"/>
      <c r="O208" s="1834"/>
      <c r="P208" s="1834"/>
      <c r="Q208" s="1834"/>
      <c r="R208" s="1834"/>
      <c r="S208" s="1834"/>
      <c r="T208" s="1834"/>
      <c r="U208" s="1834"/>
      <c r="V208" s="1834"/>
      <c r="W208" s="1834"/>
      <c r="X208" s="1834"/>
      <c r="Y208" s="1834"/>
      <c r="Z208" s="1834"/>
      <c r="AA208" s="1834"/>
      <c r="AB208" s="1834"/>
      <c r="AC208" s="4"/>
      <c r="AD208" s="4"/>
      <c r="AE208" s="4"/>
      <c r="AM208" s="4"/>
      <c r="AN208" s="204"/>
      <c r="AP208" t="s">
        <v>103</v>
      </c>
    </row>
    <row r="209" spans="1:52" customFormat="1" ht="14.1" customHeight="1">
      <c r="A209" s="4"/>
      <c r="B209" s="42"/>
      <c r="C209" s="45"/>
      <c r="D209" s="26"/>
      <c r="E209" s="1834"/>
      <c r="F209" s="1834"/>
      <c r="G209" s="1834"/>
      <c r="H209" s="1834"/>
      <c r="I209" s="1834"/>
      <c r="J209" s="1834"/>
      <c r="K209" s="1834"/>
      <c r="L209" s="1834"/>
      <c r="M209" s="1834"/>
      <c r="N209" s="1834"/>
      <c r="O209" s="1834"/>
      <c r="P209" s="1834"/>
      <c r="Q209" s="1834"/>
      <c r="R209" s="1834"/>
      <c r="S209" s="1834"/>
      <c r="T209" s="1834"/>
      <c r="U209" s="1834"/>
      <c r="V209" s="1834"/>
      <c r="W209" s="1834"/>
      <c r="X209" s="1834"/>
      <c r="Y209" s="1834"/>
      <c r="Z209" s="1834"/>
      <c r="AA209" s="1834"/>
      <c r="AB209" s="1834"/>
      <c r="AC209" s="4"/>
      <c r="AD209" s="4"/>
      <c r="AE209" s="19"/>
      <c r="AM209" s="4"/>
      <c r="AN209" s="204"/>
      <c r="AP209" t="s">
        <v>104</v>
      </c>
    </row>
    <row r="210" spans="1:52" customFormat="1" ht="14.1" customHeight="1">
      <c r="A210" s="4"/>
      <c r="B210" s="5"/>
      <c r="C210" s="45"/>
      <c r="D210" s="26" t="s">
        <v>208</v>
      </c>
      <c r="E210" s="1901" t="s">
        <v>1308</v>
      </c>
      <c r="F210" s="1901"/>
      <c r="G210" s="1901"/>
      <c r="H210" s="1901"/>
      <c r="I210" s="1901"/>
      <c r="J210" s="1901"/>
      <c r="K210" s="1901"/>
      <c r="L210" s="1901"/>
      <c r="M210" s="1901"/>
      <c r="N210" s="1901"/>
      <c r="O210" s="1901"/>
      <c r="P210" s="1901"/>
      <c r="Q210" s="1901"/>
      <c r="R210" s="1901"/>
      <c r="S210" s="1901"/>
      <c r="T210" s="1901"/>
      <c r="U210" s="1901"/>
      <c r="V210" s="1901"/>
      <c r="W210" s="1901"/>
      <c r="X210" s="1901"/>
      <c r="Y210" s="1901"/>
      <c r="Z210" s="1901"/>
      <c r="AA210" s="1901"/>
      <c r="AB210" s="1901"/>
      <c r="AC210" s="4"/>
      <c r="AD210" s="4"/>
      <c r="AF210" s="1731" t="s">
        <v>111</v>
      </c>
      <c r="AG210" s="1731"/>
      <c r="AH210" s="1731"/>
      <c r="AI210" s="1731"/>
      <c r="AJ210" s="1731"/>
      <c r="AK210" s="1731"/>
      <c r="AL210" s="1731"/>
      <c r="AM210" s="4"/>
      <c r="AN210" s="688"/>
      <c r="AP210" s="48" t="s">
        <v>370</v>
      </c>
    </row>
    <row r="211" spans="1:52" customFormat="1" ht="12.8" customHeight="1">
      <c r="A211" s="4"/>
      <c r="B211" s="5"/>
      <c r="C211" s="115"/>
      <c r="D211" s="4"/>
      <c r="E211" s="1901"/>
      <c r="F211" s="1901"/>
      <c r="G211" s="1901"/>
      <c r="H211" s="1901"/>
      <c r="I211" s="1901"/>
      <c r="J211" s="1901"/>
      <c r="K211" s="1901"/>
      <c r="L211" s="1901"/>
      <c r="M211" s="1901"/>
      <c r="N211" s="1901"/>
      <c r="O211" s="1901"/>
      <c r="P211" s="1901"/>
      <c r="Q211" s="1901"/>
      <c r="R211" s="1901"/>
      <c r="S211" s="1901"/>
      <c r="T211" s="1901"/>
      <c r="U211" s="1901"/>
      <c r="V211" s="1901"/>
      <c r="W211" s="1901"/>
      <c r="X211" s="1901"/>
      <c r="Y211" s="1901"/>
      <c r="Z211" s="1901"/>
      <c r="AA211" s="1901"/>
      <c r="AB211" s="1901"/>
      <c r="AC211" s="4"/>
      <c r="AD211" s="5"/>
      <c r="AE211" s="4"/>
      <c r="AF211" s="4"/>
      <c r="AG211" s="4"/>
      <c r="AH211" s="4"/>
      <c r="AI211" s="4"/>
      <c r="AJ211" s="4"/>
      <c r="AK211" s="4"/>
      <c r="AL211" s="4"/>
      <c r="AM211" s="4"/>
      <c r="AN211" s="204"/>
      <c r="AP211" s="4" t="s">
        <v>132</v>
      </c>
      <c r="AQ211" s="486">
        <v>0</v>
      </c>
    </row>
    <row r="212" spans="1:52" customFormat="1" ht="14.1" customHeight="1">
      <c r="A212" s="4"/>
      <c r="B212" s="5"/>
      <c r="C212" s="115"/>
      <c r="D212" s="4"/>
      <c r="E212" s="1901"/>
      <c r="F212" s="1901"/>
      <c r="G212" s="1901"/>
      <c r="H212" s="1901"/>
      <c r="I212" s="1901"/>
      <c r="J212" s="1901"/>
      <c r="K212" s="1901"/>
      <c r="L212" s="1901"/>
      <c r="M212" s="1901"/>
      <c r="N212" s="1901"/>
      <c r="O212" s="1901"/>
      <c r="P212" s="1901"/>
      <c r="Q212" s="1901"/>
      <c r="R212" s="1901"/>
      <c r="S212" s="1901"/>
      <c r="T212" s="1901"/>
      <c r="U212" s="1901"/>
      <c r="V212" s="1901"/>
      <c r="W212" s="1901"/>
      <c r="X212" s="1901"/>
      <c r="Y212" s="1901"/>
      <c r="Z212" s="1901"/>
      <c r="AA212" s="1901"/>
      <c r="AB212" s="1901"/>
      <c r="AC212" s="4"/>
      <c r="AD212" s="5"/>
      <c r="AE212" s="4"/>
      <c r="AF212" s="4"/>
      <c r="AG212" s="4"/>
      <c r="AH212" s="4"/>
      <c r="AI212" s="4"/>
      <c r="AJ212" s="4"/>
      <c r="AK212" s="4"/>
      <c r="AL212" s="4"/>
      <c r="AM212" s="4"/>
      <c r="AN212" s="204"/>
      <c r="AP212" s="26" t="s">
        <v>612</v>
      </c>
      <c r="AQ212" s="4">
        <v>2</v>
      </c>
    </row>
    <row r="213" spans="1:52" customFormat="1" ht="14.1" customHeight="1">
      <c r="A213" s="4"/>
      <c r="B213" s="5"/>
      <c r="C213" s="115"/>
      <c r="D213" s="4" t="s">
        <v>157</v>
      </c>
      <c r="E213" s="116"/>
      <c r="F213" s="116"/>
      <c r="G213" s="116"/>
      <c r="H213" s="1836" t="s">
        <v>132</v>
      </c>
      <c r="I213" s="1836"/>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8"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35">
        <f>VLOOKUP($H$213,$AO$151:$AP$153,2,FALSE)</f>
        <v>0</v>
      </c>
      <c r="AK215" s="1237"/>
      <c r="AL215" s="10"/>
      <c r="AM215" s="4"/>
      <c r="AN215" s="204"/>
      <c r="AP215" s="1235"/>
      <c r="AQ215" s="1237"/>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1">
      <c r="A217" s="4"/>
      <c r="B217" s="4"/>
      <c r="C217" s="3" t="s">
        <v>1558</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1">
      <c r="A219" s="4"/>
      <c r="B219" s="4"/>
      <c r="C219" s="45"/>
      <c r="D219" s="26" t="s">
        <v>612</v>
      </c>
      <c r="E219" s="1670" t="s">
        <v>1559</v>
      </c>
      <c r="F219" s="1670"/>
      <c r="G219" s="1670"/>
      <c r="H219" s="1670"/>
      <c r="I219" s="1670"/>
      <c r="J219" s="1670"/>
      <c r="K219" s="1670"/>
      <c r="L219" s="1670"/>
      <c r="M219" s="1670"/>
      <c r="N219" s="1670"/>
      <c r="O219" s="1670"/>
      <c r="P219" s="1670"/>
      <c r="Q219" s="1670"/>
      <c r="R219" s="1670"/>
      <c r="S219" s="1670"/>
      <c r="T219" s="1670"/>
      <c r="U219" s="1670"/>
      <c r="V219" s="1670"/>
      <c r="W219" s="1670"/>
      <c r="X219" s="1670"/>
      <c r="Y219" s="1670"/>
      <c r="Z219" s="1670"/>
      <c r="AA219" s="1670"/>
      <c r="AB219" s="1670"/>
      <c r="AC219" s="4"/>
      <c r="AD219" s="4"/>
      <c r="AF219" s="1731" t="s">
        <v>65</v>
      </c>
      <c r="AG219" s="1731"/>
      <c r="AH219" s="1731"/>
      <c r="AI219" s="1731"/>
      <c r="AJ219" s="1731"/>
      <c r="AK219" s="1731"/>
      <c r="AL219" s="1731"/>
      <c r="AM219" s="4"/>
      <c r="AN219" s="204"/>
      <c r="AT219" s="21"/>
      <c r="AU219" s="21"/>
      <c r="AV219" s="21"/>
      <c r="AW219" s="21"/>
      <c r="AX219" s="21"/>
      <c r="AY219" s="21"/>
      <c r="AZ219" s="21"/>
    </row>
    <row r="220" spans="1:52" customFormat="1">
      <c r="A220" s="4"/>
      <c r="B220" s="5"/>
      <c r="C220" s="115"/>
      <c r="D220" s="26"/>
      <c r="E220" s="1670"/>
      <c r="F220" s="1670"/>
      <c r="G220" s="1670"/>
      <c r="H220" s="1670"/>
      <c r="I220" s="1670"/>
      <c r="J220" s="1670"/>
      <c r="K220" s="1670"/>
      <c r="L220" s="1670"/>
      <c r="M220" s="1670"/>
      <c r="N220" s="1670"/>
      <c r="O220" s="1670"/>
      <c r="P220" s="1670"/>
      <c r="Q220" s="1670"/>
      <c r="R220" s="1670"/>
      <c r="S220" s="1670"/>
      <c r="T220" s="1670"/>
      <c r="U220" s="1670"/>
      <c r="V220" s="1670"/>
      <c r="W220" s="1670"/>
      <c r="X220" s="1670"/>
      <c r="Y220" s="1670"/>
      <c r="Z220" s="1670"/>
      <c r="AA220" s="1670"/>
      <c r="AB220" s="1670"/>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8" customHeight="1">
      <c r="A222" s="4"/>
      <c r="B222" s="5"/>
      <c r="C222" s="45"/>
      <c r="D222" s="26" t="s">
        <v>208</v>
      </c>
      <c r="E222" s="1670" t="s">
        <v>923</v>
      </c>
      <c r="F222" s="1670"/>
      <c r="G222" s="1670"/>
      <c r="H222" s="1670"/>
      <c r="I222" s="1670"/>
      <c r="J222" s="1670"/>
      <c r="K222" s="1670"/>
      <c r="L222" s="1670"/>
      <c r="M222" s="1670"/>
      <c r="N222" s="1670"/>
      <c r="O222" s="1670"/>
      <c r="P222" s="1670"/>
      <c r="Q222" s="1670"/>
      <c r="R222" s="1670"/>
      <c r="S222" s="1670"/>
      <c r="T222" s="1670"/>
      <c r="U222" s="1670"/>
      <c r="V222" s="1670"/>
      <c r="W222" s="1670"/>
      <c r="X222" s="1670"/>
      <c r="Y222" s="1670"/>
      <c r="Z222" s="1670"/>
      <c r="AA222" s="1670"/>
      <c r="AB222" s="1670"/>
      <c r="AC222" s="4"/>
      <c r="AD222" s="4"/>
      <c r="AF222" s="1731" t="s">
        <v>111</v>
      </c>
      <c r="AG222" s="1731"/>
      <c r="AH222" s="1731"/>
      <c r="AI222" s="1731"/>
      <c r="AJ222" s="1731"/>
      <c r="AK222" s="1731"/>
      <c r="AL222" s="1731"/>
      <c r="AM222" s="4"/>
      <c r="AN222" s="204"/>
      <c r="AT222" s="21"/>
      <c r="AU222" s="21"/>
      <c r="AV222" s="21"/>
      <c r="AW222" s="21"/>
      <c r="AX222" s="21"/>
      <c r="AY222" s="21"/>
      <c r="AZ222" s="21"/>
    </row>
    <row r="223" spans="1:52" customFormat="1">
      <c r="A223" s="4"/>
      <c r="B223" s="5"/>
      <c r="C223" s="115"/>
      <c r="D223" s="4"/>
      <c r="E223" s="1670"/>
      <c r="F223" s="1670"/>
      <c r="G223" s="1670"/>
      <c r="H223" s="1670"/>
      <c r="I223" s="1670"/>
      <c r="J223" s="1670"/>
      <c r="K223" s="1670"/>
      <c r="L223" s="1670"/>
      <c r="M223" s="1670"/>
      <c r="N223" s="1670"/>
      <c r="O223" s="1670"/>
      <c r="P223" s="1670"/>
      <c r="Q223" s="1670"/>
      <c r="R223" s="1670"/>
      <c r="S223" s="1670"/>
      <c r="T223" s="1670"/>
      <c r="U223" s="1670"/>
      <c r="V223" s="1670"/>
      <c r="W223" s="1670"/>
      <c r="X223" s="1670"/>
      <c r="Y223" s="1670"/>
      <c r="Z223" s="1670"/>
      <c r="AA223" s="1670"/>
      <c r="AB223" s="1670"/>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8" customHeight="1">
      <c r="A225" s="4"/>
      <c r="B225" s="5"/>
      <c r="C225" s="115"/>
      <c r="D225" s="4" t="s">
        <v>157</v>
      </c>
      <c r="E225" s="116"/>
      <c r="F225" s="116"/>
      <c r="G225" s="116"/>
      <c r="H225" s="1836" t="s">
        <v>132</v>
      </c>
      <c r="I225" s="1836"/>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35">
        <f>VLOOKUP($H$225,$AO$165:$AP$167,2,FALSE)</f>
        <v>0</v>
      </c>
      <c r="AK227" s="1237"/>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8"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8"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1">
      <c r="A231" s="4"/>
      <c r="B231" s="4"/>
      <c r="C231" s="45"/>
      <c r="D231" s="26" t="s">
        <v>612</v>
      </c>
      <c r="E231" s="1670" t="s">
        <v>1170</v>
      </c>
      <c r="F231" s="1670"/>
      <c r="G231" s="1670"/>
      <c r="H231" s="1670"/>
      <c r="I231" s="1670"/>
      <c r="J231" s="1670"/>
      <c r="K231" s="1670"/>
      <c r="L231" s="1670"/>
      <c r="M231" s="1670"/>
      <c r="N231" s="1670"/>
      <c r="O231" s="1670"/>
      <c r="P231" s="1670"/>
      <c r="Q231" s="1670"/>
      <c r="R231" s="1670"/>
      <c r="S231" s="1670"/>
      <c r="T231" s="1670"/>
      <c r="U231" s="1670"/>
      <c r="V231" s="1670"/>
      <c r="W231" s="1670"/>
      <c r="X231" s="1670"/>
      <c r="Y231" s="1670"/>
      <c r="Z231" s="1670"/>
      <c r="AA231" s="1670"/>
      <c r="AB231" s="1670"/>
      <c r="AC231" s="4"/>
      <c r="AD231" s="4"/>
      <c r="AF231" s="1731" t="s">
        <v>65</v>
      </c>
      <c r="AG231" s="1731"/>
      <c r="AH231" s="1731"/>
      <c r="AI231" s="1731"/>
      <c r="AJ231" s="1731"/>
      <c r="AK231" s="1731"/>
      <c r="AL231" s="1731"/>
      <c r="AM231" s="4"/>
      <c r="AN231" s="204"/>
      <c r="AT231" s="21"/>
      <c r="AU231" s="21"/>
      <c r="AV231" s="21"/>
      <c r="AW231" s="21"/>
      <c r="AX231" s="21"/>
      <c r="AY231" s="21"/>
      <c r="AZ231" s="21"/>
    </row>
    <row r="232" spans="1:82" customFormat="1">
      <c r="A232" s="4"/>
      <c r="B232" s="5"/>
      <c r="C232" s="115"/>
      <c r="D232" s="26"/>
      <c r="E232" s="1670"/>
      <c r="F232" s="1670"/>
      <c r="G232" s="1670"/>
      <c r="H232" s="1670"/>
      <c r="I232" s="1670"/>
      <c r="J232" s="1670"/>
      <c r="K232" s="1670"/>
      <c r="L232" s="1670"/>
      <c r="M232" s="1670"/>
      <c r="N232" s="1670"/>
      <c r="O232" s="1670"/>
      <c r="P232" s="1670"/>
      <c r="Q232" s="1670"/>
      <c r="R232" s="1670"/>
      <c r="S232" s="1670"/>
      <c r="T232" s="1670"/>
      <c r="U232" s="1670"/>
      <c r="V232" s="1670"/>
      <c r="W232" s="1670"/>
      <c r="X232" s="1670"/>
      <c r="Y232" s="1670"/>
      <c r="Z232" s="1670"/>
      <c r="AA232" s="1670"/>
      <c r="AB232" s="1670"/>
      <c r="AC232" s="4"/>
      <c r="AD232" s="4"/>
      <c r="AL232" s="4"/>
      <c r="AM232" s="4"/>
      <c r="AN232" s="204"/>
    </row>
    <row r="233" spans="1:82" customFormat="1" ht="12.8" customHeight="1">
      <c r="A233" s="4"/>
      <c r="B233" s="5"/>
      <c r="C233" s="115"/>
      <c r="D233" s="26"/>
      <c r="E233" s="1670"/>
      <c r="F233" s="1670"/>
      <c r="G233" s="1670"/>
      <c r="H233" s="1670"/>
      <c r="I233" s="1670"/>
      <c r="J233" s="1670"/>
      <c r="K233" s="1670"/>
      <c r="L233" s="1670"/>
      <c r="M233" s="1670"/>
      <c r="N233" s="1670"/>
      <c r="O233" s="1670"/>
      <c r="P233" s="1670"/>
      <c r="Q233" s="1670"/>
      <c r="R233" s="1670"/>
      <c r="S233" s="1670"/>
      <c r="T233" s="1670"/>
      <c r="U233" s="1670"/>
      <c r="V233" s="1670"/>
      <c r="W233" s="1670"/>
      <c r="X233" s="1670"/>
      <c r="Y233" s="1670"/>
      <c r="Z233" s="1670"/>
      <c r="AA233" s="1670"/>
      <c r="AB233" s="1670"/>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1">
      <c r="A235" s="4"/>
      <c r="B235" s="5"/>
      <c r="C235" s="45"/>
      <c r="D235" s="26" t="s">
        <v>208</v>
      </c>
      <c r="E235" s="1670" t="s">
        <v>1171</v>
      </c>
      <c r="F235" s="1670"/>
      <c r="G235" s="1670"/>
      <c r="H235" s="1670"/>
      <c r="I235" s="1670"/>
      <c r="J235" s="1670"/>
      <c r="K235" s="1670"/>
      <c r="L235" s="1670"/>
      <c r="M235" s="1670"/>
      <c r="N235" s="1670"/>
      <c r="O235" s="1670"/>
      <c r="P235" s="1670"/>
      <c r="Q235" s="1670"/>
      <c r="R235" s="1670"/>
      <c r="S235" s="1670"/>
      <c r="T235" s="1670"/>
      <c r="U235" s="1670"/>
      <c r="V235" s="1670"/>
      <c r="W235" s="1670"/>
      <c r="X235" s="1670"/>
      <c r="Y235" s="1670"/>
      <c r="Z235" s="1670"/>
      <c r="AA235" s="1670"/>
      <c r="AB235" s="344"/>
      <c r="AC235" s="4"/>
      <c r="AD235" s="4"/>
      <c r="AF235" s="1731" t="s">
        <v>111</v>
      </c>
      <c r="AG235" s="1731"/>
      <c r="AH235" s="1731"/>
      <c r="AI235" s="1731"/>
      <c r="AJ235" s="1731"/>
      <c r="AK235" s="1731"/>
      <c r="AL235" s="1731"/>
      <c r="AM235" s="4"/>
      <c r="AN235" s="204"/>
      <c r="AO235" s="38"/>
      <c r="AP235" s="21"/>
    </row>
    <row r="236" spans="1:82" customFormat="1" ht="13.1">
      <c r="A236" s="4"/>
      <c r="B236" s="5"/>
      <c r="C236" s="45"/>
      <c r="D236" s="4"/>
      <c r="E236" s="1670"/>
      <c r="F236" s="1670"/>
      <c r="G236" s="1670"/>
      <c r="H236" s="1670"/>
      <c r="I236" s="1670"/>
      <c r="J236" s="1670"/>
      <c r="K236" s="1670"/>
      <c r="L236" s="1670"/>
      <c r="M236" s="1670"/>
      <c r="N236" s="1670"/>
      <c r="O236" s="1670"/>
      <c r="P236" s="1670"/>
      <c r="Q236" s="1670"/>
      <c r="R236" s="1670"/>
      <c r="S236" s="1670"/>
      <c r="T236" s="1670"/>
      <c r="U236" s="1670"/>
      <c r="V236" s="1670"/>
      <c r="W236" s="1670"/>
      <c r="X236" s="1670"/>
      <c r="Y236" s="1670"/>
      <c r="Z236" s="1670"/>
      <c r="AA236" s="1670"/>
      <c r="AB236" s="344"/>
      <c r="AC236" s="108"/>
      <c r="AD236" s="108"/>
      <c r="AE236" s="108"/>
      <c r="AF236" s="108"/>
      <c r="AG236" s="108"/>
      <c r="AH236" s="108"/>
      <c r="AI236" s="108"/>
      <c r="AJ236" s="4"/>
      <c r="AK236" s="4"/>
      <c r="AL236" s="4"/>
      <c r="AM236" s="4"/>
      <c r="AN236" s="204"/>
      <c r="AO236" s="38"/>
      <c r="AP236" s="21"/>
    </row>
    <row r="237" spans="1:82" customFormat="1" ht="13.1">
      <c r="A237" s="4"/>
      <c r="B237" s="5"/>
      <c r="C237" s="45"/>
      <c r="D237" s="4"/>
      <c r="E237" s="1670"/>
      <c r="F237" s="1670"/>
      <c r="G237" s="1670"/>
      <c r="H237" s="1670"/>
      <c r="I237" s="1670"/>
      <c r="J237" s="1670"/>
      <c r="K237" s="1670"/>
      <c r="L237" s="1670"/>
      <c r="M237" s="1670"/>
      <c r="N237" s="1670"/>
      <c r="O237" s="1670"/>
      <c r="P237" s="1670"/>
      <c r="Q237" s="1670"/>
      <c r="R237" s="1670"/>
      <c r="S237" s="1670"/>
      <c r="T237" s="1670"/>
      <c r="U237" s="1670"/>
      <c r="V237" s="1670"/>
      <c r="W237" s="1670"/>
      <c r="X237" s="1670"/>
      <c r="Y237" s="1670"/>
      <c r="Z237" s="1670"/>
      <c r="AA237" s="1670"/>
      <c r="AB237" s="344"/>
      <c r="AC237" s="108"/>
      <c r="AD237" s="108"/>
      <c r="AE237" s="108"/>
      <c r="AF237" s="108"/>
      <c r="AG237" s="108"/>
      <c r="AH237" s="108"/>
      <c r="AI237" s="108"/>
      <c r="AJ237" s="4"/>
      <c r="AK237" s="4"/>
      <c r="AL237" s="4"/>
      <c r="AM237" s="4"/>
      <c r="AN237" s="204"/>
      <c r="AO237" s="38"/>
      <c r="AP237" s="21"/>
    </row>
    <row r="238" spans="1:82" customFormat="1" ht="13.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8" customHeight="1">
      <c r="A239" s="4"/>
      <c r="B239" s="5"/>
      <c r="C239" s="45"/>
      <c r="D239" s="4" t="s">
        <v>157</v>
      </c>
      <c r="E239" s="116"/>
      <c r="F239" s="116"/>
      <c r="G239" s="116"/>
      <c r="H239" s="1836" t="s">
        <v>132</v>
      </c>
      <c r="I239" s="1836"/>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8"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35">
        <f>VLOOKUP($H$239,$AO$178:$AP$180,2,FALSE)</f>
        <v>0</v>
      </c>
      <c r="AK241" s="1237"/>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8"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1">
      <c r="A245" s="4"/>
      <c r="B245" s="4"/>
      <c r="C245" s="45"/>
      <c r="D245" s="26" t="s">
        <v>612</v>
      </c>
      <c r="E245" s="1670" t="s">
        <v>338</v>
      </c>
      <c r="F245" s="1670"/>
      <c r="G245" s="1670"/>
      <c r="H245" s="1670"/>
      <c r="I245" s="1670"/>
      <c r="J245" s="1670"/>
      <c r="K245" s="1670"/>
      <c r="L245" s="1670"/>
      <c r="M245" s="1670"/>
      <c r="N245" s="1670"/>
      <c r="O245" s="1670"/>
      <c r="P245" s="1670"/>
      <c r="Q245" s="1670"/>
      <c r="R245" s="1670"/>
      <c r="S245" s="1670"/>
      <c r="T245" s="1670"/>
      <c r="U245" s="1670"/>
      <c r="V245" s="1670"/>
      <c r="W245" s="1670"/>
      <c r="X245" s="1670"/>
      <c r="Y245" s="1670"/>
      <c r="Z245" s="1670"/>
      <c r="AA245" s="1670"/>
      <c r="AB245" s="1670"/>
      <c r="AC245" s="4"/>
      <c r="AD245" s="4"/>
      <c r="AF245" s="1731" t="s">
        <v>111</v>
      </c>
      <c r="AG245" s="1731"/>
      <c r="AH245" s="1731"/>
      <c r="AI245" s="1731"/>
      <c r="AJ245" s="1731"/>
      <c r="AK245" s="1731"/>
      <c r="AL245" s="1731"/>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0"/>
      <c r="F246" s="1670"/>
      <c r="G246" s="1670"/>
      <c r="H246" s="1670"/>
      <c r="I246" s="1670"/>
      <c r="J246" s="1670"/>
      <c r="K246" s="1670"/>
      <c r="L246" s="1670"/>
      <c r="M246" s="1670"/>
      <c r="N246" s="1670"/>
      <c r="O246" s="1670"/>
      <c r="P246" s="1670"/>
      <c r="Q246" s="1670"/>
      <c r="R246" s="1670"/>
      <c r="S246" s="1670"/>
      <c r="T246" s="1670"/>
      <c r="U246" s="1670"/>
      <c r="V246" s="1670"/>
      <c r="W246" s="1670"/>
      <c r="X246" s="1670"/>
      <c r="Y246" s="1670"/>
      <c r="Z246" s="1670"/>
      <c r="AA246" s="1670"/>
      <c r="AB246" s="1670"/>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
      <c r="A248" s="35"/>
      <c r="B248" s="5"/>
      <c r="C248" s="45"/>
      <c r="D248" s="26" t="s">
        <v>208</v>
      </c>
      <c r="E248" s="1670" t="s">
        <v>1309</v>
      </c>
      <c r="F248" s="1670"/>
      <c r="G248" s="1670"/>
      <c r="H248" s="1670"/>
      <c r="I248" s="1670"/>
      <c r="J248" s="1670"/>
      <c r="K248" s="1670"/>
      <c r="L248" s="1670"/>
      <c r="M248" s="1670"/>
      <c r="N248" s="1670"/>
      <c r="O248" s="1670"/>
      <c r="P248" s="1670"/>
      <c r="Q248" s="1670"/>
      <c r="R248" s="1670"/>
      <c r="S248" s="1670"/>
      <c r="T248" s="1670"/>
      <c r="U248" s="1670"/>
      <c r="V248" s="1670"/>
      <c r="W248" s="1670"/>
      <c r="X248" s="1670"/>
      <c r="Y248" s="1670"/>
      <c r="Z248" s="1670"/>
      <c r="AA248" s="1670"/>
      <c r="AB248" s="1670"/>
      <c r="AC248" s="4"/>
      <c r="AD248" s="4"/>
      <c r="AF248" s="1731" t="s">
        <v>339</v>
      </c>
      <c r="AG248" s="1731"/>
      <c r="AH248" s="1731"/>
      <c r="AI248" s="1731"/>
      <c r="AJ248" s="1731"/>
      <c r="AK248" s="1731"/>
      <c r="AL248" s="1731"/>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8" customHeight="1">
      <c r="A249" s="35"/>
      <c r="B249" s="5"/>
      <c r="C249" s="45"/>
      <c r="D249" s="26"/>
      <c r="E249" s="1670"/>
      <c r="F249" s="1670"/>
      <c r="G249" s="1670"/>
      <c r="H249" s="1670"/>
      <c r="I249" s="1670"/>
      <c r="J249" s="1670"/>
      <c r="K249" s="1670"/>
      <c r="L249" s="1670"/>
      <c r="M249" s="1670"/>
      <c r="N249" s="1670"/>
      <c r="O249" s="1670"/>
      <c r="P249" s="1670"/>
      <c r="Q249" s="1670"/>
      <c r="R249" s="1670"/>
      <c r="S249" s="1670"/>
      <c r="T249" s="1670"/>
      <c r="U249" s="1670"/>
      <c r="V249" s="1670"/>
      <c r="W249" s="1670"/>
      <c r="X249" s="1670"/>
      <c r="Y249" s="1670"/>
      <c r="Z249" s="1670"/>
      <c r="AA249" s="1670"/>
      <c r="AB249" s="1670"/>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8" customHeight="1">
      <c r="A251" s="4"/>
      <c r="B251" s="5"/>
      <c r="C251" s="4"/>
      <c r="D251" s="4" t="s">
        <v>157</v>
      </c>
      <c r="E251" s="116"/>
      <c r="F251" s="116"/>
      <c r="G251" s="116"/>
      <c r="H251" s="1836" t="s">
        <v>612</v>
      </c>
      <c r="I251" s="1836"/>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8"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1"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35">
        <f>VLOOKUP($H$251,$AO$191:$AP$193,2,FALSE)</f>
        <v>2</v>
      </c>
      <c r="AK253" s="1237"/>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612</v>
      </c>
      <c r="E257" s="1670" t="s">
        <v>2048</v>
      </c>
      <c r="F257" s="1670"/>
      <c r="G257" s="1670"/>
      <c r="H257" s="1670"/>
      <c r="I257" s="1670"/>
      <c r="J257" s="1670"/>
      <c r="K257" s="1670"/>
      <c r="L257" s="1670"/>
      <c r="M257" s="1670"/>
      <c r="N257" s="1670"/>
      <c r="O257" s="1670"/>
      <c r="P257" s="1670"/>
      <c r="Q257" s="1670"/>
      <c r="R257" s="1670"/>
      <c r="S257" s="1670"/>
      <c r="T257" s="1670"/>
      <c r="U257" s="1670"/>
      <c r="V257" s="1670"/>
      <c r="W257" s="1670"/>
      <c r="X257" s="1670"/>
      <c r="Y257" s="1670"/>
      <c r="Z257" s="1670"/>
      <c r="AA257" s="1670"/>
      <c r="AB257" s="1670"/>
      <c r="AC257" s="1670"/>
      <c r="AD257" s="1670"/>
      <c r="AF257" s="1731" t="s">
        <v>111</v>
      </c>
      <c r="AG257" s="1731"/>
      <c r="AH257" s="1731"/>
      <c r="AI257" s="1731"/>
      <c r="AJ257" s="1731"/>
      <c r="AK257" s="1731"/>
      <c r="AL257" s="1731"/>
      <c r="AM257" s="104"/>
      <c r="AN257" s="204"/>
    </row>
    <row r="258" spans="1:82" customFormat="1" ht="13.1">
      <c r="A258" s="4"/>
      <c r="B258" s="102"/>
      <c r="C258" s="137"/>
      <c r="D258" s="26"/>
      <c r="E258" s="1670"/>
      <c r="F258" s="1670"/>
      <c r="G258" s="1670"/>
      <c r="H258" s="1670"/>
      <c r="I258" s="1670"/>
      <c r="J258" s="1670"/>
      <c r="K258" s="1670"/>
      <c r="L258" s="1670"/>
      <c r="M258" s="1670"/>
      <c r="N258" s="1670"/>
      <c r="O258" s="1670"/>
      <c r="P258" s="1670"/>
      <c r="Q258" s="1670"/>
      <c r="R258" s="1670"/>
      <c r="S258" s="1670"/>
      <c r="T258" s="1670"/>
      <c r="U258" s="1670"/>
      <c r="V258" s="1670"/>
      <c r="W258" s="1670"/>
      <c r="X258" s="1670"/>
      <c r="Y258" s="1670"/>
      <c r="Z258" s="1670"/>
      <c r="AA258" s="1670"/>
      <c r="AB258" s="1670"/>
      <c r="AC258" s="1670"/>
      <c r="AD258" s="1670"/>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49999999999999" customHeight="1">
      <c r="A259" s="4"/>
      <c r="B259" s="102"/>
      <c r="C259" s="137"/>
      <c r="D259" s="26"/>
      <c r="E259" s="1670"/>
      <c r="F259" s="1670"/>
      <c r="G259" s="1670"/>
      <c r="H259" s="1670"/>
      <c r="I259" s="1670"/>
      <c r="J259" s="1670"/>
      <c r="K259" s="1670"/>
      <c r="L259" s="1670"/>
      <c r="M259" s="1670"/>
      <c r="N259" s="1670"/>
      <c r="O259" s="1670"/>
      <c r="P259" s="1670"/>
      <c r="Q259" s="1670"/>
      <c r="R259" s="1670"/>
      <c r="S259" s="1670"/>
      <c r="T259" s="1670"/>
      <c r="U259" s="1670"/>
      <c r="V259" s="1670"/>
      <c r="W259" s="1670"/>
      <c r="X259" s="1670"/>
      <c r="Y259" s="1670"/>
      <c r="Z259" s="1670"/>
      <c r="AA259" s="1670"/>
      <c r="AB259" s="1670"/>
      <c r="AC259" s="1670"/>
      <c r="AD259" s="1670"/>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8"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8" customHeight="1">
      <c r="B261" s="102"/>
      <c r="C261" s="137"/>
      <c r="D261" s="26" t="s">
        <v>208</v>
      </c>
      <c r="E261" s="1906" t="s">
        <v>2049</v>
      </c>
      <c r="F261" s="1906"/>
      <c r="G261" s="1906"/>
      <c r="H261" s="1906"/>
      <c r="I261" s="1906"/>
      <c r="J261" s="1906"/>
      <c r="K261" s="1906"/>
      <c r="L261" s="1906"/>
      <c r="M261" s="1906"/>
      <c r="N261" s="1906"/>
      <c r="O261" s="1906"/>
      <c r="P261" s="1906"/>
      <c r="Q261" s="1906"/>
      <c r="R261" s="1906"/>
      <c r="S261" s="1906"/>
      <c r="T261" s="1906"/>
      <c r="U261" s="1906"/>
      <c r="V261" s="1906"/>
      <c r="W261" s="1906"/>
      <c r="X261" s="1906"/>
      <c r="Y261" s="1906"/>
      <c r="Z261" s="1906"/>
      <c r="AA261" s="1906"/>
      <c r="AB261" s="1906"/>
      <c r="AC261" s="1906"/>
      <c r="AD261" s="1906"/>
      <c r="AF261" s="1731" t="s">
        <v>65</v>
      </c>
      <c r="AG261" s="1731"/>
      <c r="AH261" s="1731"/>
      <c r="AI261" s="1731"/>
      <c r="AJ261" s="1731"/>
      <c r="AK261" s="1731"/>
      <c r="AL261" s="1731"/>
      <c r="AM261" s="104"/>
      <c r="AN261" s="281"/>
    </row>
    <row r="262" spans="1:82" s="4" customFormat="1" ht="12.8" customHeight="1">
      <c r="B262" s="102"/>
      <c r="C262" s="137"/>
      <c r="D262" s="26"/>
      <c r="E262" s="1906"/>
      <c r="F262" s="1906"/>
      <c r="G262" s="1906"/>
      <c r="H262" s="1906"/>
      <c r="I262" s="1906"/>
      <c r="J262" s="1906"/>
      <c r="K262" s="1906"/>
      <c r="L262" s="1906"/>
      <c r="M262" s="1906"/>
      <c r="N262" s="1906"/>
      <c r="O262" s="1906"/>
      <c r="P262" s="1906"/>
      <c r="Q262" s="1906"/>
      <c r="R262" s="1906"/>
      <c r="S262" s="1906"/>
      <c r="T262" s="1906"/>
      <c r="U262" s="1906"/>
      <c r="V262" s="1906"/>
      <c r="W262" s="1906"/>
      <c r="X262" s="1906"/>
      <c r="Y262" s="1906"/>
      <c r="Z262" s="1906"/>
      <c r="AA262" s="1906"/>
      <c r="AB262" s="1906"/>
      <c r="AC262" s="1906"/>
      <c r="AD262" s="1906"/>
      <c r="AE262" s="108"/>
      <c r="AF262" s="108"/>
      <c r="AG262" s="108"/>
      <c r="AH262" s="108"/>
      <c r="AI262" s="108"/>
      <c r="AJ262" s="108"/>
      <c r="AK262" s="108"/>
      <c r="AL262" s="108"/>
      <c r="AM262" s="104"/>
      <c r="AN262" s="281"/>
    </row>
    <row r="263" spans="1:82" s="4" customFormat="1" ht="12.8" customHeight="1">
      <c r="B263" s="102"/>
      <c r="C263" s="137"/>
      <c r="D263" s="26"/>
      <c r="E263" s="1906"/>
      <c r="F263" s="1906"/>
      <c r="G263" s="1906"/>
      <c r="H263" s="1906"/>
      <c r="I263" s="1906"/>
      <c r="J263" s="1906"/>
      <c r="K263" s="1906"/>
      <c r="L263" s="1906"/>
      <c r="M263" s="1906"/>
      <c r="N263" s="1906"/>
      <c r="O263" s="1906"/>
      <c r="P263" s="1906"/>
      <c r="Q263" s="1906"/>
      <c r="R263" s="1906"/>
      <c r="S263" s="1906"/>
      <c r="T263" s="1906"/>
      <c r="U263" s="1906"/>
      <c r="V263" s="1906"/>
      <c r="W263" s="1906"/>
      <c r="X263" s="1906"/>
      <c r="Y263" s="1906"/>
      <c r="Z263" s="1906"/>
      <c r="AA263" s="1906"/>
      <c r="AB263" s="1906"/>
      <c r="AC263" s="1906"/>
      <c r="AD263" s="1906"/>
      <c r="AE263" s="108"/>
      <c r="AF263" s="108"/>
      <c r="AG263" s="108"/>
      <c r="AH263" s="108"/>
      <c r="AI263" s="108"/>
      <c r="AJ263" s="108"/>
      <c r="AK263" s="108"/>
      <c r="AL263" s="108"/>
      <c r="AM263" s="104"/>
      <c r="AN263" s="281"/>
    </row>
    <row r="264" spans="1:82" s="4" customFormat="1" ht="12.8" customHeight="1">
      <c r="B264" s="102"/>
      <c r="C264" s="137"/>
      <c r="D264" s="26"/>
      <c r="E264" s="1906"/>
      <c r="F264" s="1906"/>
      <c r="G264" s="1906"/>
      <c r="H264" s="1906"/>
      <c r="I264" s="1906"/>
      <c r="J264" s="1906"/>
      <c r="K264" s="1906"/>
      <c r="L264" s="1906"/>
      <c r="M264" s="1906"/>
      <c r="N264" s="1906"/>
      <c r="O264" s="1906"/>
      <c r="P264" s="1906"/>
      <c r="Q264" s="1906"/>
      <c r="R264" s="1906"/>
      <c r="S264" s="1906"/>
      <c r="T264" s="1906"/>
      <c r="U264" s="1906"/>
      <c r="V264" s="1906"/>
      <c r="W264" s="1906"/>
      <c r="X264" s="1906"/>
      <c r="Y264" s="1906"/>
      <c r="Z264" s="1906"/>
      <c r="AA264" s="1906"/>
      <c r="AB264" s="1906"/>
      <c r="AC264" s="1906"/>
      <c r="AD264" s="1906"/>
      <c r="AE264" s="108"/>
      <c r="AF264" s="108"/>
      <c r="AG264" s="108"/>
      <c r="AH264" s="108"/>
      <c r="AI264" s="108"/>
      <c r="AJ264" s="108"/>
      <c r="AK264" s="108"/>
      <c r="AL264" s="108"/>
      <c r="AM264" s="104"/>
      <c r="AN264" s="281"/>
    </row>
    <row r="265" spans="1:82" s="4" customFormat="1" ht="12.8"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8" customHeight="1">
      <c r="B266" s="102"/>
      <c r="C266" s="137"/>
      <c r="D266" s="4" t="s">
        <v>157</v>
      </c>
      <c r="E266" s="116"/>
      <c r="F266" s="116"/>
      <c r="G266" s="116"/>
      <c r="H266" s="1836" t="s">
        <v>132</v>
      </c>
      <c r="I266" s="1836"/>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8"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8"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35">
        <f>VLOOKUP($H$266,$AP$211:$AQ$213,2,FALSE)</f>
        <v>0</v>
      </c>
      <c r="AK268" s="1237"/>
      <c r="AL268" s="10"/>
      <c r="AN268" s="281"/>
    </row>
    <row r="269" spans="1:82" customFormat="1" ht="13.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ht="13.1">
      <c r="A270" s="4"/>
      <c r="B270" s="102"/>
      <c r="C270" s="3" t="s">
        <v>1706</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5" customHeight="1">
      <c r="A272" s="4"/>
      <c r="B272" s="102"/>
      <c r="C272" s="137"/>
      <c r="D272" s="26" t="s">
        <v>612</v>
      </c>
      <c r="E272" s="1670" t="s">
        <v>2347</v>
      </c>
      <c r="F272" s="1670"/>
      <c r="G272" s="1670"/>
      <c r="H272" s="1670"/>
      <c r="I272" s="1670"/>
      <c r="J272" s="1670"/>
      <c r="K272" s="1670"/>
      <c r="L272" s="1670"/>
      <c r="M272" s="1670"/>
      <c r="N272" s="1670"/>
      <c r="O272" s="1670"/>
      <c r="P272" s="1670"/>
      <c r="Q272" s="1670"/>
      <c r="R272" s="1670"/>
      <c r="S272" s="1670"/>
      <c r="T272" s="1670"/>
      <c r="U272" s="1670"/>
      <c r="V272" s="1670"/>
      <c r="W272" s="1670"/>
      <c r="X272" s="1670"/>
      <c r="Y272" s="1670"/>
      <c r="Z272" s="1670"/>
      <c r="AA272" s="1670"/>
      <c r="AB272" s="1670"/>
      <c r="AC272" s="1670"/>
      <c r="AD272" s="1670"/>
      <c r="AF272" s="1731" t="s">
        <v>1707</v>
      </c>
      <c r="AG272" s="1731"/>
      <c r="AH272" s="1731"/>
      <c r="AI272" s="1731"/>
      <c r="AJ272" s="1731"/>
      <c r="AK272" s="1731"/>
      <c r="AL272" s="1731"/>
      <c r="AM272" s="104"/>
      <c r="AN272" s="204"/>
      <c r="AO272" s="26" t="s">
        <v>116</v>
      </c>
      <c r="AP272" s="4">
        <v>8</v>
      </c>
      <c r="AT272" s="439"/>
      <c r="AU272" s="439"/>
      <c r="AV272" s="439"/>
      <c r="AW272" s="439"/>
      <c r="AX272" s="439"/>
      <c r="AY272" s="439"/>
      <c r="AZ272" s="439"/>
    </row>
    <row r="273" spans="1:82" customFormat="1" ht="13.1">
      <c r="A273" s="4"/>
      <c r="B273" s="102"/>
      <c r="C273" s="137"/>
      <c r="D273" s="26"/>
      <c r="E273" s="1670"/>
      <c r="F273" s="1670"/>
      <c r="G273" s="1670"/>
      <c r="H273" s="1670"/>
      <c r="I273" s="1670"/>
      <c r="J273" s="1670"/>
      <c r="K273" s="1670"/>
      <c r="L273" s="1670"/>
      <c r="M273" s="1670"/>
      <c r="N273" s="1670"/>
      <c r="O273" s="1670"/>
      <c r="P273" s="1670"/>
      <c r="Q273" s="1670"/>
      <c r="R273" s="1670"/>
      <c r="S273" s="1670"/>
      <c r="T273" s="1670"/>
      <c r="U273" s="1670"/>
      <c r="V273" s="1670"/>
      <c r="W273" s="1670"/>
      <c r="X273" s="1670"/>
      <c r="Y273" s="1670"/>
      <c r="Z273" s="1670"/>
      <c r="AA273" s="1670"/>
      <c r="AB273" s="1670"/>
      <c r="AC273" s="1670"/>
      <c r="AD273" s="1670"/>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9" customHeight="1">
      <c r="A274" s="4"/>
      <c r="B274" s="102"/>
      <c r="C274" s="137"/>
      <c r="D274" s="26"/>
      <c r="E274" s="1670"/>
      <c r="F274" s="1670"/>
      <c r="G274" s="1670"/>
      <c r="H274" s="1670"/>
      <c r="I274" s="1670"/>
      <c r="J274" s="1670"/>
      <c r="K274" s="1670"/>
      <c r="L274" s="1670"/>
      <c r="M274" s="1670"/>
      <c r="N274" s="1670"/>
      <c r="O274" s="1670"/>
      <c r="P274" s="1670"/>
      <c r="Q274" s="1670"/>
      <c r="R274" s="1670"/>
      <c r="S274" s="1670"/>
      <c r="T274" s="1670"/>
      <c r="U274" s="1670"/>
      <c r="V274" s="1670"/>
      <c r="W274" s="1670"/>
      <c r="X274" s="1670"/>
      <c r="Y274" s="1670"/>
      <c r="Z274" s="1670"/>
      <c r="AA274" s="1670"/>
      <c r="AB274" s="1670"/>
      <c r="AC274" s="1670"/>
      <c r="AD274" s="1670"/>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ht="13.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ht="13.1">
      <c r="A276" s="4"/>
      <c r="B276" s="102"/>
      <c r="C276" s="137"/>
      <c r="D276" s="4" t="s">
        <v>157</v>
      </c>
      <c r="E276" s="116"/>
      <c r="F276" s="116"/>
      <c r="G276" s="116"/>
      <c r="H276" s="1836" t="s">
        <v>116</v>
      </c>
      <c r="I276" s="1836"/>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ht="13.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1799</v>
      </c>
      <c r="AJ278" s="1235">
        <f>VLOOKUP($H$276,$AO$271:$AP$272,2,FALSE)</f>
        <v>8</v>
      </c>
      <c r="AK278" s="1237"/>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8"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8"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35">
        <f>$AJ$124+$AJ$139+$AJ$151+$AJ$184+$AJ$203+$AJ$215+$AJ$227+$AJ$241+$AJ$253+$AJ$268+AJ278</f>
        <v>28</v>
      </c>
      <c r="AL280" s="1236"/>
      <c r="AM280" s="1237"/>
      <c r="AN280" s="281"/>
    </row>
    <row r="281" spans="1:82" s="4" customFormat="1" ht="12.8"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8"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8"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8" customHeight="1">
      <c r="B284" s="41" t="s">
        <v>97</v>
      </c>
      <c r="C284" s="41"/>
      <c r="D284" s="41"/>
      <c r="E284" s="41"/>
      <c r="F284" s="41"/>
      <c r="G284"/>
      <c r="H284" s="1223" t="s">
        <v>2419</v>
      </c>
      <c r="I284" s="1223"/>
      <c r="J284" s="1223"/>
      <c r="K284" s="1223"/>
      <c r="L284" s="1223"/>
      <c r="M284" s="1223"/>
      <c r="N284" s="1223"/>
      <c r="O284" s="1223"/>
      <c r="P284" s="1223"/>
      <c r="Q284" s="1223"/>
      <c r="R284" s="1223"/>
      <c r="S284"/>
      <c r="T284" s="41" t="s">
        <v>97</v>
      </c>
      <c r="U284"/>
      <c r="V284" s="41"/>
      <c r="W284" s="41"/>
      <c r="X284" s="41"/>
      <c r="Y284" s="41"/>
      <c r="Z284"/>
      <c r="AA284" s="1223" t="s">
        <v>2425</v>
      </c>
      <c r="AB284" s="1223"/>
      <c r="AC284" s="1223"/>
      <c r="AD284" s="1223"/>
      <c r="AE284" s="1223"/>
      <c r="AF284" s="1223"/>
      <c r="AG284" s="1223"/>
      <c r="AH284" s="1223"/>
      <c r="AI284" s="1223"/>
      <c r="AJ284" s="1223"/>
      <c r="AK284" s="1223"/>
      <c r="AL284" s="10"/>
      <c r="AN284" s="281"/>
    </row>
    <row r="285" spans="1:82" s="4" customFormat="1" ht="12.8" customHeight="1">
      <c r="B285" s="41" t="s">
        <v>735</v>
      </c>
      <c r="C285" s="41"/>
      <c r="D285" s="41"/>
      <c r="E285" s="41"/>
      <c r="F285" s="41"/>
      <c r="G285"/>
      <c r="H285" s="1224" t="s">
        <v>2420</v>
      </c>
      <c r="I285" s="1224"/>
      <c r="J285" s="1224"/>
      <c r="K285" s="1224"/>
      <c r="L285" s="1224"/>
      <c r="M285" s="1224"/>
      <c r="N285" s="1224"/>
      <c r="O285" s="1224"/>
      <c r="P285" s="1224"/>
      <c r="Q285" s="1224"/>
      <c r="R285" s="1224"/>
      <c r="S285"/>
      <c r="T285" s="41" t="s">
        <v>735</v>
      </c>
      <c r="U285"/>
      <c r="V285" s="41"/>
      <c r="W285" s="41"/>
      <c r="X285" s="41"/>
      <c r="Y285" s="41"/>
      <c r="Z285"/>
      <c r="AA285" s="1224" t="s">
        <v>2426</v>
      </c>
      <c r="AB285" s="1224"/>
      <c r="AC285" s="1224"/>
      <c r="AD285" s="1224"/>
      <c r="AE285" s="1224"/>
      <c r="AF285" s="1224"/>
      <c r="AG285" s="1224"/>
      <c r="AH285" s="1224"/>
      <c r="AI285" s="1224"/>
      <c r="AJ285" s="1224"/>
      <c r="AK285" s="1224"/>
      <c r="AL285" s="10"/>
      <c r="AN285" s="281"/>
    </row>
    <row r="286" spans="1:82" s="4" customFormat="1" ht="12.8" customHeight="1">
      <c r="B286" s="41" t="s">
        <v>107</v>
      </c>
      <c r="C286" s="41"/>
      <c r="D286" s="41"/>
      <c r="E286" s="41"/>
      <c r="F286" s="41"/>
      <c r="G286"/>
      <c r="H286" s="1224" t="s">
        <v>2421</v>
      </c>
      <c r="I286" s="1224"/>
      <c r="J286" s="1224"/>
      <c r="K286" s="1224"/>
      <c r="L286" s="1224"/>
      <c r="M286" s="1224"/>
      <c r="N286" s="1224"/>
      <c r="O286" s="1224"/>
      <c r="P286" s="1224"/>
      <c r="Q286" s="1224"/>
      <c r="R286" s="1224"/>
      <c r="S286"/>
      <c r="T286" s="41" t="s">
        <v>107</v>
      </c>
      <c r="U286"/>
      <c r="V286" s="41"/>
      <c r="W286" s="41"/>
      <c r="X286" s="41"/>
      <c r="Y286" s="41"/>
      <c r="Z286"/>
      <c r="AA286" s="1224" t="s">
        <v>2427</v>
      </c>
      <c r="AB286" s="1224"/>
      <c r="AC286" s="1224"/>
      <c r="AD286" s="1224"/>
      <c r="AE286" s="1224"/>
      <c r="AF286" s="1224"/>
      <c r="AG286" s="1224"/>
      <c r="AH286" s="1224"/>
      <c r="AI286" s="1224"/>
      <c r="AJ286" s="1224"/>
      <c r="AK286" s="1224"/>
      <c r="AL286" s="10"/>
      <c r="AN286" s="281"/>
      <c r="AO286" s="211"/>
    </row>
    <row r="287" spans="1:82" s="4" customFormat="1" ht="12.8" customHeight="1">
      <c r="B287" s="41" t="s">
        <v>399</v>
      </c>
      <c r="C287" s="41"/>
      <c r="D287" s="41"/>
      <c r="E287" s="41"/>
      <c r="F287" s="41"/>
      <c r="G287"/>
      <c r="H287" s="1224" t="s">
        <v>2422</v>
      </c>
      <c r="I287" s="1224"/>
      <c r="J287" s="1224"/>
      <c r="K287" s="1224"/>
      <c r="L287" s="1224"/>
      <c r="M287" s="1224"/>
      <c r="N287" s="1224"/>
      <c r="O287" s="1224"/>
      <c r="P287" s="1224"/>
      <c r="Q287" s="1224"/>
      <c r="R287" s="1224"/>
      <c r="S287"/>
      <c r="T287" s="41" t="s">
        <v>399</v>
      </c>
      <c r="U287"/>
      <c r="V287" s="41"/>
      <c r="W287" s="41"/>
      <c r="X287" s="41"/>
      <c r="Y287" s="41"/>
      <c r="Z287"/>
      <c r="AA287" s="1224" t="s">
        <v>2428</v>
      </c>
      <c r="AB287" s="1224"/>
      <c r="AC287" s="1224"/>
      <c r="AD287" s="1224"/>
      <c r="AE287" s="1224"/>
      <c r="AF287" s="1224"/>
      <c r="AG287" s="1224"/>
      <c r="AH287" s="1224"/>
      <c r="AI287" s="1224"/>
      <c r="AJ287" s="1224"/>
      <c r="AK287" s="1224"/>
      <c r="AL287" s="10"/>
      <c r="AN287" s="281"/>
      <c r="AO287" s="211"/>
    </row>
    <row r="288" spans="1:82" s="4" customFormat="1" ht="12.8" customHeight="1">
      <c r="B288" s="41" t="s">
        <v>400</v>
      </c>
      <c r="C288" s="41"/>
      <c r="D288" s="41"/>
      <c r="E288" s="41"/>
      <c r="F288" s="41"/>
      <c r="G288" s="41"/>
      <c r="H288" s="1483" t="s">
        <v>2423</v>
      </c>
      <c r="I288" s="1389"/>
      <c r="J288" s="1389"/>
      <c r="K288" s="1389"/>
      <c r="L288" s="1389"/>
      <c r="M288" s="1389"/>
      <c r="N288" s="5" t="s">
        <v>859</v>
      </c>
      <c r="O288" s="5"/>
      <c r="P288" s="1384">
        <v>809</v>
      </c>
      <c r="Q288" s="1384"/>
      <c r="R288" s="1384"/>
      <c r="S288" s="41"/>
      <c r="T288" s="41" t="s">
        <v>400</v>
      </c>
      <c r="U288"/>
      <c r="V288" s="41"/>
      <c r="W288" s="41"/>
      <c r="X288" s="41"/>
      <c r="Y288" s="41"/>
      <c r="Z288"/>
      <c r="AA288" s="1483" t="s">
        <v>2429</v>
      </c>
      <c r="AB288" s="1389"/>
      <c r="AC288" s="1389"/>
      <c r="AD288" s="1389"/>
      <c r="AE288" s="1389"/>
      <c r="AF288" s="1389"/>
      <c r="AG288" s="5" t="s">
        <v>859</v>
      </c>
      <c r="AH288" s="5"/>
      <c r="AI288" s="1384"/>
      <c r="AJ288" s="1384"/>
      <c r="AK288" s="1384"/>
      <c r="AL288" s="10"/>
      <c r="AN288" s="281"/>
      <c r="AO288" s="211"/>
    </row>
    <row r="289" spans="1:41" s="4" customFormat="1" ht="12.8" customHeight="1">
      <c r="B289" s="41" t="s">
        <v>96</v>
      </c>
      <c r="C289" s="41"/>
      <c r="D289" s="41"/>
      <c r="E289" s="41"/>
      <c r="F289" s="41"/>
      <c r="G289" s="41"/>
      <c r="H289" s="1224" t="s">
        <v>99</v>
      </c>
      <c r="I289" s="1224"/>
      <c r="J289" s="1224"/>
      <c r="K289" s="1224"/>
      <c r="L289" s="1224"/>
      <c r="M289" s="1224"/>
      <c r="N289" s="1224"/>
      <c r="O289" s="1224"/>
      <c r="P289" s="1224"/>
      <c r="Q289" s="1224"/>
      <c r="R289" s="1224"/>
      <c r="S289" s="41"/>
      <c r="T289" s="41" t="s">
        <v>96</v>
      </c>
      <c r="U289"/>
      <c r="V289" s="41"/>
      <c r="W289" s="41"/>
      <c r="X289" s="41"/>
      <c r="Y289" s="41"/>
      <c r="Z289"/>
      <c r="AA289" s="1224" t="s">
        <v>100</v>
      </c>
      <c r="AB289" s="1224"/>
      <c r="AC289" s="1224"/>
      <c r="AD289" s="1224"/>
      <c r="AE289" s="1224"/>
      <c r="AF289" s="1224"/>
      <c r="AG289" s="1224"/>
      <c r="AH289" s="1224"/>
      <c r="AI289" s="1224"/>
      <c r="AJ289" s="1224"/>
      <c r="AK289" s="1224"/>
      <c r="AL289" s="10"/>
      <c r="AN289" s="281"/>
      <c r="AO289" s="211"/>
    </row>
    <row r="290" spans="1:41" s="4" customFormat="1" ht="12.8" customHeight="1">
      <c r="B290" s="41" t="s">
        <v>98</v>
      </c>
      <c r="C290" s="41"/>
      <c r="D290" s="41"/>
      <c r="E290" s="41"/>
      <c r="F290" s="41"/>
      <c r="G290" s="41"/>
      <c r="H290" s="1224" t="s">
        <v>2424</v>
      </c>
      <c r="I290" s="1224"/>
      <c r="J290" s="1224"/>
      <c r="K290" s="1224"/>
      <c r="L290" s="1224"/>
      <c r="M290" s="1224"/>
      <c r="N290" s="1224"/>
      <c r="O290" s="1224"/>
      <c r="P290" s="1224"/>
      <c r="Q290" s="1224"/>
      <c r="R290" s="1224"/>
      <c r="S290" s="41"/>
      <c r="T290" s="41" t="s">
        <v>98</v>
      </c>
      <c r="U290"/>
      <c r="V290" s="41"/>
      <c r="W290" s="41"/>
      <c r="X290" s="41"/>
      <c r="Y290" s="41"/>
      <c r="Z290"/>
      <c r="AA290" s="1224" t="s">
        <v>2430</v>
      </c>
      <c r="AB290" s="1224"/>
      <c r="AC290" s="1224"/>
      <c r="AD290" s="1224"/>
      <c r="AE290" s="1224"/>
      <c r="AF290" s="1224"/>
      <c r="AG290" s="1224"/>
      <c r="AH290" s="1224"/>
      <c r="AI290" s="1224"/>
      <c r="AJ290" s="1224"/>
      <c r="AK290" s="1224"/>
      <c r="AL290" s="10"/>
      <c r="AN290" s="281"/>
    </row>
    <row r="291" spans="1:41" s="4" customFormat="1" ht="12.8" customHeight="1">
      <c r="B291" s="41" t="s">
        <v>109</v>
      </c>
      <c r="C291" s="41"/>
      <c r="D291" s="41"/>
      <c r="E291" s="41"/>
      <c r="F291" s="41"/>
      <c r="G291" s="41"/>
      <c r="H291" s="1693">
        <v>0.1</v>
      </c>
      <c r="I291" s="1693"/>
      <c r="J291" s="1693"/>
      <c r="K291" s="1693"/>
      <c r="L291" s="1693"/>
      <c r="M291" s="1693"/>
      <c r="N291" s="1693"/>
      <c r="O291" s="1693"/>
      <c r="P291" s="1693"/>
      <c r="Q291" s="1693"/>
      <c r="R291" s="1693"/>
      <c r="S291" s="41"/>
      <c r="T291" s="41" t="s">
        <v>109</v>
      </c>
      <c r="U291" s="41"/>
      <c r="V291" s="41"/>
      <c r="W291" s="41"/>
      <c r="X291" s="41"/>
      <c r="Y291" s="41"/>
      <c r="Z291" s="12"/>
      <c r="AA291" s="1693">
        <v>0.41</v>
      </c>
      <c r="AB291" s="1693"/>
      <c r="AC291" s="1693"/>
      <c r="AD291" s="1693"/>
      <c r="AE291" s="1693"/>
      <c r="AF291" s="1693"/>
      <c r="AG291" s="1693"/>
      <c r="AH291" s="1693"/>
      <c r="AI291" s="1693"/>
      <c r="AJ291" s="1693"/>
      <c r="AK291" s="1693"/>
      <c r="AL291" s="10"/>
      <c r="AN291" s="281"/>
    </row>
    <row r="292" spans="1:41" s="4" customFormat="1" ht="12.8"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8" customHeight="1">
      <c r="B293" s="41" t="s">
        <v>97</v>
      </c>
      <c r="C293" s="41"/>
      <c r="D293" s="41"/>
      <c r="E293" s="41"/>
      <c r="F293" s="41"/>
      <c r="G293"/>
      <c r="H293" s="1223" t="s">
        <v>2431</v>
      </c>
      <c r="I293" s="1223"/>
      <c r="J293" s="1223"/>
      <c r="K293" s="1223"/>
      <c r="L293" s="1223"/>
      <c r="M293" s="1223"/>
      <c r="N293" s="1223"/>
      <c r="O293" s="1223"/>
      <c r="P293" s="1223"/>
      <c r="Q293" s="1223"/>
      <c r="R293" s="1223"/>
      <c r="S293"/>
      <c r="T293" s="41" t="s">
        <v>97</v>
      </c>
      <c r="U293"/>
      <c r="V293" s="41"/>
      <c r="W293" s="41"/>
      <c r="X293" s="41"/>
      <c r="Y293" s="41"/>
      <c r="Z293"/>
      <c r="AA293" s="1223" t="s">
        <v>2436</v>
      </c>
      <c r="AB293" s="1223"/>
      <c r="AC293" s="1223"/>
      <c r="AD293" s="1223"/>
      <c r="AE293" s="1223"/>
      <c r="AF293" s="1223"/>
      <c r="AG293" s="1223"/>
      <c r="AH293" s="1223"/>
      <c r="AI293" s="1223"/>
      <c r="AJ293" s="1223"/>
      <c r="AK293" s="1223"/>
      <c r="AL293" s="10"/>
      <c r="AN293" s="281"/>
    </row>
    <row r="294" spans="1:41" s="20" customFormat="1" ht="12.8" customHeight="1">
      <c r="A294" s="4"/>
      <c r="B294" s="41" t="s">
        <v>735</v>
      </c>
      <c r="C294" s="41"/>
      <c r="D294" s="41"/>
      <c r="E294" s="41"/>
      <c r="F294" s="41"/>
      <c r="G294"/>
      <c r="H294" s="1224" t="s">
        <v>2432</v>
      </c>
      <c r="I294" s="1224"/>
      <c r="J294" s="1224"/>
      <c r="K294" s="1224"/>
      <c r="L294" s="1224"/>
      <c r="M294" s="1224"/>
      <c r="N294" s="1224"/>
      <c r="O294" s="1224"/>
      <c r="P294" s="1224"/>
      <c r="Q294" s="1224"/>
      <c r="R294" s="1224"/>
      <c r="S294"/>
      <c r="T294" s="41" t="s">
        <v>735</v>
      </c>
      <c r="U294"/>
      <c r="V294" s="41"/>
      <c r="W294" s="41"/>
      <c r="X294" s="41"/>
      <c r="Y294" s="41"/>
      <c r="Z294"/>
      <c r="AA294" s="1224" t="s">
        <v>2437</v>
      </c>
      <c r="AB294" s="1224"/>
      <c r="AC294" s="1224"/>
      <c r="AD294" s="1224"/>
      <c r="AE294" s="1224"/>
      <c r="AF294" s="1224"/>
      <c r="AG294" s="1224"/>
      <c r="AH294" s="1224"/>
      <c r="AI294" s="1224"/>
      <c r="AJ294" s="1224"/>
      <c r="AK294" s="1224"/>
      <c r="AL294" s="10"/>
      <c r="AM294" s="4"/>
      <c r="AN294" s="281"/>
      <c r="AO294" s="4"/>
    </row>
    <row r="295" spans="1:41" s="20" customFormat="1" ht="12.8" customHeight="1">
      <c r="A295" s="4"/>
      <c r="B295" s="41" t="s">
        <v>107</v>
      </c>
      <c r="C295" s="41"/>
      <c r="D295" s="41"/>
      <c r="E295" s="41"/>
      <c r="F295" s="41"/>
      <c r="G295"/>
      <c r="H295" s="1224" t="s">
        <v>2427</v>
      </c>
      <c r="I295" s="1224"/>
      <c r="J295" s="1224"/>
      <c r="K295" s="1224"/>
      <c r="L295" s="1224"/>
      <c r="M295" s="1224"/>
      <c r="N295" s="1224"/>
      <c r="O295" s="1224"/>
      <c r="P295" s="1224"/>
      <c r="Q295" s="1224"/>
      <c r="R295" s="1224"/>
      <c r="S295"/>
      <c r="T295" s="41" t="s">
        <v>107</v>
      </c>
      <c r="U295"/>
      <c r="V295" s="41"/>
      <c r="W295" s="41"/>
      <c r="X295" s="41"/>
      <c r="Y295" s="41"/>
      <c r="Z295"/>
      <c r="AA295" s="1224" t="s">
        <v>2427</v>
      </c>
      <c r="AB295" s="1224"/>
      <c r="AC295" s="1224"/>
      <c r="AD295" s="1224"/>
      <c r="AE295" s="1224"/>
      <c r="AF295" s="1224"/>
      <c r="AG295" s="1224"/>
      <c r="AH295" s="1224"/>
      <c r="AI295" s="1224"/>
      <c r="AJ295" s="1224"/>
      <c r="AK295" s="1224"/>
      <c r="AL295" s="10"/>
      <c r="AM295" s="4"/>
      <c r="AN295" s="281"/>
      <c r="AO295" s="4"/>
    </row>
    <row r="296" spans="1:41" s="4" customFormat="1" ht="12.8" customHeight="1">
      <c r="B296" s="41" t="s">
        <v>399</v>
      </c>
      <c r="C296" s="41"/>
      <c r="D296" s="41"/>
      <c r="E296" s="41"/>
      <c r="F296" s="41"/>
      <c r="G296"/>
      <c r="H296" s="1224" t="s">
        <v>2433</v>
      </c>
      <c r="I296" s="1224"/>
      <c r="J296" s="1224"/>
      <c r="K296" s="1224"/>
      <c r="L296" s="1224"/>
      <c r="M296" s="1224"/>
      <c r="N296" s="1224"/>
      <c r="O296" s="1224"/>
      <c r="P296" s="1224"/>
      <c r="Q296" s="1224"/>
      <c r="R296" s="1224"/>
      <c r="S296"/>
      <c r="T296" s="41" t="s">
        <v>399</v>
      </c>
      <c r="U296"/>
      <c r="V296" s="41"/>
      <c r="W296" s="41"/>
      <c r="X296" s="41"/>
      <c r="Y296" s="41"/>
      <c r="Z296"/>
      <c r="AA296" s="1224" t="s">
        <v>2438</v>
      </c>
      <c r="AB296" s="1224"/>
      <c r="AC296" s="1224"/>
      <c r="AD296" s="1224"/>
      <c r="AE296" s="1224"/>
      <c r="AF296" s="1224"/>
      <c r="AG296" s="1224"/>
      <c r="AH296" s="1224"/>
      <c r="AI296" s="1224"/>
      <c r="AJ296" s="1224"/>
      <c r="AK296" s="1224"/>
      <c r="AL296" s="10"/>
      <c r="AN296" s="281"/>
    </row>
    <row r="297" spans="1:41" s="4" customFormat="1" ht="12.8" customHeight="1">
      <c r="B297" s="41" t="s">
        <v>400</v>
      </c>
      <c r="C297" s="41"/>
      <c r="D297" s="41"/>
      <c r="E297" s="41"/>
      <c r="F297" s="41"/>
      <c r="G297" s="41"/>
      <c r="H297" s="1483" t="s">
        <v>2434</v>
      </c>
      <c r="I297" s="1389"/>
      <c r="J297" s="1389"/>
      <c r="K297" s="1389"/>
      <c r="L297" s="1389"/>
      <c r="M297" s="1389"/>
      <c r="N297" s="5" t="s">
        <v>859</v>
      </c>
      <c r="O297" s="5"/>
      <c r="P297" s="1384"/>
      <c r="Q297" s="1384"/>
      <c r="R297" s="1384"/>
      <c r="S297" s="41"/>
      <c r="T297" s="41" t="s">
        <v>400</v>
      </c>
      <c r="U297"/>
      <c r="V297" s="41"/>
      <c r="W297" s="41"/>
      <c r="X297" s="41"/>
      <c r="Y297" s="41"/>
      <c r="Z297"/>
      <c r="AA297" s="1483" t="s">
        <v>2439</v>
      </c>
      <c r="AB297" s="1389"/>
      <c r="AC297" s="1389"/>
      <c r="AD297" s="1389"/>
      <c r="AE297" s="1389"/>
      <c r="AF297" s="1389"/>
      <c r="AG297" s="5" t="s">
        <v>859</v>
      </c>
      <c r="AH297" s="5"/>
      <c r="AI297" s="1384"/>
      <c r="AJ297" s="1384"/>
      <c r="AK297" s="1384"/>
      <c r="AL297" s="10"/>
      <c r="AN297" s="281"/>
    </row>
    <row r="298" spans="1:41" s="4" customFormat="1" ht="12.8" customHeight="1">
      <c r="B298" s="41" t="s">
        <v>96</v>
      </c>
      <c r="C298" s="41"/>
      <c r="D298" s="41"/>
      <c r="E298" s="41"/>
      <c r="F298" s="41"/>
      <c r="G298" s="41"/>
      <c r="H298" s="1224" t="s">
        <v>101</v>
      </c>
      <c r="I298" s="1224"/>
      <c r="J298" s="1224"/>
      <c r="K298" s="1224"/>
      <c r="L298" s="1224"/>
      <c r="M298" s="1224"/>
      <c r="N298" s="1224"/>
      <c r="O298" s="1224"/>
      <c r="P298" s="1224"/>
      <c r="Q298" s="1224"/>
      <c r="R298" s="1224"/>
      <c r="S298" s="41"/>
      <c r="T298" s="41" t="s">
        <v>96</v>
      </c>
      <c r="U298"/>
      <c r="V298" s="41"/>
      <c r="W298" s="41"/>
      <c r="X298" s="41"/>
      <c r="Y298" s="41"/>
      <c r="Z298"/>
      <c r="AA298" s="1224" t="s">
        <v>369</v>
      </c>
      <c r="AB298" s="1224"/>
      <c r="AC298" s="1224"/>
      <c r="AD298" s="1224"/>
      <c r="AE298" s="1224"/>
      <c r="AF298" s="1224"/>
      <c r="AG298" s="1224"/>
      <c r="AH298" s="1224"/>
      <c r="AI298" s="1224"/>
      <c r="AJ298" s="1224"/>
      <c r="AK298" s="1224"/>
      <c r="AL298" s="10"/>
      <c r="AN298" s="281"/>
    </row>
    <row r="299" spans="1:41" s="4" customFormat="1" ht="12.8" customHeight="1">
      <c r="B299" s="41" t="s">
        <v>98</v>
      </c>
      <c r="C299" s="41"/>
      <c r="D299" s="41"/>
      <c r="E299" s="41"/>
      <c r="F299" s="41"/>
      <c r="G299" s="41"/>
      <c r="H299" s="1224" t="s">
        <v>2435</v>
      </c>
      <c r="I299" s="1224"/>
      <c r="J299" s="1224"/>
      <c r="K299" s="1224"/>
      <c r="L299" s="1224"/>
      <c r="M299" s="1224"/>
      <c r="N299" s="1224"/>
      <c r="O299" s="1224"/>
      <c r="P299" s="1224"/>
      <c r="Q299" s="1224"/>
      <c r="R299" s="1224"/>
      <c r="S299" s="41"/>
      <c r="T299" s="41" t="s">
        <v>98</v>
      </c>
      <c r="U299"/>
      <c r="V299" s="41"/>
      <c r="W299" s="41"/>
      <c r="X299" s="41"/>
      <c r="Y299" s="41"/>
      <c r="Z299"/>
      <c r="AA299" s="1224" t="s">
        <v>2440</v>
      </c>
      <c r="AB299" s="1224"/>
      <c r="AC299" s="1224"/>
      <c r="AD299" s="1224"/>
      <c r="AE299" s="1224"/>
      <c r="AF299" s="1224"/>
      <c r="AG299" s="1224"/>
      <c r="AH299" s="1224"/>
      <c r="AI299" s="1224"/>
      <c r="AJ299" s="1224"/>
      <c r="AK299" s="1224"/>
      <c r="AL299" s="10"/>
      <c r="AN299" s="281"/>
    </row>
    <row r="300" spans="1:41" s="4" customFormat="1" ht="12.8" customHeight="1">
      <c r="B300" s="41" t="s">
        <v>109</v>
      </c>
      <c r="C300" s="41"/>
      <c r="D300" s="41"/>
      <c r="E300" s="41"/>
      <c r="F300" s="41"/>
      <c r="G300" s="41"/>
      <c r="H300" s="1693">
        <v>0.79</v>
      </c>
      <c r="I300" s="1693"/>
      <c r="J300" s="1693"/>
      <c r="K300" s="1693"/>
      <c r="L300" s="1693"/>
      <c r="M300" s="1693"/>
      <c r="N300" s="1693"/>
      <c r="O300" s="1693"/>
      <c r="P300" s="1693"/>
      <c r="Q300" s="1693"/>
      <c r="R300" s="1693"/>
      <c r="S300" s="41"/>
      <c r="T300" s="41" t="s">
        <v>109</v>
      </c>
      <c r="U300" s="41"/>
      <c r="V300" s="41"/>
      <c r="W300" s="41"/>
      <c r="X300" s="41"/>
      <c r="Y300" s="41"/>
      <c r="Z300" s="12"/>
      <c r="AA300" s="1693">
        <v>0.33</v>
      </c>
      <c r="AB300" s="1693"/>
      <c r="AC300" s="1693"/>
      <c r="AD300" s="1693"/>
      <c r="AE300" s="1693"/>
      <c r="AF300" s="1693"/>
      <c r="AG300" s="1693"/>
      <c r="AH300" s="1693"/>
      <c r="AI300" s="1693"/>
      <c r="AJ300" s="1693"/>
      <c r="AK300" s="1693"/>
      <c r="AL300" s="10"/>
      <c r="AN300" s="281"/>
    </row>
    <row r="301" spans="1:41" s="4" customFormat="1" ht="12.8"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8" customHeight="1">
      <c r="B302" s="41" t="s">
        <v>97</v>
      </c>
      <c r="C302" s="41"/>
      <c r="D302" s="41"/>
      <c r="E302" s="41"/>
      <c r="F302" s="41"/>
      <c r="G302"/>
      <c r="H302" s="1223" t="s">
        <v>2441</v>
      </c>
      <c r="I302" s="1223"/>
      <c r="J302" s="1223"/>
      <c r="K302" s="1223"/>
      <c r="L302" s="1223"/>
      <c r="M302" s="1223"/>
      <c r="N302" s="1223"/>
      <c r="O302" s="1223"/>
      <c r="P302" s="1223"/>
      <c r="Q302" s="1223"/>
      <c r="R302" s="1223"/>
      <c r="S302"/>
      <c r="T302" s="41" t="s">
        <v>97</v>
      </c>
      <c r="U302"/>
      <c r="V302" s="41"/>
      <c r="W302" s="41"/>
      <c r="X302" s="41"/>
      <c r="Y302" s="41"/>
      <c r="Z302"/>
      <c r="AA302" s="1223" t="s">
        <v>2446</v>
      </c>
      <c r="AB302" s="1223"/>
      <c r="AC302" s="1223"/>
      <c r="AD302" s="1223"/>
      <c r="AE302" s="1223"/>
      <c r="AF302" s="1223"/>
      <c r="AG302" s="1223"/>
      <c r="AH302" s="1223"/>
      <c r="AI302" s="1223"/>
      <c r="AJ302" s="1223"/>
      <c r="AK302" s="1223"/>
      <c r="AL302" s="10"/>
      <c r="AN302" s="281"/>
    </row>
    <row r="303" spans="1:41" s="4" customFormat="1" ht="12.8" customHeight="1">
      <c r="B303" s="41" t="s">
        <v>735</v>
      </c>
      <c r="C303" s="41"/>
      <c r="D303" s="41"/>
      <c r="E303" s="41"/>
      <c r="F303" s="41"/>
      <c r="G303"/>
      <c r="H303" s="1224" t="s">
        <v>2442</v>
      </c>
      <c r="I303" s="1224"/>
      <c r="J303" s="1224"/>
      <c r="K303" s="1224"/>
      <c r="L303" s="1224"/>
      <c r="M303" s="1224"/>
      <c r="N303" s="1224"/>
      <c r="O303" s="1224"/>
      <c r="P303" s="1224"/>
      <c r="Q303" s="1224"/>
      <c r="R303" s="1224"/>
      <c r="S303"/>
      <c r="T303" s="41" t="s">
        <v>735</v>
      </c>
      <c r="U303"/>
      <c r="V303" s="41"/>
      <c r="W303" s="41"/>
      <c r="X303" s="41"/>
      <c r="Y303" s="41"/>
      <c r="Z303"/>
      <c r="AA303" s="1224" t="s">
        <v>2447</v>
      </c>
      <c r="AB303" s="1224"/>
      <c r="AC303" s="1224"/>
      <c r="AD303" s="1224"/>
      <c r="AE303" s="1224"/>
      <c r="AF303" s="1224"/>
      <c r="AG303" s="1224"/>
      <c r="AH303" s="1224"/>
      <c r="AI303" s="1224"/>
      <c r="AJ303" s="1224"/>
      <c r="AK303" s="1224"/>
      <c r="AL303" s="10"/>
      <c r="AN303" s="281"/>
    </row>
    <row r="304" spans="1:41" s="4" customFormat="1" ht="12.8" customHeight="1">
      <c r="B304" s="41" t="s">
        <v>107</v>
      </c>
      <c r="C304" s="41"/>
      <c r="D304" s="41"/>
      <c r="E304" s="41"/>
      <c r="F304" s="41"/>
      <c r="G304"/>
      <c r="H304" s="1224" t="s">
        <v>2427</v>
      </c>
      <c r="I304" s="1224"/>
      <c r="J304" s="1224"/>
      <c r="K304" s="1224"/>
      <c r="L304" s="1224"/>
      <c r="M304" s="1224"/>
      <c r="N304" s="1224"/>
      <c r="O304" s="1224"/>
      <c r="P304" s="1224"/>
      <c r="Q304" s="1224"/>
      <c r="R304" s="1224"/>
      <c r="S304"/>
      <c r="T304" s="41" t="s">
        <v>107</v>
      </c>
      <c r="U304"/>
      <c r="V304" s="41"/>
      <c r="W304" s="41"/>
      <c r="X304" s="41"/>
      <c r="Y304" s="41"/>
      <c r="Z304"/>
      <c r="AA304" s="1224" t="s">
        <v>2427</v>
      </c>
      <c r="AB304" s="1224"/>
      <c r="AC304" s="1224"/>
      <c r="AD304" s="1224"/>
      <c r="AE304" s="1224"/>
      <c r="AF304" s="1224"/>
      <c r="AG304" s="1224"/>
      <c r="AH304" s="1224"/>
      <c r="AI304" s="1224"/>
      <c r="AJ304" s="1224"/>
      <c r="AK304" s="1224"/>
      <c r="AL304" s="10"/>
      <c r="AN304" s="281"/>
    </row>
    <row r="305" spans="2:40" s="4" customFormat="1" ht="12.8" customHeight="1">
      <c r="B305" s="41" t="s">
        <v>399</v>
      </c>
      <c r="C305" s="41"/>
      <c r="D305" s="41"/>
      <c r="E305" s="41"/>
      <c r="F305" s="41"/>
      <c r="G305"/>
      <c r="H305" s="1224" t="s">
        <v>2443</v>
      </c>
      <c r="I305" s="1224"/>
      <c r="J305" s="1224"/>
      <c r="K305" s="1224"/>
      <c r="L305" s="1224"/>
      <c r="M305" s="1224"/>
      <c r="N305" s="1224"/>
      <c r="O305" s="1224"/>
      <c r="P305" s="1224"/>
      <c r="Q305" s="1224"/>
      <c r="R305" s="1224"/>
      <c r="S305"/>
      <c r="T305" s="41" t="s">
        <v>399</v>
      </c>
      <c r="U305"/>
      <c r="V305" s="41"/>
      <c r="W305" s="41"/>
      <c r="X305" s="41"/>
      <c r="Y305" s="41"/>
      <c r="Z305"/>
      <c r="AA305" s="1224" t="s">
        <v>2450</v>
      </c>
      <c r="AB305" s="1224"/>
      <c r="AC305" s="1224"/>
      <c r="AD305" s="1224"/>
      <c r="AE305" s="1224"/>
      <c r="AF305" s="1224"/>
      <c r="AG305" s="1224"/>
      <c r="AH305" s="1224"/>
      <c r="AI305" s="1224"/>
      <c r="AJ305" s="1224"/>
      <c r="AK305" s="1224"/>
      <c r="AL305" s="10"/>
      <c r="AN305" s="281"/>
    </row>
    <row r="306" spans="2:40" s="4" customFormat="1" ht="12.8" customHeight="1">
      <c r="B306" s="41" t="s">
        <v>400</v>
      </c>
      <c r="C306" s="41"/>
      <c r="D306" s="41"/>
      <c r="E306" s="41"/>
      <c r="F306" s="41"/>
      <c r="G306" s="41"/>
      <c r="H306" s="1483" t="s">
        <v>2444</v>
      </c>
      <c r="I306" s="1389"/>
      <c r="J306" s="1389"/>
      <c r="K306" s="1389"/>
      <c r="L306" s="1389"/>
      <c r="M306" s="1389"/>
      <c r="N306" s="5" t="s">
        <v>859</v>
      </c>
      <c r="O306" s="5"/>
      <c r="P306" s="1384"/>
      <c r="Q306" s="1384"/>
      <c r="R306" s="1384"/>
      <c r="S306" s="41"/>
      <c r="T306" s="41" t="s">
        <v>400</v>
      </c>
      <c r="U306"/>
      <c r="V306" s="41"/>
      <c r="W306" s="41"/>
      <c r="X306" s="41"/>
      <c r="Y306" s="41"/>
      <c r="Z306"/>
      <c r="AA306" s="1483" t="s">
        <v>2448</v>
      </c>
      <c r="AB306" s="1389"/>
      <c r="AC306" s="1389"/>
      <c r="AD306" s="1389"/>
      <c r="AE306" s="1389"/>
      <c r="AF306" s="1389"/>
      <c r="AG306" s="5" t="s">
        <v>859</v>
      </c>
      <c r="AH306" s="5"/>
      <c r="AI306" s="1384"/>
      <c r="AJ306" s="1384"/>
      <c r="AK306" s="1384"/>
      <c r="AL306" s="10"/>
      <c r="AN306" s="281"/>
    </row>
    <row r="307" spans="2:40" s="4" customFormat="1" ht="12.8" customHeight="1">
      <c r="B307" s="41" t="s">
        <v>96</v>
      </c>
      <c r="C307" s="41"/>
      <c r="D307" s="41"/>
      <c r="E307" s="41"/>
      <c r="F307" s="41"/>
      <c r="G307" s="41"/>
      <c r="H307" s="1224" t="s">
        <v>108</v>
      </c>
      <c r="I307" s="1224"/>
      <c r="J307" s="1224"/>
      <c r="K307" s="1224"/>
      <c r="L307" s="1224"/>
      <c r="M307" s="1224"/>
      <c r="N307" s="1224"/>
      <c r="O307" s="1224"/>
      <c r="P307" s="1224"/>
      <c r="Q307" s="1224"/>
      <c r="R307" s="1224"/>
      <c r="S307" s="41"/>
      <c r="T307" s="41" t="s">
        <v>96</v>
      </c>
      <c r="U307"/>
      <c r="V307" s="41"/>
      <c r="W307" s="41"/>
      <c r="X307" s="41"/>
      <c r="Y307" s="41"/>
      <c r="Z307"/>
      <c r="AA307" s="1224" t="s">
        <v>104</v>
      </c>
      <c r="AB307" s="1224"/>
      <c r="AC307" s="1224"/>
      <c r="AD307" s="1224"/>
      <c r="AE307" s="1224"/>
      <c r="AF307" s="1224"/>
      <c r="AG307" s="1224"/>
      <c r="AH307" s="1224"/>
      <c r="AI307" s="1224"/>
      <c r="AJ307" s="1224"/>
      <c r="AK307" s="1224"/>
      <c r="AL307" s="10"/>
      <c r="AN307" s="281"/>
    </row>
    <row r="308" spans="2:40" s="4" customFormat="1" ht="12.8" customHeight="1">
      <c r="B308" s="41" t="s">
        <v>98</v>
      </c>
      <c r="C308" s="41"/>
      <c r="D308" s="41"/>
      <c r="E308" s="41"/>
      <c r="F308" s="41"/>
      <c r="G308" s="41"/>
      <c r="H308" s="1224" t="s">
        <v>2445</v>
      </c>
      <c r="I308" s="1224"/>
      <c r="J308" s="1224"/>
      <c r="K308" s="1224"/>
      <c r="L308" s="1224"/>
      <c r="M308" s="1224"/>
      <c r="N308" s="1224"/>
      <c r="O308" s="1224"/>
      <c r="P308" s="1224"/>
      <c r="Q308" s="1224"/>
      <c r="R308" s="1224"/>
      <c r="S308" s="41"/>
      <c r="T308" s="41" t="s">
        <v>98</v>
      </c>
      <c r="U308"/>
      <c r="V308" s="41"/>
      <c r="W308" s="41"/>
      <c r="X308" s="41"/>
      <c r="Y308" s="41"/>
      <c r="Z308"/>
      <c r="AA308" s="1224" t="s">
        <v>2449</v>
      </c>
      <c r="AB308" s="1224"/>
      <c r="AC308" s="1224"/>
      <c r="AD308" s="1224"/>
      <c r="AE308" s="1224"/>
      <c r="AF308" s="1224"/>
      <c r="AG308" s="1224"/>
      <c r="AH308" s="1224"/>
      <c r="AI308" s="1224"/>
      <c r="AJ308" s="1224"/>
      <c r="AK308" s="1224"/>
      <c r="AL308" s="10"/>
      <c r="AN308" s="281"/>
    </row>
    <row r="309" spans="2:40" s="4" customFormat="1" ht="12.8" customHeight="1">
      <c r="B309" s="41" t="s">
        <v>109</v>
      </c>
      <c r="C309" s="41"/>
      <c r="D309" s="41"/>
      <c r="E309" s="41"/>
      <c r="F309" s="41"/>
      <c r="G309" s="41"/>
      <c r="H309" s="1693">
        <v>0.27</v>
      </c>
      <c r="I309" s="1693"/>
      <c r="J309" s="1693"/>
      <c r="K309" s="1693"/>
      <c r="L309" s="1693"/>
      <c r="M309" s="1693"/>
      <c r="N309" s="1693"/>
      <c r="O309" s="1693"/>
      <c r="P309" s="1693"/>
      <c r="Q309" s="1693"/>
      <c r="R309" s="1693"/>
      <c r="S309" s="41"/>
      <c r="T309" s="41" t="s">
        <v>109</v>
      </c>
      <c r="U309" s="41"/>
      <c r="V309" s="41"/>
      <c r="W309" s="41"/>
      <c r="X309" s="41"/>
      <c r="Y309" s="41"/>
      <c r="Z309" s="12"/>
      <c r="AA309" s="1693">
        <v>0.12</v>
      </c>
      <c r="AB309" s="1693"/>
      <c r="AC309" s="1693"/>
      <c r="AD309" s="1693"/>
      <c r="AE309" s="1693"/>
      <c r="AF309" s="1693"/>
      <c r="AG309" s="1693"/>
      <c r="AH309" s="1693"/>
      <c r="AI309" s="1693"/>
      <c r="AJ309" s="1693"/>
      <c r="AK309" s="1693"/>
      <c r="AL309" s="10"/>
      <c r="AN309" s="281"/>
    </row>
    <row r="310" spans="2:40" s="4" customFormat="1" ht="12.8"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8" customHeight="1">
      <c r="B311" s="41" t="s">
        <v>97</v>
      </c>
      <c r="C311" s="41"/>
      <c r="D311" s="41"/>
      <c r="E311" s="41"/>
      <c r="F311" s="41"/>
      <c r="G311"/>
      <c r="H311" s="1223"/>
      <c r="I311" s="1223"/>
      <c r="J311" s="1223"/>
      <c r="K311" s="1223"/>
      <c r="L311" s="1223"/>
      <c r="M311" s="1223"/>
      <c r="N311" s="1223"/>
      <c r="O311" s="1223"/>
      <c r="P311" s="1223"/>
      <c r="Q311" s="1223"/>
      <c r="R311" s="1223"/>
      <c r="S311"/>
      <c r="T311" s="41" t="s">
        <v>97</v>
      </c>
      <c r="U311"/>
      <c r="V311" s="41"/>
      <c r="W311" s="41"/>
      <c r="X311" s="41"/>
      <c r="Y311" s="41"/>
      <c r="Z311"/>
      <c r="AA311" s="1223"/>
      <c r="AB311" s="1223"/>
      <c r="AC311" s="1223"/>
      <c r="AD311" s="1223"/>
      <c r="AE311" s="1223"/>
      <c r="AF311" s="1223"/>
      <c r="AG311" s="1223"/>
      <c r="AH311" s="1223"/>
      <c r="AI311" s="1223"/>
      <c r="AJ311" s="1223"/>
      <c r="AK311" s="1223"/>
      <c r="AL311" s="10"/>
      <c r="AN311" s="281"/>
    </row>
    <row r="312" spans="2:40" s="4" customFormat="1" ht="12.8" customHeight="1">
      <c r="B312" s="41" t="s">
        <v>735</v>
      </c>
      <c r="C312" s="41"/>
      <c r="D312" s="41"/>
      <c r="E312" s="41"/>
      <c r="F312" s="41"/>
      <c r="G312"/>
      <c r="H312" s="1224"/>
      <c r="I312" s="1224"/>
      <c r="J312" s="1224"/>
      <c r="K312" s="1224"/>
      <c r="L312" s="1224"/>
      <c r="M312" s="1224"/>
      <c r="N312" s="1224"/>
      <c r="O312" s="1224"/>
      <c r="P312" s="1224"/>
      <c r="Q312" s="1224"/>
      <c r="R312" s="1224"/>
      <c r="S312"/>
      <c r="T312" s="41" t="s">
        <v>735</v>
      </c>
      <c r="U312"/>
      <c r="V312" s="41"/>
      <c r="W312" s="41"/>
      <c r="X312" s="41"/>
      <c r="Y312" s="41"/>
      <c r="Z312"/>
      <c r="AA312" s="1224"/>
      <c r="AB312" s="1224"/>
      <c r="AC312" s="1224"/>
      <c r="AD312" s="1224"/>
      <c r="AE312" s="1224"/>
      <c r="AF312" s="1224"/>
      <c r="AG312" s="1224"/>
      <c r="AH312" s="1224"/>
      <c r="AI312" s="1224"/>
      <c r="AJ312" s="1224"/>
      <c r="AK312" s="1224"/>
      <c r="AL312" s="10"/>
      <c r="AN312" s="281"/>
    </row>
    <row r="313" spans="2:40" s="4" customFormat="1" ht="12.8" customHeight="1">
      <c r="B313" s="41" t="s">
        <v>107</v>
      </c>
      <c r="C313" s="41"/>
      <c r="D313" s="41"/>
      <c r="E313" s="41"/>
      <c r="F313" s="41"/>
      <c r="G313"/>
      <c r="H313" s="1224"/>
      <c r="I313" s="1224"/>
      <c r="J313" s="1224"/>
      <c r="K313" s="1224"/>
      <c r="L313" s="1224"/>
      <c r="M313" s="1224"/>
      <c r="N313" s="1224"/>
      <c r="O313" s="1224"/>
      <c r="P313" s="1224"/>
      <c r="Q313" s="1224"/>
      <c r="R313" s="1224"/>
      <c r="S313"/>
      <c r="T313" s="41" t="s">
        <v>107</v>
      </c>
      <c r="U313"/>
      <c r="V313" s="41"/>
      <c r="W313" s="41"/>
      <c r="X313" s="41"/>
      <c r="Y313" s="41"/>
      <c r="Z313"/>
      <c r="AA313" s="1224"/>
      <c r="AB313" s="1224"/>
      <c r="AC313" s="1224"/>
      <c r="AD313" s="1224"/>
      <c r="AE313" s="1224"/>
      <c r="AF313" s="1224"/>
      <c r="AG313" s="1224"/>
      <c r="AH313" s="1224"/>
      <c r="AI313" s="1224"/>
      <c r="AJ313" s="1224"/>
      <c r="AK313" s="1224"/>
      <c r="AL313" s="10"/>
      <c r="AN313" s="281"/>
    </row>
    <row r="314" spans="2:40" s="4" customFormat="1" ht="12.8" customHeight="1">
      <c r="B314" s="41" t="s">
        <v>399</v>
      </c>
      <c r="C314" s="41"/>
      <c r="D314" s="41"/>
      <c r="E314" s="41"/>
      <c r="F314" s="41"/>
      <c r="G314"/>
      <c r="H314" s="1224"/>
      <c r="I314" s="1224"/>
      <c r="J314" s="1224"/>
      <c r="K314" s="1224"/>
      <c r="L314" s="1224"/>
      <c r="M314" s="1224"/>
      <c r="N314" s="1224"/>
      <c r="O314" s="1224"/>
      <c r="P314" s="1224"/>
      <c r="Q314" s="1224"/>
      <c r="R314" s="1224"/>
      <c r="S314"/>
      <c r="T314" s="41" t="s">
        <v>399</v>
      </c>
      <c r="U314"/>
      <c r="V314" s="41"/>
      <c r="W314" s="41"/>
      <c r="X314" s="41"/>
      <c r="Y314" s="41"/>
      <c r="Z314"/>
      <c r="AA314" s="1224"/>
      <c r="AB314" s="1224"/>
      <c r="AC314" s="1224"/>
      <c r="AD314" s="1224"/>
      <c r="AE314" s="1224"/>
      <c r="AF314" s="1224"/>
      <c r="AG314" s="1224"/>
      <c r="AH314" s="1224"/>
      <c r="AI314" s="1224"/>
      <c r="AJ314" s="1224"/>
      <c r="AK314" s="1224"/>
      <c r="AL314" s="10"/>
      <c r="AN314" s="281"/>
    </row>
    <row r="315" spans="2:40" s="4" customFormat="1" ht="12.8" customHeight="1">
      <c r="B315" s="41" t="s">
        <v>400</v>
      </c>
      <c r="C315" s="41"/>
      <c r="D315" s="41"/>
      <c r="E315" s="41"/>
      <c r="F315" s="41"/>
      <c r="G315" s="41"/>
      <c r="H315" s="1389"/>
      <c r="I315" s="1389"/>
      <c r="J315" s="1389"/>
      <c r="K315" s="1389"/>
      <c r="L315" s="1389"/>
      <c r="M315" s="1389"/>
      <c r="N315" s="5" t="s">
        <v>859</v>
      </c>
      <c r="O315" s="5"/>
      <c r="P315" s="1384"/>
      <c r="Q315" s="1384"/>
      <c r="R315" s="1384"/>
      <c r="S315" s="41"/>
      <c r="T315" s="41" t="s">
        <v>400</v>
      </c>
      <c r="U315"/>
      <c r="V315" s="41"/>
      <c r="W315" s="41"/>
      <c r="X315" s="41"/>
      <c r="Y315" s="41"/>
      <c r="Z315"/>
      <c r="AA315" s="1389"/>
      <c r="AB315" s="1389"/>
      <c r="AC315" s="1389"/>
      <c r="AD315" s="1389"/>
      <c r="AE315" s="1389"/>
      <c r="AF315" s="1389"/>
      <c r="AG315" s="5" t="s">
        <v>859</v>
      </c>
      <c r="AH315" s="5"/>
      <c r="AI315" s="1384"/>
      <c r="AJ315" s="1384"/>
      <c r="AK315" s="1384"/>
      <c r="AL315" s="10"/>
      <c r="AN315" s="281"/>
    </row>
    <row r="316" spans="2:40" s="4" customFormat="1" ht="12.8" customHeight="1">
      <c r="B316" s="41" t="s">
        <v>96</v>
      </c>
      <c r="C316" s="41"/>
      <c r="D316" s="41"/>
      <c r="E316" s="41"/>
      <c r="F316" s="41"/>
      <c r="G316" s="41"/>
      <c r="H316" s="1224"/>
      <c r="I316" s="1224"/>
      <c r="J316" s="1224"/>
      <c r="K316" s="1224"/>
      <c r="L316" s="1224"/>
      <c r="M316" s="1224"/>
      <c r="N316" s="1224"/>
      <c r="O316" s="1224"/>
      <c r="P316" s="1224"/>
      <c r="Q316" s="1224"/>
      <c r="R316" s="1224"/>
      <c r="S316" s="41"/>
      <c r="T316" s="41" t="s">
        <v>96</v>
      </c>
      <c r="U316"/>
      <c r="V316" s="41"/>
      <c r="W316" s="41"/>
      <c r="X316" s="41"/>
      <c r="Y316" s="41"/>
      <c r="Z316"/>
      <c r="AA316" s="1224"/>
      <c r="AB316" s="1224"/>
      <c r="AC316" s="1224"/>
      <c r="AD316" s="1224"/>
      <c r="AE316" s="1224"/>
      <c r="AF316" s="1224"/>
      <c r="AG316" s="1224"/>
      <c r="AH316" s="1224"/>
      <c r="AI316" s="1224"/>
      <c r="AJ316" s="1224"/>
      <c r="AK316" s="1224"/>
      <c r="AL316" s="10"/>
      <c r="AN316" s="281"/>
    </row>
    <row r="317" spans="2:40" s="4" customFormat="1" ht="12.8" customHeight="1">
      <c r="B317" s="41" t="s">
        <v>98</v>
      </c>
      <c r="C317" s="41"/>
      <c r="D317" s="41"/>
      <c r="E317" s="41"/>
      <c r="F317" s="41"/>
      <c r="G317" s="41"/>
      <c r="H317" s="1224"/>
      <c r="I317" s="1224"/>
      <c r="J317" s="1224"/>
      <c r="K317" s="1224"/>
      <c r="L317" s="1224"/>
      <c r="M317" s="1224"/>
      <c r="N317" s="1224"/>
      <c r="O317" s="1224"/>
      <c r="P317" s="1224"/>
      <c r="Q317" s="1224"/>
      <c r="R317" s="1224"/>
      <c r="S317" s="41"/>
      <c r="T317" s="41" t="s">
        <v>98</v>
      </c>
      <c r="U317"/>
      <c r="V317" s="41"/>
      <c r="W317" s="41"/>
      <c r="X317" s="41"/>
      <c r="Y317" s="41"/>
      <c r="Z317"/>
      <c r="AA317" s="1224"/>
      <c r="AB317" s="1224"/>
      <c r="AC317" s="1224"/>
      <c r="AD317" s="1224"/>
      <c r="AE317" s="1224"/>
      <c r="AF317" s="1224"/>
      <c r="AG317" s="1224"/>
      <c r="AH317" s="1224"/>
      <c r="AI317" s="1224"/>
      <c r="AJ317" s="1224"/>
      <c r="AK317" s="1224"/>
      <c r="AL317" s="10"/>
      <c r="AN317" s="281"/>
    </row>
    <row r="318" spans="2:40" s="4" customFormat="1" ht="12.8" customHeight="1">
      <c r="B318" s="41" t="s">
        <v>109</v>
      </c>
      <c r="C318" s="41"/>
      <c r="D318" s="41"/>
      <c r="E318" s="41"/>
      <c r="F318" s="41"/>
      <c r="G318" s="41"/>
      <c r="H318" s="1693"/>
      <c r="I318" s="1693"/>
      <c r="J318" s="1693"/>
      <c r="K318" s="1693"/>
      <c r="L318" s="1693"/>
      <c r="M318" s="1693"/>
      <c r="N318" s="1693"/>
      <c r="O318" s="1693"/>
      <c r="P318" s="1693"/>
      <c r="Q318" s="1693"/>
      <c r="R318" s="1693"/>
      <c r="S318" s="41"/>
      <c r="T318" s="41" t="s">
        <v>109</v>
      </c>
      <c r="U318" s="41"/>
      <c r="V318" s="41"/>
      <c r="W318" s="41"/>
      <c r="X318" s="41"/>
      <c r="Y318" s="41"/>
      <c r="Z318" s="12"/>
      <c r="AA318" s="1693"/>
      <c r="AB318" s="1693"/>
      <c r="AC318" s="1693"/>
      <c r="AD318" s="1693"/>
      <c r="AE318" s="1693"/>
      <c r="AF318" s="1693"/>
      <c r="AG318" s="1693"/>
      <c r="AH318" s="1693"/>
      <c r="AI318" s="1693"/>
      <c r="AJ318" s="1693"/>
      <c r="AK318" s="1693"/>
      <c r="AL318" s="10"/>
      <c r="AN318" s="281"/>
    </row>
    <row r="319" spans="2:40" s="4" customFormat="1" ht="12.8"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8" customHeight="1">
      <c r="B320" s="41" t="s">
        <v>97</v>
      </c>
      <c r="C320" s="41"/>
      <c r="D320" s="41"/>
      <c r="E320" s="41"/>
      <c r="F320" s="41"/>
      <c r="G320"/>
      <c r="H320" s="1223"/>
      <c r="I320" s="1223"/>
      <c r="J320" s="1223"/>
      <c r="K320" s="1223"/>
      <c r="L320" s="1223"/>
      <c r="M320" s="1223"/>
      <c r="N320" s="1223"/>
      <c r="O320" s="1223"/>
      <c r="P320" s="1223"/>
      <c r="Q320" s="1223"/>
      <c r="R320" s="1223"/>
      <c r="S320"/>
      <c r="T320" s="41" t="s">
        <v>97</v>
      </c>
      <c r="U320"/>
      <c r="V320" s="41"/>
      <c r="W320" s="41"/>
      <c r="X320" s="41"/>
      <c r="Y320" s="41"/>
      <c r="Z320"/>
      <c r="AA320" s="1223"/>
      <c r="AB320" s="1223"/>
      <c r="AC320" s="1223"/>
      <c r="AD320" s="1223"/>
      <c r="AE320" s="1223"/>
      <c r="AF320" s="1223"/>
      <c r="AG320" s="1223"/>
      <c r="AH320" s="1223"/>
      <c r="AI320" s="1223"/>
      <c r="AJ320" s="1223"/>
      <c r="AK320" s="1223"/>
      <c r="AL320" s="41"/>
      <c r="AN320" s="281"/>
    </row>
    <row r="321" spans="1:76" s="4" customFormat="1" ht="12.8" customHeight="1">
      <c r="B321" s="41" t="s">
        <v>735</v>
      </c>
      <c r="C321" s="41"/>
      <c r="D321" s="41"/>
      <c r="E321" s="41"/>
      <c r="F321" s="41"/>
      <c r="G321"/>
      <c r="H321" s="1224"/>
      <c r="I321" s="1224"/>
      <c r="J321" s="1224"/>
      <c r="K321" s="1224"/>
      <c r="L321" s="1224"/>
      <c r="M321" s="1224"/>
      <c r="N321" s="1224"/>
      <c r="O321" s="1224"/>
      <c r="P321" s="1224"/>
      <c r="Q321" s="1224"/>
      <c r="R321" s="1224"/>
      <c r="S321"/>
      <c r="T321" s="41" t="s">
        <v>735</v>
      </c>
      <c r="U321"/>
      <c r="V321" s="41"/>
      <c r="W321" s="41"/>
      <c r="X321" s="41"/>
      <c r="Y321" s="41"/>
      <c r="Z321"/>
      <c r="AA321" s="1224"/>
      <c r="AB321" s="1224"/>
      <c r="AC321" s="1224"/>
      <c r="AD321" s="1224"/>
      <c r="AE321" s="1224"/>
      <c r="AF321" s="1224"/>
      <c r="AG321" s="1224"/>
      <c r="AH321" s="1224"/>
      <c r="AI321" s="1224"/>
      <c r="AJ321" s="1224"/>
      <c r="AK321" s="1224"/>
      <c r="AL321" s="41"/>
      <c r="AN321" s="281"/>
    </row>
    <row r="322" spans="1:76" s="4" customFormat="1" ht="18" customHeight="1">
      <c r="B322" s="41" t="s">
        <v>107</v>
      </c>
      <c r="C322" s="41"/>
      <c r="D322" s="41"/>
      <c r="E322" s="41"/>
      <c r="F322" s="41"/>
      <c r="G322"/>
      <c r="H322" s="1224"/>
      <c r="I322" s="1224"/>
      <c r="J322" s="1224"/>
      <c r="K322" s="1224"/>
      <c r="L322" s="1224"/>
      <c r="M322" s="1224"/>
      <c r="N322" s="1224"/>
      <c r="O322" s="1224"/>
      <c r="P322" s="1224"/>
      <c r="Q322" s="1224"/>
      <c r="R322" s="1224"/>
      <c r="S322"/>
      <c r="T322" s="41" t="s">
        <v>107</v>
      </c>
      <c r="U322"/>
      <c r="V322" s="41"/>
      <c r="W322" s="41"/>
      <c r="X322" s="41"/>
      <c r="Y322" s="41"/>
      <c r="Z322"/>
      <c r="AA322" s="1224"/>
      <c r="AB322" s="1224"/>
      <c r="AC322" s="1224"/>
      <c r="AD322" s="1224"/>
      <c r="AE322" s="1224"/>
      <c r="AF322" s="1224"/>
      <c r="AG322" s="1224"/>
      <c r="AH322" s="1224"/>
      <c r="AI322" s="1224"/>
      <c r="AJ322" s="1224"/>
      <c r="AK322" s="1224"/>
      <c r="AL322" s="41"/>
      <c r="AN322" s="281"/>
    </row>
    <row r="323" spans="1:76" s="4" customFormat="1" ht="12.8" customHeight="1">
      <c r="B323" s="41" t="s">
        <v>399</v>
      </c>
      <c r="C323" s="41"/>
      <c r="D323" s="41"/>
      <c r="E323" s="41"/>
      <c r="F323" s="41"/>
      <c r="G323"/>
      <c r="H323" s="1224"/>
      <c r="I323" s="1224"/>
      <c r="J323" s="1224"/>
      <c r="K323" s="1224"/>
      <c r="L323" s="1224"/>
      <c r="M323" s="1224"/>
      <c r="N323" s="1224"/>
      <c r="O323" s="1224"/>
      <c r="P323" s="1224"/>
      <c r="Q323" s="1224"/>
      <c r="R323" s="1224"/>
      <c r="S323"/>
      <c r="T323" s="41" t="s">
        <v>399</v>
      </c>
      <c r="U323"/>
      <c r="V323" s="41"/>
      <c r="W323" s="41"/>
      <c r="X323" s="41"/>
      <c r="Y323" s="41"/>
      <c r="Z323"/>
      <c r="AA323" s="1224"/>
      <c r="AB323" s="1224"/>
      <c r="AC323" s="1224"/>
      <c r="AD323" s="1224"/>
      <c r="AE323" s="1224"/>
      <c r="AF323" s="1224"/>
      <c r="AG323" s="1224"/>
      <c r="AH323" s="1224"/>
      <c r="AI323" s="1224"/>
      <c r="AJ323" s="1224"/>
      <c r="AK323" s="1224"/>
      <c r="AL323" s="41"/>
      <c r="AN323" s="281"/>
    </row>
    <row r="324" spans="1:76" s="4" customFormat="1" ht="12.8" customHeight="1">
      <c r="B324" s="41" t="s">
        <v>400</v>
      </c>
      <c r="C324" s="41"/>
      <c r="D324" s="41"/>
      <c r="E324" s="41"/>
      <c r="F324" s="41"/>
      <c r="G324" s="41"/>
      <c r="H324" s="1389"/>
      <c r="I324" s="1389"/>
      <c r="J324" s="1389"/>
      <c r="K324" s="1389"/>
      <c r="L324" s="1389"/>
      <c r="M324" s="1389"/>
      <c r="N324" s="5" t="s">
        <v>859</v>
      </c>
      <c r="O324" s="5"/>
      <c r="P324" s="1384"/>
      <c r="Q324" s="1384"/>
      <c r="R324" s="1384"/>
      <c r="S324" s="41"/>
      <c r="T324" s="41" t="s">
        <v>400</v>
      </c>
      <c r="U324"/>
      <c r="V324" s="41"/>
      <c r="W324" s="41"/>
      <c r="X324" s="41"/>
      <c r="Y324" s="41"/>
      <c r="Z324"/>
      <c r="AA324" s="1389"/>
      <c r="AB324" s="1389"/>
      <c r="AC324" s="1389"/>
      <c r="AD324" s="1389"/>
      <c r="AE324" s="1389"/>
      <c r="AF324" s="1389"/>
      <c r="AG324" s="5" t="s">
        <v>859</v>
      </c>
      <c r="AH324" s="5"/>
      <c r="AI324" s="1384"/>
      <c r="AJ324" s="1384"/>
      <c r="AK324" s="1384"/>
      <c r="AL324" s="41"/>
      <c r="AN324" s="281"/>
    </row>
    <row r="325" spans="1:76" s="4" customFormat="1" ht="12.8" customHeight="1">
      <c r="B325" s="41" t="s">
        <v>96</v>
      </c>
      <c r="C325" s="41"/>
      <c r="D325" s="41"/>
      <c r="E325" s="41"/>
      <c r="F325" s="41"/>
      <c r="G325" s="41"/>
      <c r="H325" s="1224"/>
      <c r="I325" s="1224"/>
      <c r="J325" s="1224"/>
      <c r="K325" s="1224"/>
      <c r="L325" s="1224"/>
      <c r="M325" s="1224"/>
      <c r="N325" s="1224"/>
      <c r="O325" s="1224"/>
      <c r="P325" s="1224"/>
      <c r="Q325" s="1224"/>
      <c r="R325" s="1224"/>
      <c r="S325" s="41"/>
      <c r="T325" s="41" t="s">
        <v>96</v>
      </c>
      <c r="U325"/>
      <c r="V325" s="41"/>
      <c r="W325" s="41"/>
      <c r="X325" s="41"/>
      <c r="Y325" s="41"/>
      <c r="Z325"/>
      <c r="AA325" s="1224"/>
      <c r="AB325" s="1224"/>
      <c r="AC325" s="1224"/>
      <c r="AD325" s="1224"/>
      <c r="AE325" s="1224"/>
      <c r="AF325" s="1224"/>
      <c r="AG325" s="1224"/>
      <c r="AH325" s="1224"/>
      <c r="AI325" s="1224"/>
      <c r="AJ325" s="1224"/>
      <c r="AK325" s="1224"/>
      <c r="AL325" s="41"/>
      <c r="AN325" s="281"/>
    </row>
    <row r="326" spans="1:76" s="4" customFormat="1" ht="12.8" customHeight="1">
      <c r="B326" s="41" t="s">
        <v>98</v>
      </c>
      <c r="C326" s="41"/>
      <c r="D326" s="41"/>
      <c r="E326" s="41"/>
      <c r="F326" s="41"/>
      <c r="G326" s="41"/>
      <c r="H326" s="1224"/>
      <c r="I326" s="1224"/>
      <c r="J326" s="1224"/>
      <c r="K326" s="1224"/>
      <c r="L326" s="1224"/>
      <c r="M326" s="1224"/>
      <c r="N326" s="1224"/>
      <c r="O326" s="1224"/>
      <c r="P326" s="1224"/>
      <c r="Q326" s="1224"/>
      <c r="R326" s="1224"/>
      <c r="S326" s="41"/>
      <c r="T326" s="41" t="s">
        <v>98</v>
      </c>
      <c r="U326"/>
      <c r="V326" s="41"/>
      <c r="W326" s="41"/>
      <c r="X326" s="41"/>
      <c r="Y326" s="41"/>
      <c r="Z326"/>
      <c r="AA326" s="1224"/>
      <c r="AB326" s="1224"/>
      <c r="AC326" s="1224"/>
      <c r="AD326" s="1224"/>
      <c r="AE326" s="1224"/>
      <c r="AF326" s="1224"/>
      <c r="AG326" s="1224"/>
      <c r="AH326" s="1224"/>
      <c r="AI326" s="1224"/>
      <c r="AJ326" s="1224"/>
      <c r="AK326" s="1224"/>
      <c r="AL326" s="41"/>
      <c r="AN326" s="281"/>
    </row>
    <row r="327" spans="1:76" s="4" customFormat="1" ht="12.8" customHeight="1">
      <c r="B327" s="41" t="s">
        <v>109</v>
      </c>
      <c r="C327" s="41"/>
      <c r="D327" s="41"/>
      <c r="E327" s="41"/>
      <c r="F327" s="41"/>
      <c r="G327" s="41"/>
      <c r="H327" s="1693"/>
      <c r="I327" s="1693"/>
      <c r="J327" s="1693"/>
      <c r="K327" s="1693"/>
      <c r="L327" s="1693"/>
      <c r="M327" s="1693"/>
      <c r="N327" s="1693"/>
      <c r="O327" s="1693"/>
      <c r="P327" s="1693"/>
      <c r="Q327" s="1693"/>
      <c r="R327" s="1693"/>
      <c r="S327" s="41"/>
      <c r="T327" s="41" t="s">
        <v>109</v>
      </c>
      <c r="U327" s="41"/>
      <c r="V327" s="41"/>
      <c r="W327" s="41"/>
      <c r="X327" s="41"/>
      <c r="Y327" s="41"/>
      <c r="Z327" s="12"/>
      <c r="AA327" s="1693"/>
      <c r="AB327" s="1693"/>
      <c r="AC327" s="1693"/>
      <c r="AD327" s="1693"/>
      <c r="AE327" s="1693"/>
      <c r="AF327" s="1693"/>
      <c r="AG327" s="1693"/>
      <c r="AH327" s="1693"/>
      <c r="AI327" s="1693"/>
      <c r="AJ327" s="1693"/>
      <c r="AK327" s="1693"/>
      <c r="AL327" s="41"/>
      <c r="AN327" s="281"/>
    </row>
    <row r="328" spans="1:76" s="4" customFormat="1" ht="12.8"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8"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8" customHeight="1">
      <c r="B330" s="3" t="s">
        <v>1531</v>
      </c>
      <c r="C330" s="5"/>
      <c r="AC330" s="3"/>
      <c r="AE330" s="1835" t="s">
        <v>389</v>
      </c>
      <c r="AF330" s="1835"/>
      <c r="AG330" s="1835"/>
      <c r="AH330" s="1835"/>
      <c r="AI330" s="1835"/>
      <c r="AJ330" s="1835"/>
      <c r="AK330" s="1835"/>
      <c r="AL330" s="3"/>
      <c r="AM330" s="847"/>
      <c r="AN330" s="3"/>
    </row>
    <row r="331" spans="1:76" s="4" customFormat="1" ht="12.8" customHeight="1">
      <c r="A331" s="3"/>
      <c r="B331" s="5"/>
      <c r="C331" s="1734" t="s">
        <v>1922</v>
      </c>
      <c r="D331" s="1734"/>
      <c r="E331" s="1734"/>
      <c r="F331" s="1734"/>
      <c r="G331" s="1734"/>
      <c r="H331" s="1734"/>
      <c r="I331" s="1734"/>
      <c r="J331" s="1734"/>
      <c r="K331" s="1734"/>
      <c r="L331" s="1734"/>
      <c r="M331" s="1734"/>
      <c r="N331" s="1734"/>
      <c r="O331" s="1734"/>
      <c r="P331" s="1734"/>
      <c r="Q331" s="1734"/>
      <c r="R331" s="1734"/>
      <c r="S331" s="1734"/>
      <c r="T331" s="1734"/>
      <c r="U331" s="1734"/>
      <c r="V331" s="1734"/>
      <c r="W331" s="1734"/>
      <c r="X331" s="1734"/>
      <c r="Y331" s="1734"/>
      <c r="Z331" s="1734"/>
      <c r="AA331" s="1734"/>
      <c r="AB331" s="1734"/>
      <c r="AC331" s="1734"/>
      <c r="AD331" s="1734"/>
      <c r="AE331" s="1734"/>
      <c r="AF331" s="1734"/>
      <c r="AG331" s="1734"/>
      <c r="AH331" s="1734"/>
      <c r="AI331" s="1734"/>
      <c r="AJ331" s="1734"/>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8" customHeight="1">
      <c r="A332"/>
      <c r="C332" s="1734"/>
      <c r="D332" s="1734"/>
      <c r="E332" s="1734"/>
      <c r="F332" s="1734"/>
      <c r="G332" s="1734"/>
      <c r="H332" s="1734"/>
      <c r="I332" s="1734"/>
      <c r="J332" s="1734"/>
      <c r="K332" s="1734"/>
      <c r="L332" s="1734"/>
      <c r="M332" s="1734"/>
      <c r="N332" s="1734"/>
      <c r="O332" s="1734"/>
      <c r="P332" s="1734"/>
      <c r="Q332" s="1734"/>
      <c r="R332" s="1734"/>
      <c r="S332" s="1734"/>
      <c r="T332" s="1734"/>
      <c r="U332" s="1734"/>
      <c r="V332" s="1734"/>
      <c r="W332" s="1734"/>
      <c r="X332" s="1734"/>
      <c r="Y332" s="1734"/>
      <c r="Z332" s="1734"/>
      <c r="AA332" s="1734"/>
      <c r="AB332" s="1734"/>
      <c r="AC332" s="1734"/>
      <c r="AD332" s="1734"/>
      <c r="AE332" s="1734"/>
      <c r="AF332" s="1734"/>
      <c r="AG332" s="1734"/>
      <c r="AH332" s="1734"/>
      <c r="AI332" s="1734"/>
      <c r="AJ332" s="1734"/>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8" customHeight="1">
      <c r="A333" s="27"/>
      <c r="B333" s="26"/>
      <c r="C333" s="1734"/>
      <c r="D333" s="1734"/>
      <c r="E333" s="1734"/>
      <c r="F333" s="1734"/>
      <c r="G333" s="1734"/>
      <c r="H333" s="1734"/>
      <c r="I333" s="1734"/>
      <c r="J333" s="1734"/>
      <c r="K333" s="1734"/>
      <c r="L333" s="1734"/>
      <c r="M333" s="1734"/>
      <c r="N333" s="1734"/>
      <c r="O333" s="1734"/>
      <c r="P333" s="1734"/>
      <c r="Q333" s="1734"/>
      <c r="R333" s="1734"/>
      <c r="S333" s="1734"/>
      <c r="T333" s="1734"/>
      <c r="U333" s="1734"/>
      <c r="V333" s="1734"/>
      <c r="W333" s="1734"/>
      <c r="X333" s="1734"/>
      <c r="Y333" s="1734"/>
      <c r="Z333" s="1734"/>
      <c r="AA333" s="1734"/>
      <c r="AB333" s="1734"/>
      <c r="AC333" s="1734"/>
      <c r="AD333" s="1734"/>
      <c r="AE333" s="1734"/>
      <c r="AF333" s="1734"/>
      <c r="AG333" s="1734"/>
      <c r="AH333" s="1734"/>
      <c r="AI333" s="1734"/>
      <c r="AJ333" s="1734"/>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8" customHeight="1">
      <c r="A334" s="27"/>
      <c r="B334" s="26"/>
      <c r="C334" s="1734"/>
      <c r="D334" s="1734"/>
      <c r="E334" s="1734"/>
      <c r="F334" s="1734"/>
      <c r="G334" s="1734"/>
      <c r="H334" s="1734"/>
      <c r="I334" s="1734"/>
      <c r="J334" s="1734"/>
      <c r="K334" s="1734"/>
      <c r="L334" s="1734"/>
      <c r="M334" s="1734"/>
      <c r="N334" s="1734"/>
      <c r="O334" s="1734"/>
      <c r="P334" s="1734"/>
      <c r="Q334" s="1734"/>
      <c r="R334" s="1734"/>
      <c r="S334" s="1734"/>
      <c r="T334" s="1734"/>
      <c r="U334" s="1734"/>
      <c r="V334" s="1734"/>
      <c r="W334" s="1734"/>
      <c r="X334" s="1734"/>
      <c r="Y334" s="1734"/>
      <c r="Z334" s="1734"/>
      <c r="AA334" s="1734"/>
      <c r="AB334" s="1734"/>
      <c r="AC334" s="1734"/>
      <c r="AD334" s="1734"/>
      <c r="AE334" s="1734"/>
      <c r="AF334" s="1734"/>
      <c r="AG334" s="1734"/>
      <c r="AH334" s="1734"/>
      <c r="AI334" s="1734"/>
      <c r="AJ334" s="1734"/>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8" customHeight="1">
      <c r="A335" s="27"/>
      <c r="B335" s="26"/>
      <c r="C335" s="1734"/>
      <c r="D335" s="1734"/>
      <c r="E335" s="1734"/>
      <c r="F335" s="1734"/>
      <c r="G335" s="1734"/>
      <c r="H335" s="1734"/>
      <c r="I335" s="1734"/>
      <c r="J335" s="1734"/>
      <c r="K335" s="1734"/>
      <c r="L335" s="1734"/>
      <c r="M335" s="1734"/>
      <c r="N335" s="1734"/>
      <c r="O335" s="1734"/>
      <c r="P335" s="1734"/>
      <c r="Q335" s="1734"/>
      <c r="R335" s="1734"/>
      <c r="S335" s="1734"/>
      <c r="T335" s="1734"/>
      <c r="U335" s="1734"/>
      <c r="V335" s="1734"/>
      <c r="W335" s="1734"/>
      <c r="X335" s="1734"/>
      <c r="Y335" s="1734"/>
      <c r="Z335" s="1734"/>
      <c r="AA335" s="1734"/>
      <c r="AB335" s="1734"/>
      <c r="AC335" s="1734"/>
      <c r="AD335" s="1734"/>
      <c r="AE335" s="1734"/>
      <c r="AF335" s="1734"/>
      <c r="AG335" s="1734"/>
      <c r="AH335" s="1734"/>
      <c r="AI335" s="1734"/>
      <c r="AJ335" s="1734"/>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8" customHeight="1">
      <c r="A336" s="27"/>
      <c r="B336" s="26"/>
      <c r="C336" s="1734"/>
      <c r="D336" s="1734"/>
      <c r="E336" s="1734"/>
      <c r="F336" s="1734"/>
      <c r="G336" s="1734"/>
      <c r="H336" s="1734"/>
      <c r="I336" s="1734"/>
      <c r="J336" s="1734"/>
      <c r="K336" s="1734"/>
      <c r="L336" s="1734"/>
      <c r="M336" s="1734"/>
      <c r="N336" s="1734"/>
      <c r="O336" s="1734"/>
      <c r="P336" s="1734"/>
      <c r="Q336" s="1734"/>
      <c r="R336" s="1734"/>
      <c r="S336" s="1734"/>
      <c r="T336" s="1734"/>
      <c r="U336" s="1734"/>
      <c r="V336" s="1734"/>
      <c r="W336" s="1734"/>
      <c r="X336" s="1734"/>
      <c r="Y336" s="1734"/>
      <c r="Z336" s="1734"/>
      <c r="AA336" s="1734"/>
      <c r="AB336" s="1734"/>
      <c r="AC336" s="1734"/>
      <c r="AD336" s="1734"/>
      <c r="AE336" s="1734"/>
      <c r="AF336" s="1734"/>
      <c r="AG336" s="1734"/>
      <c r="AH336" s="1734"/>
      <c r="AI336" s="1734"/>
      <c r="AJ336" s="1734"/>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45" customHeight="1">
      <c r="A337" s="27"/>
      <c r="B337" s="26"/>
      <c r="C337" s="1734"/>
      <c r="D337" s="1734"/>
      <c r="E337" s="1734"/>
      <c r="F337" s="1734"/>
      <c r="G337" s="1734"/>
      <c r="H337" s="1734"/>
      <c r="I337" s="1734"/>
      <c r="J337" s="1734"/>
      <c r="K337" s="1734"/>
      <c r="L337" s="1734"/>
      <c r="M337" s="1734"/>
      <c r="N337" s="1734"/>
      <c r="O337" s="1734"/>
      <c r="P337" s="1734"/>
      <c r="Q337" s="1734"/>
      <c r="R337" s="1734"/>
      <c r="S337" s="1734"/>
      <c r="T337" s="1734"/>
      <c r="U337" s="1734"/>
      <c r="V337" s="1734"/>
      <c r="W337" s="1734"/>
      <c r="X337" s="1734"/>
      <c r="Y337" s="1734"/>
      <c r="Z337" s="1734"/>
      <c r="AA337" s="1734"/>
      <c r="AB337" s="1734"/>
      <c r="AC337" s="1734"/>
      <c r="AD337" s="1734"/>
      <c r="AE337" s="1734"/>
      <c r="AF337" s="1734"/>
      <c r="AG337" s="1734"/>
      <c r="AH337" s="1734"/>
      <c r="AI337" s="1734"/>
      <c r="AJ337" s="1734"/>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45" customHeight="1">
      <c r="A338" s="27"/>
      <c r="B338" s="26"/>
      <c r="C338" s="1734"/>
      <c r="D338" s="1734"/>
      <c r="E338" s="1734"/>
      <c r="F338" s="1734"/>
      <c r="G338" s="1734"/>
      <c r="H338" s="1734"/>
      <c r="I338" s="1734"/>
      <c r="J338" s="1734"/>
      <c r="K338" s="1734"/>
      <c r="L338" s="1734"/>
      <c r="M338" s="1734"/>
      <c r="N338" s="1734"/>
      <c r="O338" s="1734"/>
      <c r="P338" s="1734"/>
      <c r="Q338" s="1734"/>
      <c r="R338" s="1734"/>
      <c r="S338" s="1734"/>
      <c r="T338" s="1734"/>
      <c r="U338" s="1734"/>
      <c r="V338" s="1734"/>
      <c r="W338" s="1734"/>
      <c r="X338" s="1734"/>
      <c r="Y338" s="1734"/>
      <c r="Z338" s="1734"/>
      <c r="AA338" s="1734"/>
      <c r="AB338" s="1734"/>
      <c r="AC338" s="1734"/>
      <c r="AD338" s="1734"/>
      <c r="AE338" s="1734"/>
      <c r="AF338" s="1734"/>
      <c r="AG338" s="1734"/>
      <c r="AH338" s="1734"/>
      <c r="AI338" s="1734"/>
      <c r="AJ338" s="1734"/>
      <c r="AK338" s="27"/>
      <c r="AL338" s="27"/>
      <c r="AM338" s="27"/>
      <c r="AN338" s="281"/>
      <c r="AO338" s="185"/>
    </row>
    <row r="339" spans="1:76" s="4" customFormat="1" ht="12.8" customHeight="1">
      <c r="A339" s="27"/>
      <c r="B339" s="26"/>
      <c r="C339" s="1734" t="s">
        <v>1923</v>
      </c>
      <c r="D339" s="1734"/>
      <c r="E339" s="1734"/>
      <c r="F339" s="1734"/>
      <c r="G339" s="1734"/>
      <c r="H339" s="1734"/>
      <c r="I339" s="1734"/>
      <c r="J339" s="1734"/>
      <c r="K339" s="1734"/>
      <c r="L339" s="1734"/>
      <c r="M339" s="1734"/>
      <c r="N339" s="1734"/>
      <c r="O339" s="1734"/>
      <c r="P339" s="1734"/>
      <c r="Q339" s="1734"/>
      <c r="R339" s="1734"/>
      <c r="S339" s="1734"/>
      <c r="T339" s="1734"/>
      <c r="U339" s="1734"/>
      <c r="V339" s="1734"/>
      <c r="W339" s="1734"/>
      <c r="X339" s="1734"/>
      <c r="Y339" s="1734"/>
      <c r="Z339" s="1734"/>
      <c r="AA339" s="1734"/>
      <c r="AB339" s="1734"/>
      <c r="AC339" s="1734"/>
      <c r="AD339" s="1734"/>
      <c r="AE339" s="1734"/>
      <c r="AF339" s="1734"/>
      <c r="AG339" s="1734"/>
      <c r="AH339" s="1734"/>
      <c r="AI339" s="1734"/>
      <c r="AJ339" s="1734"/>
      <c r="AK339" s="27"/>
      <c r="AL339" s="27"/>
      <c r="AM339" s="27"/>
      <c r="AN339" s="281"/>
    </row>
    <row r="340" spans="1:76" s="4" customFormat="1" ht="12.8" customHeight="1">
      <c r="A340" s="27"/>
      <c r="B340" s="26"/>
      <c r="C340" s="1734"/>
      <c r="D340" s="1734"/>
      <c r="E340" s="1734"/>
      <c r="F340" s="1734"/>
      <c r="G340" s="1734"/>
      <c r="H340" s="1734"/>
      <c r="I340" s="1734"/>
      <c r="J340" s="1734"/>
      <c r="K340" s="1734"/>
      <c r="L340" s="1734"/>
      <c r="M340" s="1734"/>
      <c r="N340" s="1734"/>
      <c r="O340" s="1734"/>
      <c r="P340" s="1734"/>
      <c r="Q340" s="1734"/>
      <c r="R340" s="1734"/>
      <c r="S340" s="1734"/>
      <c r="T340" s="1734"/>
      <c r="U340" s="1734"/>
      <c r="V340" s="1734"/>
      <c r="W340" s="1734"/>
      <c r="X340" s="1734"/>
      <c r="Y340" s="1734"/>
      <c r="Z340" s="1734"/>
      <c r="AA340" s="1734"/>
      <c r="AB340" s="1734"/>
      <c r="AC340" s="1734"/>
      <c r="AD340" s="1734"/>
      <c r="AE340" s="1734"/>
      <c r="AF340" s="1734"/>
      <c r="AG340" s="1734"/>
      <c r="AH340" s="1734"/>
      <c r="AI340" s="1734"/>
      <c r="AJ340" s="1734"/>
      <c r="AK340" s="27"/>
      <c r="AL340" s="27"/>
      <c r="AM340" s="27"/>
      <c r="AN340" s="281"/>
    </row>
    <row r="341" spans="1:76" s="4" customFormat="1" ht="12.8" customHeight="1">
      <c r="A341" s="27"/>
      <c r="B341" s="26"/>
      <c r="C341" s="1734"/>
      <c r="D341" s="1734"/>
      <c r="E341" s="1734"/>
      <c r="F341" s="1734"/>
      <c r="G341" s="1734"/>
      <c r="H341" s="1734"/>
      <c r="I341" s="1734"/>
      <c r="J341" s="1734"/>
      <c r="K341" s="1734"/>
      <c r="L341" s="1734"/>
      <c r="M341" s="1734"/>
      <c r="N341" s="1734"/>
      <c r="O341" s="1734"/>
      <c r="P341" s="1734"/>
      <c r="Q341" s="1734"/>
      <c r="R341" s="1734"/>
      <c r="S341" s="1734"/>
      <c r="T341" s="1734"/>
      <c r="U341" s="1734"/>
      <c r="V341" s="1734"/>
      <c r="W341" s="1734"/>
      <c r="X341" s="1734"/>
      <c r="Y341" s="1734"/>
      <c r="Z341" s="1734"/>
      <c r="AA341" s="1734"/>
      <c r="AB341" s="1734"/>
      <c r="AC341" s="1734"/>
      <c r="AD341" s="1734"/>
      <c r="AE341" s="1734"/>
      <c r="AF341" s="1734"/>
      <c r="AG341" s="1734"/>
      <c r="AH341" s="1734"/>
      <c r="AI341" s="1734"/>
      <c r="AJ341" s="1734"/>
      <c r="AK341" s="27"/>
      <c r="AL341" s="27"/>
      <c r="AM341" s="27"/>
      <c r="AN341" s="281"/>
      <c r="AQ341"/>
    </row>
    <row r="342" spans="1:76" s="4" customFormat="1" ht="12.8" customHeight="1">
      <c r="A342" s="27"/>
      <c r="B342" s="26"/>
      <c r="C342" s="1734"/>
      <c r="D342" s="1734"/>
      <c r="E342" s="1734"/>
      <c r="F342" s="1734"/>
      <c r="G342" s="1734"/>
      <c r="H342" s="1734"/>
      <c r="I342" s="1734"/>
      <c r="J342" s="1734"/>
      <c r="K342" s="1734"/>
      <c r="L342" s="1734"/>
      <c r="M342" s="1734"/>
      <c r="N342" s="1734"/>
      <c r="O342" s="1734"/>
      <c r="P342" s="1734"/>
      <c r="Q342" s="1734"/>
      <c r="R342" s="1734"/>
      <c r="S342" s="1734"/>
      <c r="T342" s="1734"/>
      <c r="U342" s="1734"/>
      <c r="V342" s="1734"/>
      <c r="W342" s="1734"/>
      <c r="X342" s="1734"/>
      <c r="Y342" s="1734"/>
      <c r="Z342" s="1734"/>
      <c r="AA342" s="1734"/>
      <c r="AB342" s="1734"/>
      <c r="AC342" s="1734"/>
      <c r="AD342" s="1734"/>
      <c r="AE342" s="1734"/>
      <c r="AF342" s="1734"/>
      <c r="AG342" s="1734"/>
      <c r="AH342" s="1734"/>
      <c r="AI342" s="1734"/>
      <c r="AJ342" s="1734"/>
      <c r="AK342" s="27"/>
      <c r="AL342" s="27"/>
      <c r="AM342" s="27"/>
      <c r="AN342" s="281"/>
      <c r="AQ342"/>
    </row>
    <row r="343" spans="1:76" s="4" customFormat="1" ht="12.45" customHeight="1">
      <c r="A343" s="27"/>
      <c r="B343" s="26"/>
      <c r="C343" s="1734"/>
      <c r="D343" s="1734"/>
      <c r="E343" s="1734"/>
      <c r="F343" s="1734"/>
      <c r="G343" s="1734"/>
      <c r="H343" s="1734"/>
      <c r="I343" s="1734"/>
      <c r="J343" s="1734"/>
      <c r="K343" s="1734"/>
      <c r="L343" s="1734"/>
      <c r="M343" s="1734"/>
      <c r="N343" s="1734"/>
      <c r="O343" s="1734"/>
      <c r="P343" s="1734"/>
      <c r="Q343" s="1734"/>
      <c r="R343" s="1734"/>
      <c r="S343" s="1734"/>
      <c r="T343" s="1734"/>
      <c r="U343" s="1734"/>
      <c r="V343" s="1734"/>
      <c r="W343" s="1734"/>
      <c r="X343" s="1734"/>
      <c r="Y343" s="1734"/>
      <c r="Z343" s="1734"/>
      <c r="AA343" s="1734"/>
      <c r="AB343" s="1734"/>
      <c r="AC343" s="1734"/>
      <c r="AD343" s="1734"/>
      <c r="AE343" s="1734"/>
      <c r="AF343" s="1734"/>
      <c r="AG343" s="1734"/>
      <c r="AH343" s="1734"/>
      <c r="AI343" s="1734"/>
      <c r="AJ343" s="1734"/>
      <c r="AK343" s="27"/>
      <c r="AL343" s="27"/>
      <c r="AM343" s="27"/>
      <c r="AN343" s="281"/>
      <c r="AQ343"/>
      <c r="AR343"/>
    </row>
    <row r="344" spans="1:76" s="4" customFormat="1" ht="12.8" customHeight="1">
      <c r="A344" s="27"/>
      <c r="B344" s="26"/>
      <c r="C344" s="1734" t="s">
        <v>1924</v>
      </c>
      <c r="D344" s="1734"/>
      <c r="E344" s="1734"/>
      <c r="F344" s="1734"/>
      <c r="G344" s="1734"/>
      <c r="H344" s="1734"/>
      <c r="I344" s="1734"/>
      <c r="J344" s="1734"/>
      <c r="K344" s="1734"/>
      <c r="L344" s="1734"/>
      <c r="M344" s="1734"/>
      <c r="N344" s="1734"/>
      <c r="O344" s="1734"/>
      <c r="P344" s="1734"/>
      <c r="Q344" s="1734"/>
      <c r="R344" s="1734"/>
      <c r="S344" s="1734"/>
      <c r="T344" s="1734"/>
      <c r="U344" s="1734"/>
      <c r="V344" s="1734"/>
      <c r="W344" s="1734"/>
      <c r="X344" s="1734"/>
      <c r="Y344" s="1734"/>
      <c r="Z344" s="1734"/>
      <c r="AA344" s="1734"/>
      <c r="AB344" s="1734"/>
      <c r="AC344" s="1734"/>
      <c r="AD344" s="1734"/>
      <c r="AE344" s="1734"/>
      <c r="AF344" s="1734"/>
      <c r="AG344" s="1734"/>
      <c r="AH344" s="1734"/>
      <c r="AI344" s="1734"/>
      <c r="AJ344" s="1734"/>
      <c r="AK344" s="27"/>
      <c r="AL344" s="27"/>
      <c r="AM344" s="27"/>
      <c r="AN344" s="281"/>
      <c r="AQ344"/>
      <c r="AR344"/>
    </row>
    <row r="345" spans="1:76" s="4" customFormat="1" ht="12.8" customHeight="1">
      <c r="A345" s="27"/>
      <c r="B345" s="26"/>
      <c r="C345" s="1734"/>
      <c r="D345" s="1734"/>
      <c r="E345" s="1734"/>
      <c r="F345" s="1734"/>
      <c r="G345" s="1734"/>
      <c r="H345" s="1734"/>
      <c r="I345" s="1734"/>
      <c r="J345" s="1734"/>
      <c r="K345" s="1734"/>
      <c r="L345" s="1734"/>
      <c r="M345" s="1734"/>
      <c r="N345" s="1734"/>
      <c r="O345" s="1734"/>
      <c r="P345" s="1734"/>
      <c r="Q345" s="1734"/>
      <c r="R345" s="1734"/>
      <c r="S345" s="1734"/>
      <c r="T345" s="1734"/>
      <c r="U345" s="1734"/>
      <c r="V345" s="1734"/>
      <c r="W345" s="1734"/>
      <c r="X345" s="1734"/>
      <c r="Y345" s="1734"/>
      <c r="Z345" s="1734"/>
      <c r="AA345" s="1734"/>
      <c r="AB345" s="1734"/>
      <c r="AC345" s="1734"/>
      <c r="AD345" s="1734"/>
      <c r="AE345" s="1734"/>
      <c r="AF345" s="1734"/>
      <c r="AG345" s="1734"/>
      <c r="AH345" s="1734"/>
      <c r="AI345" s="1734"/>
      <c r="AJ345" s="1734"/>
      <c r="AK345" s="27"/>
      <c r="AL345" s="27"/>
      <c r="AM345" s="27"/>
      <c r="AN345" s="281"/>
      <c r="AR345"/>
    </row>
    <row r="346" spans="1:76" s="4" customFormat="1" ht="12.8" customHeight="1">
      <c r="A346" s="27"/>
      <c r="B346" s="26"/>
      <c r="C346" s="1734"/>
      <c r="D346" s="1734"/>
      <c r="E346" s="1734"/>
      <c r="F346" s="1734"/>
      <c r="G346" s="1734"/>
      <c r="H346" s="1734"/>
      <c r="I346" s="1734"/>
      <c r="J346" s="1734"/>
      <c r="K346" s="1734"/>
      <c r="L346" s="1734"/>
      <c r="M346" s="1734"/>
      <c r="N346" s="1734"/>
      <c r="O346" s="1734"/>
      <c r="P346" s="1734"/>
      <c r="Q346" s="1734"/>
      <c r="R346" s="1734"/>
      <c r="S346" s="1734"/>
      <c r="T346" s="1734"/>
      <c r="U346" s="1734"/>
      <c r="V346" s="1734"/>
      <c r="W346" s="1734"/>
      <c r="X346" s="1734"/>
      <c r="Y346" s="1734"/>
      <c r="Z346" s="1734"/>
      <c r="AA346" s="1734"/>
      <c r="AB346" s="1734"/>
      <c r="AC346" s="1734"/>
      <c r="AD346" s="1734"/>
      <c r="AE346" s="1734"/>
      <c r="AF346" s="1734"/>
      <c r="AG346" s="1734"/>
      <c r="AH346" s="1734"/>
      <c r="AI346" s="1734"/>
      <c r="AJ346" s="1734"/>
      <c r="AK346" s="27"/>
      <c r="AL346" s="27"/>
      <c r="AM346" s="27"/>
      <c r="AN346" s="281"/>
      <c r="AR346"/>
    </row>
    <row r="347" spans="1:76" s="4" customFormat="1" ht="12.8" customHeight="1">
      <c r="A347" s="27"/>
      <c r="B347" s="26"/>
      <c r="C347" s="1734" t="s">
        <v>1925</v>
      </c>
      <c r="D347" s="1734"/>
      <c r="E347" s="1734"/>
      <c r="F347" s="1734"/>
      <c r="G347" s="1734"/>
      <c r="H347" s="1734"/>
      <c r="I347" s="1734"/>
      <c r="J347" s="1734"/>
      <c r="K347" s="1734"/>
      <c r="L347" s="1734"/>
      <c r="M347" s="1734"/>
      <c r="N347" s="1734"/>
      <c r="O347" s="1734"/>
      <c r="P347" s="1734"/>
      <c r="Q347" s="1734"/>
      <c r="R347" s="1734"/>
      <c r="S347" s="1734"/>
      <c r="T347" s="1734"/>
      <c r="U347" s="1734"/>
      <c r="V347" s="1734"/>
      <c r="W347" s="1734"/>
      <c r="X347" s="1734"/>
      <c r="Y347" s="1734"/>
      <c r="Z347" s="1734"/>
      <c r="AA347" s="1734"/>
      <c r="AB347" s="1734"/>
      <c r="AC347" s="1734"/>
      <c r="AD347" s="1734"/>
      <c r="AE347" s="1734"/>
      <c r="AF347" s="1734"/>
      <c r="AG347" s="1734"/>
      <c r="AH347" s="1734"/>
      <c r="AI347" s="1734"/>
      <c r="AJ347" s="1734"/>
      <c r="AK347" s="27"/>
      <c r="AL347" s="27"/>
      <c r="AM347" s="27"/>
      <c r="AN347" s="281"/>
      <c r="AQ347"/>
      <c r="AR347"/>
    </row>
    <row r="348" spans="1:76" s="4" customFormat="1" ht="12.8" customHeight="1">
      <c r="A348" s="27"/>
      <c r="B348" s="26"/>
      <c r="C348" s="1734"/>
      <c r="D348" s="1734"/>
      <c r="E348" s="1734"/>
      <c r="F348" s="1734"/>
      <c r="G348" s="1734"/>
      <c r="H348" s="1734"/>
      <c r="I348" s="1734"/>
      <c r="J348" s="1734"/>
      <c r="K348" s="1734"/>
      <c r="L348" s="1734"/>
      <c r="M348" s="1734"/>
      <c r="N348" s="1734"/>
      <c r="O348" s="1734"/>
      <c r="P348" s="1734"/>
      <c r="Q348" s="1734"/>
      <c r="R348" s="1734"/>
      <c r="S348" s="1734"/>
      <c r="T348" s="1734"/>
      <c r="U348" s="1734"/>
      <c r="V348" s="1734"/>
      <c r="W348" s="1734"/>
      <c r="X348" s="1734"/>
      <c r="Y348" s="1734"/>
      <c r="Z348" s="1734"/>
      <c r="AA348" s="1734"/>
      <c r="AB348" s="1734"/>
      <c r="AC348" s="1734"/>
      <c r="AD348" s="1734"/>
      <c r="AE348" s="1734"/>
      <c r="AF348" s="1734"/>
      <c r="AG348" s="1734"/>
      <c r="AH348" s="1734"/>
      <c r="AI348" s="1734"/>
      <c r="AJ348" s="1734"/>
      <c r="AK348" s="27"/>
      <c r="AL348" s="27"/>
      <c r="AM348" s="27"/>
      <c r="AN348" s="281"/>
      <c r="AQ348"/>
      <c r="AR348"/>
    </row>
    <row r="349" spans="1:76" s="4" customFormat="1" ht="13.1" customHeight="1">
      <c r="A349" s="27"/>
      <c r="B349" s="26"/>
      <c r="C349" s="1734"/>
      <c r="D349" s="1734"/>
      <c r="E349" s="1734"/>
      <c r="F349" s="1734"/>
      <c r="G349" s="1734"/>
      <c r="H349" s="1734"/>
      <c r="I349" s="1734"/>
      <c r="J349" s="1734"/>
      <c r="K349" s="1734"/>
      <c r="L349" s="1734"/>
      <c r="M349" s="1734"/>
      <c r="N349" s="1734"/>
      <c r="O349" s="1734"/>
      <c r="P349" s="1734"/>
      <c r="Q349" s="1734"/>
      <c r="R349" s="1734"/>
      <c r="S349" s="1734"/>
      <c r="T349" s="1734"/>
      <c r="U349" s="1734"/>
      <c r="V349" s="1734"/>
      <c r="W349" s="1734"/>
      <c r="X349" s="1734"/>
      <c r="Y349" s="1734"/>
      <c r="Z349" s="1734"/>
      <c r="AA349" s="1734"/>
      <c r="AB349" s="1734"/>
      <c r="AC349" s="1734"/>
      <c r="AD349" s="1734"/>
      <c r="AE349" s="1734"/>
      <c r="AF349" s="1734"/>
      <c r="AG349" s="1734"/>
      <c r="AH349" s="1734"/>
      <c r="AI349" s="1734"/>
      <c r="AJ349" s="1734"/>
      <c r="AK349" s="27"/>
      <c r="AL349" s="27"/>
      <c r="AM349" s="27"/>
      <c r="AN349" s="281"/>
      <c r="AQ349"/>
      <c r="AR349"/>
    </row>
    <row r="350" spans="1:76" s="4" customFormat="1" ht="12.8" customHeight="1">
      <c r="A350" s="27"/>
      <c r="B350" s="26"/>
      <c r="C350" s="1734"/>
      <c r="D350" s="1734"/>
      <c r="E350" s="1734"/>
      <c r="F350" s="1734"/>
      <c r="G350" s="1734"/>
      <c r="H350" s="1734"/>
      <c r="I350" s="1734"/>
      <c r="J350" s="1734"/>
      <c r="K350" s="1734"/>
      <c r="L350" s="1734"/>
      <c r="M350" s="1734"/>
      <c r="N350" s="1734"/>
      <c r="O350" s="1734"/>
      <c r="P350" s="1734"/>
      <c r="Q350" s="1734"/>
      <c r="R350" s="1734"/>
      <c r="S350" s="1734"/>
      <c r="T350" s="1734"/>
      <c r="U350" s="1734"/>
      <c r="V350" s="1734"/>
      <c r="W350" s="1734"/>
      <c r="X350" s="1734"/>
      <c r="Y350" s="1734"/>
      <c r="Z350" s="1734"/>
      <c r="AA350" s="1734"/>
      <c r="AB350" s="1734"/>
      <c r="AC350" s="1734"/>
      <c r="AD350" s="1734"/>
      <c r="AE350" s="1734"/>
      <c r="AF350" s="1734"/>
      <c r="AG350" s="1734"/>
      <c r="AH350" s="1734"/>
      <c r="AI350" s="1734"/>
      <c r="AJ350" s="1734"/>
      <c r="AK350" s="27"/>
      <c r="AL350" s="27"/>
      <c r="AM350" s="27"/>
      <c r="AN350" s="281"/>
      <c r="AO350" s="170"/>
      <c r="AP350" s="170"/>
      <c r="AQ350"/>
    </row>
    <row r="351" spans="1:76" s="4" customFormat="1" ht="11.8" customHeight="1">
      <c r="A351" s="27"/>
      <c r="B351" s="26"/>
      <c r="C351" s="1734"/>
      <c r="D351" s="1734"/>
      <c r="E351" s="1734"/>
      <c r="F351" s="1734"/>
      <c r="G351" s="1734"/>
      <c r="H351" s="1734"/>
      <c r="I351" s="1734"/>
      <c r="J351" s="1734"/>
      <c r="K351" s="1734"/>
      <c r="L351" s="1734"/>
      <c r="M351" s="1734"/>
      <c r="N351" s="1734"/>
      <c r="O351" s="1734"/>
      <c r="P351" s="1734"/>
      <c r="Q351" s="1734"/>
      <c r="R351" s="1734"/>
      <c r="S351" s="1734"/>
      <c r="T351" s="1734"/>
      <c r="U351" s="1734"/>
      <c r="V351" s="1734"/>
      <c r="W351" s="1734"/>
      <c r="X351" s="1734"/>
      <c r="Y351" s="1734"/>
      <c r="Z351" s="1734"/>
      <c r="AA351" s="1734"/>
      <c r="AB351" s="1734"/>
      <c r="AC351" s="1734"/>
      <c r="AD351" s="1734"/>
      <c r="AE351" s="1734"/>
      <c r="AF351" s="1734"/>
      <c r="AG351" s="1734"/>
      <c r="AH351" s="1734"/>
      <c r="AI351" s="1734"/>
      <c r="AJ351" s="1734"/>
      <c r="AK351" s="27"/>
      <c r="AL351" s="27"/>
      <c r="AM351" s="27"/>
      <c r="AN351" s="281"/>
      <c r="AO351" s="703" t="s">
        <v>944</v>
      </c>
      <c r="AP351" s="71">
        <f>IF(C376="Yes",5,0)</f>
        <v>0</v>
      </c>
      <c r="AS351" s="3" t="s">
        <v>1856</v>
      </c>
    </row>
    <row r="352" spans="1:76" s="4" customFormat="1" ht="12.8" customHeight="1">
      <c r="A352" s="27"/>
      <c r="B352" s="26"/>
      <c r="C352" s="1734"/>
      <c r="D352" s="1734"/>
      <c r="E352" s="1734"/>
      <c r="F352" s="1734"/>
      <c r="G352" s="1734"/>
      <c r="H352" s="1734"/>
      <c r="I352" s="1734"/>
      <c r="J352" s="1734"/>
      <c r="K352" s="1734"/>
      <c r="L352" s="1734"/>
      <c r="M352" s="1734"/>
      <c r="N352" s="1734"/>
      <c r="O352" s="1734"/>
      <c r="P352" s="1734"/>
      <c r="Q352" s="1734"/>
      <c r="R352" s="1734"/>
      <c r="S352" s="1734"/>
      <c r="T352" s="1734"/>
      <c r="U352" s="1734"/>
      <c r="V352" s="1734"/>
      <c r="W352" s="1734"/>
      <c r="X352" s="1734"/>
      <c r="Y352" s="1734"/>
      <c r="Z352" s="1734"/>
      <c r="AA352" s="1734"/>
      <c r="AB352" s="1734"/>
      <c r="AC352" s="1734"/>
      <c r="AD352" s="1734"/>
      <c r="AE352" s="1734"/>
      <c r="AF352" s="1734"/>
      <c r="AG352" s="1734"/>
      <c r="AH352" s="1734"/>
      <c r="AI352" s="1734"/>
      <c r="AJ352" s="1734"/>
      <c r="AK352" s="27"/>
      <c r="AL352" s="27"/>
      <c r="AM352" s="27"/>
      <c r="AN352" s="281"/>
      <c r="AO352" s="703"/>
      <c r="AP352" s="71"/>
      <c r="AS352" s="1719">
        <f>IF(AQ365=0,AQ378,AQ365)</f>
        <v>10</v>
      </c>
      <c r="AT352" s="1719"/>
    </row>
    <row r="353" spans="1:46" s="4" customFormat="1" ht="12.8" customHeight="1">
      <c r="A353" s="27"/>
      <c r="B353" s="26"/>
      <c r="C353" s="1734"/>
      <c r="D353" s="1734"/>
      <c r="E353" s="1734"/>
      <c r="F353" s="1734"/>
      <c r="G353" s="1734"/>
      <c r="H353" s="1734"/>
      <c r="I353" s="1734"/>
      <c r="J353" s="1734"/>
      <c r="K353" s="1734"/>
      <c r="L353" s="1734"/>
      <c r="M353" s="1734"/>
      <c r="N353" s="1734"/>
      <c r="O353" s="1734"/>
      <c r="P353" s="1734"/>
      <c r="Q353" s="1734"/>
      <c r="R353" s="1734"/>
      <c r="S353" s="1734"/>
      <c r="T353" s="1734"/>
      <c r="U353" s="1734"/>
      <c r="V353" s="1734"/>
      <c r="W353" s="1734"/>
      <c r="X353" s="1734"/>
      <c r="Y353" s="1734"/>
      <c r="Z353" s="1734"/>
      <c r="AA353" s="1734"/>
      <c r="AB353" s="1734"/>
      <c r="AC353" s="1734"/>
      <c r="AD353" s="1734"/>
      <c r="AE353" s="1734"/>
      <c r="AF353" s="1734"/>
      <c r="AG353" s="1734"/>
      <c r="AH353" s="1734"/>
      <c r="AI353" s="1734"/>
      <c r="AJ353" s="1734"/>
      <c r="AK353" s="27"/>
      <c r="AL353" s="27"/>
      <c r="AM353" s="27"/>
      <c r="AN353" s="281"/>
      <c r="AO353" s="703" t="s">
        <v>945</v>
      </c>
      <c r="AP353" s="71">
        <f>IF(C386="Yes",5,0)</f>
        <v>0</v>
      </c>
      <c r="AS353" s="3" t="s">
        <v>1889</v>
      </c>
    </row>
    <row r="354" spans="1:46" s="4" customFormat="1" ht="12.8" customHeight="1">
      <c r="A354" s="27"/>
      <c r="B354" s="26"/>
      <c r="C354" s="1734"/>
      <c r="D354" s="1734"/>
      <c r="E354" s="1734"/>
      <c r="F354" s="1734"/>
      <c r="G354" s="1734"/>
      <c r="H354" s="1734"/>
      <c r="I354" s="1734"/>
      <c r="J354" s="1734"/>
      <c r="K354" s="1734"/>
      <c r="L354" s="1734"/>
      <c r="M354" s="1734"/>
      <c r="N354" s="1734"/>
      <c r="O354" s="1734"/>
      <c r="P354" s="1734"/>
      <c r="Q354" s="1734"/>
      <c r="R354" s="1734"/>
      <c r="S354" s="1734"/>
      <c r="T354" s="1734"/>
      <c r="U354" s="1734"/>
      <c r="V354" s="1734"/>
      <c r="W354" s="1734"/>
      <c r="X354" s="1734"/>
      <c r="Y354" s="1734"/>
      <c r="Z354" s="1734"/>
      <c r="AA354" s="1734"/>
      <c r="AB354" s="1734"/>
      <c r="AC354" s="1734"/>
      <c r="AD354" s="1734"/>
      <c r="AE354" s="1734"/>
      <c r="AF354" s="1734"/>
      <c r="AG354" s="1734"/>
      <c r="AH354" s="1734"/>
      <c r="AI354" s="1734"/>
      <c r="AJ354" s="1734"/>
      <c r="AK354" s="27"/>
      <c r="AL354" s="27"/>
      <c r="AM354" s="27"/>
      <c r="AN354" s="281"/>
      <c r="AO354" s="703"/>
      <c r="AP354" s="71"/>
      <c r="AS354" s="1719">
        <f>IF(AND(AQ365&gt;0,AQ378&gt;0),(AQ365+AQ378)/2,0)</f>
        <v>0</v>
      </c>
      <c r="AT354" s="1719"/>
    </row>
    <row r="355" spans="1:46" s="4" customFormat="1" ht="12.8" customHeight="1">
      <c r="A355" s="27"/>
      <c r="B355" s="26"/>
      <c r="C355" s="1734"/>
      <c r="D355" s="1734"/>
      <c r="E355" s="1734"/>
      <c r="F355" s="1734"/>
      <c r="G355" s="1734"/>
      <c r="H355" s="1734"/>
      <c r="I355" s="1734"/>
      <c r="J355" s="1734"/>
      <c r="K355" s="1734"/>
      <c r="L355" s="1734"/>
      <c r="M355" s="1734"/>
      <c r="N355" s="1734"/>
      <c r="O355" s="1734"/>
      <c r="P355" s="1734"/>
      <c r="Q355" s="1734"/>
      <c r="R355" s="1734"/>
      <c r="S355" s="1734"/>
      <c r="T355" s="1734"/>
      <c r="U355" s="1734"/>
      <c r="V355" s="1734"/>
      <c r="W355" s="1734"/>
      <c r="X355" s="1734"/>
      <c r="Y355" s="1734"/>
      <c r="Z355" s="1734"/>
      <c r="AA355" s="1734"/>
      <c r="AB355" s="1734"/>
      <c r="AC355" s="1734"/>
      <c r="AD355" s="1734"/>
      <c r="AE355" s="1734"/>
      <c r="AF355" s="1734"/>
      <c r="AG355" s="1734"/>
      <c r="AH355" s="1734"/>
      <c r="AI355" s="1734"/>
      <c r="AJ355" s="1734"/>
      <c r="AK355" s="27"/>
      <c r="AL355" s="27"/>
      <c r="AM355" s="27"/>
      <c r="AN355" s="281"/>
      <c r="AO355" s="703" t="s">
        <v>951</v>
      </c>
      <c r="AP355" s="71">
        <f>IF(C396="Yes",7,0)</f>
        <v>0</v>
      </c>
    </row>
    <row r="356" spans="1:46" s="4" customFormat="1" ht="12.8" customHeight="1">
      <c r="A356" s="27"/>
      <c r="B356" s="26"/>
      <c r="C356" s="1734" t="s">
        <v>1926</v>
      </c>
      <c r="D356" s="1734"/>
      <c r="E356" s="1734"/>
      <c r="F356" s="1734"/>
      <c r="G356" s="1734"/>
      <c r="H356" s="1734"/>
      <c r="I356" s="1734"/>
      <c r="J356" s="1734"/>
      <c r="K356" s="1734"/>
      <c r="L356" s="1734"/>
      <c r="M356" s="1734"/>
      <c r="N356" s="1734"/>
      <c r="O356" s="1734"/>
      <c r="P356" s="1734"/>
      <c r="Q356" s="1734"/>
      <c r="R356" s="1734"/>
      <c r="S356" s="1734"/>
      <c r="T356" s="1734"/>
      <c r="U356" s="1734"/>
      <c r="V356" s="1734"/>
      <c r="W356" s="1734"/>
      <c r="X356" s="1734"/>
      <c r="Y356" s="1734"/>
      <c r="Z356" s="1734"/>
      <c r="AA356" s="1734"/>
      <c r="AB356" s="1734"/>
      <c r="AC356" s="1734"/>
      <c r="AD356" s="1734"/>
      <c r="AE356" s="1734"/>
      <c r="AF356" s="1734"/>
      <c r="AG356" s="1734"/>
      <c r="AH356" s="1734"/>
      <c r="AI356" s="1734"/>
      <c r="AJ356" s="1734"/>
      <c r="AK356" s="27"/>
      <c r="AL356" s="27"/>
      <c r="AM356" s="27"/>
      <c r="AN356" s="281"/>
      <c r="AO356" s="281"/>
      <c r="AP356" s="71">
        <f>IF(C398="Yes",5,0)</f>
        <v>5</v>
      </c>
    </row>
    <row r="357" spans="1:46" s="4" customFormat="1" ht="12.8" customHeight="1">
      <c r="A357" s="27"/>
      <c r="B357" s="26"/>
      <c r="C357" s="1734"/>
      <c r="D357" s="1734"/>
      <c r="E357" s="1734"/>
      <c r="F357" s="1734"/>
      <c r="G357" s="1734"/>
      <c r="H357" s="1734"/>
      <c r="I357" s="1734"/>
      <c r="J357" s="1734"/>
      <c r="K357" s="1734"/>
      <c r="L357" s="1734"/>
      <c r="M357" s="1734"/>
      <c r="N357" s="1734"/>
      <c r="O357" s="1734"/>
      <c r="P357" s="1734"/>
      <c r="Q357" s="1734"/>
      <c r="R357" s="1734"/>
      <c r="S357" s="1734"/>
      <c r="T357" s="1734"/>
      <c r="U357" s="1734"/>
      <c r="V357" s="1734"/>
      <c r="W357" s="1734"/>
      <c r="X357" s="1734"/>
      <c r="Y357" s="1734"/>
      <c r="Z357" s="1734"/>
      <c r="AA357" s="1734"/>
      <c r="AB357" s="1734"/>
      <c r="AC357" s="1734"/>
      <c r="AD357" s="1734"/>
      <c r="AE357" s="1734"/>
      <c r="AF357" s="1734"/>
      <c r="AG357" s="1734"/>
      <c r="AH357" s="1734"/>
      <c r="AI357" s="1734"/>
      <c r="AJ357" s="1734"/>
      <c r="AK357" s="27"/>
      <c r="AL357" s="27"/>
      <c r="AM357" s="27"/>
      <c r="AN357" s="281"/>
      <c r="AO357" s="281"/>
      <c r="AP357" s="71"/>
    </row>
    <row r="358" spans="1:46" s="4" customFormat="1" ht="12.8" customHeight="1">
      <c r="A358" s="27"/>
      <c r="B358" s="26"/>
      <c r="C358" s="1734"/>
      <c r="D358" s="1734"/>
      <c r="E358" s="1734"/>
      <c r="F358" s="1734"/>
      <c r="G358" s="1734"/>
      <c r="H358" s="1734"/>
      <c r="I358" s="1734"/>
      <c r="J358" s="1734"/>
      <c r="K358" s="1734"/>
      <c r="L358" s="1734"/>
      <c r="M358" s="1734"/>
      <c r="N358" s="1734"/>
      <c r="O358" s="1734"/>
      <c r="P358" s="1734"/>
      <c r="Q358" s="1734"/>
      <c r="R358" s="1734"/>
      <c r="S358" s="1734"/>
      <c r="T358" s="1734"/>
      <c r="U358" s="1734"/>
      <c r="V358" s="1734"/>
      <c r="W358" s="1734"/>
      <c r="X358" s="1734"/>
      <c r="Y358" s="1734"/>
      <c r="Z358" s="1734"/>
      <c r="AA358" s="1734"/>
      <c r="AB358" s="1734"/>
      <c r="AC358" s="1734"/>
      <c r="AD358" s="1734"/>
      <c r="AE358" s="1734"/>
      <c r="AF358" s="1734"/>
      <c r="AG358" s="1734"/>
      <c r="AH358" s="1734"/>
      <c r="AI358" s="1734"/>
      <c r="AJ358" s="1734"/>
      <c r="AK358" s="27"/>
      <c r="AL358" s="27"/>
      <c r="AM358" s="27"/>
      <c r="AN358" s="281"/>
      <c r="AO358" s="703" t="s">
        <v>460</v>
      </c>
      <c r="AP358" s="71">
        <f>IF(C406="Yes",5,0)</f>
        <v>0</v>
      </c>
    </row>
    <row r="359" spans="1:46" s="4" customFormat="1" ht="11.8" customHeight="1">
      <c r="A359" s="27"/>
      <c r="B359" s="26"/>
      <c r="C359" s="1734"/>
      <c r="D359" s="1734"/>
      <c r="E359" s="1734"/>
      <c r="F359" s="1734"/>
      <c r="G359" s="1734"/>
      <c r="H359" s="1734"/>
      <c r="I359" s="1734"/>
      <c r="J359" s="1734"/>
      <c r="K359" s="1734"/>
      <c r="L359" s="1734"/>
      <c r="M359" s="1734"/>
      <c r="N359" s="1734"/>
      <c r="O359" s="1734"/>
      <c r="P359" s="1734"/>
      <c r="Q359" s="1734"/>
      <c r="R359" s="1734"/>
      <c r="S359" s="1734"/>
      <c r="T359" s="1734"/>
      <c r="U359" s="1734"/>
      <c r="V359" s="1734"/>
      <c r="W359" s="1734"/>
      <c r="X359" s="1734"/>
      <c r="Y359" s="1734"/>
      <c r="Z359" s="1734"/>
      <c r="AA359" s="1734"/>
      <c r="AB359" s="1734"/>
      <c r="AC359" s="1734"/>
      <c r="AD359" s="1734"/>
      <c r="AE359" s="1734"/>
      <c r="AF359" s="1734"/>
      <c r="AG359" s="1734"/>
      <c r="AH359" s="1734"/>
      <c r="AI359" s="1734"/>
      <c r="AJ359" s="1734"/>
      <c r="AK359" s="27"/>
      <c r="AL359" s="27"/>
      <c r="AM359" s="27"/>
      <c r="AN359" s="281"/>
      <c r="AO359" s="281"/>
      <c r="AP359" s="71">
        <f>IF(C408="Yes",3,0)</f>
        <v>0</v>
      </c>
    </row>
    <row r="360" spans="1:46" s="4" customFormat="1" ht="12.45" customHeight="1">
      <c r="A360" s="27"/>
      <c r="B360" s="26"/>
      <c r="C360" s="1734"/>
      <c r="D360" s="1734"/>
      <c r="E360" s="1734"/>
      <c r="F360" s="1734"/>
      <c r="G360" s="1734"/>
      <c r="H360" s="1734"/>
      <c r="I360" s="1734"/>
      <c r="J360" s="1734"/>
      <c r="K360" s="1734"/>
      <c r="L360" s="1734"/>
      <c r="M360" s="1734"/>
      <c r="N360" s="1734"/>
      <c r="O360" s="1734"/>
      <c r="P360" s="1734"/>
      <c r="Q360" s="1734"/>
      <c r="R360" s="1734"/>
      <c r="S360" s="1734"/>
      <c r="T360" s="1734"/>
      <c r="U360" s="1734"/>
      <c r="V360" s="1734"/>
      <c r="W360" s="1734"/>
      <c r="X360" s="1734"/>
      <c r="Y360" s="1734"/>
      <c r="Z360" s="1734"/>
      <c r="AA360" s="1734"/>
      <c r="AB360" s="1734"/>
      <c r="AC360" s="1734"/>
      <c r="AD360" s="1734"/>
      <c r="AE360" s="1734"/>
      <c r="AF360" s="1734"/>
      <c r="AG360" s="1734"/>
      <c r="AH360" s="1734"/>
      <c r="AI360" s="1734"/>
      <c r="AJ360" s="1734"/>
      <c r="AK360" s="27"/>
      <c r="AL360" s="27"/>
      <c r="AM360" s="27"/>
      <c r="AN360" s="281"/>
      <c r="AO360" s="281"/>
      <c r="AP360" s="71"/>
    </row>
    <row r="361" spans="1:46" s="4" customFormat="1" ht="12.8" customHeight="1">
      <c r="A361" s="27"/>
      <c r="B361" s="26"/>
      <c r="C361" s="1734"/>
      <c r="D361" s="1734"/>
      <c r="E361" s="1734"/>
      <c r="F361" s="1734"/>
      <c r="G361" s="1734"/>
      <c r="H361" s="1734"/>
      <c r="I361" s="1734"/>
      <c r="J361" s="1734"/>
      <c r="K361" s="1734"/>
      <c r="L361" s="1734"/>
      <c r="M361" s="1734"/>
      <c r="N361" s="1734"/>
      <c r="O361" s="1734"/>
      <c r="P361" s="1734"/>
      <c r="Q361" s="1734"/>
      <c r="R361" s="1734"/>
      <c r="S361" s="1734"/>
      <c r="T361" s="1734"/>
      <c r="U361" s="1734"/>
      <c r="V361" s="1734"/>
      <c r="W361" s="1734"/>
      <c r="X361" s="1734"/>
      <c r="Y361" s="1734"/>
      <c r="Z361" s="1734"/>
      <c r="AA361" s="1734"/>
      <c r="AB361" s="1734"/>
      <c r="AC361" s="1734"/>
      <c r="AD361" s="1734"/>
      <c r="AE361" s="1734"/>
      <c r="AF361" s="1734"/>
      <c r="AG361" s="1734"/>
      <c r="AH361" s="1734"/>
      <c r="AI361" s="1734"/>
      <c r="AJ361" s="1734"/>
      <c r="AK361" s="27"/>
      <c r="AL361" s="27"/>
      <c r="AM361" s="27"/>
      <c r="AN361" s="281"/>
      <c r="AO361" s="703" t="s">
        <v>182</v>
      </c>
      <c r="AP361" s="71">
        <f>IF(C411="Yes",5,0)</f>
        <v>0</v>
      </c>
    </row>
    <row r="362" spans="1:46" s="4" customFormat="1" ht="12.8" customHeight="1">
      <c r="A362" s="27"/>
      <c r="B362" s="26"/>
      <c r="C362" s="1734"/>
      <c r="D362" s="1734"/>
      <c r="E362" s="1734"/>
      <c r="F362" s="1734"/>
      <c r="G362" s="1734"/>
      <c r="H362" s="1734"/>
      <c r="I362" s="1734"/>
      <c r="J362" s="1734"/>
      <c r="K362" s="1734"/>
      <c r="L362" s="1734"/>
      <c r="M362" s="1734"/>
      <c r="N362" s="1734"/>
      <c r="O362" s="1734"/>
      <c r="P362" s="1734"/>
      <c r="Q362" s="1734"/>
      <c r="R362" s="1734"/>
      <c r="S362" s="1734"/>
      <c r="T362" s="1734"/>
      <c r="U362" s="1734"/>
      <c r="V362" s="1734"/>
      <c r="W362" s="1734"/>
      <c r="X362" s="1734"/>
      <c r="Y362" s="1734"/>
      <c r="Z362" s="1734"/>
      <c r="AA362" s="1734"/>
      <c r="AB362" s="1734"/>
      <c r="AC362" s="1734"/>
      <c r="AD362" s="1734"/>
      <c r="AE362" s="1734"/>
      <c r="AF362" s="1734"/>
      <c r="AG362" s="1734"/>
      <c r="AH362" s="1734"/>
      <c r="AI362" s="1734"/>
      <c r="AJ362" s="1734"/>
      <c r="AK362" s="27"/>
      <c r="AL362" s="27"/>
      <c r="AM362" s="27"/>
      <c r="AN362" s="281"/>
      <c r="AO362" s="703" t="s">
        <v>463</v>
      </c>
      <c r="AP362" s="71">
        <f>IF(C420="Yes",5,0)</f>
        <v>5</v>
      </c>
    </row>
    <row r="363" spans="1:46" s="4" customFormat="1" ht="12.8" customHeight="1">
      <c r="A363" s="27"/>
      <c r="B363" s="26"/>
      <c r="C363" s="1734" t="s">
        <v>1927</v>
      </c>
      <c r="D363" s="1734"/>
      <c r="E363" s="1734"/>
      <c r="F363" s="1734"/>
      <c r="G363" s="1734"/>
      <c r="H363" s="1734"/>
      <c r="I363" s="1734"/>
      <c r="J363" s="1734"/>
      <c r="K363" s="1734"/>
      <c r="L363" s="1734"/>
      <c r="M363" s="1734"/>
      <c r="N363" s="1734"/>
      <c r="O363" s="1734"/>
      <c r="P363" s="1734"/>
      <c r="Q363" s="1734"/>
      <c r="R363" s="1734"/>
      <c r="S363" s="1734"/>
      <c r="T363" s="1734"/>
      <c r="U363" s="1734"/>
      <c r="V363" s="1734"/>
      <c r="W363" s="1734"/>
      <c r="X363" s="1734"/>
      <c r="Y363" s="1734"/>
      <c r="Z363" s="1734"/>
      <c r="AA363" s="1734"/>
      <c r="AB363" s="1734"/>
      <c r="AC363" s="1734"/>
      <c r="AD363" s="1734"/>
      <c r="AE363" s="1734"/>
      <c r="AF363" s="1734"/>
      <c r="AG363" s="1734"/>
      <c r="AH363" s="1734"/>
      <c r="AI363" s="1734"/>
      <c r="AJ363" s="1734"/>
      <c r="AK363" s="27"/>
      <c r="AL363" s="27"/>
      <c r="AM363" s="27"/>
      <c r="AN363" s="281"/>
      <c r="AO363" s="281"/>
      <c r="AP363" s="71">
        <f>IF(C422="Yes",3,0)</f>
        <v>0</v>
      </c>
    </row>
    <row r="364" spans="1:46" s="4" customFormat="1" ht="12.8" customHeight="1">
      <c r="A364" s="27"/>
      <c r="B364" s="26"/>
      <c r="C364" s="1734"/>
      <c r="D364" s="1734"/>
      <c r="E364" s="1734"/>
      <c r="F364" s="1734"/>
      <c r="G364" s="1734"/>
      <c r="H364" s="1734"/>
      <c r="I364" s="1734"/>
      <c r="J364" s="1734"/>
      <c r="K364" s="1734"/>
      <c r="L364" s="1734"/>
      <c r="M364" s="1734"/>
      <c r="N364" s="1734"/>
      <c r="O364" s="1734"/>
      <c r="P364" s="1734"/>
      <c r="Q364" s="1734"/>
      <c r="R364" s="1734"/>
      <c r="S364" s="1734"/>
      <c r="T364" s="1734"/>
      <c r="U364" s="1734"/>
      <c r="V364" s="1734"/>
      <c r="W364" s="1734"/>
      <c r="X364" s="1734"/>
      <c r="Y364" s="1734"/>
      <c r="Z364" s="1734"/>
      <c r="AA364" s="1734"/>
      <c r="AB364" s="1734"/>
      <c r="AC364" s="1734"/>
      <c r="AD364" s="1734"/>
      <c r="AE364" s="1734"/>
      <c r="AF364" s="1734"/>
      <c r="AG364" s="1734"/>
      <c r="AH364" s="1734"/>
      <c r="AI364" s="1734"/>
      <c r="AJ364" s="1734"/>
      <c r="AK364" s="27"/>
      <c r="AL364" s="27"/>
      <c r="AM364" s="27"/>
      <c r="AN364" s="281"/>
      <c r="AO364" s="704"/>
      <c r="AP364" s="55"/>
    </row>
    <row r="365" spans="1:46" s="4" customFormat="1" ht="68.099999999999994" customHeight="1">
      <c r="A365" s="27"/>
      <c r="B365" s="26"/>
      <c r="C365" s="1734"/>
      <c r="D365" s="1734"/>
      <c r="E365" s="1734"/>
      <c r="F365" s="1734"/>
      <c r="G365" s="1734"/>
      <c r="H365" s="1734"/>
      <c r="I365" s="1734"/>
      <c r="J365" s="1734"/>
      <c r="K365" s="1734"/>
      <c r="L365" s="1734"/>
      <c r="M365" s="1734"/>
      <c r="N365" s="1734"/>
      <c r="O365" s="1734"/>
      <c r="P365" s="1734"/>
      <c r="Q365" s="1734"/>
      <c r="R365" s="1734"/>
      <c r="S365" s="1734"/>
      <c r="T365" s="1734"/>
      <c r="U365" s="1734"/>
      <c r="V365" s="1734"/>
      <c r="W365" s="1734"/>
      <c r="X365" s="1734"/>
      <c r="Y365" s="1734"/>
      <c r="Z365" s="1734"/>
      <c r="AA365" s="1734"/>
      <c r="AB365" s="1734"/>
      <c r="AC365" s="1734"/>
      <c r="AD365" s="1734"/>
      <c r="AE365" s="1734"/>
      <c r="AF365" s="1734"/>
      <c r="AG365" s="1734"/>
      <c r="AH365" s="1734"/>
      <c r="AI365" s="1734"/>
      <c r="AJ365" s="1734"/>
      <c r="AK365" s="27"/>
      <c r="AL365" s="27"/>
      <c r="AM365" s="27"/>
      <c r="AN365" s="281"/>
      <c r="AO365" s="705" t="s">
        <v>646</v>
      </c>
      <c r="AP365" s="168">
        <f>SUM(AP351:AP364)</f>
        <v>10</v>
      </c>
      <c r="AQ365" s="1177">
        <f>IF(AP365&gt;0,AP365,0)</f>
        <v>10</v>
      </c>
      <c r="AR365" s="1177"/>
    </row>
    <row r="366" spans="1:46" s="4" customFormat="1" ht="12.45" customHeight="1">
      <c r="A366" s="27"/>
      <c r="B366" s="26"/>
      <c r="C366" s="4" t="s">
        <v>1560</v>
      </c>
      <c r="AF366" s="27"/>
      <c r="AG366" s="27"/>
      <c r="AH366" s="27"/>
      <c r="AI366" s="27"/>
      <c r="AJ366" s="27"/>
      <c r="AK366" s="27"/>
      <c r="AL366" s="27"/>
      <c r="AM366" s="27"/>
      <c r="AN366" s="281"/>
      <c r="AO366" s="703" t="s">
        <v>778</v>
      </c>
      <c r="AP366" s="71">
        <f>IF(C429="Yes",5,0)</f>
        <v>0</v>
      </c>
    </row>
    <row r="367" spans="1:46" s="4" customFormat="1" ht="12.8" customHeight="1">
      <c r="A367" s="27"/>
      <c r="B367" s="26"/>
      <c r="C367" s="706" t="s">
        <v>2029</v>
      </c>
      <c r="D367" s="707"/>
      <c r="E367" s="707"/>
      <c r="F367" s="707"/>
      <c r="G367" s="707"/>
      <c r="H367" s="707"/>
      <c r="I367" s="707"/>
      <c r="J367" s="707"/>
      <c r="K367" s="707"/>
      <c r="L367" s="707"/>
      <c r="M367" s="218"/>
      <c r="N367" s="218"/>
      <c r="O367" s="708"/>
      <c r="P367" s="707"/>
      <c r="Q367" s="707"/>
      <c r="R367" s="218"/>
      <c r="S367" s="218"/>
      <c r="T367" s="707"/>
      <c r="U367" s="1886">
        <f>Application!CQ636-U368</f>
        <v>118</v>
      </c>
      <c r="V367" s="1886"/>
      <c r="W367" s="1886"/>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8" customHeight="1">
      <c r="A368" s="27"/>
      <c r="B368" s="26"/>
      <c r="C368" s="710" t="s">
        <v>1855</v>
      </c>
      <c r="D368" s="170"/>
      <c r="E368" s="170"/>
      <c r="F368" s="170"/>
      <c r="G368" s="170"/>
      <c r="H368" s="170"/>
      <c r="I368" s="170"/>
      <c r="J368" s="170"/>
      <c r="K368" s="170"/>
      <c r="L368" s="170"/>
      <c r="M368" s="170"/>
      <c r="N368" s="170"/>
      <c r="O368" s="170"/>
      <c r="P368" s="170"/>
      <c r="Q368" s="170"/>
      <c r="R368" s="170"/>
      <c r="S368" s="170"/>
      <c r="T368" s="170"/>
      <c r="U368" s="1887">
        <f>Application!AG720</f>
        <v>0</v>
      </c>
      <c r="V368" s="1887"/>
      <c r="W368" s="1887"/>
      <c r="X368" s="170"/>
      <c r="Y368" s="170"/>
      <c r="Z368" s="170"/>
      <c r="AA368" s="172"/>
      <c r="AC368" s="277"/>
      <c r="AD368" s="277"/>
      <c r="AE368" s="27"/>
      <c r="AF368" s="27"/>
      <c r="AG368" s="27"/>
      <c r="AH368" s="27"/>
      <c r="AI368" s="27"/>
      <c r="AJ368" s="27"/>
      <c r="AK368" s="27"/>
      <c r="AL368" s="27"/>
      <c r="AM368" s="27"/>
      <c r="AN368" s="281"/>
      <c r="AO368" s="703" t="s">
        <v>779</v>
      </c>
      <c r="AP368" s="71">
        <f>IF(C441="Yes",5,0)</f>
        <v>0</v>
      </c>
    </row>
    <row r="369" spans="1:153" s="4" customFormat="1" ht="12.8"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8" customHeight="1">
      <c r="A370" s="27"/>
      <c r="B370" s="26"/>
      <c r="AC370" s="27"/>
      <c r="AD370" s="27"/>
      <c r="AE370" s="27"/>
      <c r="AF370" s="27"/>
      <c r="AG370" s="27"/>
      <c r="AH370" s="27"/>
      <c r="AI370" s="27"/>
      <c r="AJ370" s="27"/>
      <c r="AK370" s="27"/>
      <c r="AL370" s="27"/>
      <c r="AM370" s="27"/>
      <c r="AN370" s="281"/>
      <c r="AO370" s="703" t="s">
        <v>577</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8" customHeight="1">
      <c r="A371" s="27"/>
      <c r="B371" s="21"/>
      <c r="C371" s="182" t="s">
        <v>2030</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8" customHeight="1">
      <c r="A372" s="5"/>
      <c r="B372" s="21"/>
      <c r="C372" s="711"/>
      <c r="D372" s="712"/>
      <c r="E372" s="713" t="s">
        <v>764</v>
      </c>
      <c r="F372" s="1709" t="s">
        <v>1865</v>
      </c>
      <c r="G372" s="1709"/>
      <c r="H372" s="1709"/>
      <c r="I372" s="1709"/>
      <c r="J372" s="1709"/>
      <c r="K372" s="1709"/>
      <c r="L372" s="1709"/>
      <c r="M372" s="1709"/>
      <c r="N372" s="1709"/>
      <c r="O372" s="1709"/>
      <c r="P372" s="1709"/>
      <c r="Q372" s="1709"/>
      <c r="R372" s="1709"/>
      <c r="S372" s="1709"/>
      <c r="T372" s="1709"/>
      <c r="U372" s="1709"/>
      <c r="V372" s="1709"/>
      <c r="W372" s="1709"/>
      <c r="X372" s="1709"/>
      <c r="Y372" s="1709"/>
      <c r="Z372" s="1709"/>
      <c r="AA372" s="1709"/>
      <c r="AB372" s="1709"/>
      <c r="AC372" s="1709"/>
      <c r="AD372" s="1709"/>
      <c r="AE372" s="1709"/>
      <c r="AF372" s="1709"/>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8" customHeight="1">
      <c r="A373" s="5"/>
      <c r="B373" s="21"/>
      <c r="C373" s="714"/>
      <c r="D373" s="5"/>
      <c r="E373" s="225"/>
      <c r="F373" s="1670"/>
      <c r="G373" s="1670"/>
      <c r="H373" s="1670"/>
      <c r="I373" s="1670"/>
      <c r="J373" s="1670"/>
      <c r="K373" s="1670"/>
      <c r="L373" s="1670"/>
      <c r="M373" s="1670"/>
      <c r="N373" s="1670"/>
      <c r="O373" s="1670"/>
      <c r="P373" s="1670"/>
      <c r="Q373" s="1670"/>
      <c r="R373" s="1670"/>
      <c r="S373" s="1670"/>
      <c r="T373" s="1670"/>
      <c r="U373" s="1670"/>
      <c r="V373" s="1670"/>
      <c r="W373" s="1670"/>
      <c r="X373" s="1670"/>
      <c r="Y373" s="1670"/>
      <c r="Z373" s="1670"/>
      <c r="AA373" s="1670"/>
      <c r="AB373" s="1670"/>
      <c r="AC373" s="1670"/>
      <c r="AD373" s="1670"/>
      <c r="AE373" s="1670"/>
      <c r="AF373" s="1670"/>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8" customHeight="1">
      <c r="A374" s="5"/>
      <c r="B374" s="21"/>
      <c r="C374" s="714"/>
      <c r="D374" s="5"/>
      <c r="E374" s="225"/>
      <c r="F374" s="1670"/>
      <c r="G374" s="1670"/>
      <c r="H374" s="1670"/>
      <c r="I374" s="1670"/>
      <c r="J374" s="1670"/>
      <c r="K374" s="1670"/>
      <c r="L374" s="1670"/>
      <c r="M374" s="1670"/>
      <c r="N374" s="1670"/>
      <c r="O374" s="1670"/>
      <c r="P374" s="1670"/>
      <c r="Q374" s="1670"/>
      <c r="R374" s="1670"/>
      <c r="S374" s="1670"/>
      <c r="T374" s="1670"/>
      <c r="U374" s="1670"/>
      <c r="V374" s="1670"/>
      <c r="W374" s="1670"/>
      <c r="X374" s="1670"/>
      <c r="Y374" s="1670"/>
      <c r="Z374" s="1670"/>
      <c r="AA374" s="1670"/>
      <c r="AB374" s="1670"/>
      <c r="AC374" s="1670"/>
      <c r="AD374" s="1670"/>
      <c r="AE374" s="1670"/>
      <c r="AF374" s="1670"/>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8" customHeight="1">
      <c r="A375" s="5"/>
      <c r="B375" s="21"/>
      <c r="C375" s="714"/>
      <c r="D375" s="5"/>
      <c r="E375" s="225"/>
      <c r="F375" s="1670"/>
      <c r="G375" s="1670"/>
      <c r="H375" s="1670"/>
      <c r="I375" s="1670"/>
      <c r="J375" s="1670"/>
      <c r="K375" s="1670"/>
      <c r="L375" s="1670"/>
      <c r="M375" s="1670"/>
      <c r="N375" s="1670"/>
      <c r="O375" s="1670"/>
      <c r="P375" s="1670"/>
      <c r="Q375" s="1670"/>
      <c r="R375" s="1670"/>
      <c r="S375" s="1670"/>
      <c r="T375" s="1670"/>
      <c r="U375" s="1670"/>
      <c r="V375" s="1670"/>
      <c r="W375" s="1670"/>
      <c r="X375" s="1670"/>
      <c r="Y375" s="1670"/>
      <c r="Z375" s="1670"/>
      <c r="AA375" s="1670"/>
      <c r="AB375" s="1670"/>
      <c r="AC375" s="1670"/>
      <c r="AD375" s="1670"/>
      <c r="AE375" s="1670"/>
      <c r="AF375" s="1670"/>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8" customHeight="1">
      <c r="A376" s="5"/>
      <c r="B376" s="21"/>
      <c r="C376" s="1695" t="s">
        <v>132</v>
      </c>
      <c r="D376" s="1225"/>
      <c r="E376" s="225"/>
      <c r="F376" s="347" t="s">
        <v>1857</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42" t="s">
        <v>340</v>
      </c>
      <c r="AG376" s="1642"/>
      <c r="AH376" s="1642"/>
      <c r="AI376" s="1642"/>
      <c r="AJ376" s="1642"/>
      <c r="AK376" s="1642"/>
      <c r="AL376" s="1694"/>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8"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8"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0</v>
      </c>
      <c r="AQ378" s="1177">
        <f>IF(AP378&gt;0,AP378,0)</f>
        <v>0</v>
      </c>
      <c r="AR378" s="1177"/>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8"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8"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8" customHeight="1">
      <c r="A381" s="5"/>
      <c r="B381" s="21"/>
      <c r="C381" s="711"/>
      <c r="D381" s="712"/>
      <c r="E381" s="713" t="s">
        <v>201</v>
      </c>
      <c r="F381" s="1709" t="s">
        <v>1864</v>
      </c>
      <c r="G381" s="1709"/>
      <c r="H381" s="1709"/>
      <c r="I381" s="1709"/>
      <c r="J381" s="1709"/>
      <c r="K381" s="1709"/>
      <c r="L381" s="1709"/>
      <c r="M381" s="1709"/>
      <c r="N381" s="1709"/>
      <c r="O381" s="1709"/>
      <c r="P381" s="1709"/>
      <c r="Q381" s="1709"/>
      <c r="R381" s="1709"/>
      <c r="S381" s="1709"/>
      <c r="T381" s="1709"/>
      <c r="U381" s="1709"/>
      <c r="V381" s="1709"/>
      <c r="W381" s="1709"/>
      <c r="X381" s="1709"/>
      <c r="Y381" s="1709"/>
      <c r="Z381" s="1709"/>
      <c r="AA381" s="1709"/>
      <c r="AB381" s="1709"/>
      <c r="AC381" s="1709"/>
      <c r="AD381" s="1709"/>
      <c r="AE381" s="1709"/>
      <c r="AF381" s="1709"/>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8" customHeight="1">
      <c r="A382" s="5"/>
      <c r="B382" s="21"/>
      <c r="C382" s="719"/>
      <c r="D382" s="21"/>
      <c r="E382" s="194"/>
      <c r="F382" s="1670"/>
      <c r="G382" s="1670"/>
      <c r="H382" s="1670"/>
      <c r="I382" s="1670"/>
      <c r="J382" s="1670"/>
      <c r="K382" s="1670"/>
      <c r="L382" s="1670"/>
      <c r="M382" s="1670"/>
      <c r="N382" s="1670"/>
      <c r="O382" s="1670"/>
      <c r="P382" s="1670"/>
      <c r="Q382" s="1670"/>
      <c r="R382" s="1670"/>
      <c r="S382" s="1670"/>
      <c r="T382" s="1670"/>
      <c r="U382" s="1670"/>
      <c r="V382" s="1670"/>
      <c r="W382" s="1670"/>
      <c r="X382" s="1670"/>
      <c r="Y382" s="1670"/>
      <c r="Z382" s="1670"/>
      <c r="AA382" s="1670"/>
      <c r="AB382" s="1670"/>
      <c r="AC382" s="1670"/>
      <c r="AD382" s="1670"/>
      <c r="AE382" s="1670"/>
      <c r="AF382" s="1670"/>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8" customHeight="1">
      <c r="A383" s="5"/>
      <c r="B383" s="21"/>
      <c r="C383" s="719"/>
      <c r="D383" s="21"/>
      <c r="E383" s="194"/>
      <c r="F383" s="1670"/>
      <c r="G383" s="1670"/>
      <c r="H383" s="1670"/>
      <c r="I383" s="1670"/>
      <c r="J383" s="1670"/>
      <c r="K383" s="1670"/>
      <c r="L383" s="1670"/>
      <c r="M383" s="1670"/>
      <c r="N383" s="1670"/>
      <c r="O383" s="1670"/>
      <c r="P383" s="1670"/>
      <c r="Q383" s="1670"/>
      <c r="R383" s="1670"/>
      <c r="S383" s="1670"/>
      <c r="T383" s="1670"/>
      <c r="U383" s="1670"/>
      <c r="V383" s="1670"/>
      <c r="W383" s="1670"/>
      <c r="X383" s="1670"/>
      <c r="Y383" s="1670"/>
      <c r="Z383" s="1670"/>
      <c r="AA383" s="1670"/>
      <c r="AB383" s="1670"/>
      <c r="AC383" s="1670"/>
      <c r="AD383" s="1670"/>
      <c r="AE383" s="1670"/>
      <c r="AF383" s="1670"/>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8" customHeight="1">
      <c r="A384" s="5"/>
      <c r="B384" s="21"/>
      <c r="C384" s="719"/>
      <c r="D384" s="21"/>
      <c r="E384" s="194"/>
      <c r="F384" s="1670"/>
      <c r="G384" s="1670"/>
      <c r="H384" s="1670"/>
      <c r="I384" s="1670"/>
      <c r="J384" s="1670"/>
      <c r="K384" s="1670"/>
      <c r="L384" s="1670"/>
      <c r="M384" s="1670"/>
      <c r="N384" s="1670"/>
      <c r="O384" s="1670"/>
      <c r="P384" s="1670"/>
      <c r="Q384" s="1670"/>
      <c r="R384" s="1670"/>
      <c r="S384" s="1670"/>
      <c r="T384" s="1670"/>
      <c r="U384" s="1670"/>
      <c r="V384" s="1670"/>
      <c r="W384" s="1670"/>
      <c r="X384" s="1670"/>
      <c r="Y384" s="1670"/>
      <c r="Z384" s="1670"/>
      <c r="AA384" s="1670"/>
      <c r="AB384" s="1670"/>
      <c r="AC384" s="1670"/>
      <c r="AD384" s="1670"/>
      <c r="AE384" s="1670"/>
      <c r="AF384" s="1670"/>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8" customHeight="1">
      <c r="A385" s="5"/>
      <c r="B385" s="21"/>
      <c r="C385" s="719"/>
      <c r="D385" s="21"/>
      <c r="E385" s="194"/>
      <c r="F385" s="1670"/>
      <c r="G385" s="1670"/>
      <c r="H385" s="1670"/>
      <c r="I385" s="1670"/>
      <c r="J385" s="1670"/>
      <c r="K385" s="1670"/>
      <c r="L385" s="1670"/>
      <c r="M385" s="1670"/>
      <c r="N385" s="1670"/>
      <c r="O385" s="1670"/>
      <c r="P385" s="1670"/>
      <c r="Q385" s="1670"/>
      <c r="R385" s="1670"/>
      <c r="S385" s="1670"/>
      <c r="T385" s="1670"/>
      <c r="U385" s="1670"/>
      <c r="V385" s="1670"/>
      <c r="W385" s="1670"/>
      <c r="X385" s="1670"/>
      <c r="Y385" s="1670"/>
      <c r="Z385" s="1670"/>
      <c r="AA385" s="1670"/>
      <c r="AB385" s="1670"/>
      <c r="AC385" s="1670"/>
      <c r="AD385" s="1670"/>
      <c r="AE385" s="1670"/>
      <c r="AF385" s="1670"/>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8" customHeight="1">
      <c r="A386" s="5"/>
      <c r="B386" s="21"/>
      <c r="C386" s="1695" t="s">
        <v>132</v>
      </c>
      <c r="D386" s="1225"/>
      <c r="E386" s="194"/>
      <c r="F386" s="347" t="s">
        <v>1858</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42" t="s">
        <v>340</v>
      </c>
      <c r="AG386" s="1642"/>
      <c r="AH386" s="1642"/>
      <c r="AI386" s="1642"/>
      <c r="AJ386" s="1642"/>
      <c r="AK386" s="1642"/>
      <c r="AL386" s="1694"/>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8"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8" customHeight="1">
      <c r="A388" s="5"/>
      <c r="B388" s="21"/>
      <c r="C388" s="1492"/>
      <c r="D388" s="1492"/>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42"/>
      <c r="AG388" s="1642"/>
      <c r="AH388" s="1642"/>
      <c r="AI388" s="1642"/>
      <c r="AJ388" s="1642"/>
      <c r="AK388" s="1642"/>
      <c r="AL388" s="1642"/>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8"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8"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8" customHeight="1">
      <c r="A391" s="5"/>
      <c r="B391" s="21"/>
      <c r="C391" s="711"/>
      <c r="D391" s="712"/>
      <c r="E391" s="713" t="s">
        <v>202</v>
      </c>
      <c r="F391" s="1732" t="s">
        <v>2047</v>
      </c>
      <c r="G391" s="1732"/>
      <c r="H391" s="1732"/>
      <c r="I391" s="1732"/>
      <c r="J391" s="1732"/>
      <c r="K391" s="1732"/>
      <c r="L391" s="1732"/>
      <c r="M391" s="1732"/>
      <c r="N391" s="1732"/>
      <c r="O391" s="1732"/>
      <c r="P391" s="1732"/>
      <c r="Q391" s="1732"/>
      <c r="R391" s="1732"/>
      <c r="S391" s="1732"/>
      <c r="T391" s="1732"/>
      <c r="U391" s="1732"/>
      <c r="V391" s="1732"/>
      <c r="W391" s="1732"/>
      <c r="X391" s="1732"/>
      <c r="Y391" s="1732"/>
      <c r="Z391" s="1732"/>
      <c r="AA391" s="1732"/>
      <c r="AB391" s="1732"/>
      <c r="AC391" s="1732"/>
      <c r="AD391" s="1732"/>
      <c r="AE391" s="1732"/>
      <c r="AF391" s="1732"/>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8" customHeight="1">
      <c r="A392" s="5"/>
      <c r="B392" s="21"/>
      <c r="C392" s="719"/>
      <c r="D392" s="21"/>
      <c r="E392" s="194"/>
      <c r="F392" s="1733"/>
      <c r="G392" s="1733"/>
      <c r="H392" s="1733"/>
      <c r="I392" s="1733"/>
      <c r="J392" s="1733"/>
      <c r="K392" s="1733"/>
      <c r="L392" s="1733"/>
      <c r="M392" s="1733"/>
      <c r="N392" s="1733"/>
      <c r="O392" s="1733"/>
      <c r="P392" s="1733"/>
      <c r="Q392" s="1733"/>
      <c r="R392" s="1733"/>
      <c r="S392" s="1733"/>
      <c r="T392" s="1733"/>
      <c r="U392" s="1733"/>
      <c r="V392" s="1733"/>
      <c r="W392" s="1733"/>
      <c r="X392" s="1733"/>
      <c r="Y392" s="1733"/>
      <c r="Z392" s="1733"/>
      <c r="AA392" s="1733"/>
      <c r="AB392" s="1733"/>
      <c r="AC392" s="1733"/>
      <c r="AD392" s="1733"/>
      <c r="AE392" s="1733"/>
      <c r="AF392" s="1733"/>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8" customHeight="1">
      <c r="A393" s="5"/>
      <c r="B393" s="21"/>
      <c r="C393" s="719"/>
      <c r="D393" s="21"/>
      <c r="E393" s="194"/>
      <c r="F393" s="1733"/>
      <c r="G393" s="1733"/>
      <c r="H393" s="1733"/>
      <c r="I393" s="1733"/>
      <c r="J393" s="1733"/>
      <c r="K393" s="1733"/>
      <c r="L393" s="1733"/>
      <c r="M393" s="1733"/>
      <c r="N393" s="1733"/>
      <c r="O393" s="1733"/>
      <c r="P393" s="1733"/>
      <c r="Q393" s="1733"/>
      <c r="R393" s="1733"/>
      <c r="S393" s="1733"/>
      <c r="T393" s="1733"/>
      <c r="U393" s="1733"/>
      <c r="V393" s="1733"/>
      <c r="W393" s="1733"/>
      <c r="X393" s="1733"/>
      <c r="Y393" s="1733"/>
      <c r="Z393" s="1733"/>
      <c r="AA393" s="1733"/>
      <c r="AB393" s="1733"/>
      <c r="AC393" s="1733"/>
      <c r="AD393" s="1733"/>
      <c r="AE393" s="1733"/>
      <c r="AF393" s="1733"/>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8" customHeight="1">
      <c r="A394" s="5"/>
      <c r="B394" s="21"/>
      <c r="C394" s="719"/>
      <c r="D394" s="21"/>
      <c r="E394" s="194"/>
      <c r="F394" s="1733"/>
      <c r="G394" s="1733"/>
      <c r="H394" s="1733"/>
      <c r="I394" s="1733"/>
      <c r="J394" s="1733"/>
      <c r="K394" s="1733"/>
      <c r="L394" s="1733"/>
      <c r="M394" s="1733"/>
      <c r="N394" s="1733"/>
      <c r="O394" s="1733"/>
      <c r="P394" s="1733"/>
      <c r="Q394" s="1733"/>
      <c r="R394" s="1733"/>
      <c r="S394" s="1733"/>
      <c r="T394" s="1733"/>
      <c r="U394" s="1733"/>
      <c r="V394" s="1733"/>
      <c r="W394" s="1733"/>
      <c r="X394" s="1733"/>
      <c r="Y394" s="1733"/>
      <c r="Z394" s="1733"/>
      <c r="AA394" s="1733"/>
      <c r="AB394" s="1733"/>
      <c r="AC394" s="1733"/>
      <c r="AD394" s="1733"/>
      <c r="AE394" s="1733"/>
      <c r="AF394" s="1733"/>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8" customHeight="1">
      <c r="A395" s="5"/>
      <c r="B395" s="21"/>
      <c r="C395" s="719"/>
      <c r="D395" s="21"/>
      <c r="E395" s="194"/>
      <c r="F395" s="1733"/>
      <c r="G395" s="1733"/>
      <c r="H395" s="1733"/>
      <c r="I395" s="1733"/>
      <c r="J395" s="1733"/>
      <c r="K395" s="1733"/>
      <c r="L395" s="1733"/>
      <c r="M395" s="1733"/>
      <c r="N395" s="1733"/>
      <c r="O395" s="1733"/>
      <c r="P395" s="1733"/>
      <c r="Q395" s="1733"/>
      <c r="R395" s="1733"/>
      <c r="S395" s="1733"/>
      <c r="T395" s="1733"/>
      <c r="U395" s="1733"/>
      <c r="V395" s="1733"/>
      <c r="W395" s="1733"/>
      <c r="X395" s="1733"/>
      <c r="Y395" s="1733"/>
      <c r="Z395" s="1733"/>
      <c r="AA395" s="1733"/>
      <c r="AB395" s="1733"/>
      <c r="AC395" s="1733"/>
      <c r="AD395" s="1733"/>
      <c r="AE395" s="1733"/>
      <c r="AF395" s="1733"/>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8" customHeight="1">
      <c r="A396" s="5"/>
      <c r="B396" s="21"/>
      <c r="C396" s="1695" t="s">
        <v>132</v>
      </c>
      <c r="D396" s="1225"/>
      <c r="E396" s="194"/>
      <c r="F396" s="347" t="s">
        <v>1860</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42" t="s">
        <v>1007</v>
      </c>
      <c r="AG396" s="1642"/>
      <c r="AH396" s="1642"/>
      <c r="AI396" s="1642"/>
      <c r="AJ396" s="1642"/>
      <c r="AK396" s="1642"/>
      <c r="AL396" s="1694"/>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8"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8" customHeight="1">
      <c r="A398" s="5"/>
      <c r="B398" s="21"/>
      <c r="C398" s="1695" t="s">
        <v>116</v>
      </c>
      <c r="D398" s="1225"/>
      <c r="E398" s="194"/>
      <c r="F398" s="348" t="s">
        <v>1861</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42" t="s">
        <v>340</v>
      </c>
      <c r="AG398" s="1642"/>
      <c r="AH398" s="1642"/>
      <c r="AI398" s="1642"/>
      <c r="AJ398" s="1642"/>
      <c r="AK398" s="1642"/>
      <c r="AL398" s="1694"/>
      <c r="AM398"/>
      <c r="AN398" s="281"/>
      <c r="BS398"/>
      <c r="BT398"/>
      <c r="BU398"/>
      <c r="CF398"/>
      <c r="CG398"/>
      <c r="CH398"/>
      <c r="EK398"/>
      <c r="EL398"/>
      <c r="EM398"/>
      <c r="EN398"/>
      <c r="EO398"/>
      <c r="EP398"/>
      <c r="EQ398"/>
      <c r="ER398"/>
      <c r="ES398"/>
      <c r="ET398"/>
      <c r="EU398"/>
      <c r="EV398"/>
      <c r="EW398"/>
    </row>
    <row r="399" spans="1:153" s="4" customFormat="1" ht="12.8"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8" customHeight="1">
      <c r="A400" s="5"/>
      <c r="B400" s="21"/>
      <c r="C400" s="723"/>
      <c r="D400" s="724"/>
      <c r="E400" s="725"/>
      <c r="F400" s="726" t="s">
        <v>1859</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8"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8" customHeight="1">
      <c r="A402" s="5"/>
      <c r="B402" s="21"/>
      <c r="C402" s="711"/>
      <c r="D402" s="712"/>
      <c r="E402" s="713" t="s">
        <v>203</v>
      </c>
      <c r="F402" s="1709" t="s">
        <v>1863</v>
      </c>
      <c r="G402" s="1709"/>
      <c r="H402" s="1709"/>
      <c r="I402" s="1709"/>
      <c r="J402" s="1709"/>
      <c r="K402" s="1709"/>
      <c r="L402" s="1709"/>
      <c r="M402" s="1709"/>
      <c r="N402" s="1709"/>
      <c r="O402" s="1709"/>
      <c r="P402" s="1709"/>
      <c r="Q402" s="1709"/>
      <c r="R402" s="1709"/>
      <c r="S402" s="1709"/>
      <c r="T402" s="1709"/>
      <c r="U402" s="1709"/>
      <c r="V402" s="1709"/>
      <c r="W402" s="1709"/>
      <c r="X402" s="1709"/>
      <c r="Y402" s="1709"/>
      <c r="Z402" s="1709"/>
      <c r="AA402" s="1709"/>
      <c r="AB402" s="1709"/>
      <c r="AC402" s="1709"/>
      <c r="AD402" s="1709"/>
      <c r="AE402" s="1709"/>
      <c r="AF402" s="1709"/>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8" customHeight="1">
      <c r="A403" s="5"/>
      <c r="B403" s="21"/>
      <c r="C403" s="719"/>
      <c r="D403" s="21"/>
      <c r="E403" s="194"/>
      <c r="F403" s="1670"/>
      <c r="G403" s="1670"/>
      <c r="H403" s="1670"/>
      <c r="I403" s="1670"/>
      <c r="J403" s="1670"/>
      <c r="K403" s="1670"/>
      <c r="L403" s="1670"/>
      <c r="M403" s="1670"/>
      <c r="N403" s="1670"/>
      <c r="O403" s="1670"/>
      <c r="P403" s="1670"/>
      <c r="Q403" s="1670"/>
      <c r="R403" s="1670"/>
      <c r="S403" s="1670"/>
      <c r="T403" s="1670"/>
      <c r="U403" s="1670"/>
      <c r="V403" s="1670"/>
      <c r="W403" s="1670"/>
      <c r="X403" s="1670"/>
      <c r="Y403" s="1670"/>
      <c r="Z403" s="1670"/>
      <c r="AA403" s="1670"/>
      <c r="AB403" s="1670"/>
      <c r="AC403" s="1670"/>
      <c r="AD403" s="1670"/>
      <c r="AE403" s="1670"/>
      <c r="AF403" s="1670"/>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1">
      <c r="A404" s="5"/>
      <c r="C404" s="719"/>
      <c r="E404" s="194"/>
      <c r="F404" s="1670"/>
      <c r="G404" s="1670"/>
      <c r="H404" s="1670"/>
      <c r="I404" s="1670"/>
      <c r="J404" s="1670"/>
      <c r="K404" s="1670"/>
      <c r="L404" s="1670"/>
      <c r="M404" s="1670"/>
      <c r="N404" s="1670"/>
      <c r="O404" s="1670"/>
      <c r="P404" s="1670"/>
      <c r="Q404" s="1670"/>
      <c r="R404" s="1670"/>
      <c r="S404" s="1670"/>
      <c r="T404" s="1670"/>
      <c r="U404" s="1670"/>
      <c r="V404" s="1670"/>
      <c r="W404" s="1670"/>
      <c r="X404" s="1670"/>
      <c r="Y404" s="1670"/>
      <c r="Z404" s="1670"/>
      <c r="AA404" s="1670"/>
      <c r="AB404" s="1670"/>
      <c r="AC404" s="1670"/>
      <c r="AD404" s="1670"/>
      <c r="AE404" s="1670"/>
      <c r="AF404" s="1670"/>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8" customHeight="1">
      <c r="A405" s="5"/>
      <c r="B405" s="21"/>
      <c r="C405" s="719"/>
      <c r="D405" s="21"/>
      <c r="E405" s="194"/>
      <c r="F405" s="1670"/>
      <c r="G405" s="1670"/>
      <c r="H405" s="1670"/>
      <c r="I405" s="1670"/>
      <c r="J405" s="1670"/>
      <c r="K405" s="1670"/>
      <c r="L405" s="1670"/>
      <c r="M405" s="1670"/>
      <c r="N405" s="1670"/>
      <c r="O405" s="1670"/>
      <c r="P405" s="1670"/>
      <c r="Q405" s="1670"/>
      <c r="R405" s="1670"/>
      <c r="S405" s="1670"/>
      <c r="T405" s="1670"/>
      <c r="U405" s="1670"/>
      <c r="V405" s="1670"/>
      <c r="W405" s="1670"/>
      <c r="X405" s="1670"/>
      <c r="Y405" s="1670"/>
      <c r="Z405" s="1670"/>
      <c r="AA405" s="1670"/>
      <c r="AB405" s="1670"/>
      <c r="AC405" s="1670"/>
      <c r="AD405" s="1670"/>
      <c r="AE405" s="1670"/>
      <c r="AF405" s="1670"/>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8" customHeight="1">
      <c r="A406" s="5"/>
      <c r="B406" s="21"/>
      <c r="C406" s="1695" t="s">
        <v>132</v>
      </c>
      <c r="D406" s="1225"/>
      <c r="E406" s="194"/>
      <c r="F406" s="347" t="s">
        <v>1862</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42" t="s">
        <v>340</v>
      </c>
      <c r="AG406" s="1642"/>
      <c r="AH406" s="1642"/>
      <c r="AI406" s="1642"/>
      <c r="AJ406" s="1642"/>
      <c r="AK406" s="1642"/>
      <c r="AL406" s="1694"/>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8"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8" customHeight="1">
      <c r="A408" s="5"/>
      <c r="B408" s="21"/>
      <c r="C408" s="1695" t="s">
        <v>132</v>
      </c>
      <c r="D408" s="1225"/>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42" t="s">
        <v>1006</v>
      </c>
      <c r="AG408" s="1642"/>
      <c r="AH408" s="1642"/>
      <c r="AI408" s="1642"/>
      <c r="AJ408" s="1642"/>
      <c r="AK408" s="1642"/>
      <c r="AL408" s="1694"/>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8"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8"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8" customHeight="1">
      <c r="A411" s="5"/>
      <c r="B411" s="21"/>
      <c r="C411" s="1695" t="s">
        <v>132</v>
      </c>
      <c r="D411" s="1225"/>
      <c r="E411" s="713" t="s">
        <v>204</v>
      </c>
      <c r="F411" s="1709" t="s">
        <v>1867</v>
      </c>
      <c r="G411" s="1709"/>
      <c r="H411" s="1709"/>
      <c r="I411" s="1709"/>
      <c r="J411" s="1709"/>
      <c r="K411" s="1709"/>
      <c r="L411" s="1709"/>
      <c r="M411" s="1709"/>
      <c r="N411" s="1709"/>
      <c r="O411" s="1709"/>
      <c r="P411" s="1709"/>
      <c r="Q411" s="1709"/>
      <c r="R411" s="1709"/>
      <c r="S411" s="1709"/>
      <c r="T411" s="1709"/>
      <c r="U411" s="1709"/>
      <c r="V411" s="1709"/>
      <c r="W411" s="1709"/>
      <c r="X411" s="1709"/>
      <c r="Y411" s="1709"/>
      <c r="Z411" s="1709"/>
      <c r="AA411" s="1709"/>
      <c r="AB411" s="1709"/>
      <c r="AC411" s="1709"/>
      <c r="AD411" s="1709"/>
      <c r="AE411" s="1709"/>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8" customHeight="1">
      <c r="A412" s="5"/>
      <c r="B412" s="21"/>
      <c r="C412" s="722"/>
      <c r="F412" s="1670"/>
      <c r="G412" s="1670"/>
      <c r="H412" s="1670"/>
      <c r="I412" s="1670"/>
      <c r="J412" s="1670"/>
      <c r="K412" s="1670"/>
      <c r="L412" s="1670"/>
      <c r="M412" s="1670"/>
      <c r="N412" s="1670"/>
      <c r="O412" s="1670"/>
      <c r="P412" s="1670"/>
      <c r="Q412" s="1670"/>
      <c r="R412" s="1670"/>
      <c r="S412" s="1670"/>
      <c r="T412" s="1670"/>
      <c r="U412" s="1670"/>
      <c r="V412" s="1670"/>
      <c r="W412" s="1670"/>
      <c r="X412" s="1670"/>
      <c r="Y412" s="1670"/>
      <c r="Z412" s="1670"/>
      <c r="AA412" s="1670"/>
      <c r="AB412" s="1670"/>
      <c r="AC412" s="1670"/>
      <c r="AD412" s="1670"/>
      <c r="AE412" s="1670"/>
      <c r="AF412" s="1731" t="s">
        <v>340</v>
      </c>
      <c r="AG412" s="1731"/>
      <c r="AH412" s="1731"/>
      <c r="AI412" s="1731"/>
      <c r="AJ412" s="1731"/>
      <c r="AK412" s="1731"/>
      <c r="AL412" s="1738"/>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8" customHeight="1">
      <c r="A413" s="5"/>
      <c r="B413" s="21"/>
      <c r="C413" s="719"/>
      <c r="D413" s="21"/>
      <c r="E413" s="194"/>
      <c r="F413" s="1670"/>
      <c r="G413" s="1670"/>
      <c r="H413" s="1670"/>
      <c r="I413" s="1670"/>
      <c r="J413" s="1670"/>
      <c r="K413" s="1670"/>
      <c r="L413" s="1670"/>
      <c r="M413" s="1670"/>
      <c r="N413" s="1670"/>
      <c r="O413" s="1670"/>
      <c r="P413" s="1670"/>
      <c r="Q413" s="1670"/>
      <c r="R413" s="1670"/>
      <c r="S413" s="1670"/>
      <c r="T413" s="1670"/>
      <c r="U413" s="1670"/>
      <c r="V413" s="1670"/>
      <c r="W413" s="1670"/>
      <c r="X413" s="1670"/>
      <c r="Y413" s="1670"/>
      <c r="Z413" s="1670"/>
      <c r="AA413" s="1670"/>
      <c r="AB413" s="1670"/>
      <c r="AC413" s="1670"/>
      <c r="AD413" s="1670"/>
      <c r="AE413" s="1670"/>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8" customHeight="1">
      <c r="A414" s="5"/>
      <c r="B414" s="21"/>
      <c r="C414" s="723"/>
      <c r="D414" s="724"/>
      <c r="E414" s="725"/>
      <c r="F414" s="1704"/>
      <c r="G414" s="1704"/>
      <c r="H414" s="1704"/>
      <c r="I414" s="1704"/>
      <c r="J414" s="1704"/>
      <c r="K414" s="1704"/>
      <c r="L414" s="1704"/>
      <c r="M414" s="1704"/>
      <c r="N414" s="1704"/>
      <c r="O414" s="1704"/>
      <c r="P414" s="1704"/>
      <c r="Q414" s="1704"/>
      <c r="R414" s="1704"/>
      <c r="S414" s="1704"/>
      <c r="T414" s="1704"/>
      <c r="U414" s="1704"/>
      <c r="V414" s="1704"/>
      <c r="W414" s="1704"/>
      <c r="X414" s="1704"/>
      <c r="Y414" s="1704"/>
      <c r="Z414" s="1704"/>
      <c r="AA414" s="1704"/>
      <c r="AB414" s="1704"/>
      <c r="AC414" s="1704"/>
      <c r="AD414" s="1704"/>
      <c r="AE414" s="1704"/>
      <c r="AF414" s="728"/>
      <c r="AG414" s="727"/>
      <c r="AH414" s="729"/>
      <c r="AI414" s="729"/>
      <c r="AJ414" s="729"/>
      <c r="AK414" s="729"/>
      <c r="AL414" s="730"/>
      <c r="AM414"/>
      <c r="AN414" s="281"/>
    </row>
    <row r="415" spans="1:153" ht="13.1">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8" customHeight="1">
      <c r="A416" s="5"/>
      <c r="C416" s="732"/>
      <c r="D416" s="733"/>
      <c r="E416" s="713" t="s">
        <v>205</v>
      </c>
      <c r="F416" s="1709" t="s">
        <v>1869</v>
      </c>
      <c r="G416" s="1709"/>
      <c r="H416" s="1709"/>
      <c r="I416" s="1709"/>
      <c r="J416" s="1709"/>
      <c r="K416" s="1709"/>
      <c r="L416" s="1709"/>
      <c r="M416" s="1709"/>
      <c r="N416" s="1709"/>
      <c r="O416" s="1709"/>
      <c r="P416" s="1709"/>
      <c r="Q416" s="1709"/>
      <c r="R416" s="1709"/>
      <c r="S416" s="1709"/>
      <c r="T416" s="1709"/>
      <c r="U416" s="1709"/>
      <c r="V416" s="1709"/>
      <c r="W416" s="1709"/>
      <c r="X416" s="1709"/>
      <c r="Y416" s="1709"/>
      <c r="Z416" s="1709"/>
      <c r="AA416" s="1709"/>
      <c r="AB416" s="1709"/>
      <c r="AC416" s="1709"/>
      <c r="AD416" s="1709"/>
      <c r="AE416" s="1709"/>
      <c r="AF416" s="733"/>
      <c r="AG416" s="733"/>
      <c r="AH416" s="733"/>
      <c r="AI416" s="733"/>
      <c r="AJ416" s="733"/>
      <c r="AK416" s="733"/>
      <c r="AL416" s="734"/>
      <c r="AM416"/>
    </row>
    <row r="417" spans="1:60" ht="13.1">
      <c r="A417" s="5"/>
      <c r="C417" s="719"/>
      <c r="E417" s="194"/>
      <c r="F417" s="1670"/>
      <c r="G417" s="1670"/>
      <c r="H417" s="1670"/>
      <c r="I417" s="1670"/>
      <c r="J417" s="1670"/>
      <c r="K417" s="1670"/>
      <c r="L417" s="1670"/>
      <c r="M417" s="1670"/>
      <c r="N417" s="1670"/>
      <c r="O417" s="1670"/>
      <c r="P417" s="1670"/>
      <c r="Q417" s="1670"/>
      <c r="R417" s="1670"/>
      <c r="S417" s="1670"/>
      <c r="T417" s="1670"/>
      <c r="U417" s="1670"/>
      <c r="V417" s="1670"/>
      <c r="W417" s="1670"/>
      <c r="X417" s="1670"/>
      <c r="Y417" s="1670"/>
      <c r="Z417" s="1670"/>
      <c r="AA417" s="1670"/>
      <c r="AB417" s="1670"/>
      <c r="AC417" s="1670"/>
      <c r="AD417" s="1670"/>
      <c r="AE417" s="1670"/>
      <c r="AF417" s="3"/>
      <c r="AG417" s="5"/>
      <c r="AH417" s="4"/>
      <c r="AI417" s="4"/>
      <c r="AJ417" s="4"/>
      <c r="AK417" s="4"/>
      <c r="AL417" s="720"/>
      <c r="AM417"/>
    </row>
    <row r="418" spans="1:60" s="4" customFormat="1" ht="12.8" customHeight="1">
      <c r="A418" s="5"/>
      <c r="B418" s="21"/>
      <c r="C418" s="719"/>
      <c r="D418" s="21"/>
      <c r="E418" s="194"/>
      <c r="F418" s="1670"/>
      <c r="G418" s="1670"/>
      <c r="H418" s="1670"/>
      <c r="I418" s="1670"/>
      <c r="J418" s="1670"/>
      <c r="K418" s="1670"/>
      <c r="L418" s="1670"/>
      <c r="M418" s="1670"/>
      <c r="N418" s="1670"/>
      <c r="O418" s="1670"/>
      <c r="P418" s="1670"/>
      <c r="Q418" s="1670"/>
      <c r="R418" s="1670"/>
      <c r="S418" s="1670"/>
      <c r="T418" s="1670"/>
      <c r="U418" s="1670"/>
      <c r="V418" s="1670"/>
      <c r="W418" s="1670"/>
      <c r="X418" s="1670"/>
      <c r="Y418" s="1670"/>
      <c r="Z418" s="1670"/>
      <c r="AA418" s="1670"/>
      <c r="AB418" s="1670"/>
      <c r="AC418" s="1670"/>
      <c r="AD418" s="1670"/>
      <c r="AE418" s="1670"/>
      <c r="AL418" s="720"/>
      <c r="AM418"/>
      <c r="AN418" s="281"/>
    </row>
    <row r="419" spans="1:60" s="4" customFormat="1" ht="12.8" customHeight="1">
      <c r="A419" s="5"/>
      <c r="B419" s="21"/>
      <c r="C419" s="722"/>
      <c r="F419" s="1670"/>
      <c r="G419" s="1670"/>
      <c r="H419" s="1670"/>
      <c r="I419" s="1670"/>
      <c r="J419" s="1670"/>
      <c r="K419" s="1670"/>
      <c r="L419" s="1670"/>
      <c r="M419" s="1670"/>
      <c r="N419" s="1670"/>
      <c r="O419" s="1670"/>
      <c r="P419" s="1670"/>
      <c r="Q419" s="1670"/>
      <c r="R419" s="1670"/>
      <c r="S419" s="1670"/>
      <c r="T419" s="1670"/>
      <c r="U419" s="1670"/>
      <c r="V419" s="1670"/>
      <c r="W419" s="1670"/>
      <c r="X419" s="1670"/>
      <c r="Y419" s="1670"/>
      <c r="Z419" s="1670"/>
      <c r="AA419" s="1670"/>
      <c r="AB419" s="1670"/>
      <c r="AC419" s="1670"/>
      <c r="AD419" s="1670"/>
      <c r="AE419" s="1670"/>
      <c r="AL419" s="720"/>
      <c r="AM419"/>
      <c r="AN419" s="281"/>
    </row>
    <row r="420" spans="1:60" s="4" customFormat="1" ht="12.8" customHeight="1">
      <c r="A420" s="5"/>
      <c r="B420" s="21"/>
      <c r="C420" s="1695" t="s">
        <v>116</v>
      </c>
      <c r="D420" s="1225"/>
      <c r="E420" s="194"/>
      <c r="F420" s="347" t="s">
        <v>1866</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31" t="s">
        <v>340</v>
      </c>
      <c r="AG420" s="1731"/>
      <c r="AH420" s="1731"/>
      <c r="AI420" s="1731"/>
      <c r="AJ420" s="1731"/>
      <c r="AK420" s="1731"/>
      <c r="AL420" s="1738"/>
      <c r="AM420"/>
      <c r="AN420" s="281"/>
    </row>
    <row r="421" spans="1:60" s="4" customFormat="1" ht="12.8" customHeight="1">
      <c r="A421" s="5"/>
      <c r="B421" s="21"/>
      <c r="C421" s="722"/>
      <c r="AL421" s="720"/>
      <c r="AM421"/>
      <c r="AN421" s="281"/>
    </row>
    <row r="422" spans="1:60" s="4" customFormat="1" ht="12.8" customHeight="1">
      <c r="A422" s="5"/>
      <c r="B422" s="21"/>
      <c r="C422" s="1695" t="s">
        <v>132</v>
      </c>
      <c r="D422" s="1225"/>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31" t="s">
        <v>1006</v>
      </c>
      <c r="AG422" s="1731"/>
      <c r="AH422" s="1731"/>
      <c r="AI422" s="1731"/>
      <c r="AJ422" s="1731"/>
      <c r="AK422" s="1731"/>
      <c r="AL422" s="1738"/>
      <c r="AM422"/>
      <c r="AN422" s="281"/>
      <c r="AO422" s="20"/>
      <c r="AP422" s="20"/>
      <c r="BC422" s="21"/>
    </row>
    <row r="423" spans="1:60" s="4" customFormat="1" ht="12.8"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8"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8" customHeight="1">
      <c r="A425" s="5"/>
      <c r="B425" s="21"/>
      <c r="C425" s="182" t="s">
        <v>1562</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8" customHeight="1">
      <c r="A426" s="5"/>
      <c r="B426" s="73"/>
      <c r="C426" s="711"/>
      <c r="D426" s="712"/>
      <c r="E426" s="713" t="s">
        <v>706</v>
      </c>
      <c r="F426" s="1709" t="s">
        <v>1870</v>
      </c>
      <c r="G426" s="1709"/>
      <c r="H426" s="1709"/>
      <c r="I426" s="1709"/>
      <c r="J426" s="1709"/>
      <c r="K426" s="1709"/>
      <c r="L426" s="1709"/>
      <c r="M426" s="1709"/>
      <c r="N426" s="1709"/>
      <c r="O426" s="1709"/>
      <c r="P426" s="1709"/>
      <c r="Q426" s="1709"/>
      <c r="R426" s="1709"/>
      <c r="S426" s="1709"/>
      <c r="T426" s="1709"/>
      <c r="U426" s="1709"/>
      <c r="V426" s="1709"/>
      <c r="W426" s="1709"/>
      <c r="X426" s="1709"/>
      <c r="Y426" s="1709"/>
      <c r="Z426" s="1709"/>
      <c r="AA426" s="1709"/>
      <c r="AB426" s="1709"/>
      <c r="AC426" s="1709"/>
      <c r="AD426" s="1709"/>
      <c r="AE426" s="1709"/>
      <c r="AF426" s="712"/>
      <c r="AG426" s="712"/>
      <c r="AH426" s="712"/>
      <c r="AI426" s="712"/>
      <c r="AJ426" s="712"/>
      <c r="AK426" s="712"/>
      <c r="AL426" s="736"/>
      <c r="AM426"/>
      <c r="AN426" s="281"/>
    </row>
    <row r="427" spans="1:60" s="4" customFormat="1" ht="12.8" customHeight="1">
      <c r="A427" s="5"/>
      <c r="B427" s="73"/>
      <c r="C427" s="737"/>
      <c r="D427" s="73"/>
      <c r="E427" s="194"/>
      <c r="F427" s="1670"/>
      <c r="G427" s="1670"/>
      <c r="H427" s="1670"/>
      <c r="I427" s="1670"/>
      <c r="J427" s="1670"/>
      <c r="K427" s="1670"/>
      <c r="L427" s="1670"/>
      <c r="M427" s="1670"/>
      <c r="N427" s="1670"/>
      <c r="O427" s="1670"/>
      <c r="P427" s="1670"/>
      <c r="Q427" s="1670"/>
      <c r="R427" s="1670"/>
      <c r="S427" s="1670"/>
      <c r="T427" s="1670"/>
      <c r="U427" s="1670"/>
      <c r="V427" s="1670"/>
      <c r="W427" s="1670"/>
      <c r="X427" s="1670"/>
      <c r="Y427" s="1670"/>
      <c r="Z427" s="1670"/>
      <c r="AA427" s="1670"/>
      <c r="AB427" s="1670"/>
      <c r="AC427" s="1670"/>
      <c r="AD427" s="1670"/>
      <c r="AE427" s="1670"/>
      <c r="AF427" s="3"/>
      <c r="AG427" s="5"/>
      <c r="AL427" s="720"/>
      <c r="AM427"/>
      <c r="AN427" s="281"/>
    </row>
    <row r="428" spans="1:60" s="4" customFormat="1" ht="12.45" customHeight="1">
      <c r="A428" s="5"/>
      <c r="B428" s="73"/>
      <c r="C428" s="737"/>
      <c r="D428" s="73"/>
      <c r="E428" s="194"/>
      <c r="F428" s="1670"/>
      <c r="G428" s="1670"/>
      <c r="H428" s="1670"/>
      <c r="I428" s="1670"/>
      <c r="J428" s="1670"/>
      <c r="K428" s="1670"/>
      <c r="L428" s="1670"/>
      <c r="M428" s="1670"/>
      <c r="N428" s="1670"/>
      <c r="O428" s="1670"/>
      <c r="P428" s="1670"/>
      <c r="Q428" s="1670"/>
      <c r="R428" s="1670"/>
      <c r="S428" s="1670"/>
      <c r="T428" s="1670"/>
      <c r="U428" s="1670"/>
      <c r="V428" s="1670"/>
      <c r="W428" s="1670"/>
      <c r="X428" s="1670"/>
      <c r="Y428" s="1670"/>
      <c r="Z428" s="1670"/>
      <c r="AA428" s="1670"/>
      <c r="AB428" s="1670"/>
      <c r="AC428" s="1670"/>
      <c r="AD428" s="1670"/>
      <c r="AE428" s="1670"/>
      <c r="AL428" s="720"/>
      <c r="AM428"/>
      <c r="AN428" s="281"/>
    </row>
    <row r="429" spans="1:60" s="4" customFormat="1" ht="12.8" customHeight="1">
      <c r="A429" s="5"/>
      <c r="B429" s="73"/>
      <c r="C429" s="1695" t="s">
        <v>132</v>
      </c>
      <c r="D429" s="1225"/>
      <c r="E429" s="194"/>
      <c r="F429" s="347" t="s">
        <v>1868</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31" t="s">
        <v>340</v>
      </c>
      <c r="AG429" s="1731"/>
      <c r="AH429" s="1731"/>
      <c r="AI429" s="1731"/>
      <c r="AJ429" s="1731"/>
      <c r="AK429" s="1731"/>
      <c r="AL429" s="1738"/>
      <c r="AM429"/>
      <c r="AN429" s="281"/>
    </row>
    <row r="430" spans="1:60" s="4" customFormat="1" ht="12.8"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8"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 customHeight="1">
      <c r="A432" s="5"/>
      <c r="B432" s="73"/>
      <c r="C432" s="732"/>
      <c r="D432" s="733"/>
      <c r="E432" s="713" t="s">
        <v>703</v>
      </c>
      <c r="F432" s="1709" t="s">
        <v>1871</v>
      </c>
      <c r="G432" s="1709"/>
      <c r="H432" s="1709"/>
      <c r="I432" s="1709"/>
      <c r="J432" s="1709"/>
      <c r="K432" s="1709"/>
      <c r="L432" s="1709"/>
      <c r="M432" s="1709"/>
      <c r="N432" s="1709"/>
      <c r="O432" s="1709"/>
      <c r="P432" s="1709"/>
      <c r="Q432" s="1709"/>
      <c r="R432" s="1709"/>
      <c r="S432" s="1709"/>
      <c r="T432" s="1709"/>
      <c r="U432" s="1709"/>
      <c r="V432" s="1709"/>
      <c r="W432" s="1709"/>
      <c r="X432" s="1709"/>
      <c r="Y432" s="1709"/>
      <c r="Z432" s="1709"/>
      <c r="AA432" s="1709"/>
      <c r="AB432" s="1709"/>
      <c r="AC432" s="1709"/>
      <c r="AD432" s="1709"/>
      <c r="AE432" s="1709"/>
      <c r="AF432" s="733"/>
      <c r="AG432" s="733"/>
      <c r="AH432" s="733"/>
      <c r="AI432" s="733"/>
      <c r="AJ432" s="733"/>
      <c r="AK432" s="733"/>
      <c r="AL432" s="734"/>
      <c r="AM432"/>
      <c r="AO432" s="4"/>
      <c r="AP432" s="4"/>
      <c r="BD432" s="21"/>
      <c r="BE432" s="21"/>
      <c r="BF432" s="21"/>
      <c r="BG432" s="21"/>
      <c r="BH432" s="21"/>
    </row>
    <row r="433" spans="1:49" ht="13.1">
      <c r="A433" s="5"/>
      <c r="B433" s="73"/>
      <c r="C433" s="737"/>
      <c r="D433" s="73"/>
      <c r="E433" s="194"/>
      <c r="F433" s="1670"/>
      <c r="G433" s="1670"/>
      <c r="H433" s="1670"/>
      <c r="I433" s="1670"/>
      <c r="J433" s="1670"/>
      <c r="K433" s="1670"/>
      <c r="L433" s="1670"/>
      <c r="M433" s="1670"/>
      <c r="N433" s="1670"/>
      <c r="O433" s="1670"/>
      <c r="P433" s="1670"/>
      <c r="Q433" s="1670"/>
      <c r="R433" s="1670"/>
      <c r="S433" s="1670"/>
      <c r="T433" s="1670"/>
      <c r="U433" s="1670"/>
      <c r="V433" s="1670"/>
      <c r="W433" s="1670"/>
      <c r="X433" s="1670"/>
      <c r="Y433" s="1670"/>
      <c r="Z433" s="1670"/>
      <c r="AA433" s="1670"/>
      <c r="AB433" s="1670"/>
      <c r="AC433" s="1670"/>
      <c r="AD433" s="1670"/>
      <c r="AE433" s="1670"/>
      <c r="AF433" s="108"/>
      <c r="AG433" s="108"/>
      <c r="AH433" s="108"/>
      <c r="AI433" s="108"/>
      <c r="AJ433" s="108"/>
      <c r="AK433" s="108"/>
      <c r="AL433" s="802"/>
      <c r="AM433"/>
      <c r="AO433" s="4"/>
      <c r="AP433" s="4"/>
    </row>
    <row r="434" spans="1:49" s="4" customFormat="1" ht="12.8" customHeight="1">
      <c r="A434" s="5"/>
      <c r="B434" s="73"/>
      <c r="C434" s="737"/>
      <c r="D434" s="73"/>
      <c r="E434" s="194"/>
      <c r="F434" s="1670"/>
      <c r="G434" s="1670"/>
      <c r="H434" s="1670"/>
      <c r="I434" s="1670"/>
      <c r="J434" s="1670"/>
      <c r="K434" s="1670"/>
      <c r="L434" s="1670"/>
      <c r="M434" s="1670"/>
      <c r="N434" s="1670"/>
      <c r="O434" s="1670"/>
      <c r="P434" s="1670"/>
      <c r="Q434" s="1670"/>
      <c r="R434" s="1670"/>
      <c r="S434" s="1670"/>
      <c r="T434" s="1670"/>
      <c r="U434" s="1670"/>
      <c r="V434" s="1670"/>
      <c r="W434" s="1670"/>
      <c r="X434" s="1670"/>
      <c r="Y434" s="1670"/>
      <c r="Z434" s="1670"/>
      <c r="AA434" s="1670"/>
      <c r="AB434" s="1670"/>
      <c r="AC434" s="1670"/>
      <c r="AD434" s="1670"/>
      <c r="AE434" s="1670"/>
      <c r="AF434" s="108"/>
      <c r="AG434" s="108"/>
      <c r="AH434" s="108"/>
      <c r="AI434" s="108"/>
      <c r="AJ434" s="108"/>
      <c r="AK434" s="108"/>
      <c r="AL434" s="802"/>
      <c r="AM434"/>
      <c r="AN434" s="281"/>
    </row>
    <row r="435" spans="1:49" s="4" customFormat="1" ht="12.8" customHeight="1">
      <c r="A435" s="5"/>
      <c r="B435" s="73"/>
      <c r="C435" s="738"/>
      <c r="D435" s="1"/>
      <c r="E435" s="225"/>
      <c r="F435" s="1670"/>
      <c r="G435" s="1670"/>
      <c r="H435" s="1670"/>
      <c r="I435" s="1670"/>
      <c r="J435" s="1670"/>
      <c r="K435" s="1670"/>
      <c r="L435" s="1670"/>
      <c r="M435" s="1670"/>
      <c r="N435" s="1670"/>
      <c r="O435" s="1670"/>
      <c r="P435" s="1670"/>
      <c r="Q435" s="1670"/>
      <c r="R435" s="1670"/>
      <c r="S435" s="1670"/>
      <c r="T435" s="1670"/>
      <c r="U435" s="1670"/>
      <c r="V435" s="1670"/>
      <c r="W435" s="1670"/>
      <c r="X435" s="1670"/>
      <c r="Y435" s="1670"/>
      <c r="Z435" s="1670"/>
      <c r="AA435" s="1670"/>
      <c r="AB435" s="1670"/>
      <c r="AC435" s="1670"/>
      <c r="AD435" s="1670"/>
      <c r="AE435" s="1670"/>
      <c r="AF435" s="108"/>
      <c r="AG435" s="108"/>
      <c r="AH435" s="108"/>
      <c r="AI435" s="108"/>
      <c r="AJ435" s="108"/>
      <c r="AK435" s="108"/>
      <c r="AL435" s="802"/>
      <c r="AM435"/>
      <c r="AN435" s="281"/>
      <c r="AO435" s="38"/>
      <c r="AP435" s="21"/>
    </row>
    <row r="436" spans="1:49" s="4" customFormat="1" ht="12.8" customHeight="1">
      <c r="A436" s="5"/>
      <c r="B436" s="73"/>
      <c r="C436" s="738"/>
      <c r="D436" s="1"/>
      <c r="E436" s="225"/>
      <c r="F436" s="1670"/>
      <c r="G436" s="1670"/>
      <c r="H436" s="1670"/>
      <c r="I436" s="1670"/>
      <c r="J436" s="1670"/>
      <c r="K436" s="1670"/>
      <c r="L436" s="1670"/>
      <c r="M436" s="1670"/>
      <c r="N436" s="1670"/>
      <c r="O436" s="1670"/>
      <c r="P436" s="1670"/>
      <c r="Q436" s="1670"/>
      <c r="R436" s="1670"/>
      <c r="S436" s="1670"/>
      <c r="T436" s="1670"/>
      <c r="U436" s="1670"/>
      <c r="V436" s="1670"/>
      <c r="W436" s="1670"/>
      <c r="X436" s="1670"/>
      <c r="Y436" s="1670"/>
      <c r="Z436" s="1670"/>
      <c r="AA436" s="1670"/>
      <c r="AB436" s="1670"/>
      <c r="AC436" s="1670"/>
      <c r="AD436" s="1670"/>
      <c r="AE436" s="1670"/>
      <c r="AF436" s="108"/>
      <c r="AG436" s="108"/>
      <c r="AH436" s="108"/>
      <c r="AI436" s="108"/>
      <c r="AJ436" s="108"/>
      <c r="AK436" s="108"/>
      <c r="AL436" s="802"/>
      <c r="AM436"/>
      <c r="AN436" s="281"/>
    </row>
    <row r="437" spans="1:49" s="4" customFormat="1" ht="12.8" customHeight="1">
      <c r="A437" s="5"/>
      <c r="B437" s="73"/>
      <c r="C437" s="738"/>
      <c r="D437" s="1"/>
      <c r="E437" s="225"/>
      <c r="F437" s="1670"/>
      <c r="G437" s="1670"/>
      <c r="H437" s="1670"/>
      <c r="I437" s="1670"/>
      <c r="J437" s="1670"/>
      <c r="K437" s="1670"/>
      <c r="L437" s="1670"/>
      <c r="M437" s="1670"/>
      <c r="N437" s="1670"/>
      <c r="O437" s="1670"/>
      <c r="P437" s="1670"/>
      <c r="Q437" s="1670"/>
      <c r="R437" s="1670"/>
      <c r="S437" s="1670"/>
      <c r="T437" s="1670"/>
      <c r="U437" s="1670"/>
      <c r="V437" s="1670"/>
      <c r="W437" s="1670"/>
      <c r="X437" s="1670"/>
      <c r="Y437" s="1670"/>
      <c r="Z437" s="1670"/>
      <c r="AA437" s="1670"/>
      <c r="AB437" s="1670"/>
      <c r="AC437" s="1670"/>
      <c r="AD437" s="1670"/>
      <c r="AE437" s="1670"/>
      <c r="AF437" s="108"/>
      <c r="AG437" s="108"/>
      <c r="AH437" s="108"/>
      <c r="AI437" s="108"/>
      <c r="AJ437" s="108"/>
      <c r="AK437" s="108"/>
      <c r="AL437" s="802"/>
      <c r="AM437"/>
      <c r="AN437" s="281"/>
    </row>
    <row r="438" spans="1:49" s="4" customFormat="1" ht="12.8" customHeight="1">
      <c r="A438" s="5"/>
      <c r="B438" s="73"/>
      <c r="C438" s="738"/>
      <c r="D438" s="1"/>
      <c r="E438" s="225"/>
      <c r="F438" s="1670"/>
      <c r="G438" s="1670"/>
      <c r="H438" s="1670"/>
      <c r="I438" s="1670"/>
      <c r="J438" s="1670"/>
      <c r="K438" s="1670"/>
      <c r="L438" s="1670"/>
      <c r="M438" s="1670"/>
      <c r="N438" s="1670"/>
      <c r="O438" s="1670"/>
      <c r="P438" s="1670"/>
      <c r="Q438" s="1670"/>
      <c r="R438" s="1670"/>
      <c r="S438" s="1670"/>
      <c r="T438" s="1670"/>
      <c r="U438" s="1670"/>
      <c r="V438" s="1670"/>
      <c r="W438" s="1670"/>
      <c r="X438" s="1670"/>
      <c r="Y438" s="1670"/>
      <c r="Z438" s="1670"/>
      <c r="AA438" s="1670"/>
      <c r="AB438" s="1670"/>
      <c r="AC438" s="1670"/>
      <c r="AD438" s="1670"/>
      <c r="AE438" s="1670"/>
      <c r="AF438" s="108"/>
      <c r="AG438" s="108"/>
      <c r="AH438" s="108"/>
      <c r="AI438" s="108"/>
      <c r="AJ438" s="108"/>
      <c r="AK438" s="108"/>
      <c r="AL438" s="802"/>
      <c r="AM438"/>
      <c r="AN438" s="281"/>
    </row>
    <row r="439" spans="1:49" s="4" customFormat="1" ht="12.8" customHeight="1">
      <c r="A439" s="5"/>
      <c r="B439" s="73"/>
      <c r="C439" s="738"/>
      <c r="D439" s="1"/>
      <c r="E439" s="225"/>
      <c r="F439" s="1670"/>
      <c r="G439" s="1670"/>
      <c r="H439" s="1670"/>
      <c r="I439" s="1670"/>
      <c r="J439" s="1670"/>
      <c r="K439" s="1670"/>
      <c r="L439" s="1670"/>
      <c r="M439" s="1670"/>
      <c r="N439" s="1670"/>
      <c r="O439" s="1670"/>
      <c r="P439" s="1670"/>
      <c r="Q439" s="1670"/>
      <c r="R439" s="1670"/>
      <c r="S439" s="1670"/>
      <c r="T439" s="1670"/>
      <c r="U439" s="1670"/>
      <c r="V439" s="1670"/>
      <c r="W439" s="1670"/>
      <c r="X439" s="1670"/>
      <c r="Y439" s="1670"/>
      <c r="Z439" s="1670"/>
      <c r="AA439" s="1670"/>
      <c r="AB439" s="1670"/>
      <c r="AC439" s="1670"/>
      <c r="AD439" s="1670"/>
      <c r="AE439" s="1670"/>
      <c r="AF439" s="108"/>
      <c r="AG439" s="108"/>
      <c r="AH439" s="108"/>
      <c r="AI439" s="108"/>
      <c r="AJ439" s="108"/>
      <c r="AK439" s="108"/>
      <c r="AL439" s="802"/>
      <c r="AM439"/>
      <c r="AN439" s="281"/>
    </row>
    <row r="440" spans="1:49" s="4" customFormat="1" ht="17.2" customHeight="1">
      <c r="A440" s="5"/>
      <c r="B440" s="73"/>
      <c r="C440" s="738"/>
      <c r="D440" s="1"/>
      <c r="E440" s="225"/>
      <c r="F440" s="1670"/>
      <c r="G440" s="1670"/>
      <c r="H440" s="1670"/>
      <c r="I440" s="1670"/>
      <c r="J440" s="1670"/>
      <c r="K440" s="1670"/>
      <c r="L440" s="1670"/>
      <c r="M440" s="1670"/>
      <c r="N440" s="1670"/>
      <c r="O440" s="1670"/>
      <c r="P440" s="1670"/>
      <c r="Q440" s="1670"/>
      <c r="R440" s="1670"/>
      <c r="S440" s="1670"/>
      <c r="T440" s="1670"/>
      <c r="U440" s="1670"/>
      <c r="V440" s="1670"/>
      <c r="W440" s="1670"/>
      <c r="X440" s="1670"/>
      <c r="Y440" s="1670"/>
      <c r="Z440" s="1670"/>
      <c r="AA440" s="1670"/>
      <c r="AB440" s="1670"/>
      <c r="AC440" s="1670"/>
      <c r="AD440" s="1670"/>
      <c r="AE440" s="1670"/>
      <c r="AL440" s="720"/>
      <c r="AM440"/>
      <c r="AN440" s="281"/>
    </row>
    <row r="441" spans="1:49" s="4" customFormat="1" ht="12.8" customHeight="1">
      <c r="A441" s="5"/>
      <c r="B441" s="21"/>
      <c r="C441" s="1695" t="s">
        <v>132</v>
      </c>
      <c r="D441" s="1225"/>
      <c r="E441" s="225"/>
      <c r="F441" s="20" t="s">
        <v>1872</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31" t="s">
        <v>340</v>
      </c>
      <c r="AG441" s="1731"/>
      <c r="AH441" s="1731"/>
      <c r="AI441" s="1731"/>
      <c r="AJ441" s="1731"/>
      <c r="AK441" s="1731"/>
      <c r="AL441" s="1738"/>
      <c r="AM441"/>
      <c r="AN441" s="281"/>
    </row>
    <row r="442" spans="1:49" s="4" customFormat="1" ht="12.8"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8"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8" customHeight="1">
      <c r="A444" s="5"/>
      <c r="B444" s="73"/>
      <c r="C444" s="711"/>
      <c r="D444" s="712"/>
      <c r="E444" s="713" t="s">
        <v>704</v>
      </c>
      <c r="F444" s="1709" t="s">
        <v>1874</v>
      </c>
      <c r="G444" s="1709"/>
      <c r="H444" s="1709"/>
      <c r="I444" s="1709"/>
      <c r="J444" s="1709"/>
      <c r="K444" s="1709"/>
      <c r="L444" s="1709"/>
      <c r="M444" s="1709"/>
      <c r="N444" s="1709"/>
      <c r="O444" s="1709"/>
      <c r="P444" s="1709"/>
      <c r="Q444" s="1709"/>
      <c r="R444" s="1709"/>
      <c r="S444" s="1709"/>
      <c r="T444" s="1709"/>
      <c r="U444" s="1709"/>
      <c r="V444" s="1709"/>
      <c r="W444" s="1709"/>
      <c r="X444" s="1709"/>
      <c r="Y444" s="1709"/>
      <c r="Z444" s="1709"/>
      <c r="AA444" s="1709"/>
      <c r="AB444" s="1709"/>
      <c r="AC444" s="1709"/>
      <c r="AD444" s="1709"/>
      <c r="AE444" s="1709"/>
      <c r="AF444" s="712"/>
      <c r="AG444" s="712"/>
      <c r="AH444" s="712"/>
      <c r="AI444" s="712"/>
      <c r="AJ444" s="712"/>
      <c r="AK444" s="712"/>
      <c r="AL444" s="736"/>
      <c r="AM444"/>
      <c r="AN444" s="281"/>
    </row>
    <row r="445" spans="1:49" s="4" customFormat="1" ht="12.8" customHeight="1">
      <c r="A445" s="5"/>
      <c r="B445" s="73"/>
      <c r="C445" s="738"/>
      <c r="D445" s="1"/>
      <c r="E445" s="225"/>
      <c r="F445" s="1670"/>
      <c r="G445" s="1670"/>
      <c r="H445" s="1670"/>
      <c r="I445" s="1670"/>
      <c r="J445" s="1670"/>
      <c r="K445" s="1670"/>
      <c r="L445" s="1670"/>
      <c r="M445" s="1670"/>
      <c r="N445" s="1670"/>
      <c r="O445" s="1670"/>
      <c r="P445" s="1670"/>
      <c r="Q445" s="1670"/>
      <c r="R445" s="1670"/>
      <c r="S445" s="1670"/>
      <c r="T445" s="1670"/>
      <c r="U445" s="1670"/>
      <c r="V445" s="1670"/>
      <c r="W445" s="1670"/>
      <c r="X445" s="1670"/>
      <c r="Y445" s="1670"/>
      <c r="Z445" s="1670"/>
      <c r="AA445" s="1670"/>
      <c r="AB445" s="1670"/>
      <c r="AC445" s="1670"/>
      <c r="AD445" s="1670"/>
      <c r="AE445" s="1670"/>
      <c r="AF445" s="18"/>
      <c r="AG445" s="18"/>
      <c r="AH445" s="18"/>
      <c r="AI445" s="18"/>
      <c r="AJ445" s="18"/>
      <c r="AK445" s="18"/>
      <c r="AL445" s="799"/>
      <c r="AM445"/>
      <c r="AN445" s="281"/>
    </row>
    <row r="446" spans="1:49" s="4" customFormat="1" ht="12.8" customHeight="1">
      <c r="A446" s="5"/>
      <c r="B446" s="73"/>
      <c r="C446" s="738"/>
      <c r="D446" s="1"/>
      <c r="E446" s="225"/>
      <c r="F446" s="1670"/>
      <c r="G446" s="1670"/>
      <c r="H446" s="1670"/>
      <c r="I446" s="1670"/>
      <c r="J446" s="1670"/>
      <c r="K446" s="1670"/>
      <c r="L446" s="1670"/>
      <c r="M446" s="1670"/>
      <c r="N446" s="1670"/>
      <c r="O446" s="1670"/>
      <c r="P446" s="1670"/>
      <c r="Q446" s="1670"/>
      <c r="R446" s="1670"/>
      <c r="S446" s="1670"/>
      <c r="T446" s="1670"/>
      <c r="U446" s="1670"/>
      <c r="V446" s="1670"/>
      <c r="W446" s="1670"/>
      <c r="X446" s="1670"/>
      <c r="Y446" s="1670"/>
      <c r="Z446" s="1670"/>
      <c r="AA446" s="1670"/>
      <c r="AB446" s="1670"/>
      <c r="AC446" s="1670"/>
      <c r="AD446" s="1670"/>
      <c r="AE446" s="1670"/>
      <c r="AF446" s="18"/>
      <c r="AG446" s="18"/>
      <c r="AH446" s="18"/>
      <c r="AI446" s="18"/>
      <c r="AJ446" s="18"/>
      <c r="AK446" s="18"/>
      <c r="AL446" s="799"/>
      <c r="AM446"/>
      <c r="AN446" s="281"/>
    </row>
    <row r="447" spans="1:49" s="4" customFormat="1" ht="12.8" customHeight="1">
      <c r="A447" s="5"/>
      <c r="B447" s="73"/>
      <c r="C447" s="738"/>
      <c r="D447" s="1"/>
      <c r="E447" s="225"/>
      <c r="F447" s="1670"/>
      <c r="G447" s="1670"/>
      <c r="H447" s="1670"/>
      <c r="I447" s="1670"/>
      <c r="J447" s="1670"/>
      <c r="K447" s="1670"/>
      <c r="L447" s="1670"/>
      <c r="M447" s="1670"/>
      <c r="N447" s="1670"/>
      <c r="O447" s="1670"/>
      <c r="P447" s="1670"/>
      <c r="Q447" s="1670"/>
      <c r="R447" s="1670"/>
      <c r="S447" s="1670"/>
      <c r="T447" s="1670"/>
      <c r="U447" s="1670"/>
      <c r="V447" s="1670"/>
      <c r="W447" s="1670"/>
      <c r="X447" s="1670"/>
      <c r="Y447" s="1670"/>
      <c r="Z447" s="1670"/>
      <c r="AA447" s="1670"/>
      <c r="AB447" s="1670"/>
      <c r="AC447" s="1670"/>
      <c r="AD447" s="1670"/>
      <c r="AE447" s="1670"/>
      <c r="AL447" s="720"/>
      <c r="AM447"/>
      <c r="AN447" s="281"/>
    </row>
    <row r="448" spans="1:49" s="4" customFormat="1" ht="12.8" customHeight="1">
      <c r="A448" s="5"/>
      <c r="B448" s="73"/>
      <c r="C448" s="1695" t="s">
        <v>132</v>
      </c>
      <c r="D448" s="1225"/>
      <c r="E448" s="225"/>
      <c r="F448" s="347" t="s">
        <v>1873</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31" t="s">
        <v>340</v>
      </c>
      <c r="AG448" s="1731"/>
      <c r="AH448" s="1731"/>
      <c r="AI448" s="1731"/>
      <c r="AJ448" s="1731"/>
      <c r="AK448" s="1731"/>
      <c r="AL448" s="1738"/>
      <c r="AM448"/>
      <c r="AN448" s="689"/>
      <c r="AP448" s="21"/>
      <c r="AQ448" s="166"/>
      <c r="AR448" s="166"/>
      <c r="AS448" s="166"/>
      <c r="AT448" s="166"/>
      <c r="AU448" s="166"/>
      <c r="AV448" s="166"/>
      <c r="AW448" s="166"/>
    </row>
    <row r="449" spans="1:54" s="4" customFormat="1" ht="12.8"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8" customHeight="1">
      <c r="A450" s="5"/>
      <c r="B450" s="73"/>
      <c r="C450" s="739"/>
      <c r="D450" s="740"/>
      <c r="E450" s="725"/>
      <c r="F450" s="729" t="s">
        <v>1859</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8"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8" customHeight="1">
      <c r="A452" s="5"/>
      <c r="B452" s="73"/>
      <c r="C452" s="1888" t="s">
        <v>132</v>
      </c>
      <c r="D452" s="1889"/>
      <c r="E452" s="713" t="s">
        <v>1011</v>
      </c>
      <c r="F452" s="1709" t="s">
        <v>1013</v>
      </c>
      <c r="G452" s="1709"/>
      <c r="H452" s="1709"/>
      <c r="I452" s="1709"/>
      <c r="J452" s="1709"/>
      <c r="K452" s="1709"/>
      <c r="L452" s="1709"/>
      <c r="M452" s="1709"/>
      <c r="N452" s="1709"/>
      <c r="O452" s="1709"/>
      <c r="P452" s="1709"/>
      <c r="Q452" s="1709"/>
      <c r="R452" s="1709"/>
      <c r="S452" s="1709"/>
      <c r="T452" s="1709"/>
      <c r="U452" s="1709"/>
      <c r="V452" s="1709"/>
      <c r="W452" s="1709"/>
      <c r="X452" s="1709"/>
      <c r="Y452" s="1709"/>
      <c r="Z452" s="1709"/>
      <c r="AA452" s="1709"/>
      <c r="AB452" s="1709"/>
      <c r="AC452" s="1709"/>
      <c r="AD452" s="1709"/>
      <c r="AE452" s="1709"/>
      <c r="AF452" s="1892" t="s">
        <v>340</v>
      </c>
      <c r="AG452" s="1892"/>
      <c r="AH452" s="1892"/>
      <c r="AI452" s="1892"/>
      <c r="AJ452" s="1892"/>
      <c r="AK452" s="1892"/>
      <c r="AL452" s="1893"/>
      <c r="AM452"/>
      <c r="AN452" s="689"/>
      <c r="AQ452" s="166"/>
    </row>
    <row r="453" spans="1:54" s="4" customFormat="1" ht="12.8" customHeight="1">
      <c r="A453" s="5"/>
      <c r="B453" s="73"/>
      <c r="C453" s="738"/>
      <c r="D453" s="1"/>
      <c r="E453" s="225"/>
      <c r="F453" s="1670"/>
      <c r="G453" s="1670"/>
      <c r="H453" s="1670"/>
      <c r="I453" s="1670"/>
      <c r="J453" s="1670"/>
      <c r="K453" s="1670"/>
      <c r="L453" s="1670"/>
      <c r="M453" s="1670"/>
      <c r="N453" s="1670"/>
      <c r="O453" s="1670"/>
      <c r="P453" s="1670"/>
      <c r="Q453" s="1670"/>
      <c r="R453" s="1670"/>
      <c r="S453" s="1670"/>
      <c r="T453" s="1670"/>
      <c r="U453" s="1670"/>
      <c r="V453" s="1670"/>
      <c r="W453" s="1670"/>
      <c r="X453" s="1670"/>
      <c r="Y453" s="1670"/>
      <c r="Z453" s="1670"/>
      <c r="AA453" s="1670"/>
      <c r="AB453" s="1670"/>
      <c r="AC453" s="1670"/>
      <c r="AD453" s="1670"/>
      <c r="AE453" s="1670"/>
      <c r="AF453" s="18"/>
      <c r="AG453" s="18"/>
      <c r="AH453" s="18"/>
      <c r="AI453" s="18"/>
      <c r="AJ453" s="18"/>
      <c r="AK453" s="18"/>
      <c r="AL453" s="799"/>
      <c r="AM453"/>
      <c r="AN453" s="690"/>
      <c r="AO453" s="4" t="s">
        <v>132</v>
      </c>
      <c r="AP453" s="4">
        <v>0</v>
      </c>
      <c r="AQ453" s="166"/>
    </row>
    <row r="454" spans="1:54" s="4" customFormat="1" ht="21.8" customHeight="1">
      <c r="A454" s="5"/>
      <c r="B454" s="73"/>
      <c r="C454" s="715"/>
      <c r="D454" s="716"/>
      <c r="E454" s="717"/>
      <c r="F454" s="1704"/>
      <c r="G454" s="1704"/>
      <c r="H454" s="1704"/>
      <c r="I454" s="1704"/>
      <c r="J454" s="1704"/>
      <c r="K454" s="1704"/>
      <c r="L454" s="1704"/>
      <c r="M454" s="1704"/>
      <c r="N454" s="1704"/>
      <c r="O454" s="1704"/>
      <c r="P454" s="1704"/>
      <c r="Q454" s="1704"/>
      <c r="R454" s="1704"/>
      <c r="S454" s="1704"/>
      <c r="T454" s="1704"/>
      <c r="U454" s="1704"/>
      <c r="V454" s="1704"/>
      <c r="W454" s="1704"/>
      <c r="X454" s="1704"/>
      <c r="Y454" s="1704"/>
      <c r="Z454" s="1704"/>
      <c r="AA454" s="1704"/>
      <c r="AB454" s="1704"/>
      <c r="AC454" s="1704"/>
      <c r="AD454" s="1704"/>
      <c r="AE454" s="1704"/>
      <c r="AF454" s="800"/>
      <c r="AG454" s="800"/>
      <c r="AH454" s="800"/>
      <c r="AI454" s="800"/>
      <c r="AJ454" s="800"/>
      <c r="AK454" s="800"/>
      <c r="AL454" s="801"/>
      <c r="AM454"/>
      <c r="AN454" s="685"/>
      <c r="AO454" s="4" t="s">
        <v>1014</v>
      </c>
      <c r="AP454" s="4">
        <v>5</v>
      </c>
      <c r="AQ454" s="166"/>
    </row>
    <row r="455" spans="1:54" s="4" customFormat="1" ht="12.8"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1015</v>
      </c>
      <c r="AP455" s="4">
        <v>5</v>
      </c>
      <c r="AQ455" s="166"/>
    </row>
    <row r="456" spans="1:54" s="4" customFormat="1" ht="12.8" customHeight="1">
      <c r="A456" s="5"/>
      <c r="B456" s="21"/>
      <c r="C456" s="1888" t="s">
        <v>132</v>
      </c>
      <c r="D456" s="1889"/>
      <c r="E456" s="713" t="s">
        <v>1012</v>
      </c>
      <c r="F456" s="1709" t="s">
        <v>1911</v>
      </c>
      <c r="G456" s="1709"/>
      <c r="H456" s="1709"/>
      <c r="I456" s="1709"/>
      <c r="J456" s="1709"/>
      <c r="K456" s="1709"/>
      <c r="L456" s="1709"/>
      <c r="M456" s="1709"/>
      <c r="N456" s="1709"/>
      <c r="O456" s="1709"/>
      <c r="P456" s="1709"/>
      <c r="Q456" s="1709"/>
      <c r="R456" s="1709"/>
      <c r="S456" s="1709"/>
      <c r="T456" s="1709"/>
      <c r="U456" s="1709"/>
      <c r="V456" s="1709"/>
      <c r="W456" s="1709"/>
      <c r="X456" s="1709"/>
      <c r="Y456" s="1709"/>
      <c r="Z456" s="1709"/>
      <c r="AA456" s="1709"/>
      <c r="AB456" s="1709"/>
      <c r="AC456" s="1709"/>
      <c r="AD456" s="1709"/>
      <c r="AE456" s="1709"/>
      <c r="AF456" s="1892" t="s">
        <v>340</v>
      </c>
      <c r="AG456" s="1892"/>
      <c r="AH456" s="1892"/>
      <c r="AI456" s="1892"/>
      <c r="AJ456" s="1892"/>
      <c r="AK456" s="1892"/>
      <c r="AL456" s="1893"/>
      <c r="AM456"/>
      <c r="AN456" s="685"/>
      <c r="AO456" s="4" t="s">
        <v>1388</v>
      </c>
      <c r="AP456" s="4">
        <v>5</v>
      </c>
      <c r="AQ456" s="5"/>
    </row>
    <row r="457" spans="1:54" s="4" customFormat="1" ht="12.8" customHeight="1">
      <c r="A457" s="5"/>
      <c r="B457" s="21"/>
      <c r="C457" s="719"/>
      <c r="D457" s="21"/>
      <c r="E457" s="194"/>
      <c r="F457" s="1670"/>
      <c r="G457" s="1670"/>
      <c r="H457" s="1670"/>
      <c r="I457" s="1670"/>
      <c r="J457" s="1670"/>
      <c r="K457" s="1670"/>
      <c r="L457" s="1670"/>
      <c r="M457" s="1670"/>
      <c r="N457" s="1670"/>
      <c r="O457" s="1670"/>
      <c r="P457" s="1670"/>
      <c r="Q457" s="1670"/>
      <c r="R457" s="1670"/>
      <c r="S457" s="1670"/>
      <c r="T457" s="1670"/>
      <c r="U457" s="1670"/>
      <c r="V457" s="1670"/>
      <c r="W457" s="1670"/>
      <c r="X457" s="1670"/>
      <c r="Y457" s="1670"/>
      <c r="Z457" s="1670"/>
      <c r="AA457" s="1670"/>
      <c r="AB457" s="1670"/>
      <c r="AC457" s="1670"/>
      <c r="AD457" s="1670"/>
      <c r="AE457" s="1670"/>
      <c r="AF457" s="3"/>
      <c r="AG457" s="5"/>
      <c r="AL457" s="720"/>
      <c r="AM457"/>
      <c r="AN457" s="685"/>
      <c r="AO457" s="4" t="s">
        <v>1384</v>
      </c>
      <c r="AP457" s="4">
        <v>5</v>
      </c>
    </row>
    <row r="458" spans="1:54" s="4" customFormat="1" ht="12.8" customHeight="1">
      <c r="A458" s="5"/>
      <c r="B458" s="21"/>
      <c r="C458" s="719"/>
      <c r="D458" s="21"/>
      <c r="E458" s="194"/>
      <c r="F458" s="1670"/>
      <c r="G458" s="1670"/>
      <c r="H458" s="1670"/>
      <c r="I458" s="1670"/>
      <c r="J458" s="1670"/>
      <c r="K458" s="1670"/>
      <c r="L458" s="1670"/>
      <c r="M458" s="1670"/>
      <c r="N458" s="1670"/>
      <c r="O458" s="1670"/>
      <c r="P458" s="1670"/>
      <c r="Q458" s="1670"/>
      <c r="R458" s="1670"/>
      <c r="S458" s="1670"/>
      <c r="T458" s="1670"/>
      <c r="U458" s="1670"/>
      <c r="V458" s="1670"/>
      <c r="W458" s="1670"/>
      <c r="X458" s="1670"/>
      <c r="Y458" s="1670"/>
      <c r="Z458" s="1670"/>
      <c r="AA458" s="1670"/>
      <c r="AB458" s="1670"/>
      <c r="AC458" s="1670"/>
      <c r="AD458" s="1670"/>
      <c r="AE458" s="1670"/>
      <c r="AF458" s="3"/>
      <c r="AG458" s="5"/>
      <c r="AL458" s="720"/>
      <c r="AM458"/>
      <c r="AN458" s="685"/>
      <c r="AO458" s="4" t="s">
        <v>1385</v>
      </c>
      <c r="AP458" s="4">
        <v>5</v>
      </c>
    </row>
    <row r="459" spans="1:54" s="4" customFormat="1" ht="4.75" customHeight="1">
      <c r="A459" s="5"/>
      <c r="B459" s="73"/>
      <c r="C459" s="715"/>
      <c r="D459" s="716"/>
      <c r="E459" s="717"/>
      <c r="F459" s="1704"/>
      <c r="G459" s="1704"/>
      <c r="H459" s="1704"/>
      <c r="I459" s="1704"/>
      <c r="J459" s="1704"/>
      <c r="K459" s="1704"/>
      <c r="L459" s="1704"/>
      <c r="M459" s="1704"/>
      <c r="N459" s="1704"/>
      <c r="O459" s="1704"/>
      <c r="P459" s="1704"/>
      <c r="Q459" s="1704"/>
      <c r="R459" s="1704"/>
      <c r="S459" s="1704"/>
      <c r="T459" s="1704"/>
      <c r="U459" s="1704"/>
      <c r="V459" s="1704"/>
      <c r="W459" s="1704"/>
      <c r="X459" s="1704"/>
      <c r="Y459" s="1704"/>
      <c r="Z459" s="1704"/>
      <c r="AA459" s="1704"/>
      <c r="AB459" s="1704"/>
      <c r="AC459" s="1704"/>
      <c r="AD459" s="1704"/>
      <c r="AE459" s="1704"/>
      <c r="AF459" s="800"/>
      <c r="AG459" s="800"/>
      <c r="AH459" s="800"/>
      <c r="AI459" s="800"/>
      <c r="AJ459" s="800"/>
      <c r="AK459" s="800"/>
      <c r="AL459" s="801"/>
      <c r="AM459"/>
      <c r="AN459" s="281"/>
      <c r="AO459" s="4" t="s">
        <v>1386</v>
      </c>
      <c r="AP459" s="4">
        <v>5</v>
      </c>
    </row>
    <row r="460" spans="1:54" s="4" customFormat="1" ht="12.8"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1272</v>
      </c>
      <c r="AP460" s="4">
        <v>5</v>
      </c>
    </row>
    <row r="461" spans="1:54" s="4" customFormat="1" ht="12.8" customHeight="1">
      <c r="A461" s="5"/>
      <c r="B461" s="21"/>
      <c r="C461" s="711"/>
      <c r="D461" s="712"/>
      <c r="E461" s="713" t="s">
        <v>1010</v>
      </c>
      <c r="F461" s="1709" t="s">
        <v>1912</v>
      </c>
      <c r="G461" s="1709"/>
      <c r="H461" s="1709"/>
      <c r="I461" s="1709"/>
      <c r="J461" s="1709"/>
      <c r="K461" s="1709"/>
      <c r="L461" s="1709"/>
      <c r="M461" s="1709"/>
      <c r="N461" s="1709"/>
      <c r="O461" s="1709"/>
      <c r="P461" s="1709"/>
      <c r="Q461" s="1709"/>
      <c r="R461" s="1709"/>
      <c r="S461" s="1709"/>
      <c r="T461" s="1709"/>
      <c r="U461" s="1709"/>
      <c r="V461" s="1709"/>
      <c r="W461" s="1709"/>
      <c r="X461" s="1709"/>
      <c r="Y461" s="1709"/>
      <c r="Z461" s="1709"/>
      <c r="AA461" s="1709"/>
      <c r="AB461" s="1709"/>
      <c r="AC461" s="1709"/>
      <c r="AD461" s="1709"/>
      <c r="AE461" s="1709"/>
      <c r="AF461" s="1709"/>
      <c r="AG461" s="806"/>
      <c r="AH461" s="712"/>
      <c r="AI461" s="712"/>
      <c r="AJ461" s="712"/>
      <c r="AK461" s="712"/>
      <c r="AL461" s="736"/>
      <c r="AM461"/>
      <c r="AN461" s="281"/>
      <c r="AO461" s="4" t="s">
        <v>1387</v>
      </c>
      <c r="AP461" s="4">
        <v>1</v>
      </c>
    </row>
    <row r="462" spans="1:54" s="4" customFormat="1" ht="12.8" customHeight="1">
      <c r="A462" s="5"/>
      <c r="B462" s="21"/>
      <c r="C462" s="719"/>
      <c r="D462" s="21"/>
      <c r="E462" s="194"/>
      <c r="F462" s="1670"/>
      <c r="G462" s="1670"/>
      <c r="H462" s="1670"/>
      <c r="I462" s="1670"/>
      <c r="J462" s="1670"/>
      <c r="K462" s="1670"/>
      <c r="L462" s="1670"/>
      <c r="M462" s="1670"/>
      <c r="N462" s="1670"/>
      <c r="O462" s="1670"/>
      <c r="P462" s="1670"/>
      <c r="Q462" s="1670"/>
      <c r="R462" s="1670"/>
      <c r="S462" s="1670"/>
      <c r="T462" s="1670"/>
      <c r="U462" s="1670"/>
      <c r="V462" s="1670"/>
      <c r="W462" s="1670"/>
      <c r="X462" s="1670"/>
      <c r="Y462" s="1670"/>
      <c r="Z462" s="1670"/>
      <c r="AA462" s="1670"/>
      <c r="AB462" s="1670"/>
      <c r="AC462" s="1670"/>
      <c r="AD462" s="1670"/>
      <c r="AE462" s="1670"/>
      <c r="AF462" s="1670"/>
      <c r="AL462" s="720"/>
      <c r="AM462"/>
      <c r="AN462" s="281"/>
      <c r="AS462" s="346"/>
      <c r="AW462" s="346" t="s">
        <v>1019</v>
      </c>
      <c r="BA462" s="346" t="s">
        <v>1020</v>
      </c>
    </row>
    <row r="463" spans="1:54" s="4" customFormat="1" ht="12.8" customHeight="1">
      <c r="A463" s="5"/>
      <c r="B463" s="21"/>
      <c r="C463" s="722"/>
      <c r="F463" s="1670"/>
      <c r="G463" s="1670"/>
      <c r="H463" s="1670"/>
      <c r="I463" s="1670"/>
      <c r="J463" s="1670"/>
      <c r="K463" s="1670"/>
      <c r="L463" s="1670"/>
      <c r="M463" s="1670"/>
      <c r="N463" s="1670"/>
      <c r="O463" s="1670"/>
      <c r="P463" s="1670"/>
      <c r="Q463" s="1670"/>
      <c r="R463" s="1670"/>
      <c r="S463" s="1670"/>
      <c r="T463" s="1670"/>
      <c r="U463" s="1670"/>
      <c r="V463" s="1670"/>
      <c r="W463" s="1670"/>
      <c r="X463" s="1670"/>
      <c r="Y463" s="1670"/>
      <c r="Z463" s="1670"/>
      <c r="AA463" s="1670"/>
      <c r="AB463" s="1670"/>
      <c r="AC463" s="1670"/>
      <c r="AD463" s="1670"/>
      <c r="AE463" s="1670"/>
      <c r="AF463" s="1670"/>
      <c r="AL463" s="720"/>
      <c r="AM463"/>
      <c r="AN463" s="281"/>
      <c r="AO463" s="4" t="s">
        <v>132</v>
      </c>
      <c r="AP463" s="35">
        <v>0</v>
      </c>
      <c r="AR463" s="4" t="s">
        <v>132</v>
      </c>
      <c r="AS463" s="35">
        <v>0</v>
      </c>
      <c r="AT463" s="29"/>
      <c r="AW463" s="4" t="s">
        <v>132</v>
      </c>
      <c r="AX463" s="29">
        <v>0</v>
      </c>
      <c r="BA463" s="4" t="s">
        <v>132</v>
      </c>
      <c r="BB463" s="29">
        <v>0</v>
      </c>
    </row>
    <row r="464" spans="1:54" s="4" customFormat="1" ht="6.05" customHeight="1">
      <c r="A464" s="5"/>
      <c r="B464" s="21"/>
      <c r="C464" s="722"/>
      <c r="F464" s="1670"/>
      <c r="G464" s="1670"/>
      <c r="H464" s="1670"/>
      <c r="I464" s="1670"/>
      <c r="J464" s="1670"/>
      <c r="K464" s="1670"/>
      <c r="L464" s="1670"/>
      <c r="M464" s="1670"/>
      <c r="N464" s="1670"/>
      <c r="O464" s="1670"/>
      <c r="P464" s="1670"/>
      <c r="Q464" s="1670"/>
      <c r="R464" s="1670"/>
      <c r="S464" s="1670"/>
      <c r="T464" s="1670"/>
      <c r="U464" s="1670"/>
      <c r="V464" s="1670"/>
      <c r="W464" s="1670"/>
      <c r="X464" s="1670"/>
      <c r="Y464" s="1670"/>
      <c r="Z464" s="1670"/>
      <c r="AA464" s="1670"/>
      <c r="AB464" s="1670"/>
      <c r="AC464" s="1670"/>
      <c r="AD464" s="1670"/>
      <c r="AE464" s="1670"/>
      <c r="AF464" s="1670"/>
      <c r="AL464" s="720"/>
      <c r="AM464"/>
      <c r="AN464" s="281"/>
      <c r="AO464" s="349">
        <v>7.0000000000000007E-2</v>
      </c>
      <c r="AP464" s="35">
        <v>3</v>
      </c>
      <c r="AR464" s="4" t="s">
        <v>2008</v>
      </c>
      <c r="AS464" s="35">
        <v>3</v>
      </c>
      <c r="AT464" s="29"/>
      <c r="AW464" s="349">
        <v>0.4</v>
      </c>
      <c r="AX464" s="29">
        <v>3</v>
      </c>
      <c r="BA464" s="349">
        <v>0.4</v>
      </c>
      <c r="BB464" s="29">
        <v>4</v>
      </c>
    </row>
    <row r="465" spans="1:54" s="4" customFormat="1" ht="12.8" customHeight="1">
      <c r="A465" s="5"/>
      <c r="B465" s="21"/>
      <c r="C465" s="1695" t="s">
        <v>132</v>
      </c>
      <c r="D465" s="1225"/>
      <c r="E465" s="225"/>
      <c r="F465" s="347" t="s">
        <v>1866</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42" t="s">
        <v>340</v>
      </c>
      <c r="AG465" s="1642"/>
      <c r="AH465" s="1642"/>
      <c r="AI465" s="1642"/>
      <c r="AJ465" s="1642"/>
      <c r="AK465" s="1642"/>
      <c r="AL465" s="1694"/>
      <c r="AM465"/>
      <c r="AN465" s="281"/>
      <c r="AO465" s="349">
        <v>0.12</v>
      </c>
      <c r="AP465" s="35">
        <v>5</v>
      </c>
      <c r="AR465" s="4" t="s">
        <v>2009</v>
      </c>
      <c r="AS465" s="35">
        <v>5</v>
      </c>
      <c r="AT465" s="29"/>
      <c r="AW465" s="349">
        <v>0.6</v>
      </c>
      <c r="AX465" s="29">
        <v>4</v>
      </c>
      <c r="BA465" s="349">
        <v>0.6</v>
      </c>
      <c r="BB465" s="29">
        <v>5</v>
      </c>
    </row>
    <row r="466" spans="1:54" s="4" customFormat="1" ht="12.8"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8"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8"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8"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8"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8" customHeight="1">
      <c r="A471" s="72"/>
      <c r="B471" s="635" t="s">
        <v>1930</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35">
        <f>IF(AS354=0,AS352,AS354)</f>
        <v>10</v>
      </c>
      <c r="AL471" s="1236"/>
      <c r="AM471" s="1237"/>
      <c r="AN471" s="281"/>
    </row>
    <row r="472" spans="1:54" s="4" customFormat="1" ht="12.8"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8"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8" hidden="1" customHeight="1">
      <c r="A474" s="3" t="s">
        <v>1532</v>
      </c>
      <c r="C474" s="3"/>
      <c r="E474" s="20"/>
      <c r="AE474" s="1642" t="s">
        <v>1310</v>
      </c>
      <c r="AF474" s="1642"/>
      <c r="AG474" s="1642"/>
      <c r="AH474" s="1642"/>
      <c r="AI474" s="1642"/>
      <c r="AJ474" s="1642"/>
      <c r="AK474" s="1642"/>
      <c r="AL474" s="18"/>
      <c r="AN474" s="281"/>
      <c r="AO474" s="4" t="s">
        <v>1014</v>
      </c>
      <c r="AP474" s="4">
        <v>5</v>
      </c>
    </row>
    <row r="475" spans="1:54" s="4" customFormat="1" ht="12.8" hidden="1" customHeight="1">
      <c r="A475" s="3"/>
      <c r="B475" s="5" t="s">
        <v>1563</v>
      </c>
      <c r="C475" s="3"/>
      <c r="E475" s="20"/>
      <c r="AE475" s="18"/>
      <c r="AF475" s="18"/>
      <c r="AG475" s="18"/>
      <c r="AH475" s="18"/>
      <c r="AI475" s="18"/>
      <c r="AJ475" s="18"/>
      <c r="AK475" s="18"/>
      <c r="AL475" s="18"/>
      <c r="AN475" s="281"/>
      <c r="AO475" s="4" t="s">
        <v>1205</v>
      </c>
      <c r="AP475" s="4">
        <v>5</v>
      </c>
    </row>
    <row r="476" spans="1:54" s="4" customFormat="1" ht="12.8" hidden="1" customHeight="1">
      <c r="A476" s="3"/>
      <c r="B476" s="3" t="s">
        <v>1060</v>
      </c>
      <c r="C476" s="3"/>
      <c r="E476" s="20"/>
      <c r="AE476" s="18"/>
      <c r="AF476" s="18"/>
      <c r="AG476" s="18"/>
      <c r="AH476" s="18"/>
      <c r="AI476" s="18"/>
      <c r="AJ476" s="18"/>
      <c r="AK476" s="18"/>
      <c r="AL476" s="18"/>
      <c r="AN476" s="281"/>
      <c r="AO476" s="4" t="s">
        <v>1388</v>
      </c>
      <c r="AP476" s="4">
        <v>5</v>
      </c>
      <c r="AQ476" s="3"/>
      <c r="AR476" s="3"/>
      <c r="AS476" s="346"/>
      <c r="AW476" s="346"/>
    </row>
    <row r="477" spans="1:54" s="4" customFormat="1" ht="12.8" hidden="1" customHeight="1">
      <c r="A477" s="3"/>
      <c r="B477" s="3" t="s">
        <v>1024</v>
      </c>
      <c r="C477" s="3"/>
      <c r="E477" s="20"/>
      <c r="AE477" s="18"/>
      <c r="AF477" s="18"/>
      <c r="AG477" s="18"/>
      <c r="AH477" s="18"/>
      <c r="AI477" s="18"/>
      <c r="AJ477" s="18"/>
      <c r="AK477" s="18"/>
      <c r="AL477" s="18"/>
      <c r="AN477" s="281"/>
      <c r="AO477" s="4" t="s">
        <v>1384</v>
      </c>
      <c r="AP477" s="4">
        <v>5</v>
      </c>
      <c r="AQ477" s="3"/>
      <c r="AR477" s="3"/>
      <c r="AW477" s="120"/>
    </row>
    <row r="478" spans="1:54" s="4" customFormat="1" ht="12.8" hidden="1" customHeight="1">
      <c r="A478" s="3"/>
      <c r="C478" s="3"/>
      <c r="E478" s="20"/>
      <c r="AE478" s="18"/>
      <c r="AF478" s="18"/>
      <c r="AG478" s="18"/>
      <c r="AH478" s="18"/>
      <c r="AI478" s="18"/>
      <c r="AJ478" s="18"/>
      <c r="AK478" s="18"/>
      <c r="AL478" s="18"/>
      <c r="AN478" s="281"/>
      <c r="AO478" s="4" t="s">
        <v>1385</v>
      </c>
      <c r="AP478" s="4">
        <v>5</v>
      </c>
      <c r="AQ478" s="3"/>
      <c r="AR478" s="3"/>
      <c r="AW478" s="120"/>
    </row>
    <row r="479" spans="1:54" s="4" customFormat="1" ht="12.8" hidden="1" customHeight="1">
      <c r="A479" s="3"/>
      <c r="C479" s="182" t="s">
        <v>1533</v>
      </c>
      <c r="D479"/>
      <c r="AE479" s="18"/>
      <c r="AF479" s="18"/>
      <c r="AG479" s="20"/>
      <c r="AH479" s="20"/>
      <c r="AI479" s="20"/>
      <c r="AJ479" s="20"/>
      <c r="AK479" s="20"/>
      <c r="AL479" s="20"/>
      <c r="AN479" s="281"/>
      <c r="AO479" s="4" t="s">
        <v>1386</v>
      </c>
      <c r="AP479" s="4">
        <v>5</v>
      </c>
      <c r="AW479" s="120"/>
    </row>
    <row r="480" spans="1:54" s="4" customFormat="1" ht="12.8" hidden="1" customHeight="1">
      <c r="A480" s="3"/>
      <c r="C480" s="1698" t="s">
        <v>132</v>
      </c>
      <c r="D480" s="1699"/>
      <c r="E480" s="764" t="s">
        <v>206</v>
      </c>
      <c r="F480" s="1890" t="s">
        <v>1016</v>
      </c>
      <c r="G480" s="1890"/>
      <c r="H480" s="1890"/>
      <c r="I480" s="1890"/>
      <c r="J480" s="1890"/>
      <c r="K480" s="1890"/>
      <c r="L480" s="1890"/>
      <c r="M480" s="1890"/>
      <c r="N480" s="1890"/>
      <c r="O480" s="1890"/>
      <c r="P480" s="1890"/>
      <c r="Q480" s="1890"/>
      <c r="R480" s="1890"/>
      <c r="S480" s="1890"/>
      <c r="T480" s="1890"/>
      <c r="U480" s="1890"/>
      <c r="V480" s="1890"/>
      <c r="W480" s="1890"/>
      <c r="X480" s="1890"/>
      <c r="Y480" s="1890"/>
      <c r="Z480" s="1890"/>
      <c r="AA480" s="1890"/>
      <c r="AB480" s="1890"/>
      <c r="AC480" s="1890"/>
      <c r="AD480" s="1890"/>
      <c r="AE480" s="1890"/>
      <c r="AF480" s="712"/>
      <c r="AG480" s="712"/>
      <c r="AH480" s="712"/>
      <c r="AI480" s="712"/>
      <c r="AJ480" s="712"/>
      <c r="AK480" s="736"/>
      <c r="AN480" s="281"/>
      <c r="AO480" s="4" t="s">
        <v>2010</v>
      </c>
      <c r="AP480" s="4">
        <v>5</v>
      </c>
      <c r="AS480" s="349"/>
      <c r="AT480" s="29"/>
      <c r="AW480" s="120"/>
      <c r="AX480" s="35"/>
    </row>
    <row r="481" spans="1:49" s="4" customFormat="1" ht="12.8" hidden="1" customHeight="1">
      <c r="C481" s="741"/>
      <c r="E481" s="143"/>
      <c r="F481" s="1891"/>
      <c r="G481" s="1891"/>
      <c r="H481" s="1891"/>
      <c r="I481" s="1891"/>
      <c r="J481" s="1891"/>
      <c r="K481" s="1891"/>
      <c r="L481" s="1891"/>
      <c r="M481" s="1891"/>
      <c r="N481" s="1891"/>
      <c r="O481" s="1891"/>
      <c r="P481" s="1891"/>
      <c r="Q481" s="1891"/>
      <c r="R481" s="1891"/>
      <c r="S481" s="1891"/>
      <c r="T481" s="1891"/>
      <c r="U481" s="1891"/>
      <c r="V481" s="1891"/>
      <c r="W481" s="1891"/>
      <c r="X481" s="1891"/>
      <c r="Y481" s="1891"/>
      <c r="Z481" s="1891"/>
      <c r="AA481" s="1891"/>
      <c r="AB481" s="1891"/>
      <c r="AC481" s="1891"/>
      <c r="AD481" s="1891"/>
      <c r="AE481" s="1891"/>
      <c r="AG481" s="19"/>
      <c r="AH481" s="19"/>
      <c r="AI481" s="19"/>
      <c r="AJ481" s="19"/>
      <c r="AK481" s="720"/>
      <c r="AN481" s="281"/>
      <c r="AO481" s="4" t="s">
        <v>1387</v>
      </c>
      <c r="AP481" s="4">
        <v>1</v>
      </c>
    </row>
    <row r="482" spans="1:49" s="4" customFormat="1" ht="12.8" hidden="1" customHeight="1">
      <c r="C482" s="742"/>
      <c r="D482" s="729"/>
      <c r="E482" s="743"/>
      <c r="F482" s="1831" t="s">
        <v>132</v>
      </c>
      <c r="G482" s="1831"/>
      <c r="H482" s="1831"/>
      <c r="I482" s="1831"/>
      <c r="J482" s="1831"/>
      <c r="K482" s="1831"/>
      <c r="L482" s="1831"/>
      <c r="M482" s="1831"/>
      <c r="N482" s="1831"/>
      <c r="O482" s="1831"/>
      <c r="P482" s="1831"/>
      <c r="Q482" s="1831"/>
      <c r="R482" s="1831"/>
      <c r="S482" s="1831"/>
      <c r="T482" s="1831"/>
      <c r="U482" s="1831"/>
      <c r="V482" s="1831"/>
      <c r="W482" s="1831"/>
      <c r="X482" s="1831"/>
      <c r="Y482" s="1831"/>
      <c r="Z482" s="1831"/>
      <c r="AA482" s="744"/>
      <c r="AB482" s="745"/>
      <c r="AC482" s="745"/>
      <c r="AD482" s="729"/>
      <c r="AE482" s="729"/>
      <c r="AF482" s="729"/>
      <c r="AG482" s="746">
        <f>IF($C$480="Yes",(VLOOKUP($F$482,$AO$453:$AP$461,2,FALSE)),0)</f>
        <v>0</v>
      </c>
      <c r="AH482" s="747" t="s">
        <v>1018</v>
      </c>
      <c r="AI482" s="746"/>
      <c r="AJ482" s="746"/>
      <c r="AK482" s="730"/>
      <c r="AN482" s="281"/>
      <c r="AS482" s="346"/>
      <c r="AW482" s="346"/>
    </row>
    <row r="483" spans="1:49" s="4" customFormat="1" ht="12.8"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8" hidden="1" customHeight="1">
      <c r="C484" s="1888" t="s">
        <v>116</v>
      </c>
      <c r="D484" s="1889"/>
      <c r="E484" s="764" t="s">
        <v>321</v>
      </c>
      <c r="F484" s="748" t="s">
        <v>1392</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8" hidden="1" customHeight="1">
      <c r="C485" s="750" t="s">
        <v>1273</v>
      </c>
      <c r="F485" s="252" t="s">
        <v>1564</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8" hidden="1" customHeight="1">
      <c r="C486" s="738"/>
      <c r="D486" s="1"/>
      <c r="E486" s="189"/>
      <c r="F486" s="252" t="s">
        <v>2020</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8" hidden="1" customHeight="1">
      <c r="A487" s="35"/>
      <c r="B487" s="4"/>
      <c r="C487" s="741"/>
      <c r="D487" s="4"/>
      <c r="E487" s="143"/>
      <c r="F487" s="751" t="s">
        <v>1017</v>
      </c>
      <c r="G487" s="4"/>
      <c r="H487" s="4"/>
      <c r="I487" s="252"/>
      <c r="J487" s="252"/>
      <c r="K487" s="252"/>
      <c r="L487" s="252"/>
      <c r="M487" s="252"/>
      <c r="N487" s="252"/>
      <c r="O487" s="252"/>
      <c r="P487" s="252"/>
      <c r="Q487" s="252"/>
      <c r="R487" s="252"/>
      <c r="S487" s="252"/>
      <c r="T487" s="252"/>
      <c r="U487" s="252"/>
      <c r="V487" s="1706" t="s">
        <v>132</v>
      </c>
      <c r="W487" s="1706"/>
      <c r="X487" s="1706"/>
      <c r="Y487" s="252"/>
      <c r="Z487" s="252"/>
      <c r="AA487" s="252"/>
      <c r="AB487" s="252"/>
      <c r="AC487" s="252"/>
      <c r="AD487" s="90"/>
      <c r="AE487" s="90"/>
      <c r="AF487" s="90"/>
      <c r="AG487" s="104">
        <f>IF(AND($C$484="Yes",$V$489="N/A",$V$494="N/A",$V$498="N/A",$V$500="N/A"),(VLOOKUP(V487,$AR$463:$AS$465,2,FALSE)),0)</f>
        <v>0</v>
      </c>
      <c r="AH487" s="128" t="s">
        <v>1018</v>
      </c>
      <c r="AI487" s="19"/>
      <c r="AJ487" s="19"/>
      <c r="AK487" s="720"/>
      <c r="AL487" s="4"/>
      <c r="AM487" s="4"/>
      <c r="AN487" s="281"/>
    </row>
    <row r="488" spans="1:49" s="20" customFormat="1" ht="12.8"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8" hidden="1" customHeight="1">
      <c r="A489" s="35"/>
      <c r="B489" s="4"/>
      <c r="C489" s="741"/>
      <c r="D489" s="4"/>
      <c r="E489" s="143"/>
      <c r="F489" s="751" t="s">
        <v>2024</v>
      </c>
      <c r="G489" s="4"/>
      <c r="H489" s="4"/>
      <c r="I489" s="252"/>
      <c r="J489" s="252"/>
      <c r="K489" s="252"/>
      <c r="L489" s="252"/>
      <c r="M489" s="252"/>
      <c r="N489" s="252"/>
      <c r="O489" s="252"/>
      <c r="P489" s="252"/>
      <c r="Q489" s="252"/>
      <c r="R489" s="252"/>
      <c r="S489" s="252"/>
      <c r="T489" s="252"/>
      <c r="U489" s="252"/>
      <c r="V489" s="1706" t="s">
        <v>132</v>
      </c>
      <c r="W489" s="1706"/>
      <c r="X489" s="1706"/>
      <c r="Y489" s="252"/>
      <c r="Z489" s="252"/>
      <c r="AA489" s="252"/>
      <c r="AB489" s="252"/>
      <c r="AC489" s="252"/>
      <c r="AD489" s="90"/>
      <c r="AE489" s="90"/>
      <c r="AF489" s="90"/>
      <c r="AG489" s="104">
        <f>IF(AND($C$484="Yes",$V$487="N/A", $V$494="N/A",$V$498="N/A",$V$500="N/A"),(VLOOKUP(V489,$AO$463:$AP$465,2,FALSE)),0)</f>
        <v>0</v>
      </c>
      <c r="AH489" s="128" t="s">
        <v>1018</v>
      </c>
      <c r="AI489" s="19"/>
      <c r="AJ489" s="19"/>
      <c r="AK489" s="720"/>
      <c r="AL489" s="4"/>
      <c r="AM489" s="4"/>
      <c r="AN489" s="281"/>
    </row>
    <row r="490" spans="1:49" s="4" customFormat="1" ht="12.8"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8" hidden="1" customHeight="1">
      <c r="C491" s="741"/>
      <c r="E491" s="143"/>
      <c r="F491" s="254" t="s">
        <v>1391</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1394</v>
      </c>
      <c r="AP491" s="35">
        <v>2</v>
      </c>
    </row>
    <row r="492" spans="1:49" s="4" customFormat="1" ht="12.8" hidden="1" customHeight="1">
      <c r="C492" s="741"/>
      <c r="F492" s="90" t="s">
        <v>2006</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1025</v>
      </c>
      <c r="AP492" s="4">
        <v>2</v>
      </c>
    </row>
    <row r="493" spans="1:49" s="20" customFormat="1" ht="12.8" hidden="1" customHeight="1">
      <c r="A493" s="4"/>
      <c r="B493" s="4"/>
      <c r="C493" s="722"/>
      <c r="D493"/>
      <c r="E493"/>
      <c r="F493" s="90" t="s">
        <v>2007</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1026</v>
      </c>
      <c r="AP493" s="4">
        <v>2</v>
      </c>
    </row>
    <row r="494" spans="1:49" s="4" customFormat="1" ht="12.8" hidden="1" customHeight="1">
      <c r="C494" s="752"/>
      <c r="F494" s="751" t="s">
        <v>1393</v>
      </c>
      <c r="M494" s="143"/>
      <c r="N494" s="143"/>
      <c r="O494" s="143"/>
      <c r="P494" s="143"/>
      <c r="Q494" s="19"/>
      <c r="R494" s="19"/>
      <c r="S494" s="19"/>
      <c r="T494" s="19"/>
      <c r="U494" s="19"/>
      <c r="V494" s="1706" t="s">
        <v>132</v>
      </c>
      <c r="W494" s="1706"/>
      <c r="X494" s="1706"/>
      <c r="Y494" s="19"/>
      <c r="Z494" s="19"/>
      <c r="AA494" s="19"/>
      <c r="AB494" s="19"/>
      <c r="AC494" s="19"/>
      <c r="AG494" s="104">
        <f>IF(AND($C$484="Yes",$V$487="N/A",$V$489="N/A", $V$498="N/A",$V$500="N/A"),(VLOOKUP($V$494,$AO$467:$AP$469,2,FALSE)),0)</f>
        <v>0</v>
      </c>
      <c r="AH494" s="128" t="s">
        <v>1018</v>
      </c>
      <c r="AI494" s="19"/>
      <c r="AJ494" s="19"/>
      <c r="AK494" s="720"/>
      <c r="AN494" s="685"/>
    </row>
    <row r="495" spans="1:49" s="4" customFormat="1" ht="12.8"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8" hidden="1" customHeight="1">
      <c r="A496" s="4"/>
      <c r="B496" s="4"/>
      <c r="C496" s="755" t="s">
        <v>1274</v>
      </c>
      <c r="D496" s="712"/>
      <c r="E496" s="712"/>
      <c r="F496" s="756" t="s">
        <v>1390</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8" hidden="1" customHeight="1">
      <c r="A497" s="4"/>
      <c r="B497" s="4"/>
      <c r="C497" s="753"/>
      <c r="D497" s="1047"/>
      <c r="E497" s="1047"/>
      <c r="F497" s="252" t="s">
        <v>1389</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1400</v>
      </c>
      <c r="AP497" s="35">
        <v>5</v>
      </c>
      <c r="AQ497" s="3"/>
    </row>
    <row r="498" spans="1:147" customFormat="1" ht="12.8" hidden="1" customHeight="1">
      <c r="A498" s="120"/>
      <c r="B498" s="4"/>
      <c r="C498" s="741"/>
      <c r="D498" s="4"/>
      <c r="E498" s="4"/>
      <c r="F498" s="578" t="s">
        <v>1017</v>
      </c>
      <c r="G498" s="4"/>
      <c r="H498" s="4"/>
      <c r="I498" s="4"/>
      <c r="J498" s="4"/>
      <c r="K498" s="4"/>
      <c r="L498" s="4"/>
      <c r="M498" s="4"/>
      <c r="N498" s="4"/>
      <c r="O498" s="4"/>
      <c r="P498" s="4"/>
      <c r="Q498" s="4"/>
      <c r="R498" s="4"/>
      <c r="S498" s="4"/>
      <c r="T498" s="4"/>
      <c r="U498" s="4"/>
      <c r="V498" s="1706" t="s">
        <v>132</v>
      </c>
      <c r="W498" s="1706"/>
      <c r="X498" s="1706"/>
      <c r="Y498" s="4"/>
      <c r="Z498" s="4"/>
      <c r="AA498" s="4"/>
      <c r="AB498" s="4"/>
      <c r="AC498" s="4"/>
      <c r="AD498" s="4"/>
      <c r="AE498" s="4"/>
      <c r="AF498" s="4"/>
      <c r="AG498" s="104">
        <f>IF(AND($C$484="Yes",$V$487="N/A",V489="N/A",$V$494="N/A",$V$500="N/A"),(VLOOKUP($V$498,$AW$463:$AX$466,2,FALSE)),0)</f>
        <v>0</v>
      </c>
      <c r="AH498" s="128" t="s">
        <v>1018</v>
      </c>
      <c r="AI498" s="19"/>
      <c r="AJ498" s="4"/>
      <c r="AK498" s="720"/>
      <c r="AL498" s="4"/>
      <c r="AM498" s="4"/>
      <c r="AN498" s="204"/>
      <c r="AO498" s="4" t="s">
        <v>1401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8"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1403</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8" hidden="1" customHeight="1">
      <c r="A500" s="120"/>
      <c r="B500" s="4"/>
      <c r="C500" s="742"/>
      <c r="D500" s="729"/>
      <c r="E500" s="729"/>
      <c r="F500" s="751" t="s">
        <v>2024</v>
      </c>
      <c r="G500" s="744"/>
      <c r="H500" s="744"/>
      <c r="I500" s="729"/>
      <c r="J500" s="729"/>
      <c r="K500" s="729"/>
      <c r="L500" s="729"/>
      <c r="M500" s="729"/>
      <c r="N500" s="729"/>
      <c r="O500" s="729"/>
      <c r="P500" s="729"/>
      <c r="Q500" s="729"/>
      <c r="R500" s="729"/>
      <c r="S500" s="729"/>
      <c r="T500" s="729"/>
      <c r="U500" s="729"/>
      <c r="V500" s="1706" t="s">
        <v>132</v>
      </c>
      <c r="W500" s="1706"/>
      <c r="X500" s="1706"/>
      <c r="Y500" s="729"/>
      <c r="Z500" s="729"/>
      <c r="AA500" s="729"/>
      <c r="AB500" s="729"/>
      <c r="AC500" s="729"/>
      <c r="AD500" s="729"/>
      <c r="AE500" s="729"/>
      <c r="AF500" s="729"/>
      <c r="AG500" s="754">
        <f>IF(AND($C$484="Yes",$V$487="N/A",$V$489="N/A",$V$494="N/A",$V$498="N/A"),(VLOOKUP($V$500,$BA$463:$BB$465,2,FALSE)),0)</f>
        <v>0</v>
      </c>
      <c r="AH500" s="747" t="s">
        <v>1018</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8"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717" t="s">
        <v>693</v>
      </c>
      <c r="AV501" s="1718"/>
      <c r="AW501" s="1718"/>
      <c r="AX501" s="1718"/>
      <c r="AY501" s="1718"/>
      <c r="AZ501" s="1718"/>
      <c r="BA501" s="1718"/>
      <c r="BB501" s="20"/>
      <c r="BC501" s="20"/>
      <c r="BE501" s="4"/>
      <c r="BF501" s="4"/>
      <c r="BG501" s="4"/>
      <c r="BH501" s="4"/>
      <c r="BI501" s="4"/>
      <c r="BJ501" s="1715" t="s">
        <v>34</v>
      </c>
      <c r="BK501" s="1716"/>
      <c r="BL501" s="1716"/>
      <c r="BM501" s="1716"/>
      <c r="BN501" s="1716"/>
      <c r="BO501" s="1716"/>
      <c r="BP501" s="1716"/>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8" hidden="1" customHeight="1">
      <c r="A502" s="120"/>
      <c r="B502" s="4"/>
      <c r="C502" s="182" t="s">
        <v>1534</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717"/>
      <c r="AV502" s="1718"/>
      <c r="AW502" s="1718"/>
      <c r="AX502" s="1718"/>
      <c r="AY502" s="1718"/>
      <c r="AZ502" s="1718"/>
      <c r="BA502" s="1718"/>
      <c r="BB502" s="20"/>
      <c r="BC502" s="20"/>
      <c r="BE502" s="4"/>
      <c r="BF502" s="4"/>
      <c r="BG502" s="4"/>
      <c r="BH502" s="4"/>
      <c r="BI502" s="4"/>
      <c r="BJ502" s="1715"/>
      <c r="BK502" s="1716"/>
      <c r="BL502" s="1716"/>
      <c r="BM502" s="1716"/>
      <c r="BN502" s="1716"/>
      <c r="BO502" s="1716"/>
      <c r="BP502" s="1716"/>
      <c r="BQ502" s="20"/>
      <c r="BR502" s="4"/>
    </row>
    <row r="503" spans="1:147" customFormat="1" ht="12.8" hidden="1" customHeight="1">
      <c r="A503" s="120"/>
      <c r="B503" s="4"/>
      <c r="C503" s="1698" t="s">
        <v>132</v>
      </c>
      <c r="D503" s="1699"/>
      <c r="E503" s="757" t="s">
        <v>206</v>
      </c>
      <c r="F503" s="1890" t="s">
        <v>1016</v>
      </c>
      <c r="G503" s="1890"/>
      <c r="H503" s="1890"/>
      <c r="I503" s="1890"/>
      <c r="J503" s="1890"/>
      <c r="K503" s="1890"/>
      <c r="L503" s="1890"/>
      <c r="M503" s="1890"/>
      <c r="N503" s="1890"/>
      <c r="O503" s="1890"/>
      <c r="P503" s="1890"/>
      <c r="Q503" s="1890"/>
      <c r="R503" s="1890"/>
      <c r="S503" s="1890"/>
      <c r="T503" s="1890"/>
      <c r="U503" s="1890"/>
      <c r="V503" s="1890"/>
      <c r="W503" s="1890"/>
      <c r="X503" s="1890"/>
      <c r="Y503" s="1890"/>
      <c r="Z503" s="1890"/>
      <c r="AA503" s="1890"/>
      <c r="AB503" s="1890"/>
      <c r="AC503" s="1890"/>
      <c r="AD503" s="1890"/>
      <c r="AE503" s="1890"/>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8" hidden="1" customHeight="1">
      <c r="A504" s="120"/>
      <c r="B504" s="4"/>
      <c r="C504" s="741"/>
      <c r="D504" s="4"/>
      <c r="E504" s="143"/>
      <c r="F504" s="1891"/>
      <c r="G504" s="1891"/>
      <c r="H504" s="1891"/>
      <c r="I504" s="1891"/>
      <c r="J504" s="1891"/>
      <c r="K504" s="1891"/>
      <c r="L504" s="1891"/>
      <c r="M504" s="1891"/>
      <c r="N504" s="1891"/>
      <c r="O504" s="1891"/>
      <c r="P504" s="1891"/>
      <c r="Q504" s="1891"/>
      <c r="R504" s="1891"/>
      <c r="S504" s="1891"/>
      <c r="T504" s="1891"/>
      <c r="U504" s="1891"/>
      <c r="V504" s="1891"/>
      <c r="W504" s="1891"/>
      <c r="X504" s="1891"/>
      <c r="Y504" s="1891"/>
      <c r="Z504" s="1891"/>
      <c r="AA504" s="1891"/>
      <c r="AB504" s="1891"/>
      <c r="AC504" s="1891"/>
      <c r="AD504" s="1891"/>
      <c r="AE504" s="1891"/>
      <c r="AF504" s="4"/>
      <c r="AG504" s="19"/>
      <c r="AH504" s="19"/>
      <c r="AI504" s="19"/>
      <c r="AJ504" s="19"/>
      <c r="AK504" s="720"/>
      <c r="AL504" s="4"/>
      <c r="AM504" s="4"/>
      <c r="AN504" s="684"/>
      <c r="AO504" s="38"/>
      <c r="AP504" s="1562" t="s">
        <v>1568</v>
      </c>
      <c r="AQ504" s="1563"/>
      <c r="AR504" s="1564"/>
      <c r="AS504" s="639">
        <v>80</v>
      </c>
      <c r="AT504" s="4">
        <v>0</v>
      </c>
      <c r="AU504" s="160">
        <v>10</v>
      </c>
      <c r="AV504" s="160">
        <v>25</v>
      </c>
      <c r="AW504" s="160">
        <v>37.5</v>
      </c>
      <c r="AX504" s="160">
        <v>35</v>
      </c>
      <c r="AY504" s="160">
        <v>37.5</v>
      </c>
      <c r="AZ504" s="160">
        <v>50</v>
      </c>
      <c r="BA504" s="160">
        <v>50</v>
      </c>
      <c r="BB504" s="21"/>
      <c r="BC504" s="21"/>
      <c r="BE504" s="1562" t="s">
        <v>1568</v>
      </c>
      <c r="BF504" s="1563"/>
      <c r="BG504" s="1564"/>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8" hidden="1" customHeight="1">
      <c r="A505" s="120"/>
      <c r="B505" s="4"/>
      <c r="C505" s="742"/>
      <c r="D505" s="729"/>
      <c r="E505" s="743"/>
      <c r="F505" s="1899" t="s">
        <v>132</v>
      </c>
      <c r="G505" s="1899"/>
      <c r="H505" s="1899"/>
      <c r="I505" s="1899"/>
      <c r="J505" s="1899"/>
      <c r="K505" s="1899"/>
      <c r="L505" s="1899"/>
      <c r="M505" s="1899"/>
      <c r="N505" s="1899"/>
      <c r="O505" s="1899"/>
      <c r="P505" s="1899"/>
      <c r="Q505" s="1899"/>
      <c r="R505" s="1899"/>
      <c r="S505" s="1899"/>
      <c r="T505" s="1899"/>
      <c r="U505" s="1899"/>
      <c r="V505" s="1899"/>
      <c r="W505" s="1899"/>
      <c r="X505" s="1899"/>
      <c r="Y505" s="1899"/>
      <c r="Z505" s="1899"/>
      <c r="AA505" s="744"/>
      <c r="AB505" s="745"/>
      <c r="AC505" s="745"/>
      <c r="AD505" s="729"/>
      <c r="AE505" s="729"/>
      <c r="AF505" s="729"/>
      <c r="AG505" s="746">
        <f>IF($C$503="Yes",(VLOOKUP($F$505,$AO$473:$AP$481,2,FALSE)),0)</f>
        <v>0</v>
      </c>
      <c r="AH505" s="747" t="s">
        <v>1018</v>
      </c>
      <c r="AI505" s="746"/>
      <c r="AJ505" s="745"/>
      <c r="AK505" s="730"/>
      <c r="AL505" s="4"/>
      <c r="AM505" s="4"/>
      <c r="AN505" s="684"/>
      <c r="AO505" s="38"/>
      <c r="AP505" s="1565"/>
      <c r="AQ505" s="1566"/>
      <c r="AR505" s="1567"/>
      <c r="AS505" s="639">
        <v>75</v>
      </c>
      <c r="AT505" s="4">
        <v>0</v>
      </c>
      <c r="AU505" s="160">
        <v>10</v>
      </c>
      <c r="AV505" s="160">
        <v>25</v>
      </c>
      <c r="AW505" s="160">
        <v>37.5</v>
      </c>
      <c r="AX505" s="160">
        <v>35</v>
      </c>
      <c r="AY505" s="160">
        <v>37.5</v>
      </c>
      <c r="AZ505" s="160">
        <v>50</v>
      </c>
      <c r="BA505" s="160">
        <v>50</v>
      </c>
      <c r="BB505" s="21"/>
      <c r="BC505" s="21"/>
      <c r="BE505" s="1565"/>
      <c r="BF505" s="1566"/>
      <c r="BG505" s="1567"/>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8"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565"/>
      <c r="AQ506" s="1566"/>
      <c r="AR506" s="1567"/>
      <c r="AS506" s="639">
        <v>70</v>
      </c>
      <c r="AT506" s="4">
        <v>0</v>
      </c>
      <c r="AU506" s="160">
        <v>10</v>
      </c>
      <c r="AV506" s="160">
        <v>25</v>
      </c>
      <c r="AW506" s="160">
        <v>37.5</v>
      </c>
      <c r="AX506" s="160">
        <v>35</v>
      </c>
      <c r="AY506" s="160">
        <v>37.5</v>
      </c>
      <c r="AZ506" s="160">
        <v>50</v>
      </c>
      <c r="BA506" s="160">
        <v>50</v>
      </c>
      <c r="BB506" s="21"/>
      <c r="BC506" s="21"/>
      <c r="BE506" s="1565"/>
      <c r="BF506" s="1566"/>
      <c r="BG506" s="1567"/>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8" hidden="1" customHeight="1">
      <c r="A507" s="4"/>
      <c r="B507" s="4"/>
      <c r="C507" s="1698" t="s">
        <v>132</v>
      </c>
      <c r="D507" s="1699"/>
      <c r="E507" s="757" t="s">
        <v>321</v>
      </c>
      <c r="F507" s="1895" t="s">
        <v>1206</v>
      </c>
      <c r="G507" s="1895"/>
      <c r="H507" s="1895"/>
      <c r="I507" s="1895"/>
      <c r="J507" s="1895"/>
      <c r="K507" s="1895"/>
      <c r="L507" s="1895"/>
      <c r="M507" s="1895"/>
      <c r="N507" s="1895"/>
      <c r="O507" s="1895"/>
      <c r="P507" s="1895"/>
      <c r="Q507" s="1895"/>
      <c r="R507" s="1895"/>
      <c r="S507" s="1895"/>
      <c r="T507" s="1895"/>
      <c r="U507" s="1895"/>
      <c r="V507" s="1895"/>
      <c r="W507" s="1895"/>
      <c r="X507" s="1895"/>
      <c r="Y507" s="1895"/>
      <c r="Z507" s="1895"/>
      <c r="AA507" s="1895"/>
      <c r="AB507" s="1895"/>
      <c r="AC507" s="1895"/>
      <c r="AD507" s="1895"/>
      <c r="AE507" s="1895"/>
      <c r="AF507" s="712"/>
      <c r="AG507" s="749"/>
      <c r="AH507" s="749"/>
      <c r="AI507" s="749"/>
      <c r="AJ507" s="749"/>
      <c r="AK507" s="736"/>
      <c r="AL507" s="4"/>
      <c r="AM507" s="4"/>
      <c r="AN507" s="684"/>
      <c r="AO507" s="38"/>
      <c r="AP507" s="1565"/>
      <c r="AQ507" s="1566"/>
      <c r="AR507" s="1567"/>
      <c r="AS507" s="639">
        <v>65</v>
      </c>
      <c r="AT507" s="4">
        <v>0</v>
      </c>
      <c r="AU507" s="160">
        <v>10</v>
      </c>
      <c r="AV507" s="160">
        <v>25</v>
      </c>
      <c r="AW507" s="160">
        <v>37.5</v>
      </c>
      <c r="AX507" s="160">
        <v>35</v>
      </c>
      <c r="AY507" s="160">
        <v>37.5</v>
      </c>
      <c r="AZ507" s="160">
        <v>50</v>
      </c>
      <c r="BA507" s="160">
        <v>50</v>
      </c>
      <c r="BB507" s="21"/>
      <c r="BC507" s="21"/>
      <c r="BE507" s="1565"/>
      <c r="BF507" s="1566"/>
      <c r="BG507" s="1567"/>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8" hidden="1" customHeight="1">
      <c r="A508" s="4"/>
      <c r="B508" s="4"/>
      <c r="C508" s="741"/>
      <c r="D508" s="4"/>
      <c r="E508" s="143"/>
      <c r="F508" s="1896"/>
      <c r="G508" s="1896"/>
      <c r="H508" s="1896"/>
      <c r="I508" s="1896"/>
      <c r="J508" s="1896"/>
      <c r="K508" s="1896"/>
      <c r="L508" s="1896"/>
      <c r="M508" s="1896"/>
      <c r="N508" s="1896"/>
      <c r="O508" s="1896"/>
      <c r="P508" s="1896"/>
      <c r="Q508" s="1896"/>
      <c r="R508" s="1896"/>
      <c r="S508" s="1896"/>
      <c r="T508" s="1896"/>
      <c r="U508" s="1896"/>
      <c r="V508" s="1896"/>
      <c r="W508" s="1896"/>
      <c r="X508" s="1896"/>
      <c r="Y508" s="1896"/>
      <c r="Z508" s="1896"/>
      <c r="AA508" s="1896"/>
      <c r="AB508" s="1896"/>
      <c r="AC508" s="1896"/>
      <c r="AD508" s="1896"/>
      <c r="AE508" s="1896"/>
      <c r="AF508" s="4"/>
      <c r="AG508" s="19"/>
      <c r="AH508" s="19"/>
      <c r="AI508" s="19"/>
      <c r="AJ508" s="19"/>
      <c r="AK508" s="720"/>
      <c r="AL508" s="4"/>
      <c r="AM508" s="4"/>
      <c r="AN508" s="684"/>
      <c r="AO508" s="38"/>
      <c r="AP508" s="1565"/>
      <c r="AQ508" s="1566"/>
      <c r="AR508" s="1567"/>
      <c r="AS508" s="639">
        <v>60</v>
      </c>
      <c r="AT508" s="4">
        <v>0</v>
      </c>
      <c r="AU508" s="160">
        <v>10</v>
      </c>
      <c r="AV508" s="160">
        <v>25</v>
      </c>
      <c r="AW508" s="160">
        <v>37.5</v>
      </c>
      <c r="AX508" s="160">
        <v>35</v>
      </c>
      <c r="AY508" s="160">
        <v>37.5</v>
      </c>
      <c r="AZ508" s="160">
        <v>50</v>
      </c>
      <c r="BA508" s="160">
        <v>50</v>
      </c>
      <c r="BB508" s="21"/>
      <c r="BC508" s="21"/>
      <c r="BE508" s="1565"/>
      <c r="BF508" s="1566"/>
      <c r="BG508" s="1567"/>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8" hidden="1" customHeight="1">
      <c r="A509" s="4"/>
      <c r="B509" s="4"/>
      <c r="C509" s="722"/>
      <c r="D509" s="4"/>
      <c r="E509" s="4"/>
      <c r="F509" s="578"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565"/>
      <c r="AQ509" s="1566"/>
      <c r="AR509" s="1567"/>
      <c r="AS509" s="639">
        <v>55</v>
      </c>
      <c r="AT509" s="4">
        <v>0</v>
      </c>
      <c r="AU509" s="160">
        <v>10</v>
      </c>
      <c r="AV509" s="160">
        <v>25</v>
      </c>
      <c r="AW509" s="160">
        <v>37.5</v>
      </c>
      <c r="AX509" s="160">
        <v>35</v>
      </c>
      <c r="AY509" s="160">
        <v>37.5</v>
      </c>
      <c r="AZ509" s="160">
        <v>50</v>
      </c>
      <c r="BA509" s="160">
        <v>50</v>
      </c>
      <c r="BE509" s="1565"/>
      <c r="BF509" s="1566"/>
      <c r="BG509" s="1567"/>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1" hidden="1">
      <c r="A510" s="4"/>
      <c r="B510" s="4"/>
      <c r="C510" s="742"/>
      <c r="D510" s="729"/>
      <c r="E510" s="743"/>
      <c r="F510" s="1900" t="s">
        <v>132</v>
      </c>
      <c r="G510" s="1900"/>
      <c r="H510" s="1900"/>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1018</v>
      </c>
      <c r="AI510" s="745"/>
      <c r="AJ510" s="745"/>
      <c r="AK510" s="730"/>
      <c r="AL510" s="4"/>
      <c r="AM510" s="4"/>
      <c r="AN510" s="684"/>
      <c r="AP510" s="1565"/>
      <c r="AQ510" s="1566"/>
      <c r="AR510" s="1567"/>
      <c r="AS510" s="159">
        <v>50</v>
      </c>
      <c r="AT510" s="4">
        <v>0</v>
      </c>
      <c r="AU510" s="160">
        <v>10</v>
      </c>
      <c r="AV510" s="160">
        <v>25</v>
      </c>
      <c r="AW510" s="160">
        <v>37.5</v>
      </c>
      <c r="AX510" s="160">
        <v>35</v>
      </c>
      <c r="AY510" s="160">
        <v>37.5</v>
      </c>
      <c r="AZ510" s="160">
        <v>50</v>
      </c>
      <c r="BA510" s="160">
        <v>50</v>
      </c>
      <c r="BE510" s="1565"/>
      <c r="BF510" s="1566"/>
      <c r="BG510" s="1567"/>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565"/>
      <c r="AQ511" s="1566"/>
      <c r="AR511" s="1567"/>
      <c r="AS511" s="159">
        <v>45</v>
      </c>
      <c r="AT511" s="4">
        <v>0</v>
      </c>
      <c r="AU511" s="160">
        <v>10</v>
      </c>
      <c r="AV511" s="160">
        <v>22.5</v>
      </c>
      <c r="AW511" s="160">
        <v>33.799999999999997</v>
      </c>
      <c r="AX511" s="160">
        <v>35</v>
      </c>
      <c r="AY511" s="160">
        <v>37.5</v>
      </c>
      <c r="AZ511" s="160">
        <v>50</v>
      </c>
      <c r="BA511" s="160">
        <v>50</v>
      </c>
      <c r="BE511" s="1565"/>
      <c r="BF511" s="1566"/>
      <c r="BG511" s="1567"/>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1" hidden="1">
      <c r="A512" s="4"/>
      <c r="B512" s="4"/>
      <c r="C512" s="1698" t="s">
        <v>132</v>
      </c>
      <c r="D512" s="1699"/>
      <c r="E512" s="757" t="s">
        <v>1313</v>
      </c>
      <c r="F512" s="756" t="s">
        <v>1023</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565"/>
      <c r="AQ512" s="1566"/>
      <c r="AR512" s="1567"/>
      <c r="AS512" s="159">
        <v>40</v>
      </c>
      <c r="AT512" s="4">
        <v>0</v>
      </c>
      <c r="AU512" s="160">
        <v>10</v>
      </c>
      <c r="AV512" s="160">
        <v>20</v>
      </c>
      <c r="AW512" s="160">
        <v>30</v>
      </c>
      <c r="AX512" s="160">
        <v>35</v>
      </c>
      <c r="AY512" s="160">
        <v>37.5</v>
      </c>
      <c r="AZ512" s="160">
        <v>50</v>
      </c>
      <c r="BA512" s="160">
        <v>50</v>
      </c>
      <c r="BE512" s="1565"/>
      <c r="BF512" s="1566"/>
      <c r="BG512" s="1567"/>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565"/>
      <c r="AQ513" s="1566"/>
      <c r="AR513" s="1567"/>
      <c r="AS513" s="159">
        <v>35</v>
      </c>
      <c r="AT513" s="4">
        <v>0</v>
      </c>
      <c r="AU513" s="160">
        <v>8.8000000000000007</v>
      </c>
      <c r="AV513" s="160">
        <v>17.5</v>
      </c>
      <c r="AW513" s="160">
        <v>26.3</v>
      </c>
      <c r="AX513" s="160">
        <v>35</v>
      </c>
      <c r="AY513" s="160">
        <v>37.5</v>
      </c>
      <c r="AZ513" s="160">
        <v>50</v>
      </c>
      <c r="BA513" s="160">
        <v>50</v>
      </c>
      <c r="BE513" s="1565"/>
      <c r="BF513" s="1566"/>
      <c r="BG513" s="1567"/>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 hidden="1">
      <c r="A514" s="4"/>
      <c r="B514" s="4"/>
      <c r="C514" s="1705"/>
      <c r="D514" s="1047"/>
      <c r="E514" s="189"/>
      <c r="F514" s="19" t="s">
        <v>1315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20"/>
      <c r="AL514" s="4"/>
      <c r="AM514" s="4"/>
      <c r="AN514" s="684"/>
      <c r="AP514" s="1565"/>
      <c r="AQ514" s="1566"/>
      <c r="AR514" s="1567"/>
      <c r="AS514" s="159">
        <v>30</v>
      </c>
      <c r="AT514" s="4">
        <v>0</v>
      </c>
      <c r="AU514" s="160">
        <v>7.5</v>
      </c>
      <c r="AV514" s="160">
        <v>15</v>
      </c>
      <c r="AW514" s="160">
        <v>22.5</v>
      </c>
      <c r="AX514" s="160">
        <v>30</v>
      </c>
      <c r="AY514" s="160">
        <v>37.5</v>
      </c>
      <c r="AZ514" s="160">
        <v>45</v>
      </c>
      <c r="BA514" s="160">
        <v>50</v>
      </c>
      <c r="BE514" s="1565"/>
      <c r="BF514" s="1566"/>
      <c r="BG514" s="1567"/>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701" t="s">
        <v>132</v>
      </c>
      <c r="H515" s="1701"/>
      <c r="I515" s="1701"/>
      <c r="J515" s="1701"/>
      <c r="K515" s="1701"/>
      <c r="L515" s="1701"/>
      <c r="M515" s="1701"/>
      <c r="N515" s="1701"/>
      <c r="O515" s="1701"/>
      <c r="P515" s="1701"/>
      <c r="Q515" s="1701"/>
      <c r="R515" s="1701"/>
      <c r="S515" s="1701"/>
      <c r="T515" s="1701"/>
      <c r="U515" s="1701"/>
      <c r="V515" s="1701"/>
      <c r="W515" s="1701"/>
      <c r="X515" s="1701"/>
      <c r="Y515" s="1701"/>
      <c r="Z515" s="1701"/>
      <c r="AA515" s="1701"/>
      <c r="AB515" s="1701"/>
      <c r="AC515" s="1701"/>
      <c r="AD515" s="1701"/>
      <c r="AE515" s="1701"/>
      <c r="AF515" s="1701"/>
      <c r="AG515" s="4"/>
      <c r="AH515" s="4"/>
      <c r="AI515" s="4"/>
      <c r="AJ515" s="19"/>
      <c r="AK515" s="720"/>
      <c r="AL515" s="4"/>
      <c r="AM515" s="4"/>
      <c r="AN515" s="684"/>
      <c r="AP515" s="1565"/>
      <c r="AQ515" s="1566"/>
      <c r="AR515" s="1567"/>
      <c r="AS515" s="159">
        <v>25</v>
      </c>
      <c r="AT515" s="4">
        <v>0</v>
      </c>
      <c r="AU515" s="160">
        <v>6.3</v>
      </c>
      <c r="AV515" s="160">
        <v>12.5</v>
      </c>
      <c r="AW515" s="160">
        <v>18.8</v>
      </c>
      <c r="AX515" s="160">
        <v>25</v>
      </c>
      <c r="AY515" s="160">
        <v>31.3</v>
      </c>
      <c r="AZ515" s="160">
        <v>37.5</v>
      </c>
      <c r="BA515" s="160">
        <v>50</v>
      </c>
      <c r="BE515" s="1565"/>
      <c r="BF515" s="1566"/>
      <c r="BG515" s="1567"/>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565"/>
      <c r="AQ516" s="1566"/>
      <c r="AR516" s="1567"/>
      <c r="AS516" s="159">
        <v>20</v>
      </c>
      <c r="AT516" s="4">
        <v>0</v>
      </c>
      <c r="AU516" s="160">
        <v>5</v>
      </c>
      <c r="AV516" s="160">
        <v>10</v>
      </c>
      <c r="AW516" s="160">
        <v>15</v>
      </c>
      <c r="AX516" s="160">
        <v>20</v>
      </c>
      <c r="AY516" s="160">
        <v>25</v>
      </c>
      <c r="AZ516" s="160">
        <v>30</v>
      </c>
      <c r="BA516" s="160">
        <v>40</v>
      </c>
      <c r="BE516" s="1565"/>
      <c r="BF516" s="1566"/>
      <c r="BG516" s="1567"/>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8" hidden="1" customHeight="1">
      <c r="A517" s="21"/>
      <c r="B517" s="4"/>
      <c r="C517" s="1702" t="s">
        <v>132</v>
      </c>
      <c r="D517" s="1703"/>
      <c r="F517" s="19" t="s">
        <v>1316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20"/>
      <c r="AL517" s="4"/>
      <c r="AM517" s="4"/>
      <c r="AN517" s="684"/>
      <c r="AP517" s="1565"/>
      <c r="AQ517" s="1566"/>
      <c r="AR517" s="1567"/>
      <c r="AS517" s="159">
        <v>15</v>
      </c>
      <c r="AT517" s="4">
        <v>0</v>
      </c>
      <c r="AU517" s="160">
        <v>3.8</v>
      </c>
      <c r="AV517" s="160">
        <v>7.5</v>
      </c>
      <c r="AW517" s="160">
        <v>11.3</v>
      </c>
      <c r="AX517" s="160">
        <v>15</v>
      </c>
      <c r="AY517" s="160">
        <v>18.8</v>
      </c>
      <c r="AZ517" s="160">
        <v>22.5</v>
      </c>
      <c r="BA517" s="160">
        <v>30</v>
      </c>
      <c r="BE517" s="1565"/>
      <c r="BF517" s="1566"/>
      <c r="BG517" s="1567"/>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1" hidden="1">
      <c r="A518" s="21"/>
      <c r="B518" s="4"/>
      <c r="C518" s="753"/>
      <c r="D518" s="1"/>
      <c r="E518" s="1"/>
      <c r="F518" s="19"/>
      <c r="G518" s="19" t="s">
        <v>1312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568"/>
      <c r="AQ518" s="1569"/>
      <c r="AR518" s="1570"/>
      <c r="AS518" s="159">
        <v>10</v>
      </c>
      <c r="AT518" s="4">
        <v>0</v>
      </c>
      <c r="AU518" s="160">
        <v>2.5</v>
      </c>
      <c r="AV518" s="160">
        <v>5</v>
      </c>
      <c r="AW518" s="160">
        <v>7.5</v>
      </c>
      <c r="AX518" s="160">
        <v>10</v>
      </c>
      <c r="AY518" s="160">
        <v>12.5</v>
      </c>
      <c r="AZ518" s="160">
        <v>15</v>
      </c>
      <c r="BA518" s="160">
        <v>20</v>
      </c>
      <c r="BE518" s="1568"/>
      <c r="BF518" s="1569"/>
      <c r="BG518" s="1570"/>
      <c r="BH518" s="159">
        <v>10</v>
      </c>
      <c r="BI518" s="4">
        <v>0</v>
      </c>
      <c r="BJ518" s="161">
        <v>0</v>
      </c>
      <c r="BK518" s="160">
        <v>5</v>
      </c>
      <c r="BL518" s="160">
        <v>7.5</v>
      </c>
      <c r="BM518" s="160">
        <v>10</v>
      </c>
      <c r="BN518" s="160">
        <v>12.5</v>
      </c>
      <c r="BO518" s="160">
        <v>15</v>
      </c>
      <c r="BP518" s="160">
        <v>20</v>
      </c>
      <c r="BR518" s="4"/>
      <c r="CW518" s="4"/>
    </row>
    <row r="519" spans="1:122" s="4" customFormat="1" ht="12.8" hidden="1" customHeight="1">
      <c r="A519" s="21"/>
      <c r="C519" s="753"/>
      <c r="D519" s="1"/>
      <c r="E519" s="1"/>
      <c r="F519" s="19"/>
      <c r="G519" s="19" t="s">
        <v>1311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8"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8" hidden="1" customHeight="1">
      <c r="A521" s="35"/>
      <c r="C521" s="1702" t="s">
        <v>132</v>
      </c>
      <c r="D521" s="1703"/>
      <c r="F521" s="510" t="s">
        <v>915</v>
      </c>
      <c r="G521" s="1670" t="s">
        <v>1027</v>
      </c>
      <c r="H521" s="1670"/>
      <c r="I521" s="1670"/>
      <c r="J521" s="1670"/>
      <c r="K521" s="1670"/>
      <c r="L521" s="1670"/>
      <c r="M521" s="1670"/>
      <c r="N521" s="1670"/>
      <c r="O521" s="1670"/>
      <c r="P521" s="1670"/>
      <c r="Q521" s="1670"/>
      <c r="R521" s="1670"/>
      <c r="S521" s="1670"/>
      <c r="T521" s="1670"/>
      <c r="U521" s="1670"/>
      <c r="V521" s="1670"/>
      <c r="W521" s="1670"/>
      <c r="X521" s="1670"/>
      <c r="Y521" s="1670"/>
      <c r="Z521" s="1670"/>
      <c r="AA521" s="1670"/>
      <c r="AB521" s="1670"/>
      <c r="AC521" s="1670"/>
      <c r="AD521" s="1670"/>
      <c r="AE521" s="1670"/>
      <c r="AF521" s="1670"/>
      <c r="AG521" s="104">
        <f>IF(AND($C$521="Yes",$C$512="Yes"),2,0)</f>
        <v>0</v>
      </c>
      <c r="AH521" s="128" t="s">
        <v>1018</v>
      </c>
      <c r="AI521" s="19"/>
      <c r="AJ521" s="108"/>
      <c r="AK521" s="720"/>
      <c r="AN521" s="685"/>
      <c r="AP521" s="92"/>
      <c r="AQ521" s="93"/>
      <c r="AR521" s="93"/>
      <c r="AS521" s="93"/>
      <c r="AT521" s="93"/>
      <c r="AU521" s="93"/>
      <c r="AV521" s="93"/>
      <c r="AW521" s="93"/>
      <c r="AX521" s="93"/>
      <c r="AY521" s="93"/>
      <c r="AZ521" s="168"/>
      <c r="BA521" s="93"/>
      <c r="BB521" s="93"/>
      <c r="BC521" s="59" t="s">
        <v>359</v>
      </c>
      <c r="BD521" s="1714">
        <f>BJ525</f>
        <v>59</v>
      </c>
      <c r="BE521" s="1714"/>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8" hidden="1" customHeight="1">
      <c r="C522" s="762"/>
      <c r="D522" s="729"/>
      <c r="E522" s="743"/>
      <c r="F522" s="718"/>
      <c r="G522" s="1704"/>
      <c r="H522" s="1704"/>
      <c r="I522" s="1704"/>
      <c r="J522" s="1704"/>
      <c r="K522" s="1704"/>
      <c r="L522" s="1704"/>
      <c r="M522" s="1704"/>
      <c r="N522" s="1704"/>
      <c r="O522" s="1704"/>
      <c r="P522" s="1704"/>
      <c r="Q522" s="1704"/>
      <c r="R522" s="1704"/>
      <c r="S522" s="1704"/>
      <c r="T522" s="1704"/>
      <c r="U522" s="1704"/>
      <c r="V522" s="1704"/>
      <c r="W522" s="1704"/>
      <c r="X522" s="1704"/>
      <c r="Y522" s="1704"/>
      <c r="Z522" s="1704"/>
      <c r="AA522" s="1704"/>
      <c r="AB522" s="1704"/>
      <c r="AC522" s="1704"/>
      <c r="AD522" s="1704"/>
      <c r="AE522" s="1704"/>
      <c r="AF522" s="1704"/>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714">
        <f>SUM(E578:J586)</f>
        <v>59</v>
      </c>
      <c r="BE522" s="1714"/>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651</v>
      </c>
      <c r="CD522" s="432"/>
      <c r="CE522" s="433" t="s">
        <v>651</v>
      </c>
      <c r="CF522" s="432"/>
      <c r="CG522"/>
      <c r="CH522"/>
      <c r="CI522"/>
      <c r="CJ522"/>
    </row>
    <row r="523" spans="1:122" s="4" customFormat="1" ht="12.8"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712">
        <v>0</v>
      </c>
      <c r="BK523" s="1713"/>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8" hidden="1" customHeight="1">
      <c r="C524" s="765" t="s">
        <v>1913</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712">
        <f>Application!AG431</f>
        <v>0</v>
      </c>
      <c r="BK524" s="1713"/>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8" hidden="1" customHeight="1">
      <c r="C525" s="1695" t="s">
        <v>132</v>
      </c>
      <c r="D525" s="1225"/>
      <c r="E525" s="509" t="s">
        <v>1314</v>
      </c>
      <c r="F525" s="252" t="s">
        <v>1402</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712">
        <f>Application!AG433</f>
        <v>59</v>
      </c>
      <c r="BK525" s="1713"/>
      <c r="BM525" s="1726"/>
      <c r="BN525" s="1727"/>
      <c r="BO525" s="1726"/>
      <c r="BP525" s="1727"/>
      <c r="BQ525" s="1723"/>
      <c r="BR525" s="1725"/>
      <c r="BS525" s="1723"/>
      <c r="BT525" s="1725"/>
      <c r="BU525" s="1726">
        <f>IF(T607&gt;0,1,0)</f>
        <v>1</v>
      </c>
      <c r="BV525" s="1727"/>
      <c r="BW525" s="1726">
        <f>IF(Y607&gt;=0.1,1,0)</f>
        <v>1</v>
      </c>
      <c r="BX525" s="1727"/>
      <c r="BY525" s="1723"/>
      <c r="BZ525" s="1725"/>
      <c r="CA525" s="1723"/>
      <c r="CB525" s="1725"/>
      <c r="CC525" s="1726"/>
      <c r="CD525" s="1727"/>
      <c r="CE525" s="1726"/>
      <c r="CF525" s="1727"/>
      <c r="CG525"/>
      <c r="CH525"/>
      <c r="CI525"/>
      <c r="CJ525"/>
    </row>
    <row r="526" spans="1:122" s="4" customFormat="1" ht="12.8" hidden="1" customHeight="1">
      <c r="C526" s="714"/>
      <c r="E526" s="143"/>
      <c r="F526" s="1366" t="s">
        <v>132</v>
      </c>
      <c r="G526" s="1366"/>
      <c r="H526" s="1366"/>
      <c r="I526" s="1366"/>
      <c r="J526" s="1366"/>
      <c r="K526" s="1366"/>
      <c r="L526" s="1366"/>
      <c r="M526" s="1366"/>
      <c r="N526" s="1366"/>
      <c r="O526" s="1366"/>
      <c r="P526" s="1366"/>
      <c r="Q526" s="1366"/>
      <c r="R526" s="1366"/>
      <c r="S526" s="1366"/>
      <c r="T526" s="1366"/>
      <c r="U526" s="1366"/>
      <c r="V526" s="1366"/>
      <c r="W526" s="1366"/>
      <c r="X526" s="1366"/>
      <c r="Y526" s="1366"/>
      <c r="Z526" s="1366"/>
      <c r="AA526" s="1366"/>
      <c r="AB526" s="1366"/>
      <c r="AC526" s="1366"/>
      <c r="AD526" s="1366"/>
      <c r="AE526" s="1366"/>
      <c r="AF526" s="1366"/>
      <c r="AG526" s="19"/>
      <c r="AH526" s="19"/>
      <c r="AI526" s="19"/>
      <c r="AJ526" s="19"/>
      <c r="AK526" s="720"/>
      <c r="AN526" s="281"/>
      <c r="BM526" s="1726"/>
      <c r="BN526" s="1727"/>
      <c r="BO526" s="1726"/>
      <c r="BP526" s="1727"/>
      <c r="BQ526" s="1723"/>
      <c r="BR526" s="1725"/>
      <c r="BS526" s="1723"/>
      <c r="BT526" s="1725"/>
      <c r="BU526" s="1726"/>
      <c r="BV526" s="1727"/>
      <c r="BW526" s="1726"/>
      <c r="BX526" s="1727"/>
      <c r="BY526" s="1723">
        <f>IF(T608&gt;0,1,0)</f>
        <v>1</v>
      </c>
      <c r="BZ526" s="1725"/>
      <c r="CA526" s="1723">
        <f>IF(Y608&gt;=0.1,1,0)</f>
        <v>1</v>
      </c>
      <c r="CB526" s="1725"/>
      <c r="CC526" s="1726"/>
      <c r="CD526" s="1727"/>
      <c r="CE526" s="1726"/>
      <c r="CF526" s="1727"/>
      <c r="CG526"/>
      <c r="CH526"/>
      <c r="CI526"/>
      <c r="CJ526"/>
      <c r="CW526"/>
    </row>
    <row r="527" spans="1:122" s="4" customFormat="1" ht="12.8" hidden="1" customHeight="1">
      <c r="C527" s="762"/>
      <c r="D527" s="729"/>
      <c r="E527" s="743"/>
      <c r="F527" s="1894"/>
      <c r="G527" s="1894"/>
      <c r="H527" s="1894"/>
      <c r="I527" s="1894"/>
      <c r="J527" s="1894"/>
      <c r="K527" s="1894"/>
      <c r="L527" s="1894"/>
      <c r="M527" s="1894"/>
      <c r="N527" s="1894"/>
      <c r="O527" s="1894"/>
      <c r="P527" s="1894"/>
      <c r="Q527" s="1894"/>
      <c r="R527" s="1894"/>
      <c r="S527" s="1894"/>
      <c r="T527" s="1894"/>
      <c r="U527" s="1894"/>
      <c r="V527" s="1894"/>
      <c r="W527" s="1894"/>
      <c r="X527" s="1894"/>
      <c r="Y527" s="1894"/>
      <c r="Z527" s="1894"/>
      <c r="AA527" s="1894"/>
      <c r="AB527" s="1894"/>
      <c r="AC527" s="1894"/>
      <c r="AD527" s="1894"/>
      <c r="AE527" s="1894"/>
      <c r="AF527" s="1894"/>
      <c r="AG527" s="745"/>
      <c r="AH527" s="745"/>
      <c r="AI527" s="745"/>
      <c r="AJ527" s="745"/>
      <c r="AK527" s="730"/>
      <c r="AN527" s="281"/>
      <c r="BM527" s="1726"/>
      <c r="BN527" s="1727"/>
      <c r="BO527" s="1726"/>
      <c r="BP527" s="1727"/>
      <c r="BQ527" s="1723"/>
      <c r="BR527" s="1725"/>
      <c r="BS527" s="1723"/>
      <c r="BT527" s="1725"/>
      <c r="BU527" s="1726"/>
      <c r="BV527" s="1727"/>
      <c r="BW527" s="1726"/>
      <c r="BX527" s="1727"/>
      <c r="BY527" s="1723"/>
      <c r="BZ527" s="1725"/>
      <c r="CA527" s="1723"/>
      <c r="CB527" s="1725"/>
      <c r="CC527" s="1726">
        <f>IF(T609&gt;0,1,0)</f>
        <v>0</v>
      </c>
      <c r="CD527" s="1727"/>
      <c r="CE527" s="1726">
        <f>IF(Y609&gt;=0.1,1,0)</f>
        <v>0</v>
      </c>
      <c r="CF527" s="1727"/>
      <c r="CG527"/>
      <c r="CH527"/>
      <c r="CI527"/>
      <c r="CJ527"/>
    </row>
    <row r="528" spans="1:122" s="4" customFormat="1" ht="12.8"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26">
        <f>SUM(BM523:BN527)</f>
        <v>0</v>
      </c>
      <c r="BN528" s="1727"/>
      <c r="BO528" s="1726">
        <f>SUM(BO523:BP527)</f>
        <v>0</v>
      </c>
      <c r="BP528" s="1727"/>
      <c r="BQ528" s="1726">
        <f>SUM(BQ523:BR527)</f>
        <v>1</v>
      </c>
      <c r="BR528" s="1727"/>
      <c r="BS528" s="1726">
        <f>SUM(BS523:BT527)</f>
        <v>1</v>
      </c>
      <c r="BT528" s="1727"/>
      <c r="BU528" s="1726">
        <f>SUM(BU523:BV527)</f>
        <v>1</v>
      </c>
      <c r="BV528" s="1727"/>
      <c r="BW528" s="1726">
        <f>SUM(BW523:BX527)</f>
        <v>1</v>
      </c>
      <c r="BX528" s="1727"/>
      <c r="BY528" s="1726">
        <f>SUM(BY523:BZ527)</f>
        <v>1</v>
      </c>
      <c r="BZ528" s="1727"/>
      <c r="CA528" s="1726">
        <f>SUM(CA523:CB527)</f>
        <v>1</v>
      </c>
      <c r="CB528" s="1727"/>
      <c r="CC528" s="1726">
        <f>SUM(CC523:CD527)</f>
        <v>0</v>
      </c>
      <c r="CD528" s="1727"/>
      <c r="CE528" s="1726">
        <f>SUM(CE523:CF527)</f>
        <v>0</v>
      </c>
      <c r="CF528" s="1727"/>
      <c r="CG528"/>
      <c r="CH528"/>
      <c r="CI528"/>
      <c r="CJ528"/>
    </row>
    <row r="529" spans="1:89" s="4" customFormat="1" ht="12.8" hidden="1" customHeight="1">
      <c r="A529" s="35"/>
      <c r="B529" s="4" t="s">
        <v>1395</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35" t="s">
        <v>484</v>
      </c>
      <c r="AQ529" s="1736"/>
      <c r="AR529" s="1736"/>
      <c r="AS529" s="1736"/>
      <c r="AT529" s="1737"/>
      <c r="AU529" s="1735" t="s">
        <v>485</v>
      </c>
      <c r="AV529" s="1736"/>
      <c r="AW529" s="1736"/>
      <c r="AX529" s="1736"/>
      <c r="AY529" s="1737"/>
      <c r="BM529" s="1723">
        <f>SUM(BM528:BP528)</f>
        <v>0</v>
      </c>
      <c r="BN529" s="1724"/>
      <c r="BO529" s="1724"/>
      <c r="BP529" s="1725"/>
      <c r="BQ529" s="1723">
        <f>SUM(BQ528:BT528)</f>
        <v>2</v>
      </c>
      <c r="BR529" s="1724"/>
      <c r="BS529" s="1724"/>
      <c r="BT529" s="1725"/>
      <c r="BU529" s="1723">
        <f>SUM(BU528:BX528)</f>
        <v>2</v>
      </c>
      <c r="BV529" s="1724"/>
      <c r="BW529" s="1724"/>
      <c r="BX529" s="1725"/>
      <c r="BY529" s="1723">
        <f>SUM(BY528:CB528)</f>
        <v>2</v>
      </c>
      <c r="BZ529" s="1724"/>
      <c r="CA529" s="1724"/>
      <c r="CB529" s="1725"/>
      <c r="CC529" s="1723">
        <f>SUM(CC528:CF528)</f>
        <v>0</v>
      </c>
      <c r="CD529" s="1724"/>
      <c r="CE529" s="1724"/>
      <c r="CF529" s="1725"/>
      <c r="CG529"/>
      <c r="CH529"/>
      <c r="CI529"/>
      <c r="CJ529"/>
    </row>
    <row r="530" spans="1:89" s="4" customFormat="1" ht="12.8" hidden="1" customHeight="1">
      <c r="A530" s="35"/>
      <c r="B530" s="4" t="s">
        <v>1396</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720">
        <f>RANK(T605,$T$605:$X$609,0)+COUNTIF($T$605:$X$609,T605)-1</f>
        <v>5</v>
      </c>
      <c r="AQ530" s="1721"/>
      <c r="AR530" s="1721"/>
      <c r="AS530" s="1721"/>
      <c r="AT530" s="1722"/>
      <c r="AU530" s="1720">
        <f>RANK(Y605,$Y$605:$AC$609,0)+COUNTIF($Y$605:$AC$609,Y605)-1</f>
        <v>5</v>
      </c>
      <c r="AV530" s="1721"/>
      <c r="AW530" s="1721"/>
      <c r="AX530" s="1721"/>
      <c r="AY530" s="1722"/>
      <c r="BM530" s="1723"/>
      <c r="BN530" s="1724"/>
      <c r="BO530" s="1724"/>
      <c r="BP530" s="1725"/>
      <c r="BQ530" s="1723">
        <f>IF(AND(BQ529=2,BM529=1),1,0)</f>
        <v>0</v>
      </c>
      <c r="BR530" s="1724"/>
      <c r="BS530" s="1724"/>
      <c r="BT530" s="1725"/>
      <c r="BU530" s="1723">
        <f>IF(AND(BU529=2,BQ529=1),1,0)</f>
        <v>0</v>
      </c>
      <c r="BV530" s="1724"/>
      <c r="BW530" s="1724"/>
      <c r="BX530" s="1725"/>
      <c r="BY530" s="1723">
        <f>IF(AND(BY529=2,BU529=1),1,0)</f>
        <v>0</v>
      </c>
      <c r="BZ530" s="1724"/>
      <c r="CA530" s="1724"/>
      <c r="CB530" s="1725"/>
      <c r="CC530" s="1723">
        <f>IF(AND(CC529=2,BU529=1),1,0)</f>
        <v>0</v>
      </c>
      <c r="CD530" s="1724"/>
      <c r="CE530" s="1724"/>
      <c r="CF530" s="1725"/>
      <c r="CG530"/>
      <c r="CH530"/>
      <c r="CI530"/>
      <c r="CJ530"/>
    </row>
    <row r="531" spans="1:89" s="4" customFormat="1" ht="12.8" hidden="1" customHeight="1">
      <c r="A531" s="35"/>
      <c r="B531" s="4" t="s">
        <v>2243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720">
        <f>RANK(T606,$T$605:$X$609,0)+COUNTIF($T$605:$X$609,T606)-1</f>
        <v>2</v>
      </c>
      <c r="AQ531" s="1721"/>
      <c r="AR531" s="1721"/>
      <c r="AS531" s="1721"/>
      <c r="AT531" s="1722"/>
      <c r="AU531" s="1720">
        <f>RANK(Y606,$Y$605:$AC$609,0)+COUNTIF($Y$605:$AC$609,Y606)-1</f>
        <v>1</v>
      </c>
      <c r="AV531" s="1721"/>
      <c r="AW531" s="1721"/>
      <c r="AX531" s="1721"/>
      <c r="AY531" s="1722"/>
      <c r="BM531" s="1723"/>
      <c r="BN531" s="1724"/>
      <c r="BO531" s="1724"/>
      <c r="BP531" s="1725"/>
      <c r="BQ531" s="1723"/>
      <c r="BR531" s="1724"/>
      <c r="BS531" s="1724"/>
      <c r="BT531" s="1725"/>
      <c r="BU531" s="1723">
        <f>IF(AND(BU529=2,BM529=1),1,0)</f>
        <v>0</v>
      </c>
      <c r="BV531" s="1724"/>
      <c r="BW531" s="1724"/>
      <c r="BX531" s="1725"/>
      <c r="BY531" s="1723">
        <f>IF(AND(BY529=2,BQ529=1),1,0)</f>
        <v>0</v>
      </c>
      <c r="BZ531" s="1724"/>
      <c r="CA531" s="1724"/>
      <c r="CB531" s="1725"/>
      <c r="CC531" s="1723">
        <f>IF(AND(CC530=2,BY530=1),1,0)</f>
        <v>0</v>
      </c>
      <c r="CD531" s="1724"/>
      <c r="CE531" s="1724"/>
      <c r="CF531" s="1725"/>
      <c r="CG531"/>
      <c r="CH531"/>
      <c r="CI531"/>
      <c r="CJ531"/>
    </row>
    <row r="532" spans="1:89" s="4" customFormat="1" ht="12.8" hidden="1" customHeight="1">
      <c r="A532" s="35"/>
      <c r="B532" s="4" t="s">
        <v>1565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20">
        <f>RANK(T607,$T$605:$X$609,0)+COUNTIF($T$605:$X$609,T607)-1</f>
        <v>1</v>
      </c>
      <c r="AQ532" s="1721"/>
      <c r="AR532" s="1721"/>
      <c r="AS532" s="1721"/>
      <c r="AT532" s="1722"/>
      <c r="AU532" s="1720">
        <f>RANK(Y607,$Y$605:$AC$609,0)+COUNTIF($Y$605:$AC$609,Y607)-1</f>
        <v>2</v>
      </c>
      <c r="AV532" s="1721"/>
      <c r="AW532" s="1721"/>
      <c r="AX532" s="1721"/>
      <c r="AY532" s="1722"/>
      <c r="BM532" s="1723"/>
      <c r="BN532" s="1724"/>
      <c r="BO532" s="1724"/>
      <c r="BP532" s="1725"/>
      <c r="BQ532" s="1723"/>
      <c r="BR532" s="1724"/>
      <c r="BS532" s="1724"/>
      <c r="BT532" s="1725"/>
      <c r="BU532" s="1723"/>
      <c r="BV532" s="1724"/>
      <c r="BW532" s="1724"/>
      <c r="BX532" s="1725"/>
      <c r="BY532" s="1723">
        <f>IF(AND(BY529=2,BM529=1),1,0)</f>
        <v>0</v>
      </c>
      <c r="BZ532" s="1724"/>
      <c r="CA532" s="1724"/>
      <c r="CB532" s="1725"/>
      <c r="CC532" s="1723">
        <f>IF(AND(CC529=2,BQ529=1),1,0)</f>
        <v>0</v>
      </c>
      <c r="CD532" s="1724"/>
      <c r="CE532" s="1724"/>
      <c r="CF532" s="1725"/>
      <c r="CG532"/>
      <c r="CH532"/>
      <c r="CI532"/>
      <c r="CJ532"/>
    </row>
    <row r="533" spans="1:89" s="4" customFormat="1" ht="12.8" hidden="1" customHeight="1">
      <c r="A533" s="35"/>
      <c r="B533" s="4" t="s">
        <v>2244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720">
        <f>RANK(T608,$T$605:$X$609,0)+COUNTIF($T$605:$X$609,T608)-1</f>
        <v>3</v>
      </c>
      <c r="AQ533" s="1721"/>
      <c r="AR533" s="1721"/>
      <c r="AS533" s="1721"/>
      <c r="AT533" s="1722"/>
      <c r="AU533" s="1720">
        <f>RANK(Y608,$Y$605:$AC$609,0)+COUNTIF($Y$605:$AC$609,Y608)-1</f>
        <v>3</v>
      </c>
      <c r="AV533" s="1721"/>
      <c r="AW533" s="1721"/>
      <c r="AX533" s="1721"/>
      <c r="AY533" s="1722"/>
      <c r="BM533" s="1723"/>
      <c r="BN533" s="1724"/>
      <c r="BO533" s="1724"/>
      <c r="BP533" s="1725"/>
      <c r="BQ533" s="1723"/>
      <c r="BR533" s="1724"/>
      <c r="BS533" s="1724"/>
      <c r="BT533" s="1725"/>
      <c r="BU533" s="1723"/>
      <c r="BV533" s="1724"/>
      <c r="BW533" s="1724"/>
      <c r="BX533" s="1725"/>
      <c r="BY533" s="1723"/>
      <c r="BZ533" s="1724"/>
      <c r="CA533" s="1724"/>
      <c r="CB533" s="1725"/>
      <c r="CC533" s="1723">
        <f>IF(AND(CC529=2,BM529=1),1,0)</f>
        <v>0</v>
      </c>
      <c r="CD533" s="1724"/>
      <c r="CE533" s="1724"/>
      <c r="CF533" s="1725"/>
      <c r="CG533"/>
      <c r="CH533"/>
      <c r="CI533"/>
      <c r="CJ533"/>
    </row>
    <row r="534" spans="1:89" s="4" customFormat="1" ht="12.8" hidden="1" customHeight="1">
      <c r="A534" s="35"/>
      <c r="B534" s="4" t="s">
        <v>1566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720">
        <f>RANK(T609,$T$605:$X$609,0)+COUNTIF($T$605:$X$609,T609)-1</f>
        <v>5</v>
      </c>
      <c r="AQ534" s="1721"/>
      <c r="AR534" s="1721"/>
      <c r="AS534" s="1721"/>
      <c r="AT534" s="1722"/>
      <c r="AU534" s="1720">
        <f>RANK(Y609,$Y$605:$AC$609,0)+COUNTIF($Y$605:$AC$609,Y609)-1</f>
        <v>5</v>
      </c>
      <c r="AV534" s="1721"/>
      <c r="AW534" s="1721"/>
      <c r="AX534" s="1721"/>
      <c r="AY534" s="1722"/>
      <c r="BM534" s="1723">
        <f>SUM(BM530:BP533)</f>
        <v>0</v>
      </c>
      <c r="BN534" s="1724"/>
      <c r="BO534" s="1724"/>
      <c r="BP534" s="1725"/>
      <c r="BQ534" s="1723">
        <f>SUM(BQ530:BT533)</f>
        <v>0</v>
      </c>
      <c r="BR534" s="1724"/>
      <c r="BS534" s="1724"/>
      <c r="BT534" s="1725"/>
      <c r="BU534" s="1723">
        <f>SUM(BU530:BX533)</f>
        <v>0</v>
      </c>
      <c r="BV534" s="1724"/>
      <c r="BW534" s="1724"/>
      <c r="BX534" s="1725"/>
      <c r="BY534" s="1723">
        <f>SUM(BY530:CB533)</f>
        <v>0</v>
      </c>
      <c r="BZ534" s="1724"/>
      <c r="CA534" s="1724"/>
      <c r="CB534" s="1725"/>
      <c r="CC534" s="1723">
        <f>SUM(CC530:CF533)</f>
        <v>0</v>
      </c>
      <c r="CD534" s="1724"/>
      <c r="CE534" s="1724"/>
      <c r="CF534" s="1725"/>
      <c r="CG534" s="1723">
        <f>SUM(BM534:CF534)</f>
        <v>0</v>
      </c>
      <c r="CH534" s="1724"/>
      <c r="CI534" s="1724"/>
      <c r="CJ534" s="1725"/>
    </row>
    <row r="535" spans="1:89" s="4" customFormat="1" ht="12.8" hidden="1" customHeight="1">
      <c r="A535" s="35"/>
      <c r="B535" s="4" t="s">
        <v>1567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8"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8"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35">
        <f>SUM(AG481:AG526)</f>
        <v>0</v>
      </c>
      <c r="AL537" s="1236"/>
      <c r="AM537" s="1237"/>
      <c r="AN537" s="281"/>
      <c r="AP537" s="145" t="s">
        <v>650</v>
      </c>
      <c r="AQ537" s="146"/>
      <c r="AR537" s="146"/>
      <c r="AS537" s="146"/>
      <c r="AT537" s="146"/>
      <c r="AU537" s="146"/>
      <c r="AV537" s="146"/>
      <c r="AW537" s="146"/>
      <c r="AX537" s="146"/>
      <c r="AY537" s="146"/>
      <c r="AZ537" s="147"/>
      <c r="CH537" s="63" t="s">
        <v>1176</v>
      </c>
      <c r="CK537" s="62"/>
    </row>
    <row r="538" spans="1:89" s="4" customFormat="1" ht="12.8"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26">
        <f>SUM(O605:S609)</f>
        <v>59</v>
      </c>
      <c r="AZ538" s="1727"/>
      <c r="CG538"/>
      <c r="CH538" s="1850" t="s">
        <v>812</v>
      </c>
      <c r="CI538" s="1196"/>
      <c r="CJ538" s="1196"/>
      <c r="CK538" s="1197"/>
    </row>
    <row r="539" spans="1:89" s="4" customFormat="1" ht="12.8"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26" t="str">
        <f>IF(AY538=BK565,"passed","failed")</f>
        <v>passed</v>
      </c>
      <c r="AT539" s="1728"/>
      <c r="AU539" s="1727"/>
      <c r="AV539" s="151"/>
      <c r="AW539" s="151"/>
      <c r="AX539" s="151"/>
      <c r="AY539" s="151"/>
      <c r="AZ539" s="152"/>
      <c r="CG539"/>
      <c r="CH539" s="1198"/>
      <c r="CI539" s="1199"/>
      <c r="CJ539" s="1199"/>
      <c r="CK539" s="1200"/>
    </row>
    <row r="540" spans="1:89" s="4" customFormat="1" ht="12.8" customHeight="1">
      <c r="A540" s="3" t="s">
        <v>2042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35" t="s">
        <v>390</v>
      </c>
      <c r="AF540" s="1835"/>
      <c r="AG540" s="1835"/>
      <c r="AH540" s="1835"/>
      <c r="AI540" s="1835"/>
      <c r="AJ540" s="1835"/>
      <c r="AK540" s="1835"/>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198"/>
      <c r="CI540" s="1199"/>
      <c r="CJ540" s="1199"/>
      <c r="CK540" s="1200"/>
    </row>
    <row r="541" spans="1:89" s="4" customFormat="1" ht="12.8" customHeight="1">
      <c r="B541" s="128" t="s">
        <v>2043</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31" t="s">
        <v>193</v>
      </c>
      <c r="AH541" s="1731"/>
      <c r="AI541" s="1731"/>
      <c r="AJ541" s="1731"/>
      <c r="AK541" s="18"/>
      <c r="AL541" s="18"/>
      <c r="AM541" s="21"/>
      <c r="AN541" s="281"/>
      <c r="BE541" s="1723" t="s">
        <v>238</v>
      </c>
      <c r="BF541" s="1724"/>
      <c r="BG541" s="1724"/>
      <c r="BH541" s="1725"/>
      <c r="BI541" s="1723" t="s">
        <v>752</v>
      </c>
      <c r="BJ541" s="1724"/>
      <c r="BK541" s="1724"/>
      <c r="BL541" s="1725"/>
      <c r="BM541" s="1723" t="s">
        <v>753</v>
      </c>
      <c r="BN541" s="1724"/>
      <c r="BO541" s="1724"/>
      <c r="BP541" s="1725"/>
      <c r="BQ541" s="1723" t="s">
        <v>754</v>
      </c>
      <c r="BR541" s="1724"/>
      <c r="BS541" s="1724"/>
      <c r="BT541" s="1725"/>
      <c r="BU541" s="1723" t="s">
        <v>755</v>
      </c>
      <c r="BV541" s="1724"/>
      <c r="BW541" s="1724"/>
      <c r="BX541" s="1725"/>
      <c r="BY541" s="1723" t="s">
        <v>239</v>
      </c>
      <c r="BZ541" s="1724"/>
      <c r="CA541" s="1724"/>
      <c r="CB541" s="1725"/>
      <c r="CC541"/>
      <c r="CG541"/>
      <c r="CH541" s="1198"/>
      <c r="CI541" s="1199"/>
      <c r="CJ541" s="1199"/>
      <c r="CK541" s="1200"/>
    </row>
    <row r="542" spans="1:89" s="4" customFormat="1" ht="12.8" customHeight="1">
      <c r="A542" s="3"/>
      <c r="B542" s="1692" t="s">
        <v>1796</v>
      </c>
      <c r="C542" s="1692"/>
      <c r="D542" s="1692"/>
      <c r="E542" s="1692"/>
      <c r="F542" s="1692"/>
      <c r="G542" s="1692"/>
      <c r="H542" s="1692"/>
      <c r="I542" s="1692"/>
      <c r="J542" s="1692"/>
      <c r="K542" s="1692"/>
      <c r="L542" s="1692"/>
      <c r="M542" s="1692"/>
      <c r="N542" s="1692"/>
      <c r="O542" s="1692"/>
      <c r="P542" s="1692"/>
      <c r="Q542" s="1692"/>
      <c r="R542" s="1692"/>
      <c r="S542" s="1692"/>
      <c r="T542" s="1692"/>
      <c r="U542" s="1692"/>
      <c r="V542" s="1692"/>
      <c r="W542" s="1692"/>
      <c r="X542" s="1692"/>
      <c r="Y542" s="1692"/>
      <c r="Z542" s="1692"/>
      <c r="AA542" s="1692"/>
      <c r="AB542" s="1692"/>
      <c r="AC542" s="1692"/>
      <c r="AD542" s="1692"/>
      <c r="AE542" s="1692"/>
      <c r="AF542" s="1692"/>
      <c r="AG542" s="1692"/>
      <c r="AK542" s="21"/>
      <c r="AL542" s="21"/>
      <c r="AN542" s="281"/>
      <c r="AP542" s="446" t="s">
        <v>649</v>
      </c>
      <c r="AQ542" s="447"/>
      <c r="AR542" s="447"/>
      <c r="AS542" s="447"/>
      <c r="AT542" s="447"/>
      <c r="AU542" s="447"/>
      <c r="AV542" s="448"/>
      <c r="AW542" s="447"/>
      <c r="AX542" s="447"/>
      <c r="AY542" s="448"/>
      <c r="BE542" s="1726">
        <f>IF(CH543=1,0,1)</f>
        <v>0</v>
      </c>
      <c r="BF542" s="1728"/>
      <c r="BG542" s="1728"/>
      <c r="BH542" s="1727"/>
      <c r="BI542" s="1726"/>
      <c r="BJ542" s="1728"/>
      <c r="BK542" s="1728"/>
      <c r="BL542" s="1727"/>
      <c r="BM542" s="1726"/>
      <c r="BN542" s="1728"/>
      <c r="BO542" s="1728"/>
      <c r="BP542" s="1727"/>
      <c r="BQ542" s="1726"/>
      <c r="BR542" s="1728"/>
      <c r="BS542" s="1728"/>
      <c r="BT542" s="1727"/>
      <c r="BU542" s="1723"/>
      <c r="BV542" s="1724"/>
      <c r="BW542" s="1724"/>
      <c r="BX542" s="1725"/>
      <c r="BY542" s="1723"/>
      <c r="BZ542" s="1724"/>
      <c r="CA542" s="1724"/>
      <c r="CB542" s="1725"/>
      <c r="CC542"/>
      <c r="CG542"/>
      <c r="CH542" s="1201"/>
      <c r="CI542" s="1202"/>
      <c r="CJ542" s="1202"/>
      <c r="CK542" s="1203"/>
    </row>
    <row r="543" spans="1:89" s="4" customFormat="1" ht="12.8" customHeight="1">
      <c r="A543" s="20"/>
      <c r="B543" s="1692"/>
      <c r="C543" s="1692"/>
      <c r="D543" s="1692"/>
      <c r="E543" s="1692"/>
      <c r="F543" s="1692"/>
      <c r="G543" s="1692"/>
      <c r="H543" s="1692"/>
      <c r="I543" s="1692"/>
      <c r="J543" s="1692"/>
      <c r="K543" s="1692"/>
      <c r="L543" s="1692"/>
      <c r="M543" s="1692"/>
      <c r="N543" s="1692"/>
      <c r="O543" s="1692"/>
      <c r="P543" s="1692"/>
      <c r="Q543" s="1692"/>
      <c r="R543" s="1692"/>
      <c r="S543" s="1692"/>
      <c r="T543" s="1692"/>
      <c r="U543" s="1692"/>
      <c r="V543" s="1692"/>
      <c r="W543" s="1692"/>
      <c r="X543" s="1692"/>
      <c r="Y543" s="1692"/>
      <c r="Z543" s="1692"/>
      <c r="AA543" s="1692"/>
      <c r="AB543" s="1692"/>
      <c r="AC543" s="1692"/>
      <c r="AD543" s="1692"/>
      <c r="AE543" s="1692"/>
      <c r="AF543" s="1692"/>
      <c r="AG543" s="1692"/>
      <c r="AK543" s="163"/>
      <c r="AL543" s="163"/>
      <c r="AM543" s="163"/>
      <c r="AN543" s="281"/>
      <c r="AP543" s="449" t="s">
        <v>647</v>
      </c>
      <c r="AQ543" s="450"/>
      <c r="AR543" s="450"/>
      <c r="AS543" s="450"/>
      <c r="AT543" s="450"/>
      <c r="AU543" s="1729">
        <f>ROUNDUP(BK565*0.1,0)</f>
        <v>6</v>
      </c>
      <c r="AV543" s="1730"/>
      <c r="AW543" s="450"/>
      <c r="AX543" s="450">
        <f>AU543-AP545</f>
        <v>-6</v>
      </c>
      <c r="AY543" s="451"/>
      <c r="BE543" s="1726"/>
      <c r="BF543" s="1728"/>
      <c r="BG543" s="1728"/>
      <c r="BH543" s="1727"/>
      <c r="BI543" s="1726">
        <f>IF(AND(CH544=1,BE542=0),0,1)</f>
        <v>0</v>
      </c>
      <c r="BJ543" s="1728"/>
      <c r="BK543" s="1728"/>
      <c r="BL543" s="1727"/>
      <c r="BM543" s="1726"/>
      <c r="BN543" s="1728"/>
      <c r="BO543" s="1728"/>
      <c r="BP543" s="1727"/>
      <c r="BQ543" s="1726"/>
      <c r="BR543" s="1728"/>
      <c r="BS543" s="1728"/>
      <c r="BT543" s="1727"/>
      <c r="BU543" s="1723"/>
      <c r="BV543" s="1724"/>
      <c r="BW543" s="1724"/>
      <c r="BX543" s="1725"/>
      <c r="BY543" s="1723"/>
      <c r="BZ543" s="1724"/>
      <c r="CA543" s="1724"/>
      <c r="CB543" s="1725"/>
      <c r="CC543"/>
      <c r="CG543"/>
      <c r="CH543" s="1723">
        <f>IF(OR(Y605=0,Y605&gt;=0.1),1,0)</f>
        <v>1</v>
      </c>
      <c r="CI543" s="1724"/>
      <c r="CJ543" s="1724"/>
      <c r="CK543" s="1725"/>
    </row>
    <row r="544" spans="1:89" s="4" customFormat="1" ht="12.8" customHeight="1">
      <c r="B544" s="1692"/>
      <c r="C544" s="1692"/>
      <c r="D544" s="1692"/>
      <c r="E544" s="1692"/>
      <c r="F544" s="1692"/>
      <c r="G544" s="1692"/>
      <c r="H544" s="1692"/>
      <c r="I544" s="1692"/>
      <c r="J544" s="1692"/>
      <c r="K544" s="1692"/>
      <c r="L544" s="1692"/>
      <c r="M544" s="1692"/>
      <c r="N544" s="1692"/>
      <c r="O544" s="1692"/>
      <c r="P544" s="1692"/>
      <c r="Q544" s="1692"/>
      <c r="R544" s="1692"/>
      <c r="S544" s="1692"/>
      <c r="T544" s="1692"/>
      <c r="U544" s="1692"/>
      <c r="V544" s="1692"/>
      <c r="W544" s="1692"/>
      <c r="X544" s="1692"/>
      <c r="Y544" s="1692"/>
      <c r="Z544" s="1692"/>
      <c r="AA544" s="1692"/>
      <c r="AB544" s="1692"/>
      <c r="AC544" s="1692"/>
      <c r="AD544" s="1692"/>
      <c r="AE544" s="1692"/>
      <c r="AF544" s="1692"/>
      <c r="AG544" s="1692"/>
      <c r="AH544" s="162"/>
      <c r="AI544" s="162"/>
      <c r="AJ544" s="162"/>
      <c r="AK544" s="163"/>
      <c r="AL544" s="163"/>
      <c r="AM544" s="163"/>
      <c r="AN544" s="281"/>
      <c r="AP544" s="449"/>
      <c r="AQ544" s="450"/>
      <c r="AR544" s="450"/>
      <c r="AS544" s="450"/>
      <c r="AT544" s="450"/>
      <c r="AU544" s="450"/>
      <c r="AV544" s="451"/>
      <c r="AW544" s="450"/>
      <c r="AX544" s="450"/>
      <c r="AY544" s="451"/>
      <c r="BE544" s="1726"/>
      <c r="BF544" s="1728"/>
      <c r="BG544" s="1728"/>
      <c r="BH544" s="1727"/>
      <c r="BI544" s="1726"/>
      <c r="BJ544" s="1728"/>
      <c r="BK544" s="1728"/>
      <c r="BL544" s="1727"/>
      <c r="BM544" s="1726">
        <f>IF(AND(AND(CH545=1,BI543=0,BE542=0)),0,1)</f>
        <v>0</v>
      </c>
      <c r="BN544" s="1728"/>
      <c r="BO544" s="1728"/>
      <c r="BP544" s="1727"/>
      <c r="BQ544" s="1726"/>
      <c r="BR544" s="1728"/>
      <c r="BS544" s="1728"/>
      <c r="BT544" s="1727"/>
      <c r="BU544" s="1723"/>
      <c r="BV544" s="1724"/>
      <c r="BW544" s="1724"/>
      <c r="BX544" s="1725"/>
      <c r="BY544" s="1723"/>
      <c r="BZ544" s="1724"/>
      <c r="CA544" s="1724"/>
      <c r="CB544" s="1725"/>
      <c r="CC544"/>
      <c r="CG544"/>
      <c r="CH544" s="1723">
        <f>IF(OR(Y606=0,Y606&gt;=0.1),1,0)</f>
        <v>1</v>
      </c>
      <c r="CI544" s="1724"/>
      <c r="CJ544" s="1724"/>
      <c r="CK544" s="1725"/>
    </row>
    <row r="545" spans="2:89" s="4" customFormat="1" ht="12.8" customHeight="1">
      <c r="B545" s="1692"/>
      <c r="C545" s="1692"/>
      <c r="D545" s="1692"/>
      <c r="E545" s="1692"/>
      <c r="F545" s="1692"/>
      <c r="G545" s="1692"/>
      <c r="H545" s="1692"/>
      <c r="I545" s="1692"/>
      <c r="J545" s="1692"/>
      <c r="K545" s="1692"/>
      <c r="L545" s="1692"/>
      <c r="M545" s="1692"/>
      <c r="N545" s="1692"/>
      <c r="O545" s="1692"/>
      <c r="P545" s="1692"/>
      <c r="Q545" s="1692"/>
      <c r="R545" s="1692"/>
      <c r="S545" s="1692"/>
      <c r="T545" s="1692"/>
      <c r="U545" s="1692"/>
      <c r="V545" s="1692"/>
      <c r="W545" s="1692"/>
      <c r="X545" s="1692"/>
      <c r="Y545" s="1692"/>
      <c r="Z545" s="1692"/>
      <c r="AA545" s="1692"/>
      <c r="AB545" s="1692"/>
      <c r="AC545" s="1692"/>
      <c r="AD545" s="1692"/>
      <c r="AE545" s="1692"/>
      <c r="AF545" s="1692"/>
      <c r="AG545" s="1692"/>
      <c r="AH545" s="162"/>
      <c r="AI545" s="162"/>
      <c r="AJ545" s="162"/>
      <c r="AK545" s="163"/>
      <c r="AL545" s="163"/>
      <c r="AM545" s="163"/>
      <c r="AN545" s="281"/>
      <c r="AP545" s="1758">
        <f>SUM(T605:X609)</f>
        <v>12</v>
      </c>
      <c r="AQ545" s="1759"/>
      <c r="AR545" s="1759"/>
      <c r="AS545" s="1759"/>
      <c r="AT545" s="1760"/>
      <c r="AU545" s="450"/>
      <c r="AV545" s="451"/>
      <c r="AW545" s="450"/>
      <c r="AX545" s="450"/>
      <c r="AY545" s="451"/>
      <c r="BE545" s="1726"/>
      <c r="BF545" s="1728"/>
      <c r="BG545" s="1728"/>
      <c r="BH545" s="1727"/>
      <c r="BI545" s="1726"/>
      <c r="BJ545" s="1728"/>
      <c r="BK545" s="1728"/>
      <c r="BL545" s="1727"/>
      <c r="BM545" s="1726"/>
      <c r="BN545" s="1728"/>
      <c r="BO545" s="1728"/>
      <c r="BP545" s="1727"/>
      <c r="BQ545" s="1726">
        <f>IF(AND(AND(AND(CH546=1,BM544=0,BI543=0,BE542=0))),0,1)</f>
        <v>0</v>
      </c>
      <c r="BR545" s="1728"/>
      <c r="BS545" s="1728"/>
      <c r="BT545" s="1727"/>
      <c r="BU545" s="1723"/>
      <c r="BV545" s="1724"/>
      <c r="BW545" s="1724"/>
      <c r="BX545" s="1725"/>
      <c r="BY545" s="1723"/>
      <c r="BZ545" s="1724"/>
      <c r="CA545" s="1724"/>
      <c r="CB545" s="1725"/>
      <c r="CC545"/>
      <c r="CG545"/>
      <c r="CH545" s="1723">
        <f>IF(OR(Y607=0,Y607&gt;=0.1),1,0)</f>
        <v>1</v>
      </c>
      <c r="CI545" s="1724"/>
      <c r="CJ545" s="1724"/>
      <c r="CK545" s="1725"/>
    </row>
    <row r="546" spans="2:89" s="4" customFormat="1" ht="12.8" customHeight="1">
      <c r="B546" s="1692"/>
      <c r="C546" s="1692"/>
      <c r="D546" s="1692"/>
      <c r="E546" s="1692"/>
      <c r="F546" s="1692"/>
      <c r="G546" s="1692"/>
      <c r="H546" s="1692"/>
      <c r="I546" s="1692"/>
      <c r="J546" s="1692"/>
      <c r="K546" s="1692"/>
      <c r="L546" s="1692"/>
      <c r="M546" s="1692"/>
      <c r="N546" s="1692"/>
      <c r="O546" s="1692"/>
      <c r="P546" s="1692"/>
      <c r="Q546" s="1692"/>
      <c r="R546" s="1692"/>
      <c r="S546" s="1692"/>
      <c r="T546" s="1692"/>
      <c r="U546" s="1692"/>
      <c r="V546" s="1692"/>
      <c r="W546" s="1692"/>
      <c r="X546" s="1692"/>
      <c r="Y546" s="1692"/>
      <c r="Z546" s="1692"/>
      <c r="AA546" s="1692"/>
      <c r="AB546" s="1692"/>
      <c r="AC546" s="1692"/>
      <c r="AD546" s="1692"/>
      <c r="AE546" s="1692"/>
      <c r="AF546" s="1692"/>
      <c r="AG546" s="1692"/>
      <c r="AH546" s="162"/>
      <c r="AI546" s="162"/>
      <c r="AJ546" s="162"/>
      <c r="AK546" s="163"/>
      <c r="AL546" s="163"/>
      <c r="AM546" s="163"/>
      <c r="AN546" s="281"/>
      <c r="AP546" s="452"/>
      <c r="AQ546" s="453"/>
      <c r="AR546" s="453"/>
      <c r="AS546" s="453"/>
      <c r="AT546" s="454" t="s">
        <v>642</v>
      </c>
      <c r="AU546" s="1729" t="str">
        <f>IF(AP545&gt;=AU543,"passed","failed")</f>
        <v>passed</v>
      </c>
      <c r="AV546" s="1861"/>
      <c r="AW546" s="1730"/>
      <c r="AX546" s="455"/>
      <c r="AY546" s="456"/>
      <c r="BE546" s="1726"/>
      <c r="BF546" s="1728"/>
      <c r="BG546" s="1728"/>
      <c r="BH546" s="1727"/>
      <c r="BI546" s="1726"/>
      <c r="BJ546" s="1728"/>
      <c r="BK546" s="1728"/>
      <c r="BL546" s="1727"/>
      <c r="BM546" s="1726"/>
      <c r="BN546" s="1728"/>
      <c r="BO546" s="1728"/>
      <c r="BP546" s="1727"/>
      <c r="BQ546" s="1726"/>
      <c r="BR546" s="1728"/>
      <c r="BS546" s="1728"/>
      <c r="BT546" s="1727"/>
      <c r="BU546" s="1726">
        <f>IF(AND(AND(AND(AND(CH547=1,BQ545=0,BM544=0,BI543=0,BE542=0)))),0,1)</f>
        <v>0</v>
      </c>
      <c r="BV546" s="1728"/>
      <c r="BW546" s="1728"/>
      <c r="BX546" s="1727"/>
      <c r="BY546" s="1723"/>
      <c r="BZ546" s="1724"/>
      <c r="CA546" s="1724"/>
      <c r="CB546" s="1725"/>
      <c r="CC546"/>
      <c r="CD546"/>
      <c r="CE546"/>
      <c r="CF546"/>
      <c r="CG546"/>
      <c r="CH546" s="1723">
        <f>IF(OR(Y608=0,Y608&gt;=0.1),1,0)</f>
        <v>1</v>
      </c>
      <c r="CI546" s="1724"/>
      <c r="CJ546" s="1724"/>
      <c r="CK546" s="1725"/>
    </row>
    <row r="547" spans="2:89" s="4" customFormat="1" ht="13.75" customHeight="1">
      <c r="B547" s="1692"/>
      <c r="C547" s="1692"/>
      <c r="D547" s="1692"/>
      <c r="E547" s="1692"/>
      <c r="F547" s="1692"/>
      <c r="G547" s="1692"/>
      <c r="H547" s="1692"/>
      <c r="I547" s="1692"/>
      <c r="J547" s="1692"/>
      <c r="K547" s="1692"/>
      <c r="L547" s="1692"/>
      <c r="M547" s="1692"/>
      <c r="N547" s="1692"/>
      <c r="O547" s="1692"/>
      <c r="P547" s="1692"/>
      <c r="Q547" s="1692"/>
      <c r="R547" s="1692"/>
      <c r="S547" s="1692"/>
      <c r="T547" s="1692"/>
      <c r="U547" s="1692"/>
      <c r="V547" s="1692"/>
      <c r="W547" s="1692"/>
      <c r="X547" s="1692"/>
      <c r="Y547" s="1692"/>
      <c r="Z547" s="1692"/>
      <c r="AA547" s="1692"/>
      <c r="AB547" s="1692"/>
      <c r="AC547" s="1692"/>
      <c r="AD547" s="1692"/>
      <c r="AE547" s="1692"/>
      <c r="AF547" s="1692"/>
      <c r="AG547" s="1692"/>
      <c r="AH547" s="162"/>
      <c r="AI547" s="162"/>
      <c r="AJ547" s="162"/>
      <c r="AK547" s="163"/>
      <c r="AL547" s="163"/>
      <c r="AM547" s="163"/>
      <c r="AN547" s="281"/>
      <c r="BE547" s="1726">
        <f>SUM(BE542:BH546)</f>
        <v>0</v>
      </c>
      <c r="BF547" s="1728"/>
      <c r="BG547" s="1728"/>
      <c r="BH547" s="1727"/>
      <c r="BI547" s="1726">
        <f>SUM(BI542:BL546)</f>
        <v>0</v>
      </c>
      <c r="BJ547" s="1728"/>
      <c r="BK547" s="1728"/>
      <c r="BL547" s="1727"/>
      <c r="BM547" s="1726">
        <f>SUM(BM542:BP546)</f>
        <v>0</v>
      </c>
      <c r="BN547" s="1728"/>
      <c r="BO547" s="1728"/>
      <c r="BP547" s="1727"/>
      <c r="BQ547" s="1726">
        <f>SUM(BQ542:BT546)</f>
        <v>0</v>
      </c>
      <c r="BR547" s="1728"/>
      <c r="BS547" s="1728"/>
      <c r="BT547" s="1727"/>
      <c r="BU547" s="1726">
        <f>SUM(BU542:BX546)</f>
        <v>0</v>
      </c>
      <c r="BV547" s="1728"/>
      <c r="BW547" s="1728"/>
      <c r="BX547" s="1727"/>
      <c r="BY547" s="1726">
        <f>SUM(BY542:CB546)</f>
        <v>0</v>
      </c>
      <c r="BZ547" s="1728"/>
      <c r="CA547" s="1728"/>
      <c r="CB547" s="1727"/>
      <c r="CC547" s="1723">
        <f>IF(AND(CH543=1,T605&gt;0),0,SUM(BE547:CB547))</f>
        <v>0</v>
      </c>
      <c r="CD547" s="1724"/>
      <c r="CE547" s="1724"/>
      <c r="CF547" s="1725"/>
      <c r="CG547"/>
      <c r="CH547" s="1723">
        <f>IF(OR(Y609=0,Y609&gt;=0.1),1,0)</f>
        <v>1</v>
      </c>
      <c r="CI547" s="1724"/>
      <c r="CJ547" s="1724"/>
      <c r="CK547" s="1725"/>
    </row>
    <row r="548" spans="2:89" s="4" customFormat="1" ht="12.45" customHeight="1">
      <c r="B548" s="1865" t="s">
        <v>1569</v>
      </c>
      <c r="C548" s="1865"/>
      <c r="D548" s="1865"/>
      <c r="E548" s="1865"/>
      <c r="F548" s="1865"/>
      <c r="G548" s="1865"/>
      <c r="H548" s="1865"/>
      <c r="I548" s="1865"/>
      <c r="J548" s="1865"/>
      <c r="K548" s="1865"/>
      <c r="L548" s="1865"/>
      <c r="M548" s="1865"/>
      <c r="N548" s="1865"/>
      <c r="O548" s="1865"/>
      <c r="P548" s="1865"/>
      <c r="Q548" s="1865"/>
      <c r="R548" s="1865"/>
      <c r="S548" s="1865"/>
      <c r="T548" s="1865"/>
      <c r="U548" s="1865"/>
      <c r="V548" s="1865"/>
      <c r="W548" s="1865"/>
      <c r="X548" s="1865"/>
      <c r="Y548" s="1865"/>
      <c r="Z548" s="1865"/>
      <c r="AA548" s="1865"/>
      <c r="AB548" s="1865"/>
      <c r="AC548" s="1865"/>
      <c r="AD548" s="1865"/>
      <c r="AE548" s="1865"/>
      <c r="AF548" s="1865"/>
      <c r="AG548" s="1865"/>
      <c r="AH548" s="162"/>
      <c r="AI548" s="162"/>
      <c r="AJ548" s="162"/>
      <c r="AK548" s="163"/>
      <c r="AL548" s="163"/>
      <c r="AM548" s="163"/>
      <c r="AN548" s="281"/>
    </row>
    <row r="549" spans="2:89" s="4" customFormat="1" ht="20.95" customHeight="1">
      <c r="B549" s="1865"/>
      <c r="C549" s="1865"/>
      <c r="D549" s="1865"/>
      <c r="E549" s="1865"/>
      <c r="F549" s="1865"/>
      <c r="G549" s="1865"/>
      <c r="H549" s="1865"/>
      <c r="I549" s="1865"/>
      <c r="J549" s="1865"/>
      <c r="K549" s="1865"/>
      <c r="L549" s="1865"/>
      <c r="M549" s="1865"/>
      <c r="N549" s="1865"/>
      <c r="O549" s="1865"/>
      <c r="P549" s="1865"/>
      <c r="Q549" s="1865"/>
      <c r="R549" s="1865"/>
      <c r="S549" s="1865"/>
      <c r="T549" s="1865"/>
      <c r="U549" s="1865"/>
      <c r="V549" s="1865"/>
      <c r="W549" s="1865"/>
      <c r="X549" s="1865"/>
      <c r="Y549" s="1865"/>
      <c r="Z549" s="1865"/>
      <c r="AA549" s="1865"/>
      <c r="AB549" s="1865"/>
      <c r="AC549" s="1865"/>
      <c r="AD549" s="1865"/>
      <c r="AE549" s="1865"/>
      <c r="AF549" s="1865"/>
      <c r="AG549" s="1865"/>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8" customHeight="1">
      <c r="B550" s="1865" t="s">
        <v>1840</v>
      </c>
      <c r="C550" s="1865"/>
      <c r="D550" s="1865"/>
      <c r="E550" s="1865"/>
      <c r="F550" s="1865"/>
      <c r="G550" s="1865"/>
      <c r="H550" s="1865"/>
      <c r="I550" s="1865"/>
      <c r="J550" s="1865"/>
      <c r="K550" s="1865"/>
      <c r="L550" s="1865"/>
      <c r="M550" s="1865"/>
      <c r="N550" s="1865"/>
      <c r="O550" s="1865"/>
      <c r="P550" s="1865"/>
      <c r="Q550" s="1865"/>
      <c r="R550" s="1865"/>
      <c r="S550" s="1865"/>
      <c r="T550" s="1865"/>
      <c r="U550" s="1865"/>
      <c r="V550" s="1865"/>
      <c r="W550" s="1865"/>
      <c r="X550" s="1865"/>
      <c r="Y550" s="1865"/>
      <c r="Z550" s="1865"/>
      <c r="AA550" s="1865"/>
      <c r="AB550" s="1865"/>
      <c r="AC550" s="1865"/>
      <c r="AD550" s="1865"/>
      <c r="AE550" s="1865"/>
      <c r="AF550" s="1865"/>
      <c r="AG550" s="695"/>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8" customHeight="1">
      <c r="B551" s="1865"/>
      <c r="C551" s="1865"/>
      <c r="D551" s="1865"/>
      <c r="E551" s="1865"/>
      <c r="F551" s="1865"/>
      <c r="G551" s="1865"/>
      <c r="H551" s="1865"/>
      <c r="I551" s="1865"/>
      <c r="J551" s="1865"/>
      <c r="K551" s="1865"/>
      <c r="L551" s="1865"/>
      <c r="M551" s="1865"/>
      <c r="N551" s="1865"/>
      <c r="O551" s="1865"/>
      <c r="P551" s="1865"/>
      <c r="Q551" s="1865"/>
      <c r="R551" s="1865"/>
      <c r="S551" s="1865"/>
      <c r="T551" s="1865"/>
      <c r="U551" s="1865"/>
      <c r="V551" s="1865"/>
      <c r="W551" s="1865"/>
      <c r="X551" s="1865"/>
      <c r="Y551" s="1865"/>
      <c r="Z551" s="1865"/>
      <c r="AA551" s="1865"/>
      <c r="AB551" s="1865"/>
      <c r="AC551" s="1865"/>
      <c r="AD551" s="1865"/>
      <c r="AE551" s="1865"/>
      <c r="AF551" s="1865"/>
      <c r="AG551" s="162"/>
      <c r="AH551" s="162"/>
      <c r="AI551" s="162"/>
      <c r="AJ551" s="162"/>
      <c r="AK551" s="163"/>
      <c r="AL551" s="163"/>
      <c r="AM551" s="163"/>
      <c r="AN551" s="281"/>
      <c r="AP551" s="150"/>
      <c r="AQ551" s="151"/>
      <c r="AR551" s="151"/>
      <c r="AS551" s="151"/>
      <c r="AT551" s="157" t="s">
        <v>642</v>
      </c>
      <c r="AU551" s="151"/>
      <c r="AV551" s="1726" t="str">
        <f>IF(BJ587&gt;0,"failed","passed")</f>
        <v>failed</v>
      </c>
      <c r="AW551" s="1728"/>
      <c r="AX551" s="1728"/>
      <c r="AY551" s="1727"/>
    </row>
    <row r="552" spans="2:89" s="4" customFormat="1" ht="12.45" customHeight="1">
      <c r="B552" s="696" t="s">
        <v>1573</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8" customHeight="1">
      <c r="B553" s="224" t="s">
        <v>1838</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8" customHeight="1">
      <c r="B554" s="35"/>
      <c r="D554" s="164"/>
      <c r="E554" s="165"/>
      <c r="I554" s="216"/>
      <c r="J554" s="217"/>
      <c r="K554" s="218"/>
      <c r="L554" s="218"/>
      <c r="M554" s="218"/>
      <c r="N554" s="218"/>
      <c r="O554" s="218"/>
      <c r="P554" s="219"/>
      <c r="Q554" s="1898" t="s">
        <v>1570</v>
      </c>
      <c r="R554" s="1898"/>
      <c r="S554" s="1898"/>
      <c r="T554" s="1898"/>
      <c r="U554" s="1898"/>
      <c r="V554" s="1898"/>
      <c r="W554" s="1898"/>
      <c r="X554" s="1898"/>
      <c r="Y554" s="1898"/>
      <c r="Z554" s="1898"/>
      <c r="AA554" s="1898"/>
      <c r="AB554" s="1898"/>
      <c r="AC554" s="1898"/>
      <c r="AD554" s="1898"/>
      <c r="AE554" s="1898"/>
      <c r="AF554" s="1898"/>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8" customHeight="1">
      <c r="B555" s="3"/>
      <c r="I555" s="220"/>
      <c r="J555" s="162"/>
      <c r="N555" s="18"/>
      <c r="O555" s="18"/>
      <c r="P555" s="221"/>
      <c r="Q555" s="1898"/>
      <c r="R555" s="1898"/>
      <c r="S555" s="1898"/>
      <c r="T555" s="1898"/>
      <c r="U555" s="1898"/>
      <c r="V555" s="1898"/>
      <c r="W555" s="1898"/>
      <c r="X555" s="1898"/>
      <c r="Y555" s="1898"/>
      <c r="Z555" s="1898"/>
      <c r="AA555" s="1898"/>
      <c r="AB555" s="1898"/>
      <c r="AC555" s="1898"/>
      <c r="AD555" s="1898"/>
      <c r="AE555" s="1898"/>
      <c r="AF555" s="1898"/>
      <c r="AN555" s="281"/>
      <c r="AP555" s="53" t="s">
        <v>748</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8" customHeight="1" thickBot="1">
      <c r="B556" s="63"/>
      <c r="I556" s="222"/>
      <c r="J556" s="223"/>
      <c r="K556" s="170"/>
      <c r="L556" s="170"/>
      <c r="M556" s="170"/>
      <c r="N556" s="193"/>
      <c r="O556" s="193"/>
      <c r="P556" s="199"/>
      <c r="Q556" s="1710" t="s">
        <v>1839</v>
      </c>
      <c r="R556" s="1711"/>
      <c r="S556" s="1775" t="s">
        <v>218</v>
      </c>
      <c r="T556" s="1775"/>
      <c r="U556" s="1710">
        <v>0.5</v>
      </c>
      <c r="V556" s="1711"/>
      <c r="W556" s="1710">
        <v>0.45</v>
      </c>
      <c r="X556" s="1711"/>
      <c r="Y556" s="1710">
        <v>0.4</v>
      </c>
      <c r="Z556" s="1711"/>
      <c r="AA556" s="1710">
        <v>0.35</v>
      </c>
      <c r="AB556" s="1711"/>
      <c r="AC556" s="1859">
        <v>0.3</v>
      </c>
      <c r="AD556" s="1860"/>
      <c r="AE556" s="1710">
        <v>0.2</v>
      </c>
      <c r="AF556" s="1711"/>
      <c r="AN556" s="281"/>
      <c r="BL556"/>
      <c r="BM556"/>
      <c r="BN556"/>
      <c r="BO556"/>
      <c r="BP556"/>
      <c r="BQ556"/>
      <c r="BR556"/>
      <c r="BS556"/>
      <c r="BT556"/>
      <c r="BU556"/>
      <c r="BV556"/>
      <c r="BW556"/>
      <c r="BX556"/>
      <c r="BY556"/>
      <c r="BZ556"/>
      <c r="CA556"/>
      <c r="CB556"/>
      <c r="CC556"/>
      <c r="CD556"/>
      <c r="CE556"/>
      <c r="CF556"/>
      <c r="CG556"/>
      <c r="CH556"/>
    </row>
    <row r="557" spans="2:89" s="4" customFormat="1" ht="12.8" customHeight="1">
      <c r="B557" s="63"/>
      <c r="I557" s="220"/>
      <c r="J557" s="162"/>
      <c r="N557" s="5"/>
      <c r="O557" s="1707"/>
      <c r="P557" s="1708"/>
      <c r="Q557" s="1905"/>
      <c r="R557" s="1866"/>
      <c r="S557" s="1874"/>
      <c r="T557" s="1874"/>
      <c r="U557" s="1866"/>
      <c r="V557" s="1866"/>
      <c r="W557" s="1866"/>
      <c r="X557" s="1866"/>
      <c r="Y557" s="1866"/>
      <c r="Z557" s="1866"/>
      <c r="AA557" s="1869"/>
      <c r="AB557" s="1869"/>
      <c r="AC557" s="1866"/>
      <c r="AD557" s="1866"/>
      <c r="AE557" s="1857"/>
      <c r="AF557" s="1858"/>
      <c r="AN557" s="281"/>
      <c r="AP557" s="144" t="s">
        <v>749</v>
      </c>
      <c r="AQ557" s="9"/>
      <c r="AR557" s="9"/>
      <c r="AS557" s="9"/>
      <c r="AT557" s="1723" t="str">
        <f>IF(OR(AV551="passed",BD555="passed"),"passed","failed")</f>
        <v>passed</v>
      </c>
      <c r="AU557" s="1724"/>
      <c r="AV557" s="1724"/>
      <c r="AW557" s="1724"/>
      <c r="AX557" s="1725"/>
    </row>
    <row r="558" spans="2:89" s="4" customFormat="1" ht="12.8" customHeight="1">
      <c r="B558" s="63"/>
      <c r="I558" s="220"/>
      <c r="J558" s="162"/>
      <c r="N558" s="5"/>
      <c r="O558" s="1707"/>
      <c r="P558" s="1708"/>
      <c r="Q558" s="1873"/>
      <c r="R558" s="1700"/>
      <c r="S558" s="1700"/>
      <c r="T558" s="1700"/>
      <c r="U558" s="1700"/>
      <c r="V558" s="1700"/>
      <c r="W558" s="1700"/>
      <c r="X558" s="1700"/>
      <c r="Y558" s="1673"/>
      <c r="Z558" s="1673"/>
      <c r="AA558" s="1700"/>
      <c r="AB558" s="1700"/>
      <c r="AC558" s="1673"/>
      <c r="AD558" s="1673"/>
      <c r="AE558" s="1753"/>
      <c r="AF558" s="1754"/>
      <c r="AN558" s="281"/>
      <c r="AP558"/>
      <c r="AQ558"/>
      <c r="AR558"/>
      <c r="AS558"/>
      <c r="AT558"/>
      <c r="AU558"/>
      <c r="AV558"/>
      <c r="AW558"/>
      <c r="AX558"/>
      <c r="AY558"/>
    </row>
    <row r="559" spans="2:89" s="4" customFormat="1" ht="12.8" customHeight="1">
      <c r="B559" s="63"/>
      <c r="I559" s="220"/>
      <c r="J559" s="162"/>
      <c r="N559" s="5"/>
      <c r="O559" s="1707"/>
      <c r="P559" s="1708"/>
      <c r="Q559" s="1873"/>
      <c r="R559" s="1700"/>
      <c r="S559" s="1700"/>
      <c r="T559" s="1700"/>
      <c r="U559" s="1700"/>
      <c r="V559" s="1700"/>
      <c r="W559" s="1700"/>
      <c r="X559" s="1700"/>
      <c r="Y559" s="1700"/>
      <c r="Z559" s="1700"/>
      <c r="AA559" s="1673"/>
      <c r="AB559" s="1673"/>
      <c r="AC559" s="1700"/>
      <c r="AD559" s="1700"/>
      <c r="AE559" s="1696"/>
      <c r="AF559" s="1697"/>
      <c r="AN559" s="281"/>
      <c r="AP559" s="153" t="s">
        <v>643</v>
      </c>
      <c r="AQ559" s="154"/>
      <c r="AR559" s="154"/>
      <c r="AS559" s="154"/>
      <c r="AT559" s="154"/>
      <c r="AU559" s="154"/>
      <c r="AV559" s="155"/>
      <c r="AW559" s="1862" t="str">
        <f>IF(AND(AND(AND(AND(AS539="passed",AU546="passed",BD555="passed",SUM(T605:X609)&gt;1)))),"YES","NO")</f>
        <v>YES</v>
      </c>
      <c r="AX559" s="1863"/>
      <c r="AY559" s="1864"/>
      <c r="AZ559" s="40"/>
      <c r="BA559" s="40"/>
      <c r="BB559" s="40"/>
      <c r="BC559" s="40"/>
      <c r="BD559" s="40"/>
      <c r="BE559" s="21"/>
      <c r="BF559" s="21"/>
      <c r="BG559" s="21"/>
    </row>
    <row r="560" spans="2:89" s="4" customFormat="1" ht="12.8" customHeight="1">
      <c r="B560" s="63"/>
      <c r="I560" s="220"/>
      <c r="J560" s="162"/>
      <c r="N560" s="5"/>
      <c r="O560" s="1707"/>
      <c r="P560" s="1708"/>
      <c r="Q560" s="1873"/>
      <c r="R560" s="1700"/>
      <c r="S560" s="1700"/>
      <c r="T560" s="1700"/>
      <c r="U560" s="1700"/>
      <c r="V560" s="1700"/>
      <c r="W560" s="1700"/>
      <c r="X560" s="1700"/>
      <c r="Y560" s="1673"/>
      <c r="Z560" s="1673"/>
      <c r="AA560" s="1700"/>
      <c r="AB560" s="1700"/>
      <c r="AC560" s="1673"/>
      <c r="AD560" s="1673"/>
      <c r="AE560" s="1753"/>
      <c r="AF560" s="1754"/>
      <c r="AN560" s="281"/>
    </row>
    <row r="561" spans="1:96" s="4" customFormat="1" ht="12.8" customHeight="1">
      <c r="B561" s="63"/>
      <c r="I561" s="220"/>
      <c r="J561" s="162"/>
      <c r="N561" s="5"/>
      <c r="O561" s="1707"/>
      <c r="P561" s="1708"/>
      <c r="Q561" s="1873"/>
      <c r="R561" s="1700"/>
      <c r="S561" s="1700"/>
      <c r="T561" s="1700"/>
      <c r="U561" s="1700"/>
      <c r="V561" s="1700"/>
      <c r="W561" s="1673"/>
      <c r="X561" s="1673"/>
      <c r="Y561" s="1700"/>
      <c r="Z561" s="1700"/>
      <c r="AA561" s="1673"/>
      <c r="AB561" s="1673"/>
      <c r="AC561" s="1700"/>
      <c r="AD561" s="1700"/>
      <c r="AE561" s="1696"/>
      <c r="AF561" s="1697"/>
      <c r="AN561" s="281"/>
    </row>
    <row r="562" spans="1:96" s="4" customFormat="1" ht="12.8" customHeight="1">
      <c r="B562" s="63"/>
      <c r="I562" s="220"/>
      <c r="J562" s="162"/>
      <c r="N562" s="5"/>
      <c r="O562" s="1707"/>
      <c r="P562" s="1708"/>
      <c r="Q562" s="1873"/>
      <c r="R562" s="1700"/>
      <c r="S562" s="1700"/>
      <c r="T562" s="1700"/>
      <c r="U562" s="1700"/>
      <c r="V562" s="1700"/>
      <c r="W562" s="1700"/>
      <c r="X562" s="1700"/>
      <c r="Y562" s="1673"/>
      <c r="Z562" s="1673"/>
      <c r="AA562" s="1700"/>
      <c r="AB562" s="1700"/>
      <c r="AC562" s="1673"/>
      <c r="AD562" s="1673"/>
      <c r="AE562" s="1753"/>
      <c r="AF562" s="1754"/>
      <c r="AN562" s="281"/>
      <c r="AU562" s="21"/>
      <c r="AV562" s="21"/>
      <c r="AW562" s="8"/>
      <c r="AX562" s="9"/>
      <c r="AY562" s="9"/>
      <c r="AZ562" s="60" t="s">
        <v>1173</v>
      </c>
      <c r="BA562" s="1842" t="s">
        <v>750</v>
      </c>
      <c r="BB562" s="1843"/>
      <c r="BC562" s="1843"/>
      <c r="BD562" s="1843"/>
      <c r="BE562" s="1844"/>
      <c r="BF562" s="1870">
        <f>SUM(O605:S609)</f>
        <v>59</v>
      </c>
      <c r="BG562" s="1871"/>
      <c r="BH562" s="1871"/>
      <c r="BI562" s="1871"/>
      <c r="BJ562" s="1872"/>
      <c r="BK562" s="1677">
        <f>SUM(T605:X609)</f>
        <v>12</v>
      </c>
      <c r="BL562" s="1678"/>
      <c r="BM562" s="1678"/>
      <c r="BN562" s="1678"/>
      <c r="BO562" s="1679"/>
    </row>
    <row r="563" spans="1:96" s="4" customFormat="1" ht="12.8" customHeight="1">
      <c r="B563" s="35"/>
      <c r="I563" s="1565" t="s">
        <v>1568</v>
      </c>
      <c r="J563" s="1566"/>
      <c r="K563" s="1566"/>
      <c r="L563" s="1566"/>
      <c r="M563" s="1566"/>
      <c r="N563" s="1567"/>
      <c r="O563" s="1707">
        <v>0.5</v>
      </c>
      <c r="P563" s="1708"/>
      <c r="Q563" s="1908"/>
      <c r="R563" s="1752"/>
      <c r="S563" s="1700"/>
      <c r="T563" s="1700"/>
      <c r="U563" s="1897" t="s">
        <v>1572</v>
      </c>
      <c r="V563" s="1897"/>
      <c r="W563" s="1907">
        <v>37.5</v>
      </c>
      <c r="X563" s="1907"/>
      <c r="Y563" s="1752"/>
      <c r="Z563" s="1752"/>
      <c r="AA563" s="1907"/>
      <c r="AB563" s="1907"/>
      <c r="AC563" s="1752"/>
      <c r="AD563" s="1752"/>
      <c r="AE563" s="1867"/>
      <c r="AF563" s="1868"/>
      <c r="AN563" s="281"/>
      <c r="CL563"/>
      <c r="CM563"/>
    </row>
    <row r="564" spans="1:96" s="4" customFormat="1" ht="12.8" customHeight="1">
      <c r="B564" s="120"/>
      <c r="C564" s="61"/>
      <c r="I564" s="1565"/>
      <c r="J564" s="1566"/>
      <c r="K564" s="1566"/>
      <c r="L564" s="1566"/>
      <c r="M564" s="1566"/>
      <c r="N564" s="1567"/>
      <c r="O564" s="1707">
        <v>0.45</v>
      </c>
      <c r="P564" s="1708"/>
      <c r="Q564" s="1873"/>
      <c r="R564" s="1700"/>
      <c r="S564" s="1700"/>
      <c r="T564" s="1700"/>
      <c r="U564" s="1672" t="s">
        <v>140</v>
      </c>
      <c r="V564" s="1672"/>
      <c r="W564" s="1673">
        <v>33.799999999999997</v>
      </c>
      <c r="X564" s="1673"/>
      <c r="Y564" s="1673"/>
      <c r="Z564" s="1673"/>
      <c r="AA564" s="1700"/>
      <c r="AB564" s="1700"/>
      <c r="AC564" s="1673"/>
      <c r="AD564" s="1673"/>
      <c r="AE564" s="1753"/>
      <c r="AF564" s="1754"/>
      <c r="AN564" s="281"/>
      <c r="CL564"/>
      <c r="CM564"/>
    </row>
    <row r="565" spans="1:96" s="4" customFormat="1" ht="12.8" customHeight="1">
      <c r="B565" s="5"/>
      <c r="C565" s="5"/>
      <c r="D565" s="5"/>
      <c r="E565" s="5"/>
      <c r="I565" s="1565"/>
      <c r="J565" s="1566"/>
      <c r="K565" s="1566"/>
      <c r="L565" s="1566"/>
      <c r="M565" s="1566"/>
      <c r="N565" s="1567"/>
      <c r="O565" s="1707">
        <v>0.4</v>
      </c>
      <c r="P565" s="1708"/>
      <c r="Q565" s="1873"/>
      <c r="R565" s="1700"/>
      <c r="S565" s="1672" t="s">
        <v>1571</v>
      </c>
      <c r="T565" s="1672"/>
      <c r="U565" s="1673">
        <v>20</v>
      </c>
      <c r="V565" s="1673"/>
      <c r="W565" s="1673">
        <v>30</v>
      </c>
      <c r="X565" s="1673"/>
      <c r="Y565" s="1673"/>
      <c r="Z565" s="1673"/>
      <c r="AA565" s="1673"/>
      <c r="AB565" s="1673"/>
      <c r="AC565" s="1673"/>
      <c r="AD565" s="1673"/>
      <c r="AE565" s="1753"/>
      <c r="AF565" s="1754"/>
      <c r="AN565" s="281"/>
      <c r="AP565" s="1746" t="s">
        <v>219</v>
      </c>
      <c r="AQ565" s="1747"/>
      <c r="AR565" s="1747"/>
      <c r="AS565" s="1747"/>
      <c r="AT565" s="1747"/>
      <c r="AU565" s="1747"/>
      <c r="AV565" s="1747"/>
      <c r="AW565" s="1747"/>
      <c r="AX565" s="1747"/>
      <c r="AY565" s="1747"/>
      <c r="AZ565" s="1747"/>
      <c r="BA565" s="1747"/>
      <c r="BB565" s="1747"/>
      <c r="BC565" s="1747"/>
      <c r="BD565" s="1747"/>
      <c r="BE565" s="1747"/>
      <c r="BF565" s="1747"/>
      <c r="BG565" s="1747"/>
      <c r="BH565" s="1747"/>
      <c r="BI565" s="1747"/>
      <c r="BJ565" s="1748"/>
      <c r="BK565" s="1851">
        <f>BF562</f>
        <v>59</v>
      </c>
      <c r="BL565" s="1852"/>
      <c r="BM565" s="1852"/>
      <c r="BN565" s="1852"/>
      <c r="BO565" s="1853"/>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8" customHeight="1">
      <c r="B566" s="5"/>
      <c r="C566" s="5"/>
      <c r="D566" s="5"/>
      <c r="E566" s="5"/>
      <c r="I566" s="1565"/>
      <c r="J566" s="1566"/>
      <c r="K566" s="1566"/>
      <c r="L566" s="1566"/>
      <c r="M566" s="1566"/>
      <c r="N566" s="1567"/>
      <c r="O566" s="1707">
        <v>0.35</v>
      </c>
      <c r="P566" s="1708"/>
      <c r="Q566" s="1873"/>
      <c r="R566" s="1700"/>
      <c r="S566" s="1672" t="s">
        <v>1841</v>
      </c>
      <c r="T566" s="1672"/>
      <c r="U566" s="1673">
        <v>17.5</v>
      </c>
      <c r="V566" s="1673"/>
      <c r="W566" s="1673">
        <v>26.3</v>
      </c>
      <c r="X566" s="1673"/>
      <c r="Y566" s="1673">
        <v>35</v>
      </c>
      <c r="Z566" s="1673"/>
      <c r="AA566" s="1673"/>
      <c r="AB566" s="1673"/>
      <c r="AC566" s="1673">
        <v>50</v>
      </c>
      <c r="AD566" s="1673"/>
      <c r="AE566" s="1753"/>
      <c r="AF566" s="1754"/>
      <c r="AN566" s="281"/>
      <c r="AP566" s="1749"/>
      <c r="AQ566" s="1750"/>
      <c r="AR566" s="1750"/>
      <c r="AS566" s="1750"/>
      <c r="AT566" s="1750"/>
      <c r="AU566" s="1750"/>
      <c r="AV566" s="1750"/>
      <c r="AW566" s="1750"/>
      <c r="AX566" s="1750"/>
      <c r="AY566" s="1750"/>
      <c r="AZ566" s="1750"/>
      <c r="BA566" s="1750"/>
      <c r="BB566" s="1750"/>
      <c r="BC566" s="1750"/>
      <c r="BD566" s="1750"/>
      <c r="BE566" s="1750"/>
      <c r="BF566" s="1750"/>
      <c r="BG566" s="1750"/>
      <c r="BH566" s="1750"/>
      <c r="BI566" s="1750"/>
      <c r="BJ566" s="1751"/>
      <c r="BK566" s="1854"/>
      <c r="BL566" s="1855"/>
      <c r="BM566" s="1855"/>
      <c r="BN566" s="1855"/>
      <c r="BO566" s="1856"/>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8" customHeight="1">
      <c r="B567" s="5"/>
      <c r="C567" s="5"/>
      <c r="D567" s="5"/>
      <c r="E567" s="5"/>
      <c r="I567" s="1565"/>
      <c r="J567" s="1566"/>
      <c r="K567" s="1566"/>
      <c r="L567" s="1566"/>
      <c r="M567" s="1566"/>
      <c r="N567" s="1567"/>
      <c r="O567" s="1707">
        <v>0.3</v>
      </c>
      <c r="P567" s="1708"/>
      <c r="Q567" s="1873"/>
      <c r="R567" s="1700"/>
      <c r="S567" s="1672" t="s">
        <v>1842</v>
      </c>
      <c r="T567" s="1672"/>
      <c r="U567" s="1673">
        <v>15</v>
      </c>
      <c r="V567" s="1673"/>
      <c r="W567" s="1673">
        <v>22.5</v>
      </c>
      <c r="X567" s="1673"/>
      <c r="Y567" s="1673">
        <v>30</v>
      </c>
      <c r="Z567" s="1673"/>
      <c r="AA567" s="1673">
        <v>37.5</v>
      </c>
      <c r="AB567" s="1673"/>
      <c r="AC567" s="1673">
        <v>45</v>
      </c>
      <c r="AD567" s="1673"/>
      <c r="AE567" s="1753"/>
      <c r="AF567" s="1754"/>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6">
        <v>5</v>
      </c>
      <c r="BK567" s="1067"/>
      <c r="BL567" s="1067"/>
      <c r="BM567" s="1067"/>
      <c r="BN567" s="1068"/>
      <c r="BO567" s="1066">
        <v>4</v>
      </c>
      <c r="BP567" s="1067"/>
      <c r="BQ567" s="1067"/>
      <c r="BR567" s="1067"/>
      <c r="BS567" s="1068"/>
      <c r="BT567" s="1066">
        <v>3</v>
      </c>
      <c r="BU567" s="1067"/>
      <c r="BV567" s="1067"/>
      <c r="BW567" s="1067"/>
      <c r="BX567" s="1068"/>
      <c r="BY567" s="1066">
        <v>2</v>
      </c>
      <c r="BZ567" s="1067"/>
      <c r="CA567" s="1067"/>
      <c r="CB567" s="1067"/>
      <c r="CC567" s="1068"/>
      <c r="CD567" s="1066">
        <v>1</v>
      </c>
      <c r="CE567" s="1067"/>
      <c r="CF567" s="1067"/>
      <c r="CG567" s="1067"/>
      <c r="CH567" s="1068"/>
      <c r="CI567" s="1066">
        <v>0</v>
      </c>
      <c r="CJ567" s="1067"/>
      <c r="CK567" s="1067"/>
      <c r="CL567" s="1067"/>
      <c r="CM567" s="1068"/>
      <c r="CN567" s="21"/>
      <c r="CO567" s="21"/>
      <c r="CP567" s="21"/>
      <c r="CQ567" s="21"/>
      <c r="CR567" s="21"/>
    </row>
    <row r="568" spans="1:96" s="4" customFormat="1" ht="12.8" customHeight="1">
      <c r="B568" s="5"/>
      <c r="C568" s="5"/>
      <c r="D568" s="5"/>
      <c r="E568" s="5"/>
      <c r="I568" s="1565"/>
      <c r="J568" s="1566"/>
      <c r="K568" s="1566"/>
      <c r="L568" s="1566"/>
      <c r="M568" s="1566"/>
      <c r="N568" s="1567"/>
      <c r="O568" s="1707">
        <v>0.25</v>
      </c>
      <c r="P568" s="1708"/>
      <c r="Q568" s="1873"/>
      <c r="R568" s="1700"/>
      <c r="S568" s="1672" t="s">
        <v>1843</v>
      </c>
      <c r="T568" s="1672"/>
      <c r="U568" s="1673">
        <v>12.5</v>
      </c>
      <c r="V568" s="1673"/>
      <c r="W568" s="1673">
        <v>18.8</v>
      </c>
      <c r="X568" s="1673"/>
      <c r="Y568" s="1673">
        <v>25</v>
      </c>
      <c r="Z568" s="1673"/>
      <c r="AA568" s="1673">
        <v>31.3</v>
      </c>
      <c r="AB568" s="1673"/>
      <c r="AC568" s="1673">
        <v>37.5</v>
      </c>
      <c r="AD568" s="1673"/>
      <c r="AE568" s="1753">
        <v>50</v>
      </c>
      <c r="AF568" s="1754"/>
      <c r="AN568" s="281"/>
      <c r="AP568" s="1847" t="str">
        <f t="shared" ref="AP568:AP574" si="0">J604</f>
        <v>5 BR</v>
      </c>
      <c r="AQ568" s="1848"/>
      <c r="AR568" s="1848"/>
      <c r="AS568" s="1848"/>
      <c r="AT568" s="1849"/>
      <c r="AU568" s="1070">
        <f t="shared" ref="AU568:AU573" si="1">O604</f>
        <v>0</v>
      </c>
      <c r="AV568" s="1071"/>
      <c r="AW568" s="1071"/>
      <c r="AX568" s="1071"/>
      <c r="AY568" s="1072"/>
      <c r="AZ568" s="1070">
        <f t="shared" ref="AZ568:AZ573" si="2">T604</f>
        <v>0</v>
      </c>
      <c r="BA568" s="1071"/>
      <c r="BB568" s="1071"/>
      <c r="BC568" s="1071"/>
      <c r="BD568" s="1072"/>
      <c r="BE568" s="1448">
        <f t="shared" ref="BE568:BE573" si="3">Y604</f>
        <v>0</v>
      </c>
      <c r="BF568" s="1449"/>
      <c r="BG568" s="1449"/>
      <c r="BH568" s="1449"/>
      <c r="BI568" s="1450"/>
      <c r="BJ568" s="1066">
        <f>IF(OR(AP578=0,BE568&gt;=0.1),0,1)</f>
        <v>0</v>
      </c>
      <c r="BK568" s="1067"/>
      <c r="BL568" s="1067"/>
      <c r="BM568" s="1067"/>
      <c r="BN568" s="1068"/>
      <c r="BO568" s="1066"/>
      <c r="BP568" s="1067"/>
      <c r="BQ568" s="1067"/>
      <c r="BR568" s="1067"/>
      <c r="BS568" s="1068"/>
      <c r="BT568" s="1066"/>
      <c r="BU568" s="1067"/>
      <c r="BV568" s="1067"/>
      <c r="BW568" s="1067"/>
      <c r="BX568" s="1068"/>
      <c r="BY568" s="1066"/>
      <c r="BZ568" s="1067"/>
      <c r="CA568" s="1067"/>
      <c r="CB568" s="1067"/>
      <c r="CC568" s="1068"/>
      <c r="CD568" s="1066"/>
      <c r="CE568" s="1067"/>
      <c r="CF568" s="1067"/>
      <c r="CG568" s="1067"/>
      <c r="CH568" s="1068"/>
      <c r="CI568" s="1066"/>
      <c r="CJ568" s="1067"/>
      <c r="CK568" s="1067"/>
      <c r="CL568" s="1067"/>
      <c r="CM568" s="1068"/>
      <c r="CN568" s="21"/>
      <c r="CO568" s="21"/>
      <c r="CP568" s="21"/>
      <c r="CQ568" s="21"/>
      <c r="CR568" s="21"/>
    </row>
    <row r="569" spans="1:96" s="4" customFormat="1" ht="12.8" customHeight="1">
      <c r="A569" s="120"/>
      <c r="B569" s="5"/>
      <c r="C569" s="5"/>
      <c r="D569" s="5"/>
      <c r="E569" s="5"/>
      <c r="I569" s="1565"/>
      <c r="J569" s="1566"/>
      <c r="K569" s="1566"/>
      <c r="L569" s="1566"/>
      <c r="M569" s="1566"/>
      <c r="N569" s="1567"/>
      <c r="O569" s="1707">
        <v>0.2</v>
      </c>
      <c r="P569" s="1708"/>
      <c r="Q569" s="1873"/>
      <c r="R569" s="1700"/>
      <c r="S569" s="1904" t="s">
        <v>1846</v>
      </c>
      <c r="T569" s="1904"/>
      <c r="U569" s="1673">
        <v>10</v>
      </c>
      <c r="V569" s="1673"/>
      <c r="W569" s="1673">
        <v>15</v>
      </c>
      <c r="X569" s="1673"/>
      <c r="Y569" s="1673">
        <v>20</v>
      </c>
      <c r="Z569" s="1673"/>
      <c r="AA569" s="1673">
        <v>25</v>
      </c>
      <c r="AB569" s="1673"/>
      <c r="AC569" s="1673">
        <v>30</v>
      </c>
      <c r="AD569" s="1673"/>
      <c r="AE569" s="1753">
        <v>40</v>
      </c>
      <c r="AF569" s="1754"/>
      <c r="AN569" s="281"/>
      <c r="AP569" s="1847" t="str">
        <f t="shared" si="0"/>
        <v>4 BR</v>
      </c>
      <c r="AQ569" s="1848"/>
      <c r="AR569" s="1848"/>
      <c r="AS569" s="1848"/>
      <c r="AT569" s="1849"/>
      <c r="AU569" s="1070">
        <f t="shared" si="1"/>
        <v>0</v>
      </c>
      <c r="AV569" s="1071"/>
      <c r="AW569" s="1071"/>
      <c r="AX569" s="1071"/>
      <c r="AY569" s="1072"/>
      <c r="AZ569" s="1070">
        <f t="shared" si="2"/>
        <v>0</v>
      </c>
      <c r="BA569" s="1071"/>
      <c r="BB569" s="1071"/>
      <c r="BC569" s="1071"/>
      <c r="BD569" s="1072"/>
      <c r="BE569" s="1448">
        <f t="shared" si="3"/>
        <v>0</v>
      </c>
      <c r="BF569" s="1449"/>
      <c r="BG569" s="1449"/>
      <c r="BH569" s="1449"/>
      <c r="BI569" s="1450"/>
      <c r="BJ569" s="1066"/>
      <c r="BK569" s="1067"/>
      <c r="BL569" s="1067"/>
      <c r="BM569" s="1067"/>
      <c r="BN569" s="1068"/>
      <c r="BO569" s="1066">
        <f>IF(AND(AND(AZ568=0,BJ568=0,AP579=1)),1,0)</f>
        <v>0</v>
      </c>
      <c r="BP569" s="1067"/>
      <c r="BQ569" s="1067"/>
      <c r="BR569" s="1067"/>
      <c r="BS569" s="1068"/>
      <c r="BT569" s="1066"/>
      <c r="BU569" s="1067"/>
      <c r="BV569" s="1067"/>
      <c r="BW569" s="1067"/>
      <c r="BX569" s="1068"/>
      <c r="BY569" s="1066"/>
      <c r="BZ569" s="1067"/>
      <c r="CA569" s="1067"/>
      <c r="CB569" s="1067"/>
      <c r="CC569" s="1068"/>
      <c r="CD569" s="1066"/>
      <c r="CE569" s="1067"/>
      <c r="CF569" s="1067"/>
      <c r="CG569" s="1067"/>
      <c r="CH569" s="1068"/>
      <c r="CI569" s="1066"/>
      <c r="CJ569" s="1067"/>
      <c r="CK569" s="1067"/>
      <c r="CL569" s="1067"/>
      <c r="CM569" s="1068"/>
      <c r="CN569" s="21"/>
      <c r="CO569" s="21"/>
      <c r="CP569" s="21"/>
      <c r="CQ569" s="21"/>
      <c r="CR569" s="21"/>
    </row>
    <row r="570" spans="1:96" s="4" customFormat="1" ht="12.8" customHeight="1">
      <c r="A570" s="120"/>
      <c r="B570" s="5"/>
      <c r="C570" s="5"/>
      <c r="D570" s="5"/>
      <c r="E570" s="5"/>
      <c r="I570" s="1565"/>
      <c r="J570" s="1566"/>
      <c r="K570" s="1566"/>
      <c r="L570" s="1566"/>
      <c r="M570" s="1566"/>
      <c r="N570" s="1567"/>
      <c r="O570" s="1707">
        <v>0.15</v>
      </c>
      <c r="P570" s="1708"/>
      <c r="Q570" s="1873"/>
      <c r="R570" s="1700"/>
      <c r="S570" s="1672" t="s">
        <v>1844</v>
      </c>
      <c r="T570" s="1672"/>
      <c r="U570" s="1673">
        <v>7.5</v>
      </c>
      <c r="V570" s="1673"/>
      <c r="W570" s="1673">
        <v>11.3</v>
      </c>
      <c r="X570" s="1673"/>
      <c r="Y570" s="1673">
        <v>15</v>
      </c>
      <c r="Z570" s="1673"/>
      <c r="AA570" s="1673">
        <v>18.8</v>
      </c>
      <c r="AB570" s="1673"/>
      <c r="AC570" s="1673">
        <v>22.5</v>
      </c>
      <c r="AD570" s="1673"/>
      <c r="AE570" s="1753">
        <v>30</v>
      </c>
      <c r="AF570" s="1754"/>
      <c r="AN570" s="281"/>
      <c r="AP570" s="1847" t="str">
        <f t="shared" si="0"/>
        <v>3 BR</v>
      </c>
      <c r="AQ570" s="1848"/>
      <c r="AR570" s="1848"/>
      <c r="AS570" s="1848"/>
      <c r="AT570" s="1849"/>
      <c r="AU570" s="1070">
        <f t="shared" si="1"/>
        <v>18</v>
      </c>
      <c r="AV570" s="1071"/>
      <c r="AW570" s="1071"/>
      <c r="AX570" s="1071"/>
      <c r="AY570" s="1072"/>
      <c r="AZ570" s="1070">
        <f t="shared" si="2"/>
        <v>4</v>
      </c>
      <c r="BA570" s="1071"/>
      <c r="BB570" s="1071"/>
      <c r="BC570" s="1071"/>
      <c r="BD570" s="1072"/>
      <c r="BE570" s="1448">
        <f t="shared" si="3"/>
        <v>0.22222222222222221</v>
      </c>
      <c r="BF570" s="1449"/>
      <c r="BG570" s="1449"/>
      <c r="BH570" s="1449"/>
      <c r="BI570" s="1450"/>
      <c r="BJ570" s="1066"/>
      <c r="BK570" s="1067"/>
      <c r="BL570" s="1067"/>
      <c r="BM570" s="1067"/>
      <c r="BN570" s="1068"/>
      <c r="BO570" s="1066"/>
      <c r="BP570" s="1067"/>
      <c r="BQ570" s="1067"/>
      <c r="BR570" s="1067"/>
      <c r="BS570" s="1068"/>
      <c r="BT570" s="1066">
        <f>IF(AND(AND(AZ568+AZ569=0,BJ568+BO569=0,AP580=1)),1,0)</f>
        <v>0</v>
      </c>
      <c r="BU570" s="1067"/>
      <c r="BV570" s="1067"/>
      <c r="BW570" s="1067"/>
      <c r="BX570" s="1068"/>
      <c r="BY570" s="1066"/>
      <c r="BZ570" s="1067"/>
      <c r="CA570" s="1067"/>
      <c r="CB570" s="1067"/>
      <c r="CC570" s="1068"/>
      <c r="CD570" s="1066"/>
      <c r="CE570" s="1067"/>
      <c r="CF570" s="1067"/>
      <c r="CG570" s="1067"/>
      <c r="CH570" s="1068"/>
      <c r="CI570" s="1066"/>
      <c r="CJ570" s="1067"/>
      <c r="CK570" s="1067"/>
      <c r="CL570" s="1067"/>
      <c r="CM570" s="1068"/>
      <c r="CN570" s="21"/>
      <c r="CO570" s="21"/>
      <c r="CP570" s="21"/>
      <c r="CQ570" s="21"/>
      <c r="CR570" s="21"/>
    </row>
    <row r="571" spans="1:96" s="4" customFormat="1" ht="12.8" customHeight="1" thickBot="1">
      <c r="B571" s="5"/>
      <c r="C571" s="5"/>
      <c r="D571" s="5"/>
      <c r="E571" s="5"/>
      <c r="I571" s="1568"/>
      <c r="J571" s="1569"/>
      <c r="K571" s="1569"/>
      <c r="L571" s="1569"/>
      <c r="M571" s="1569"/>
      <c r="N571" s="1570"/>
      <c r="O571" s="1707">
        <v>0.1</v>
      </c>
      <c r="P571" s="1708"/>
      <c r="Q571" s="1902"/>
      <c r="R571" s="1903"/>
      <c r="S571" s="1672" t="s">
        <v>1845</v>
      </c>
      <c r="T571" s="1672"/>
      <c r="U571" s="1745">
        <v>5</v>
      </c>
      <c r="V571" s="1745"/>
      <c r="W571" s="1745">
        <v>7.5</v>
      </c>
      <c r="X571" s="1745"/>
      <c r="Y571" s="1745">
        <v>10</v>
      </c>
      <c r="Z571" s="1745"/>
      <c r="AA571" s="1745">
        <v>12.5</v>
      </c>
      <c r="AB571" s="1745"/>
      <c r="AC571" s="1745">
        <v>15</v>
      </c>
      <c r="AD571" s="1745"/>
      <c r="AE571" s="1690">
        <v>20</v>
      </c>
      <c r="AF571" s="1691"/>
      <c r="AK571" s="167"/>
      <c r="AL571" s="167"/>
      <c r="AM571" s="5"/>
      <c r="AN571" s="281"/>
      <c r="AP571" s="1847" t="str">
        <f t="shared" si="0"/>
        <v>2 BR</v>
      </c>
      <c r="AQ571" s="1848"/>
      <c r="AR571" s="1848"/>
      <c r="AS571" s="1848"/>
      <c r="AT571" s="1849"/>
      <c r="AU571" s="1070">
        <f t="shared" si="1"/>
        <v>23</v>
      </c>
      <c r="AV571" s="1071"/>
      <c r="AW571" s="1071"/>
      <c r="AX571" s="1071"/>
      <c r="AY571" s="1072"/>
      <c r="AZ571" s="1070">
        <f t="shared" si="2"/>
        <v>5</v>
      </c>
      <c r="BA571" s="1071"/>
      <c r="BB571" s="1071"/>
      <c r="BC571" s="1071"/>
      <c r="BD571" s="1072"/>
      <c r="BE571" s="1448">
        <f t="shared" si="3"/>
        <v>0.21739130434782608</v>
      </c>
      <c r="BF571" s="1449"/>
      <c r="BG571" s="1449"/>
      <c r="BH571" s="1449"/>
      <c r="BI571" s="1450"/>
      <c r="BJ571" s="1066"/>
      <c r="BK571" s="1067"/>
      <c r="BL571" s="1067"/>
      <c r="BM571" s="1067"/>
      <c r="BN571" s="1068"/>
      <c r="BO571" s="1066"/>
      <c r="BP571" s="1067"/>
      <c r="BQ571" s="1067"/>
      <c r="BR571" s="1067"/>
      <c r="BS571" s="1068"/>
      <c r="BT571" s="1066"/>
      <c r="BU571" s="1067"/>
      <c r="BV571" s="1067"/>
      <c r="BW571" s="1067"/>
      <c r="BX571" s="1068"/>
      <c r="BY571" s="1066">
        <f>IF(AND(AND(AZ568+AZ569+AZ570=0,BO569+BT570+BJ568=0,AP581=1)),1,0)</f>
        <v>0</v>
      </c>
      <c r="BZ571" s="1067"/>
      <c r="CA571" s="1067"/>
      <c r="CB571" s="1067"/>
      <c r="CC571" s="1068"/>
      <c r="CD571" s="1066"/>
      <c r="CE571" s="1067"/>
      <c r="CF571" s="1067"/>
      <c r="CG571" s="1067"/>
      <c r="CH571" s="1068"/>
      <c r="CI571" s="1066"/>
      <c r="CJ571" s="1067"/>
      <c r="CK571" s="1067"/>
      <c r="CL571" s="1067"/>
      <c r="CM571" s="1068"/>
      <c r="CN571" s="21"/>
      <c r="CO571" s="21"/>
      <c r="CP571" s="21"/>
      <c r="CQ571" s="21"/>
      <c r="CR571" s="21"/>
    </row>
    <row r="572" spans="1:96" s="4" customFormat="1" ht="12.8" customHeight="1">
      <c r="B572" s="5"/>
      <c r="C572" s="5"/>
      <c r="D572" s="5"/>
      <c r="E572" s="1502" t="s">
        <v>983</v>
      </c>
      <c r="F572" s="1134"/>
      <c r="G572" s="1134"/>
      <c r="H572" s="1134"/>
      <c r="I572" s="1134"/>
      <c r="J572" s="1134"/>
      <c r="K572" s="1134"/>
      <c r="L572" s="1134"/>
      <c r="M572" s="1134"/>
      <c r="N572" s="1134"/>
      <c r="O572" s="1134"/>
      <c r="P572" s="1134"/>
      <c r="Q572" s="1134"/>
      <c r="R572" s="1134"/>
      <c r="S572" s="1134"/>
      <c r="T572" s="1134"/>
      <c r="U572" s="1134"/>
      <c r="V572" s="1134"/>
      <c r="W572" s="1134"/>
      <c r="X572" s="1134"/>
      <c r="Y572" s="1134"/>
      <c r="Z572" s="1134"/>
      <c r="AA572" s="1134"/>
      <c r="AB572" s="1134"/>
      <c r="AC572" s="1134"/>
      <c r="AD572" s="1134"/>
      <c r="AE572" s="1134"/>
      <c r="AF572" s="1134"/>
      <c r="AG572" s="1134"/>
      <c r="AH572" s="1135"/>
      <c r="AK572" s="167"/>
      <c r="AL572" s="167"/>
      <c r="AM572" s="5"/>
      <c r="AN572" s="281"/>
      <c r="AP572" s="1847" t="str">
        <f t="shared" si="0"/>
        <v>1 BR</v>
      </c>
      <c r="AQ572" s="1848"/>
      <c r="AR572" s="1848"/>
      <c r="AS572" s="1848"/>
      <c r="AT572" s="1849"/>
      <c r="AU572" s="1070">
        <f t="shared" si="1"/>
        <v>18</v>
      </c>
      <c r="AV572" s="1071"/>
      <c r="AW572" s="1071"/>
      <c r="AX572" s="1071"/>
      <c r="AY572" s="1072"/>
      <c r="AZ572" s="1070">
        <f t="shared" si="2"/>
        <v>3</v>
      </c>
      <c r="BA572" s="1071"/>
      <c r="BB572" s="1071"/>
      <c r="BC572" s="1071"/>
      <c r="BD572" s="1072"/>
      <c r="BE572" s="1448">
        <f t="shared" si="3"/>
        <v>0.16666666666666666</v>
      </c>
      <c r="BF572" s="1449"/>
      <c r="BG572" s="1449"/>
      <c r="BH572" s="1449"/>
      <c r="BI572" s="1450"/>
      <c r="BJ572" s="1066"/>
      <c r="BK572" s="1067"/>
      <c r="BL572" s="1067"/>
      <c r="BM572" s="1067"/>
      <c r="BN572" s="1068"/>
      <c r="BO572" s="1066"/>
      <c r="BP572" s="1067"/>
      <c r="BQ572" s="1067"/>
      <c r="BR572" s="1067"/>
      <c r="BS572" s="1068"/>
      <c r="BT572" s="1066"/>
      <c r="BU572" s="1067"/>
      <c r="BV572" s="1067"/>
      <c r="BW572" s="1067"/>
      <c r="BX572" s="1068"/>
      <c r="BY572" s="1066"/>
      <c r="BZ572" s="1067"/>
      <c r="CA572" s="1067"/>
      <c r="CB572" s="1067"/>
      <c r="CC572" s="1068"/>
      <c r="CD572" s="1066">
        <f>IF(AND(AND(BE569+BE570+BE571+BE568=0,BT570+BY571+BO569+BJ568=0,AP582=1)),1,0)</f>
        <v>0</v>
      </c>
      <c r="CE572" s="1067"/>
      <c r="CF572" s="1067"/>
      <c r="CG572" s="1067"/>
      <c r="CH572" s="1068"/>
      <c r="CI572" s="1066"/>
      <c r="CJ572" s="1067"/>
      <c r="CK572" s="1067"/>
      <c r="CL572" s="1067"/>
      <c r="CM572" s="1068"/>
      <c r="CN572" s="21"/>
      <c r="CO572" s="21"/>
      <c r="CP572" s="21"/>
      <c r="CQ572" s="21"/>
      <c r="CR572" s="21"/>
    </row>
    <row r="573" spans="1:96" s="4" customFormat="1" ht="12.8" customHeight="1">
      <c r="E573" s="1764"/>
      <c r="F573" s="1151"/>
      <c r="G573" s="1151"/>
      <c r="H573" s="1151"/>
      <c r="I573" s="1151"/>
      <c r="J573" s="1151"/>
      <c r="K573" s="1151"/>
      <c r="L573" s="1151"/>
      <c r="M573" s="1151"/>
      <c r="N573" s="1151"/>
      <c r="O573" s="1151"/>
      <c r="P573" s="1151"/>
      <c r="Q573" s="1151"/>
      <c r="R573" s="1151"/>
      <c r="S573" s="1151"/>
      <c r="T573" s="1151"/>
      <c r="U573" s="1151"/>
      <c r="V573" s="1151"/>
      <c r="W573" s="1151"/>
      <c r="X573" s="1151"/>
      <c r="Y573" s="1151"/>
      <c r="Z573" s="1151"/>
      <c r="AA573" s="1151"/>
      <c r="AB573" s="1151"/>
      <c r="AC573" s="1151"/>
      <c r="AD573" s="1151"/>
      <c r="AE573" s="1151"/>
      <c r="AF573" s="1151"/>
      <c r="AG573" s="1151"/>
      <c r="AH573" s="1765"/>
      <c r="AN573" s="281"/>
      <c r="AP573" s="1847" t="str">
        <f t="shared" si="0"/>
        <v>SRO</v>
      </c>
      <c r="AQ573" s="1848"/>
      <c r="AR573" s="1848"/>
      <c r="AS573" s="1848"/>
      <c r="AT573" s="1849"/>
      <c r="AU573" s="1070">
        <f t="shared" si="1"/>
        <v>0</v>
      </c>
      <c r="AV573" s="1071"/>
      <c r="AW573" s="1071"/>
      <c r="AX573" s="1071"/>
      <c r="AY573" s="1072"/>
      <c r="AZ573" s="1070">
        <f t="shared" si="2"/>
        <v>0</v>
      </c>
      <c r="BA573" s="1071"/>
      <c r="BB573" s="1071"/>
      <c r="BC573" s="1071"/>
      <c r="BD573" s="1072"/>
      <c r="BE573" s="1448">
        <f t="shared" si="3"/>
        <v>0</v>
      </c>
      <c r="BF573" s="1449"/>
      <c r="BG573" s="1449"/>
      <c r="BH573" s="1449"/>
      <c r="BI573" s="1450"/>
      <c r="BJ573" s="1066"/>
      <c r="BK573" s="1067"/>
      <c r="BL573" s="1067"/>
      <c r="BM573" s="1067"/>
      <c r="BN573" s="1068"/>
      <c r="BO573" s="1066"/>
      <c r="BP573" s="1067"/>
      <c r="BQ573" s="1067"/>
      <c r="BR573" s="1067"/>
      <c r="BS573" s="1068"/>
      <c r="BT573" s="1066"/>
      <c r="BU573" s="1067"/>
      <c r="BV573" s="1067"/>
      <c r="BW573" s="1067"/>
      <c r="BX573" s="1068"/>
      <c r="BY573" s="1066"/>
      <c r="BZ573" s="1067"/>
      <c r="CA573" s="1067"/>
      <c r="CB573" s="1067"/>
      <c r="CC573" s="1068"/>
      <c r="CD573" s="1066"/>
      <c r="CE573" s="1067"/>
      <c r="CF573" s="1067"/>
      <c r="CG573" s="1067"/>
      <c r="CH573" s="1068"/>
      <c r="CI573" s="1066">
        <f>IF(AND(AND(AZ570+AZ571+AZ572+AZ569+AZ568=0,BY571+CD572+BT570+BO569+BJ568=0,AP583=1)),1,0)</f>
        <v>0</v>
      </c>
      <c r="CJ573" s="1067"/>
      <c r="CK573" s="1067"/>
      <c r="CL573" s="1067"/>
      <c r="CM573" s="1068"/>
      <c r="CN573" s="21"/>
      <c r="CO573" s="21"/>
      <c r="CP573" s="21"/>
      <c r="CQ573" s="21"/>
      <c r="CR573" s="21"/>
    </row>
    <row r="574" spans="1:96" s="4" customFormat="1" ht="12.8" customHeight="1">
      <c r="E574" s="1680" t="s">
        <v>1578</v>
      </c>
      <c r="F574" s="1681"/>
      <c r="G574" s="1681"/>
      <c r="H574" s="1681"/>
      <c r="I574" s="1681"/>
      <c r="J574" s="1682"/>
      <c r="K574" s="1680" t="s">
        <v>1837</v>
      </c>
      <c r="L574" s="1681"/>
      <c r="M574" s="1681"/>
      <c r="N574" s="1681"/>
      <c r="O574" s="1681"/>
      <c r="P574" s="1682"/>
      <c r="Q574" s="1562" t="s">
        <v>1574</v>
      </c>
      <c r="R574" s="1563"/>
      <c r="S574" s="1563"/>
      <c r="T574" s="1563"/>
      <c r="U574" s="1563"/>
      <c r="V574" s="1564"/>
      <c r="W574" s="1562" t="str">
        <f>I563</f>
        <v>Percent of Low-Income Units (exclusive of manager’s units)</v>
      </c>
      <c r="X574" s="1563"/>
      <c r="Y574" s="1563"/>
      <c r="Z574" s="1563"/>
      <c r="AA574" s="1563"/>
      <c r="AB574" s="1564"/>
      <c r="AC574" s="1562" t="s">
        <v>1577</v>
      </c>
      <c r="AD574" s="1563"/>
      <c r="AE574" s="1563"/>
      <c r="AF574" s="1563"/>
      <c r="AG574" s="1563"/>
      <c r="AH574" s="1564"/>
      <c r="AN574" s="281"/>
      <c r="AP574" s="1847" t="str">
        <f t="shared" si="0"/>
        <v>Total:</v>
      </c>
      <c r="AQ574" s="1848"/>
      <c r="AR574" s="1848"/>
      <c r="AS574" s="1848"/>
      <c r="AT574" s="1849"/>
      <c r="AU574" s="1847"/>
      <c r="AV574" s="1848"/>
      <c r="AW574" s="1848"/>
      <c r="AX574" s="1848"/>
      <c r="AY574" s="1849"/>
      <c r="AZ574" s="1847"/>
      <c r="BA574" s="1848"/>
      <c r="BB574" s="1848"/>
      <c r="BC574" s="1848"/>
      <c r="BD574" s="1849"/>
      <c r="BE574" s="1847"/>
      <c r="BF574" s="1848"/>
      <c r="BG574" s="1848"/>
      <c r="BH574" s="1848"/>
      <c r="BI574" s="1849"/>
      <c r="BJ574" s="1066">
        <f>SUM(BJ568:BN573)</f>
        <v>0</v>
      </c>
      <c r="BK574" s="1067"/>
      <c r="BL574" s="1067"/>
      <c r="BM574" s="1067"/>
      <c r="BN574" s="1068"/>
      <c r="BO574" s="1066">
        <f>SUM(BO568:BS573)</f>
        <v>0</v>
      </c>
      <c r="BP574" s="1067"/>
      <c r="BQ574" s="1067"/>
      <c r="BR574" s="1067"/>
      <c r="BS574" s="1068"/>
      <c r="BT574" s="1066">
        <f>SUM(BT568:BX573)</f>
        <v>0</v>
      </c>
      <c r="BU574" s="1067"/>
      <c r="BV574" s="1067"/>
      <c r="BW574" s="1067"/>
      <c r="BX574" s="1068"/>
      <c r="BY574" s="1066">
        <f>SUM(BY568:CC573)</f>
        <v>0</v>
      </c>
      <c r="BZ574" s="1067"/>
      <c r="CA574" s="1067"/>
      <c r="CB574" s="1067"/>
      <c r="CC574" s="1068"/>
      <c r="CD574" s="1066">
        <f>SUM(CD568:CH573)</f>
        <v>0</v>
      </c>
      <c r="CE574" s="1067"/>
      <c r="CF574" s="1067"/>
      <c r="CG574" s="1067"/>
      <c r="CH574" s="1068"/>
      <c r="CI574" s="1066">
        <f>SUM(CI568:CM573)</f>
        <v>0</v>
      </c>
      <c r="CJ574" s="1067"/>
      <c r="CK574" s="1067"/>
      <c r="CL574" s="1067"/>
      <c r="CM574" s="1068"/>
      <c r="CN574" s="1066">
        <f>SUM(BJ574:CM574)</f>
        <v>0</v>
      </c>
      <c r="CO574" s="1067"/>
      <c r="CP574" s="1067"/>
      <c r="CQ574" s="1067"/>
      <c r="CR574" s="1068"/>
    </row>
    <row r="575" spans="1:96" s="4" customFormat="1" ht="12.8" customHeight="1">
      <c r="E575" s="1683"/>
      <c r="F575" s="1684"/>
      <c r="G575" s="1684"/>
      <c r="H575" s="1684"/>
      <c r="I575" s="1684"/>
      <c r="J575" s="1685"/>
      <c r="K575" s="1683"/>
      <c r="L575" s="1684"/>
      <c r="M575" s="1684"/>
      <c r="N575" s="1684"/>
      <c r="O575" s="1684"/>
      <c r="P575" s="1685"/>
      <c r="Q575" s="1565"/>
      <c r="R575" s="1566"/>
      <c r="S575" s="1566"/>
      <c r="T575" s="1566"/>
      <c r="U575" s="1566"/>
      <c r="V575" s="1567"/>
      <c r="W575" s="1565"/>
      <c r="X575" s="1566"/>
      <c r="Y575" s="1566"/>
      <c r="Z575" s="1566"/>
      <c r="AA575" s="1566"/>
      <c r="AB575" s="1567"/>
      <c r="AC575" s="1565"/>
      <c r="AD575" s="1566"/>
      <c r="AE575" s="1566"/>
      <c r="AF575" s="1566"/>
      <c r="AG575" s="1566"/>
      <c r="AH575" s="1567"/>
      <c r="AN575" s="281"/>
    </row>
    <row r="576" spans="1:96" s="4" customFormat="1" ht="12.8" customHeight="1">
      <c r="E576" s="1683"/>
      <c r="F576" s="1684"/>
      <c r="G576" s="1684"/>
      <c r="H576" s="1684"/>
      <c r="I576" s="1684"/>
      <c r="J576" s="1685"/>
      <c r="K576" s="1683"/>
      <c r="L576" s="1684"/>
      <c r="M576" s="1684"/>
      <c r="N576" s="1684"/>
      <c r="O576" s="1684"/>
      <c r="P576" s="1685"/>
      <c r="Q576" s="1565"/>
      <c r="R576" s="1566"/>
      <c r="S576" s="1566"/>
      <c r="T576" s="1566"/>
      <c r="U576" s="1566"/>
      <c r="V576" s="1567"/>
      <c r="W576" s="1565"/>
      <c r="X576" s="1566"/>
      <c r="Y576" s="1566"/>
      <c r="Z576" s="1566"/>
      <c r="AA576" s="1566"/>
      <c r="AB576" s="1567"/>
      <c r="AC576" s="1565"/>
      <c r="AD576" s="1566"/>
      <c r="AE576" s="1566"/>
      <c r="AF576" s="1566"/>
      <c r="AG576" s="1566"/>
      <c r="AH576" s="1567"/>
      <c r="AN576" s="281"/>
    </row>
    <row r="577" spans="2:69" s="4" customFormat="1" ht="12.8" customHeight="1">
      <c r="E577" s="1683"/>
      <c r="F577" s="1684"/>
      <c r="G577" s="1684"/>
      <c r="H577" s="1684"/>
      <c r="I577" s="1684"/>
      <c r="J577" s="1685"/>
      <c r="K577" s="1683"/>
      <c r="L577" s="1684"/>
      <c r="M577" s="1684"/>
      <c r="N577" s="1684"/>
      <c r="O577" s="1684"/>
      <c r="P577" s="1685"/>
      <c r="Q577" s="1565"/>
      <c r="R577" s="1566"/>
      <c r="S577" s="1566"/>
      <c r="T577" s="1566"/>
      <c r="U577" s="1566"/>
      <c r="V577" s="1567"/>
      <c r="W577" s="1565"/>
      <c r="X577" s="1566"/>
      <c r="Y577" s="1566"/>
      <c r="Z577" s="1566"/>
      <c r="AA577" s="1566"/>
      <c r="AB577" s="1567"/>
      <c r="AC577" s="1565"/>
      <c r="AD577" s="1566"/>
      <c r="AE577" s="1566"/>
      <c r="AF577" s="1566"/>
      <c r="AG577" s="1566"/>
      <c r="AH577" s="1567"/>
      <c r="AN577" s="281"/>
      <c r="AP577" s="3" t="s">
        <v>1174</v>
      </c>
      <c r="BH577" s="3" t="s">
        <v>1175</v>
      </c>
    </row>
    <row r="578" spans="2:69" s="4" customFormat="1" ht="12.8" customHeight="1">
      <c r="E578" s="1674"/>
      <c r="F578" s="1675"/>
      <c r="G578" s="1675"/>
      <c r="H578" s="1675"/>
      <c r="I578" s="1675"/>
      <c r="J578" s="1676"/>
      <c r="K578" s="1677">
        <v>20</v>
      </c>
      <c r="L578" s="1678"/>
      <c r="M578" s="1678"/>
      <c r="N578" s="1678"/>
      <c r="O578" s="1678"/>
      <c r="P578" s="1679"/>
      <c r="Q578" s="1742">
        <f>IF(ISERROR(IF((((E578/$BJ$525)*100)&gt;100),"EXCESSIVE VALUE",(E578/$BJ$525)*100)),0,IF((((E578/$BJ$525)*100)&gt;100),"EXCESSIVE VALUE",(E578/$BJ$525)*100))</f>
        <v>0</v>
      </c>
      <c r="R578" s="1743"/>
      <c r="S578" s="1743"/>
      <c r="T578" s="1743"/>
      <c r="U578" s="1743"/>
      <c r="V578" s="1744"/>
      <c r="W578" s="1686">
        <f>IF(FLOOR(Q578,5)&gt;80,80,FLOOR(Q578,5))</f>
        <v>0</v>
      </c>
      <c r="X578" s="1687"/>
      <c r="Y578" s="1687"/>
      <c r="Z578" s="1687"/>
      <c r="AA578" s="1687"/>
      <c r="AB578" s="1688"/>
      <c r="AC578" s="1686">
        <f t="shared" ref="AC578:AC583" si="4">IFERROR(IF(W578&gt;0,INDEX($BI$504:$BP$518,MATCH(W578,$BH$504:$BH$518,0),MATCH(K578,$BI$503:$BP$503,0)),0),0)</f>
        <v>0</v>
      </c>
      <c r="AD578" s="1687"/>
      <c r="AE578" s="1687"/>
      <c r="AF578" s="1687"/>
      <c r="AG578" s="1687"/>
      <c r="AH578" s="1688"/>
      <c r="AN578" s="281"/>
      <c r="AO578" s="4">
        <v>5</v>
      </c>
      <c r="AP578" s="1677">
        <f t="shared" ref="AP578:AP583" si="5">IF(OR(BE568&gt;=0.1,BE568=0),0,1)</f>
        <v>0</v>
      </c>
      <c r="AQ578" s="1678"/>
      <c r="AR578" s="1678"/>
      <c r="AS578" s="1678"/>
      <c r="AT578" s="1679"/>
      <c r="AX578" s="1726" t="s">
        <v>832</v>
      </c>
      <c r="AY578" s="1728"/>
      <c r="AZ578" s="1728"/>
      <c r="BA578" s="1728"/>
      <c r="BB578" s="1728"/>
      <c r="BC578" s="1728"/>
      <c r="BD578" s="1728"/>
      <c r="BE578" s="1728"/>
      <c r="BF578" s="1728"/>
      <c r="BG578" s="1728"/>
      <c r="BH578" s="1728"/>
      <c r="BI578" s="1728"/>
      <c r="BJ578" s="1728"/>
      <c r="BK578" s="1728"/>
      <c r="BL578" s="1728"/>
      <c r="BM578" s="1728"/>
      <c r="BN578" s="1728"/>
      <c r="BO578" s="1728"/>
      <c r="BP578" s="1728"/>
      <c r="BQ578" s="1727"/>
    </row>
    <row r="579" spans="2:69" s="4" customFormat="1" ht="12.8" customHeight="1">
      <c r="E579" s="1674">
        <v>12</v>
      </c>
      <c r="F579" s="1675"/>
      <c r="G579" s="1675"/>
      <c r="H579" s="1675"/>
      <c r="I579" s="1675"/>
      <c r="J579" s="1676"/>
      <c r="K579" s="1677">
        <v>30</v>
      </c>
      <c r="L579" s="1678"/>
      <c r="M579" s="1678"/>
      <c r="N579" s="1678"/>
      <c r="O579" s="1678"/>
      <c r="P579" s="1679"/>
      <c r="Q579" s="1742">
        <f t="shared" ref="Q579:Q586" si="6">IF(ISERROR(IF((((E579/$BJ$525)*100)&gt;100),"EXCESSIVE VALUE",(E579/$BJ$525)*100)),0,IF((((E579/$BJ$525)*100)&gt;100),"EXCESSIVE VALUE",(E579/$BJ$525)*100))</f>
        <v>20.33898305084746</v>
      </c>
      <c r="R579" s="1743"/>
      <c r="S579" s="1743"/>
      <c r="T579" s="1743"/>
      <c r="U579" s="1743"/>
      <c r="V579" s="1744"/>
      <c r="W579" s="1686">
        <f>IF(FLOOR(Q579,5)&gt;80,80,FLOOR(Q579,5))</f>
        <v>20</v>
      </c>
      <c r="X579" s="1687"/>
      <c r="Y579" s="1687"/>
      <c r="Z579" s="1687"/>
      <c r="AA579" s="1687"/>
      <c r="AB579" s="1688"/>
      <c r="AC579" s="1686">
        <f t="shared" si="4"/>
        <v>30</v>
      </c>
      <c r="AD579" s="1687"/>
      <c r="AE579" s="1687"/>
      <c r="AF579" s="1687"/>
      <c r="AG579" s="1687"/>
      <c r="AH579" s="1688"/>
      <c r="AN579" s="281"/>
      <c r="AO579" s="4">
        <v>4</v>
      </c>
      <c r="AP579" s="1677">
        <f t="shared" si="5"/>
        <v>0</v>
      </c>
      <c r="AQ579" s="1678"/>
      <c r="AR579" s="1678"/>
      <c r="AS579" s="1678"/>
      <c r="AT579" s="1679"/>
      <c r="AX579" s="1792" t="s">
        <v>652</v>
      </c>
      <c r="AY579" s="1793"/>
      <c r="AZ579" s="1241" t="s">
        <v>652</v>
      </c>
      <c r="BA579" s="1243"/>
      <c r="BB579" s="1792" t="s">
        <v>280</v>
      </c>
      <c r="BC579" s="1793"/>
      <c r="BD579" s="1723" t="s">
        <v>280</v>
      </c>
      <c r="BE579" s="1725"/>
      <c r="BF579" s="1792" t="s">
        <v>279</v>
      </c>
      <c r="BG579" s="1793"/>
      <c r="BH579" s="1723" t="s">
        <v>279</v>
      </c>
      <c r="BI579" s="1725"/>
      <c r="BJ579" s="1792" t="s">
        <v>278</v>
      </c>
      <c r="BK579" s="1793"/>
      <c r="BL579" s="1723" t="s">
        <v>278</v>
      </c>
      <c r="BM579" s="1725"/>
      <c r="BN579" s="1792" t="s">
        <v>651</v>
      </c>
      <c r="BO579" s="1793"/>
      <c r="BP579" s="1723" t="s">
        <v>651</v>
      </c>
      <c r="BQ579" s="1725"/>
    </row>
    <row r="580" spans="2:69" s="4" customFormat="1" ht="12.8" customHeight="1">
      <c r="E580" s="1674">
        <v>12</v>
      </c>
      <c r="F580" s="1675"/>
      <c r="G580" s="1675"/>
      <c r="H580" s="1675"/>
      <c r="I580" s="1675"/>
      <c r="J580" s="1676"/>
      <c r="K580" s="1677">
        <v>35</v>
      </c>
      <c r="L580" s="1678"/>
      <c r="M580" s="1678"/>
      <c r="N580" s="1678"/>
      <c r="O580" s="1678"/>
      <c r="P580" s="1679"/>
      <c r="Q580" s="1742">
        <f t="shared" si="6"/>
        <v>20.33898305084746</v>
      </c>
      <c r="R580" s="1743"/>
      <c r="S580" s="1743"/>
      <c r="T580" s="1743"/>
      <c r="U580" s="1743"/>
      <c r="V580" s="1744"/>
      <c r="W580" s="1686">
        <f t="shared" ref="W580:W586" si="7">IF(FLOOR(Q580,5)&gt;80,80,FLOOR(Q580,5))</f>
        <v>20</v>
      </c>
      <c r="X580" s="1687"/>
      <c r="Y580" s="1687"/>
      <c r="Z580" s="1687"/>
      <c r="AA580" s="1687"/>
      <c r="AB580" s="1688"/>
      <c r="AC580" s="1686">
        <f t="shared" si="4"/>
        <v>25</v>
      </c>
      <c r="AD580" s="1687"/>
      <c r="AE580" s="1687"/>
      <c r="AF580" s="1687"/>
      <c r="AG580" s="1687"/>
      <c r="AH580" s="1688"/>
      <c r="AN580" s="281"/>
      <c r="AO580" s="4">
        <v>3</v>
      </c>
      <c r="AP580" s="1677">
        <f t="shared" si="5"/>
        <v>0</v>
      </c>
      <c r="AQ580" s="1678"/>
      <c r="AR580" s="1678"/>
      <c r="AS580" s="1678"/>
      <c r="AT580" s="1679"/>
      <c r="AX580" s="1792">
        <f>IF(AP530=1,1,0)</f>
        <v>0</v>
      </c>
      <c r="AY580" s="1793"/>
      <c r="AZ580" s="1726"/>
      <c r="BA580" s="1727"/>
      <c r="BB580" s="1845"/>
      <c r="BC580" s="1846"/>
      <c r="BD580" s="1723">
        <f>IF(AND(T605&gt;0,AP530&gt;0),1,0)</f>
        <v>0</v>
      </c>
      <c r="BE580" s="1725"/>
      <c r="BF580" s="1845"/>
      <c r="BG580" s="1846"/>
      <c r="BH580" s="1723">
        <f>IF(AND(T605&gt;0,AP530&gt;0),1,0)</f>
        <v>0</v>
      </c>
      <c r="BI580" s="1725"/>
      <c r="BJ580" s="1845"/>
      <c r="BK580" s="1846"/>
      <c r="BL580" s="1723">
        <f>IF(AND(T605&gt;0,AP530&gt;0),1,0)</f>
        <v>0</v>
      </c>
      <c r="BM580" s="1725"/>
      <c r="BN580" s="1845"/>
      <c r="BO580" s="1846"/>
      <c r="BP580" s="1723">
        <f>IF(AND(T605&gt;0,AP530&gt;0),1,0)</f>
        <v>0</v>
      </c>
      <c r="BQ580" s="1725"/>
    </row>
    <row r="581" spans="2:69" s="4" customFormat="1" ht="12.8" customHeight="1">
      <c r="E581" s="1674">
        <v>11</v>
      </c>
      <c r="F581" s="1675"/>
      <c r="G581" s="1675"/>
      <c r="H581" s="1675"/>
      <c r="I581" s="1675"/>
      <c r="J581" s="1676"/>
      <c r="K581" s="1677">
        <v>40</v>
      </c>
      <c r="L581" s="1678"/>
      <c r="M581" s="1678"/>
      <c r="N581" s="1678"/>
      <c r="O581" s="1678"/>
      <c r="P581" s="1679"/>
      <c r="Q581" s="1742">
        <f t="shared" si="6"/>
        <v>18.64406779661017</v>
      </c>
      <c r="R581" s="1743"/>
      <c r="S581" s="1743"/>
      <c r="T581" s="1743"/>
      <c r="U581" s="1743"/>
      <c r="V581" s="1744"/>
      <c r="W581" s="1686">
        <f t="shared" si="7"/>
        <v>15</v>
      </c>
      <c r="X581" s="1687"/>
      <c r="Y581" s="1687"/>
      <c r="Z581" s="1687"/>
      <c r="AA581" s="1687"/>
      <c r="AB581" s="1688"/>
      <c r="AC581" s="1686">
        <f t="shared" si="4"/>
        <v>15</v>
      </c>
      <c r="AD581" s="1687"/>
      <c r="AE581" s="1687"/>
      <c r="AF581" s="1687"/>
      <c r="AG581" s="1687"/>
      <c r="AH581" s="1688"/>
      <c r="AN581" s="281"/>
      <c r="AO581" s="4">
        <v>2</v>
      </c>
      <c r="AP581" s="1677">
        <f t="shared" si="5"/>
        <v>0</v>
      </c>
      <c r="AQ581" s="1678"/>
      <c r="AR581" s="1678"/>
      <c r="AS581" s="1678"/>
      <c r="AT581" s="1679"/>
      <c r="AX581" s="1845"/>
      <c r="AY581" s="1846"/>
      <c r="AZ581" s="1726"/>
      <c r="BA581" s="1727"/>
      <c r="BB581" s="1792">
        <f>IF(AP531=1,1,0)</f>
        <v>0</v>
      </c>
      <c r="BC581" s="1793"/>
      <c r="BD581" s="1726"/>
      <c r="BE581" s="1727"/>
      <c r="BF581" s="1845"/>
      <c r="BG581" s="1846"/>
      <c r="BH581" s="1723">
        <f>IF(AND(T606&gt;0,AP531&gt;0),1,0)</f>
        <v>1</v>
      </c>
      <c r="BI581" s="1725"/>
      <c r="BJ581" s="1845"/>
      <c r="BK581" s="1846"/>
      <c r="BL581" s="1723">
        <f>IF(AND(T606&gt;0,AP531&gt;0),1,0)</f>
        <v>1</v>
      </c>
      <c r="BM581" s="1725"/>
      <c r="BN581" s="1845"/>
      <c r="BO581" s="1846"/>
      <c r="BP581" s="1723">
        <f>IF(AND(T606&gt;0,AP531&gt;0),1,0)</f>
        <v>1</v>
      </c>
      <c r="BQ581" s="1725"/>
    </row>
    <row r="582" spans="2:69" s="4" customFormat="1" ht="12.8" customHeight="1">
      <c r="E582" s="1674"/>
      <c r="F582" s="1675"/>
      <c r="G582" s="1675"/>
      <c r="H582" s="1675"/>
      <c r="I582" s="1675"/>
      <c r="J582" s="1676"/>
      <c r="K582" s="1677">
        <v>45</v>
      </c>
      <c r="L582" s="1678"/>
      <c r="M582" s="1678"/>
      <c r="N582" s="1678"/>
      <c r="O582" s="1678"/>
      <c r="P582" s="1679"/>
      <c r="Q582" s="1742">
        <f t="shared" si="6"/>
        <v>0</v>
      </c>
      <c r="R582" s="1743"/>
      <c r="S582" s="1743"/>
      <c r="T582" s="1743"/>
      <c r="U582" s="1743"/>
      <c r="V582" s="1744"/>
      <c r="W582" s="1686">
        <f>IF(FLOOR(Q582,5)&gt;65,65,FLOOR(Q582,5))</f>
        <v>0</v>
      </c>
      <c r="X582" s="1687"/>
      <c r="Y582" s="1687"/>
      <c r="Z582" s="1687"/>
      <c r="AA582" s="1687"/>
      <c r="AB582" s="1688"/>
      <c r="AC582" s="1686">
        <f t="shared" si="4"/>
        <v>0</v>
      </c>
      <c r="AD582" s="1687"/>
      <c r="AE582" s="1687"/>
      <c r="AF582" s="1687"/>
      <c r="AG582" s="1687"/>
      <c r="AH582" s="1688"/>
      <c r="AN582" s="281"/>
      <c r="AO582" s="4">
        <v>1</v>
      </c>
      <c r="AP582" s="1677">
        <f t="shared" si="5"/>
        <v>0</v>
      </c>
      <c r="AQ582" s="1678"/>
      <c r="AR582" s="1678"/>
      <c r="AS582" s="1678"/>
      <c r="AT582" s="1679"/>
      <c r="AX582" s="1845"/>
      <c r="AY582" s="1846"/>
      <c r="AZ582" s="1726"/>
      <c r="BA582" s="1727"/>
      <c r="BB582" s="1845"/>
      <c r="BC582" s="1846"/>
      <c r="BD582" s="1726"/>
      <c r="BE582" s="1727"/>
      <c r="BF582" s="1792">
        <f>IF(AP532=1,1,0)</f>
        <v>1</v>
      </c>
      <c r="BG582" s="1793"/>
      <c r="BH582" s="1726"/>
      <c r="BI582" s="1727"/>
      <c r="BJ582" s="1845"/>
      <c r="BK582" s="1846"/>
      <c r="BL582" s="1723">
        <f>IF(AND(T607&gt;0,AP532&gt;0),1,0)</f>
        <v>1</v>
      </c>
      <c r="BM582" s="1725"/>
      <c r="BN582" s="1845"/>
      <c r="BO582" s="1846"/>
      <c r="BP582" s="1723">
        <f>IF(AND(T607&gt;0,AP532&gt;0),1,0)</f>
        <v>1</v>
      </c>
      <c r="BQ582" s="1725"/>
    </row>
    <row r="583" spans="2:69" s="4" customFormat="1" ht="12.8" customHeight="1">
      <c r="E583" s="1674"/>
      <c r="F583" s="1675"/>
      <c r="G583" s="1675"/>
      <c r="H583" s="1675"/>
      <c r="I583" s="1675"/>
      <c r="J583" s="1676"/>
      <c r="K583" s="1677">
        <v>50</v>
      </c>
      <c r="L583" s="1678"/>
      <c r="M583" s="1678"/>
      <c r="N583" s="1678"/>
      <c r="O583" s="1678"/>
      <c r="P583" s="1679"/>
      <c r="Q583" s="1742">
        <f t="shared" si="6"/>
        <v>0</v>
      </c>
      <c r="R583" s="1743"/>
      <c r="S583" s="1743"/>
      <c r="T583" s="1743"/>
      <c r="U583" s="1743"/>
      <c r="V583" s="1744"/>
      <c r="W583" s="1686">
        <f>IF(FLOOR(Q583,5)&gt;40,40,FLOOR(Q583,5))</f>
        <v>0</v>
      </c>
      <c r="X583" s="1687"/>
      <c r="Y583" s="1687"/>
      <c r="Z583" s="1687"/>
      <c r="AA583" s="1687"/>
      <c r="AB583" s="1688"/>
      <c r="AC583" s="1686">
        <f t="shared" si="4"/>
        <v>0</v>
      </c>
      <c r="AD583" s="1687"/>
      <c r="AE583" s="1687"/>
      <c r="AF583" s="1687"/>
      <c r="AG583" s="1687"/>
      <c r="AH583" s="1688"/>
      <c r="AN583" s="281"/>
      <c r="AO583" s="4">
        <v>0</v>
      </c>
      <c r="AP583" s="1677">
        <f t="shared" si="5"/>
        <v>0</v>
      </c>
      <c r="AQ583" s="1678"/>
      <c r="AR583" s="1678"/>
      <c r="AS583" s="1678"/>
      <c r="AT583" s="1679"/>
      <c r="AX583" s="1845"/>
      <c r="AY583" s="1846"/>
      <c r="AZ583" s="1726"/>
      <c r="BA583" s="1727"/>
      <c r="BB583" s="1845"/>
      <c r="BC583" s="1846"/>
      <c r="BD583" s="1726"/>
      <c r="BE583" s="1727"/>
      <c r="BF583" s="1845"/>
      <c r="BG583" s="1846"/>
      <c r="BH583" s="1726"/>
      <c r="BI583" s="1727"/>
      <c r="BJ583" s="1792">
        <f>IF(AP533=1,1,0)</f>
        <v>0</v>
      </c>
      <c r="BK583" s="1793"/>
      <c r="BL583" s="1845"/>
      <c r="BM583" s="1846"/>
      <c r="BN583" s="1845"/>
      <c r="BO583" s="1846"/>
      <c r="BP583" s="1723">
        <f>IF(AND(T608&gt;0,AP533&gt;0),1,0)</f>
        <v>1</v>
      </c>
      <c r="BQ583" s="1725"/>
    </row>
    <row r="584" spans="2:69" s="4" customFormat="1" ht="12.8" customHeight="1">
      <c r="E584" s="1772"/>
      <c r="F584" s="1773"/>
      <c r="G584" s="1773"/>
      <c r="H584" s="1773"/>
      <c r="I584" s="1773"/>
      <c r="J584" s="1774"/>
      <c r="K584" s="1881">
        <f>IF(OR(Application!D211="Rural",Application!D211="Rural apportionment (Section 514)",Application!D211="Rural apportionment (Section 515)",Application!D211="Rural apportionment (HOME)",Application!D211="Rural (Native American apportionment)"),50,0)</f>
        <v>50</v>
      </c>
      <c r="L584" s="1882"/>
      <c r="M584" s="1883" t="s">
        <v>1931</v>
      </c>
      <c r="N584" s="1883"/>
      <c r="O584" s="1883"/>
      <c r="P584" s="1884"/>
      <c r="Q584" s="1742">
        <f t="shared" si="6"/>
        <v>0</v>
      </c>
      <c r="R584" s="1743"/>
      <c r="S584" s="1743"/>
      <c r="T584" s="1743"/>
      <c r="U584" s="1743"/>
      <c r="V584" s="1744"/>
      <c r="W584" s="1686">
        <f>IF(FLOOR(Q584,5)&gt;50,50,FLOOR(Q584,5))</f>
        <v>0</v>
      </c>
      <c r="X584" s="1687"/>
      <c r="Y584" s="1687"/>
      <c r="Z584" s="1687"/>
      <c r="AA584" s="1687"/>
      <c r="AB584" s="1688"/>
      <c r="AC584" s="1686">
        <f>IFERROR(IF(W584&gt;0,INDEX($AT$504:$BA$518,MATCH(W584,$AS$504:$AS$518,0),MATCH(K584,$AT$503:$BA$503,0)),0),0)</f>
        <v>0</v>
      </c>
      <c r="AD584" s="1687"/>
      <c r="AE584" s="1687"/>
      <c r="AF584" s="1687"/>
      <c r="AG584" s="1687"/>
      <c r="AH584" s="1688"/>
      <c r="AN584" s="281"/>
      <c r="AP584" s="1677"/>
      <c r="AQ584" s="1678"/>
      <c r="AR584" s="1678"/>
      <c r="AS584" s="1678"/>
      <c r="AT584" s="1679"/>
      <c r="AX584" s="1845"/>
      <c r="AY584" s="1846"/>
      <c r="AZ584" s="1726"/>
      <c r="BA584" s="1727"/>
      <c r="BB584" s="1845"/>
      <c r="BC584" s="1846"/>
      <c r="BD584" s="1726"/>
      <c r="BE584" s="1727"/>
      <c r="BF584" s="1845"/>
      <c r="BG584" s="1846"/>
      <c r="BH584" s="1726"/>
      <c r="BI584" s="1727"/>
      <c r="BJ584" s="1845"/>
      <c r="BK584" s="1846"/>
      <c r="BL584" s="1845"/>
      <c r="BM584" s="1846"/>
      <c r="BN584" s="1792">
        <f>IF(AP534=1,1,0)</f>
        <v>0</v>
      </c>
      <c r="BO584" s="1793"/>
      <c r="BP584" s="1726"/>
      <c r="BQ584" s="1727"/>
    </row>
    <row r="585" spans="2:69" s="4" customFormat="1" ht="12.8" customHeight="1">
      <c r="E585" s="1772"/>
      <c r="F585" s="1773"/>
      <c r="G585" s="1773"/>
      <c r="H585" s="1773"/>
      <c r="I585" s="1773"/>
      <c r="J585" s="1774"/>
      <c r="K585" s="1881">
        <f>IF(OR(Application!D211="Rural",Application!D211="Rural apportionment (Section 514)",Application!D211="Rural apportionment (Section 515)",Application!D211="Rural apportionment (HOME)",Application!D211="Rural (Native American apportionment)"),55,0)</f>
        <v>55</v>
      </c>
      <c r="L585" s="1882"/>
      <c r="M585" s="1883" t="s">
        <v>1931</v>
      </c>
      <c r="N585" s="1883"/>
      <c r="O585" s="1883"/>
      <c r="P585" s="1884"/>
      <c r="Q585" s="1742">
        <f t="shared" si="6"/>
        <v>0</v>
      </c>
      <c r="R585" s="1743"/>
      <c r="S585" s="1743"/>
      <c r="T585" s="1743"/>
      <c r="U585" s="1743"/>
      <c r="V585" s="1744"/>
      <c r="W585" s="1686">
        <f>IF(FLOOR(Q585,5)&gt;40,40,FLOOR(Q585,5))</f>
        <v>0</v>
      </c>
      <c r="X585" s="1687"/>
      <c r="Y585" s="1687"/>
      <c r="Z585" s="1687"/>
      <c r="AA585" s="1687"/>
      <c r="AB585" s="1688"/>
      <c r="AC585" s="1686">
        <f>IFERROR(IF(W585&gt;0,INDEX($AT$504:$BA$518,MATCH(W585,$AS$504:$AS$518,0),MATCH(K585,$AT$503:$BA$503,0)),0),0)</f>
        <v>0</v>
      </c>
      <c r="AD585" s="1687"/>
      <c r="AE585" s="1687"/>
      <c r="AF585" s="1687"/>
      <c r="AG585" s="1687"/>
      <c r="AH585" s="1688"/>
      <c r="AN585" s="281"/>
      <c r="AX585" s="1792">
        <f>SUM(AX580:AY584)</f>
        <v>0</v>
      </c>
      <c r="AY585" s="1793"/>
      <c r="AZ585" s="1723">
        <f>SUM(AZ581:BA584)</f>
        <v>0</v>
      </c>
      <c r="BA585" s="1725"/>
      <c r="BB585" s="1792">
        <f>SUM(BB581:BC584)</f>
        <v>0</v>
      </c>
      <c r="BC585" s="1793"/>
      <c r="BD585" s="1723">
        <f>SUM(BD580:BE584)</f>
        <v>0</v>
      </c>
      <c r="BE585" s="1725"/>
      <c r="BF585" s="1792">
        <f>SUM(BF582:BG584)</f>
        <v>1</v>
      </c>
      <c r="BG585" s="1793"/>
      <c r="BH585" s="1723">
        <f>SUM(BH580:BI584)</f>
        <v>1</v>
      </c>
      <c r="BI585" s="1725"/>
      <c r="BJ585" s="1792">
        <f>SUM(BJ580:BK584)</f>
        <v>0</v>
      </c>
      <c r="BK585" s="1793"/>
      <c r="BL585" s="1723">
        <f>SUM(BL580:BM584)</f>
        <v>2</v>
      </c>
      <c r="BM585" s="1725"/>
      <c r="BN585" s="1792">
        <f>SUM(BN580:BO584)</f>
        <v>0</v>
      </c>
      <c r="BO585" s="1793"/>
      <c r="BP585" s="1723">
        <f>SUM(BP580:BQ584)</f>
        <v>3</v>
      </c>
      <c r="BQ585" s="1725"/>
    </row>
    <row r="586" spans="2:69" s="4" customFormat="1" ht="12.8" customHeight="1">
      <c r="E586" s="1674">
        <v>24</v>
      </c>
      <c r="F586" s="1675"/>
      <c r="G586" s="1675"/>
      <c r="H586" s="1675"/>
      <c r="I586" s="1675"/>
      <c r="J586" s="1676"/>
      <c r="K586" s="1677" t="s">
        <v>2258</v>
      </c>
      <c r="L586" s="1678"/>
      <c r="M586" s="1678"/>
      <c r="N586" s="1678"/>
      <c r="O586" s="1678"/>
      <c r="P586" s="1679"/>
      <c r="Q586" s="1742">
        <f t="shared" si="6"/>
        <v>40.677966101694921</v>
      </c>
      <c r="R586" s="1743"/>
      <c r="S586" s="1743"/>
      <c r="T586" s="1743"/>
      <c r="U586" s="1743"/>
      <c r="V586" s="1744"/>
      <c r="W586" s="1686">
        <f t="shared" si="7"/>
        <v>40</v>
      </c>
      <c r="X586" s="1687"/>
      <c r="Y586" s="1687"/>
      <c r="Z586" s="1687"/>
      <c r="AA586" s="1687"/>
      <c r="AB586" s="1688"/>
      <c r="AC586" s="1686">
        <v>0</v>
      </c>
      <c r="AD586" s="1687"/>
      <c r="AE586" s="1687"/>
      <c r="AF586" s="1687"/>
      <c r="AG586" s="1687"/>
      <c r="AH586" s="1688"/>
      <c r="AN586" s="281"/>
      <c r="AX586" s="1806">
        <f>IF(AND(AX585=1,AZ585&gt;1),1,0)</f>
        <v>0</v>
      </c>
      <c r="AY586" s="1807"/>
      <c r="AZ586" s="1807"/>
      <c r="BA586" s="1808"/>
      <c r="BB586" s="1806">
        <f>IF(AND(BB585=1,BD585&gt;=1),1,0)</f>
        <v>0</v>
      </c>
      <c r="BC586" s="1807"/>
      <c r="BD586" s="1807"/>
      <c r="BE586" s="1808"/>
      <c r="BF586" s="1806">
        <f>IF(AND(BF585=1,BH585&gt;=1),1,0)</f>
        <v>1</v>
      </c>
      <c r="BG586" s="1807"/>
      <c r="BH586" s="1807"/>
      <c r="BI586" s="1808"/>
      <c r="BJ586" s="1806">
        <f>IF(AND(BJ585=1,BL585&gt;=1),1,0)</f>
        <v>0</v>
      </c>
      <c r="BK586" s="1807"/>
      <c r="BL586" s="1807"/>
      <c r="BM586" s="1808"/>
      <c r="BN586" s="1806">
        <f>IF(AND(BN585=1,BP585&gt;=1),1,0)</f>
        <v>0</v>
      </c>
      <c r="BO586" s="1807"/>
      <c r="BP586" s="1807"/>
      <c r="BQ586" s="1808"/>
    </row>
    <row r="587" spans="2:69" s="4" customFormat="1" ht="12.8" customHeight="1">
      <c r="E587" s="967"/>
      <c r="F587" s="968"/>
      <c r="G587" s="968"/>
      <c r="H587" s="968"/>
      <c r="I587" s="968"/>
      <c r="J587" s="969"/>
      <c r="K587" s="1677" t="s">
        <v>2259</v>
      </c>
      <c r="L587" s="1678"/>
      <c r="M587" s="1678"/>
      <c r="N587" s="1678"/>
      <c r="O587" s="1678"/>
      <c r="P587" s="1679"/>
      <c r="Q587" s="1742">
        <f>IF(ISERROR(IF((((E587/$BJ$525)*100)&gt;100),"EXCESSIVE VALUE",(E587/$BJ$525)*100)),0,IF((((E587/$BJ$525)*100)&gt;100),"EXCESSIVE VALUE",(E587/$BJ$525)*100))</f>
        <v>0</v>
      </c>
      <c r="R587" s="1743"/>
      <c r="S587" s="1743"/>
      <c r="T587" s="1743"/>
      <c r="U587" s="1743"/>
      <c r="V587" s="1744"/>
      <c r="W587" s="1686">
        <f>IF(FLOOR(Q587,5)&gt;80,80,FLOOR(Q587,5))</f>
        <v>0</v>
      </c>
      <c r="X587" s="1687"/>
      <c r="Y587" s="1687"/>
      <c r="Z587" s="1687"/>
      <c r="AA587" s="1687"/>
      <c r="AB587" s="1688"/>
      <c r="AC587" s="1686">
        <v>0</v>
      </c>
      <c r="AD587" s="1687"/>
      <c r="AE587" s="1687"/>
      <c r="AF587" s="1687"/>
      <c r="AG587" s="1687"/>
      <c r="AH587" s="1688"/>
      <c r="AN587" s="281"/>
      <c r="AX587"/>
      <c r="AY587"/>
      <c r="AZ587"/>
      <c r="BA587"/>
      <c r="BB587"/>
      <c r="BC587"/>
      <c r="BD587"/>
      <c r="BE587"/>
      <c r="BF587"/>
      <c r="BG587"/>
      <c r="BH587"/>
      <c r="BI587" s="34" t="s">
        <v>646</v>
      </c>
      <c r="BJ587" s="1806">
        <f>AX586+BB586+BF586+BJ586+BN586</f>
        <v>1</v>
      </c>
      <c r="BK587" s="1807"/>
      <c r="BL587" s="1807"/>
      <c r="BM587" s="1808"/>
      <c r="BN587"/>
      <c r="BO587"/>
      <c r="BP587"/>
      <c r="BQ587"/>
    </row>
    <row r="588" spans="2:69" s="4" customFormat="1" ht="12.8" customHeight="1">
      <c r="E588" s="967"/>
      <c r="F588" s="968"/>
      <c r="G588" s="968"/>
      <c r="H588" s="968"/>
      <c r="I588" s="968"/>
      <c r="J588" s="969"/>
      <c r="K588" s="1677" t="s">
        <v>2260</v>
      </c>
      <c r="L588" s="1678"/>
      <c r="M588" s="1678"/>
      <c r="N588" s="1678"/>
      <c r="O588" s="1678"/>
      <c r="P588" s="1679"/>
      <c r="Q588" s="1742">
        <f>IF(ISERROR(IF((((E588/$BJ$525)*100)&gt;100),"EXCESSIVE VALUE",(E588/$BJ$525)*100)),0,IF((((E588/$BJ$525)*100)&gt;100),"EXCESSIVE VALUE",(E588/$BJ$525)*100))</f>
        <v>0</v>
      </c>
      <c r="R588" s="1743"/>
      <c r="S588" s="1743"/>
      <c r="T588" s="1743"/>
      <c r="U588" s="1743"/>
      <c r="V588" s="1744"/>
      <c r="W588" s="1686">
        <f>IF(FLOOR(Q588,5)&gt;80,80,FLOOR(Q588,5))</f>
        <v>0</v>
      </c>
      <c r="X588" s="1687"/>
      <c r="Y588" s="1687"/>
      <c r="Z588" s="1687"/>
      <c r="AA588" s="1687"/>
      <c r="AB588" s="1688"/>
      <c r="AC588" s="1686">
        <v>0</v>
      </c>
      <c r="AD588" s="1687"/>
      <c r="AE588" s="1687"/>
      <c r="AF588" s="1687"/>
      <c r="AG588" s="1687"/>
      <c r="AH588" s="1688"/>
      <c r="AN588" s="281"/>
      <c r="AX588"/>
      <c r="AY588"/>
      <c r="AZ588"/>
      <c r="BA588"/>
      <c r="BB588"/>
      <c r="BC588"/>
      <c r="BD588"/>
      <c r="BE588"/>
      <c r="BF588"/>
      <c r="BG588"/>
      <c r="BI588"/>
      <c r="BJ588" t="s">
        <v>645</v>
      </c>
      <c r="BK588"/>
      <c r="BL588"/>
      <c r="BM588"/>
      <c r="BN588"/>
      <c r="BO588"/>
      <c r="BP588"/>
      <c r="BQ588"/>
    </row>
    <row r="589" spans="2:69" s="4" customFormat="1" ht="12.8" customHeight="1">
      <c r="E589" s="1769">
        <f>SUM(E578:J588)</f>
        <v>59</v>
      </c>
      <c r="F589" s="1770"/>
      <c r="G589" s="1770"/>
      <c r="H589" s="1770"/>
      <c r="I589" s="1770"/>
      <c r="J589" s="1771"/>
      <c r="K589" s="89"/>
      <c r="L589" s="89"/>
      <c r="M589" s="89"/>
      <c r="N589" s="89"/>
      <c r="O589" s="89"/>
      <c r="P589" s="89"/>
      <c r="Q589" s="89"/>
      <c r="R589" s="89"/>
      <c r="S589" s="89"/>
      <c r="T589" s="89"/>
      <c r="U589" s="93"/>
      <c r="V589" s="93"/>
      <c r="W589" s="93"/>
      <c r="X589" s="93"/>
      <c r="Y589" s="93"/>
      <c r="Z589" s="89"/>
      <c r="AA589" s="93"/>
      <c r="AB589" s="60" t="s">
        <v>641</v>
      </c>
      <c r="AC589" s="1766">
        <f>IF(SUM(AC578:AH588)&gt;0,SUM(AC578:AH588),0)</f>
        <v>70</v>
      </c>
      <c r="AD589" s="1767"/>
      <c r="AE589" s="1767"/>
      <c r="AF589" s="1767"/>
      <c r="AG589" s="1767"/>
      <c r="AH589" s="1768"/>
      <c r="AK589" s="5"/>
      <c r="AL589" s="5"/>
      <c r="AM589" s="33"/>
      <c r="AN589" s="281"/>
    </row>
    <row r="590" spans="2:69" s="4" customFormat="1" ht="12.8"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8" customHeight="1">
      <c r="AK591" s="5"/>
      <c r="AL591" s="5"/>
      <c r="AM591" s="5"/>
      <c r="AN591" s="281"/>
    </row>
    <row r="592" spans="2:69" s="4" customFormat="1" ht="12.8" customHeight="1">
      <c r="B592" s="128" t="s">
        <v>2044</v>
      </c>
      <c r="AG592" s="1731" t="s">
        <v>111</v>
      </c>
      <c r="AH592" s="1731"/>
      <c r="AI592" s="1731"/>
      <c r="AJ592" s="1731"/>
      <c r="AK592" s="5"/>
      <c r="AL592" s="5"/>
      <c r="AM592" s="5"/>
      <c r="AN592" s="281"/>
    </row>
    <row r="593" spans="1:60" s="4" customFormat="1" ht="12.8" customHeight="1">
      <c r="B593" s="1692" t="s">
        <v>2245</v>
      </c>
      <c r="C593" s="1692"/>
      <c r="D593" s="1692"/>
      <c r="E593" s="1692"/>
      <c r="F593" s="1692"/>
      <c r="G593" s="1692"/>
      <c r="H593" s="1692"/>
      <c r="I593" s="1692"/>
      <c r="J593" s="1692"/>
      <c r="K593" s="1692"/>
      <c r="L593" s="1692"/>
      <c r="M593" s="1692"/>
      <c r="N593" s="1692"/>
      <c r="O593" s="1692"/>
      <c r="P593" s="1692"/>
      <c r="Q593" s="1692"/>
      <c r="R593" s="1692"/>
      <c r="S593" s="1692"/>
      <c r="T593" s="1692"/>
      <c r="U593" s="1692"/>
      <c r="V593" s="1692"/>
      <c r="W593" s="1692"/>
      <c r="X593" s="1692"/>
      <c r="Y593" s="1692"/>
      <c r="Z593" s="1692"/>
      <c r="AA593" s="1692"/>
      <c r="AB593" s="1692"/>
      <c r="AC593" s="1692"/>
      <c r="AD593" s="1692"/>
      <c r="AE593" s="1692"/>
      <c r="AF593" s="1692"/>
      <c r="AG593" s="1692"/>
      <c r="AH593" s="1692"/>
      <c r="AI593" s="21"/>
      <c r="AJ593" s="21"/>
      <c r="AK593"/>
      <c r="AL593"/>
      <c r="AM593"/>
      <c r="AN593" s="281"/>
    </row>
    <row r="594" spans="1:60" s="4" customFormat="1" ht="12.8" customHeight="1">
      <c r="A594" s="21"/>
      <c r="B594" s="1692"/>
      <c r="C594" s="1692"/>
      <c r="D594" s="1692"/>
      <c r="E594" s="1692"/>
      <c r="F594" s="1692"/>
      <c r="G594" s="1692"/>
      <c r="H594" s="1692"/>
      <c r="I594" s="1692"/>
      <c r="J594" s="1692"/>
      <c r="K594" s="1692"/>
      <c r="L594" s="1692"/>
      <c r="M594" s="1692"/>
      <c r="N594" s="1692"/>
      <c r="O594" s="1692"/>
      <c r="P594" s="1692"/>
      <c r="Q594" s="1692"/>
      <c r="R594" s="1692"/>
      <c r="S594" s="1692"/>
      <c r="T594" s="1692"/>
      <c r="U594" s="1692"/>
      <c r="V594" s="1692"/>
      <c r="W594" s="1692"/>
      <c r="X594" s="1692"/>
      <c r="Y594" s="1692"/>
      <c r="Z594" s="1692"/>
      <c r="AA594" s="1692"/>
      <c r="AB594" s="1692"/>
      <c r="AC594" s="1692"/>
      <c r="AD594" s="1692"/>
      <c r="AE594" s="1692"/>
      <c r="AF594" s="1692"/>
      <c r="AG594" s="1692"/>
      <c r="AH594" s="1692"/>
      <c r="AI594" s="21"/>
      <c r="AJ594" s="21"/>
      <c r="AK594"/>
      <c r="AL594"/>
      <c r="AM594"/>
      <c r="AN594" s="281"/>
    </row>
    <row r="595" spans="1:60" s="4" customFormat="1" ht="12.8" customHeight="1">
      <c r="A595" s="21"/>
      <c r="B595" s="1692"/>
      <c r="C595" s="1692"/>
      <c r="D595" s="1692"/>
      <c r="E595" s="1692"/>
      <c r="F595" s="1692"/>
      <c r="G595" s="1692"/>
      <c r="H595" s="1692"/>
      <c r="I595" s="1692"/>
      <c r="J595" s="1692"/>
      <c r="K595" s="1692"/>
      <c r="L595" s="1692"/>
      <c r="M595" s="1692"/>
      <c r="N595" s="1692"/>
      <c r="O595" s="1692"/>
      <c r="P595" s="1692"/>
      <c r="Q595" s="1692"/>
      <c r="R595" s="1692"/>
      <c r="S595" s="1692"/>
      <c r="T595" s="1692"/>
      <c r="U595" s="1692"/>
      <c r="V595" s="1692"/>
      <c r="W595" s="1692"/>
      <c r="X595" s="1692"/>
      <c r="Y595" s="1692"/>
      <c r="Z595" s="1692"/>
      <c r="AA595" s="1692"/>
      <c r="AB595" s="1692"/>
      <c r="AC595" s="1692"/>
      <c r="AD595" s="1692"/>
      <c r="AE595" s="1692"/>
      <c r="AF595" s="1692"/>
      <c r="AG595" s="1692"/>
      <c r="AH595" s="1692"/>
      <c r="AI595" s="21"/>
      <c r="AJ595" s="21"/>
      <c r="AK595"/>
      <c r="AL595"/>
      <c r="AM595"/>
      <c r="AN595" s="281"/>
    </row>
    <row r="596" spans="1:60" s="4" customFormat="1" ht="12.8" customHeight="1">
      <c r="A596" s="21"/>
      <c r="B596" s="1692"/>
      <c r="C596" s="1692"/>
      <c r="D596" s="1692"/>
      <c r="E596" s="1692"/>
      <c r="F596" s="1692"/>
      <c r="G596" s="1692"/>
      <c r="H596" s="1692"/>
      <c r="I596" s="1692"/>
      <c r="J596" s="1692"/>
      <c r="K596" s="1692"/>
      <c r="L596" s="1692"/>
      <c r="M596" s="1692"/>
      <c r="N596" s="1692"/>
      <c r="O596" s="1692"/>
      <c r="P596" s="1692"/>
      <c r="Q596" s="1692"/>
      <c r="R596" s="1692"/>
      <c r="S596" s="1692"/>
      <c r="T596" s="1692"/>
      <c r="U596" s="1692"/>
      <c r="V596" s="1692"/>
      <c r="W596" s="1692"/>
      <c r="X596" s="1692"/>
      <c r="Y596" s="1692"/>
      <c r="Z596" s="1692"/>
      <c r="AA596" s="1692"/>
      <c r="AB596" s="1692"/>
      <c r="AC596" s="1692"/>
      <c r="AD596" s="1692"/>
      <c r="AE596" s="1692"/>
      <c r="AF596" s="1692"/>
      <c r="AG596" s="1692"/>
      <c r="AH596" s="1692"/>
      <c r="AI596" s="21"/>
      <c r="AJ596" s="21"/>
      <c r="AK596"/>
      <c r="AL596"/>
      <c r="AM596"/>
      <c r="AN596" s="684"/>
    </row>
    <row r="597" spans="1:60">
      <c r="B597" s="1692"/>
      <c r="C597" s="1692"/>
      <c r="D597" s="1692"/>
      <c r="E597" s="1692"/>
      <c r="F597" s="1692"/>
      <c r="G597" s="1692"/>
      <c r="H597" s="1692"/>
      <c r="I597" s="1692"/>
      <c r="J597" s="1692"/>
      <c r="K597" s="1692"/>
      <c r="L597" s="1692"/>
      <c r="M597" s="1692"/>
      <c r="N597" s="1692"/>
      <c r="O597" s="1692"/>
      <c r="P597" s="1692"/>
      <c r="Q597" s="1692"/>
      <c r="R597" s="1692"/>
      <c r="S597" s="1692"/>
      <c r="T597" s="1692"/>
      <c r="U597" s="1692"/>
      <c r="V597" s="1692"/>
      <c r="W597" s="1692"/>
      <c r="X597" s="1692"/>
      <c r="Y597" s="1692"/>
      <c r="Z597" s="1692"/>
      <c r="AA597" s="1692"/>
      <c r="AB597" s="1692"/>
      <c r="AC597" s="1692"/>
      <c r="AD597" s="1692"/>
      <c r="AE597" s="1692"/>
      <c r="AF597" s="1692"/>
      <c r="AG597" s="1692"/>
      <c r="AH597" s="1692"/>
      <c r="AK597"/>
      <c r="AL597"/>
      <c r="AM597"/>
      <c r="BD597" s="21"/>
      <c r="BE597" s="21"/>
      <c r="BF597" s="21"/>
      <c r="BG597" s="21"/>
      <c r="BH597" s="21"/>
    </row>
    <row r="598" spans="1:60" ht="12.8" customHeight="1">
      <c r="B598" s="1692"/>
      <c r="C598" s="1692"/>
      <c r="D598" s="1692"/>
      <c r="E598" s="1692"/>
      <c r="F598" s="1692"/>
      <c r="G598" s="1692"/>
      <c r="H598" s="1692"/>
      <c r="I598" s="1692"/>
      <c r="J598" s="1692"/>
      <c r="K598" s="1692"/>
      <c r="L598" s="1692"/>
      <c r="M598" s="1692"/>
      <c r="N598" s="1692"/>
      <c r="O598" s="1692"/>
      <c r="P598" s="1692"/>
      <c r="Q598" s="1692"/>
      <c r="R598" s="1692"/>
      <c r="S598" s="1692"/>
      <c r="T598" s="1692"/>
      <c r="U598" s="1692"/>
      <c r="V598" s="1692"/>
      <c r="W598" s="1692"/>
      <c r="X598" s="1692"/>
      <c r="Y598" s="1692"/>
      <c r="Z598" s="1692"/>
      <c r="AA598" s="1692"/>
      <c r="AB598" s="1692"/>
      <c r="AC598" s="1692"/>
      <c r="AD598" s="1692"/>
      <c r="AE598" s="1692"/>
      <c r="AF598" s="1692"/>
      <c r="AG598" s="1692"/>
      <c r="AH598" s="1692"/>
    </row>
    <row r="599" spans="1:60" ht="12.8" customHeight="1">
      <c r="E599" s="162"/>
    </row>
    <row r="600" spans="1:60">
      <c r="J600" s="1817" t="s">
        <v>833</v>
      </c>
      <c r="K600" s="1818"/>
      <c r="L600" s="1818"/>
      <c r="M600" s="1818"/>
      <c r="N600" s="1819"/>
      <c r="O600" s="1562" t="s">
        <v>1575</v>
      </c>
      <c r="P600" s="1563"/>
      <c r="Q600" s="1563"/>
      <c r="R600" s="1563"/>
      <c r="S600" s="1564"/>
      <c r="T600" s="1562" t="s">
        <v>1847</v>
      </c>
      <c r="U600" s="1563"/>
      <c r="V600" s="1563"/>
      <c r="W600" s="1563"/>
      <c r="X600" s="1564"/>
      <c r="Y600" s="1562" t="s">
        <v>1576</v>
      </c>
      <c r="Z600" s="1563"/>
      <c r="AA600" s="1563"/>
      <c r="AB600" s="1563"/>
      <c r="AC600" s="1564"/>
      <c r="AF600"/>
      <c r="AG600"/>
      <c r="AH600"/>
      <c r="AI600"/>
      <c r="AJ600"/>
    </row>
    <row r="601" spans="1:60">
      <c r="D601"/>
      <c r="E601"/>
      <c r="F601"/>
      <c r="G601"/>
      <c r="H601"/>
      <c r="I601"/>
      <c r="J601" s="1715"/>
      <c r="K601" s="1716"/>
      <c r="L601" s="1716"/>
      <c r="M601" s="1716"/>
      <c r="N601" s="1820"/>
      <c r="O601" s="1565"/>
      <c r="P601" s="1566"/>
      <c r="Q601" s="1566"/>
      <c r="R601" s="1566"/>
      <c r="S601" s="1567"/>
      <c r="T601" s="1565"/>
      <c r="U601" s="1566"/>
      <c r="V601" s="1566"/>
      <c r="W601" s="1566"/>
      <c r="X601" s="1567"/>
      <c r="Y601" s="1565"/>
      <c r="Z601" s="1566"/>
      <c r="AA601" s="1566"/>
      <c r="AB601" s="1566"/>
      <c r="AC601" s="1567"/>
      <c r="AF601"/>
      <c r="AG601"/>
      <c r="AH601"/>
      <c r="AI601"/>
      <c r="AJ601"/>
    </row>
    <row r="602" spans="1:60">
      <c r="I602"/>
      <c r="J602" s="1715"/>
      <c r="K602" s="1716"/>
      <c r="L602" s="1716"/>
      <c r="M602" s="1716"/>
      <c r="N602" s="1820"/>
      <c r="O602" s="1565"/>
      <c r="P602" s="1566"/>
      <c r="Q602" s="1566"/>
      <c r="R602" s="1566"/>
      <c r="S602" s="1567"/>
      <c r="T602" s="1565"/>
      <c r="U602" s="1566"/>
      <c r="V602" s="1566"/>
      <c r="W602" s="1566"/>
      <c r="X602" s="1567"/>
      <c r="Y602" s="1565"/>
      <c r="Z602" s="1566"/>
      <c r="AA602" s="1566"/>
      <c r="AB602" s="1566"/>
      <c r="AC602" s="1567"/>
      <c r="AD602"/>
      <c r="AF602"/>
      <c r="AG602"/>
      <c r="AH602"/>
      <c r="AI602"/>
      <c r="AJ602"/>
    </row>
    <row r="603" spans="1:60">
      <c r="D603"/>
      <c r="E603"/>
      <c r="F603"/>
      <c r="G603"/>
      <c r="H603"/>
      <c r="I603"/>
      <c r="J603" s="1715"/>
      <c r="K603" s="1716"/>
      <c r="L603" s="1716"/>
      <c r="M603" s="1716"/>
      <c r="N603" s="1820"/>
      <c r="O603" s="1565"/>
      <c r="P603" s="1566"/>
      <c r="Q603" s="1566"/>
      <c r="R603" s="1566"/>
      <c r="S603" s="1567"/>
      <c r="T603" s="1565"/>
      <c r="U603" s="1566"/>
      <c r="V603" s="1566"/>
      <c r="W603" s="1566"/>
      <c r="X603" s="1567"/>
      <c r="Y603" s="1565"/>
      <c r="Z603" s="1566"/>
      <c r="AA603" s="1566"/>
      <c r="AB603" s="1566"/>
      <c r="AC603" s="1567"/>
      <c r="AD603"/>
      <c r="AF603"/>
      <c r="AG603"/>
      <c r="AH603"/>
      <c r="AI603"/>
      <c r="AJ603"/>
    </row>
    <row r="604" spans="1:60">
      <c r="D604"/>
      <c r="E604"/>
      <c r="F604"/>
      <c r="G604"/>
      <c r="H604"/>
      <c r="I604"/>
      <c r="J604" s="1755" t="s">
        <v>240</v>
      </c>
      <c r="K604" s="1756"/>
      <c r="L604" s="1756"/>
      <c r="M604" s="1756"/>
      <c r="N604" s="1757"/>
      <c r="O604" s="1677">
        <f>Application!CM613</f>
        <v>0</v>
      </c>
      <c r="P604" s="1678"/>
      <c r="Q604" s="1678"/>
      <c r="R604" s="1678"/>
      <c r="S604" s="1679"/>
      <c r="T604" s="1677">
        <f>Application!DR614</f>
        <v>0</v>
      </c>
      <c r="U604" s="1678"/>
      <c r="V604" s="1678"/>
      <c r="W604" s="1678"/>
      <c r="X604" s="1679"/>
      <c r="Y604" s="1761">
        <f t="shared" ref="Y604:Y609" si="8">IF(T604&gt;0,T604/O604,0)</f>
        <v>0</v>
      </c>
      <c r="Z604" s="1762"/>
      <c r="AA604" s="1762"/>
      <c r="AB604" s="1762"/>
      <c r="AC604" s="1763"/>
      <c r="AD604"/>
      <c r="AF604"/>
      <c r="AG604"/>
      <c r="AH604"/>
      <c r="AI604"/>
      <c r="AJ604"/>
    </row>
    <row r="605" spans="1:60">
      <c r="D605"/>
      <c r="E605"/>
      <c r="F605"/>
      <c r="G605"/>
      <c r="H605"/>
      <c r="I605"/>
      <c r="J605" s="1755" t="s">
        <v>35</v>
      </c>
      <c r="K605" s="1756"/>
      <c r="L605" s="1756"/>
      <c r="M605" s="1756"/>
      <c r="N605" s="1757"/>
      <c r="O605" s="1677">
        <f>Application!CH613</f>
        <v>0</v>
      </c>
      <c r="P605" s="1678"/>
      <c r="Q605" s="1678"/>
      <c r="R605" s="1678"/>
      <c r="S605" s="1679"/>
      <c r="T605" s="1677">
        <f>Application!DM614</f>
        <v>0</v>
      </c>
      <c r="U605" s="1678"/>
      <c r="V605" s="1678"/>
      <c r="W605" s="1678"/>
      <c r="X605" s="1679"/>
      <c r="Y605" s="1761">
        <f t="shared" si="8"/>
        <v>0</v>
      </c>
      <c r="Z605" s="1762"/>
      <c r="AA605" s="1762"/>
      <c r="AB605" s="1762"/>
      <c r="AC605" s="1763"/>
      <c r="AD605"/>
      <c r="AF605"/>
      <c r="AG605"/>
      <c r="AH605"/>
      <c r="AI605"/>
      <c r="AJ605"/>
      <c r="AO605" s="4"/>
    </row>
    <row r="606" spans="1:60">
      <c r="D606"/>
      <c r="E606"/>
      <c r="F606"/>
      <c r="G606"/>
      <c r="H606"/>
      <c r="I606"/>
      <c r="J606" s="1755" t="s">
        <v>280</v>
      </c>
      <c r="K606" s="1756"/>
      <c r="L606" s="1756"/>
      <c r="M606" s="1756"/>
      <c r="N606" s="1757"/>
      <c r="O606" s="1677">
        <f>Application!CC613</f>
        <v>18</v>
      </c>
      <c r="P606" s="1678"/>
      <c r="Q606" s="1678"/>
      <c r="R606" s="1678"/>
      <c r="S606" s="1679"/>
      <c r="T606" s="1677">
        <f>Application!DH614</f>
        <v>4</v>
      </c>
      <c r="U606" s="1678"/>
      <c r="V606" s="1678"/>
      <c r="W606" s="1678"/>
      <c r="X606" s="1679"/>
      <c r="Y606" s="1761">
        <f t="shared" si="8"/>
        <v>0.22222222222222221</v>
      </c>
      <c r="Z606" s="1762"/>
      <c r="AA606" s="1762"/>
      <c r="AB606" s="1762"/>
      <c r="AC606" s="1763"/>
      <c r="AD606"/>
      <c r="AF606"/>
      <c r="AG606"/>
      <c r="AH606"/>
      <c r="AI606"/>
      <c r="AJ606"/>
    </row>
    <row r="607" spans="1:60">
      <c r="D607"/>
      <c r="E607"/>
      <c r="F607"/>
      <c r="G607"/>
      <c r="H607"/>
      <c r="I607"/>
      <c r="J607" s="1755" t="s">
        <v>279</v>
      </c>
      <c r="K607" s="1756"/>
      <c r="L607" s="1756"/>
      <c r="M607" s="1756"/>
      <c r="N607" s="1757"/>
      <c r="O607" s="1677">
        <f>Application!BX613</f>
        <v>23</v>
      </c>
      <c r="P607" s="1678"/>
      <c r="Q607" s="1678"/>
      <c r="R607" s="1678"/>
      <c r="S607" s="1679"/>
      <c r="T607" s="1677">
        <f>Application!DC614</f>
        <v>5</v>
      </c>
      <c r="U607" s="1678"/>
      <c r="V607" s="1678"/>
      <c r="W607" s="1678"/>
      <c r="X607" s="1679"/>
      <c r="Y607" s="1761">
        <f t="shared" si="8"/>
        <v>0.21739130434782608</v>
      </c>
      <c r="Z607" s="1762"/>
      <c r="AA607" s="1762"/>
      <c r="AB607" s="1762"/>
      <c r="AC607" s="1763"/>
      <c r="AD607"/>
      <c r="AF607"/>
      <c r="AG607"/>
      <c r="AH607"/>
      <c r="AI607"/>
      <c r="AJ607"/>
    </row>
    <row r="608" spans="1:60">
      <c r="D608"/>
      <c r="E608"/>
      <c r="F608"/>
      <c r="G608"/>
      <c r="H608"/>
      <c r="I608"/>
      <c r="J608" s="1755" t="s">
        <v>278</v>
      </c>
      <c r="K608" s="1756"/>
      <c r="L608" s="1756"/>
      <c r="M608" s="1756"/>
      <c r="N608" s="1757"/>
      <c r="O608" s="1677">
        <f>Application!BS613</f>
        <v>18</v>
      </c>
      <c r="P608" s="1678"/>
      <c r="Q608" s="1678"/>
      <c r="R608" s="1678"/>
      <c r="S608" s="1679"/>
      <c r="T608" s="1677">
        <f>Application!CX614</f>
        <v>3</v>
      </c>
      <c r="U608" s="1678"/>
      <c r="V608" s="1678"/>
      <c r="W608" s="1678"/>
      <c r="X608" s="1679"/>
      <c r="Y608" s="1761">
        <f t="shared" si="8"/>
        <v>0.16666666666666666</v>
      </c>
      <c r="Z608" s="1762"/>
      <c r="AA608" s="1762"/>
      <c r="AB608" s="1762"/>
      <c r="AC608" s="1763"/>
      <c r="AD608"/>
      <c r="AF608"/>
      <c r="AG608"/>
      <c r="AH608"/>
      <c r="AI608"/>
      <c r="AJ608"/>
    </row>
    <row r="609" spans="1:60">
      <c r="D609"/>
      <c r="E609"/>
      <c r="F609"/>
      <c r="G609"/>
      <c r="H609"/>
      <c r="I609"/>
      <c r="J609" s="1755" t="s">
        <v>651</v>
      </c>
      <c r="K609" s="1756"/>
      <c r="L609" s="1756"/>
      <c r="M609" s="1756"/>
      <c r="N609" s="1757"/>
      <c r="O609" s="1677">
        <f>Application!BN613</f>
        <v>0</v>
      </c>
      <c r="P609" s="1678"/>
      <c r="Q609" s="1678"/>
      <c r="R609" s="1678"/>
      <c r="S609" s="1679"/>
      <c r="T609" s="1677">
        <f>Application!CS614</f>
        <v>0</v>
      </c>
      <c r="U609" s="1678"/>
      <c r="V609" s="1678"/>
      <c r="W609" s="1678"/>
      <c r="X609" s="1679"/>
      <c r="Y609" s="1761">
        <f t="shared" si="8"/>
        <v>0</v>
      </c>
      <c r="Z609" s="1762"/>
      <c r="AA609" s="1762"/>
      <c r="AB609" s="1762"/>
      <c r="AC609" s="1763"/>
      <c r="AD609"/>
      <c r="AF609"/>
      <c r="AG609"/>
      <c r="AH609"/>
      <c r="AI609"/>
      <c r="AJ609"/>
    </row>
    <row r="610" spans="1:60" ht="13.1">
      <c r="D610"/>
      <c r="E610"/>
      <c r="F610"/>
      <c r="G610"/>
      <c r="H610"/>
      <c r="I610"/>
      <c r="J610" s="1083" t="s">
        <v>917</v>
      </c>
      <c r="K610" s="1084"/>
      <c r="L610" s="1084"/>
      <c r="M610" s="1084"/>
      <c r="N610" s="1085"/>
      <c r="O610" s="1739">
        <f>SUM(O604:S609)</f>
        <v>59</v>
      </c>
      <c r="P610" s="1740"/>
      <c r="Q610" s="1740"/>
      <c r="R610" s="1740"/>
      <c r="S610" s="1741"/>
      <c r="T610" s="1739">
        <f>SUM(T604:X609)</f>
        <v>12</v>
      </c>
      <c r="U610" s="1740"/>
      <c r="V610" s="1740"/>
      <c r="W610" s="1740"/>
      <c r="X610" s="1741"/>
      <c r="Y610" s="1814" t="s">
        <v>247</v>
      </c>
      <c r="Z610" s="1815"/>
      <c r="AA610" s="1815"/>
      <c r="AB610" s="1815"/>
      <c r="AC610" s="1816"/>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1">
      <c r="A613" s="1136" t="s">
        <v>1579</v>
      </c>
      <c r="B613" s="1137"/>
      <c r="C613" s="1137"/>
      <c r="D613" s="1137"/>
      <c r="E613" s="1137"/>
      <c r="F613" s="1137"/>
      <c r="G613" s="1137"/>
      <c r="H613" s="1137"/>
      <c r="I613" s="1137"/>
      <c r="J613" s="1137"/>
      <c r="K613" s="1137"/>
      <c r="L613" s="1137"/>
      <c r="M613" s="1137"/>
      <c r="N613" s="1137"/>
      <c r="O613" s="1137"/>
      <c r="P613" s="1137"/>
      <c r="Q613" s="1137"/>
      <c r="R613" s="1137"/>
      <c r="S613" s="1137"/>
      <c r="T613" s="1137"/>
      <c r="U613" s="1137"/>
      <c r="V613" s="1137"/>
      <c r="W613" s="1137"/>
      <c r="X613" s="1137"/>
      <c r="Y613" s="1137"/>
      <c r="Z613" s="1137"/>
      <c r="AA613" s="1137"/>
      <c r="AB613" s="1137"/>
      <c r="AC613" s="1137"/>
      <c r="AD613" s="1137"/>
      <c r="AE613" s="1137"/>
      <c r="AF613" s="1137"/>
      <c r="AG613" s="1137"/>
      <c r="AH613" s="1137"/>
      <c r="AI613" s="1138"/>
      <c r="AJ613" s="1794">
        <v>2</v>
      </c>
      <c r="AK613" s="1795"/>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1">
      <c r="A615" s="1830" t="s">
        <v>191</v>
      </c>
      <c r="B615" s="1830"/>
      <c r="C615" s="1830"/>
      <c r="D615" s="1830"/>
      <c r="E615" s="1830"/>
      <c r="F615" s="1830"/>
      <c r="G615" s="1830"/>
      <c r="H615" s="1830"/>
      <c r="I615" s="1830"/>
      <c r="J615" s="1830"/>
      <c r="K615" s="1830"/>
      <c r="L615" s="1830"/>
      <c r="M615" s="1830"/>
      <c r="N615" s="1830"/>
      <c r="O615" s="1830"/>
      <c r="P615" s="1830"/>
      <c r="Q615" s="1830"/>
      <c r="R615" s="1830"/>
      <c r="S615" s="1830"/>
      <c r="T615" s="1830"/>
      <c r="U615" s="1830"/>
      <c r="V615" s="1830"/>
      <c r="W615" s="1830"/>
      <c r="X615" s="1830"/>
      <c r="Y615" s="1830"/>
      <c r="Z615" s="1830"/>
      <c r="AA615" s="1830"/>
      <c r="AB615" s="1830"/>
      <c r="AC615" s="1830"/>
      <c r="AD615" s="1830"/>
      <c r="AE615" s="1830"/>
      <c r="AF615" s="1830"/>
      <c r="AG615" s="1830"/>
      <c r="AH615" s="1830"/>
      <c r="AI615" s="1830"/>
      <c r="AJ615" s="1830"/>
      <c r="AK615" s="1235">
        <f>IF($AC$589=0,0,$AC$589+$AJ$613)</f>
        <v>72</v>
      </c>
      <c r="AL615" s="1236"/>
      <c r="AM615" s="1237"/>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2045</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670" t="s">
        <v>1580</v>
      </c>
      <c r="C619" s="1670"/>
      <c r="D619" s="1670"/>
      <c r="E619" s="1670"/>
      <c r="F619" s="1670"/>
      <c r="G619" s="1670"/>
      <c r="H619" s="1670"/>
      <c r="I619" s="1670"/>
      <c r="J619" s="1670"/>
      <c r="K619" s="1670"/>
      <c r="L619" s="1670"/>
      <c r="M619" s="1670"/>
      <c r="N619" s="1670"/>
      <c r="O619" s="1670"/>
      <c r="P619" s="1670"/>
      <c r="Q619" s="1670"/>
      <c r="R619" s="1670"/>
      <c r="S619" s="1670"/>
      <c r="T619" s="1670"/>
      <c r="U619" s="1670"/>
      <c r="V619" s="1670"/>
      <c r="W619" s="1670"/>
      <c r="X619" s="1670"/>
      <c r="Y619" s="1670"/>
      <c r="Z619" s="1670"/>
      <c r="AA619" s="1670"/>
      <c r="AB619" s="1670"/>
      <c r="AC619" s="1670"/>
      <c r="AD619" s="1670"/>
      <c r="AE619" s="1670"/>
      <c r="AF619" s="1670"/>
      <c r="AG619" s="1670"/>
      <c r="AH619" s="1670"/>
      <c r="AI619" s="19"/>
      <c r="AJ619" s="4"/>
      <c r="AK619" s="4"/>
      <c r="AL619" s="4"/>
      <c r="AM619" s="4"/>
    </row>
    <row r="620" spans="1:60">
      <c r="A620" s="4"/>
      <c r="B620" s="1670"/>
      <c r="C620" s="1670"/>
      <c r="D620" s="1670"/>
      <c r="E620" s="1670"/>
      <c r="F620" s="1670"/>
      <c r="G620" s="1670"/>
      <c r="H620" s="1670"/>
      <c r="I620" s="1670"/>
      <c r="J620" s="1670"/>
      <c r="K620" s="1670"/>
      <c r="L620" s="1670"/>
      <c r="M620" s="1670"/>
      <c r="N620" s="1670"/>
      <c r="O620" s="1670"/>
      <c r="P620" s="1670"/>
      <c r="Q620" s="1670"/>
      <c r="R620" s="1670"/>
      <c r="S620" s="1670"/>
      <c r="T620" s="1670"/>
      <c r="U620" s="1670"/>
      <c r="V620" s="1670"/>
      <c r="W620" s="1670"/>
      <c r="X620" s="1670"/>
      <c r="Y620" s="1670"/>
      <c r="Z620" s="1670"/>
      <c r="AA620" s="1670"/>
      <c r="AB620" s="1670"/>
      <c r="AC620" s="1670"/>
      <c r="AD620" s="1670"/>
      <c r="AE620" s="1670"/>
      <c r="AF620" s="1670"/>
      <c r="AG620" s="1670"/>
      <c r="AH620" s="1670"/>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1">
      <c r="A623" s="4"/>
      <c r="B623" s="20"/>
      <c r="C623" s="1225" t="s">
        <v>116</v>
      </c>
      <c r="D623" s="1225"/>
      <c r="E623" s="185"/>
      <c r="F623" s="1821" t="s">
        <v>2246</v>
      </c>
      <c r="G623" s="1822"/>
      <c r="H623" s="1822"/>
      <c r="I623" s="1822"/>
      <c r="J623" s="1822"/>
      <c r="K623" s="1822"/>
      <c r="L623" s="1822"/>
      <c r="M623" s="1822"/>
      <c r="N623" s="1822"/>
      <c r="O623" s="1822"/>
      <c r="P623" s="1822"/>
      <c r="Q623" s="1822"/>
      <c r="R623" s="1822"/>
      <c r="S623" s="1822"/>
      <c r="T623" s="1822"/>
      <c r="U623" s="1822"/>
      <c r="V623" s="1822"/>
      <c r="W623" s="1822"/>
      <c r="X623" s="1822"/>
      <c r="Y623" s="1822"/>
      <c r="Z623" s="1822"/>
      <c r="AA623" s="1822"/>
      <c r="AB623" s="1822"/>
      <c r="AC623" s="1822"/>
      <c r="AD623" s="1823"/>
      <c r="AE623" s="4"/>
      <c r="AF623" s="175"/>
      <c r="AG623" s="1040" t="s">
        <v>982</v>
      </c>
      <c r="AH623" s="1040"/>
      <c r="AI623" s="1040"/>
      <c r="AJ623" s="1040"/>
      <c r="AK623" s="4"/>
      <c r="AL623" s="4"/>
      <c r="AM623" s="4"/>
      <c r="AO623" s="4"/>
      <c r="AP623" s="35"/>
    </row>
    <row r="624" spans="1:60">
      <c r="A624" s="4"/>
      <c r="B624" s="20"/>
      <c r="C624" s="45"/>
      <c r="D624" s="4"/>
      <c r="E624" s="185"/>
      <c r="F624" s="1824"/>
      <c r="G624" s="1825"/>
      <c r="H624" s="1825"/>
      <c r="I624" s="1825"/>
      <c r="J624" s="1825"/>
      <c r="K624" s="1825"/>
      <c r="L624" s="1825"/>
      <c r="M624" s="1825"/>
      <c r="N624" s="1825"/>
      <c r="O624" s="1825"/>
      <c r="P624" s="1825"/>
      <c r="Q624" s="1825"/>
      <c r="R624" s="1825"/>
      <c r="S624" s="1825"/>
      <c r="T624" s="1825"/>
      <c r="U624" s="1825"/>
      <c r="V624" s="1825"/>
      <c r="W624" s="1825"/>
      <c r="X624" s="1825"/>
      <c r="Y624" s="1825"/>
      <c r="Z624" s="1825"/>
      <c r="AA624" s="1825"/>
      <c r="AB624" s="1825"/>
      <c r="AC624" s="1825"/>
      <c r="AD624" s="1826"/>
      <c r="AE624" s="4"/>
      <c r="AF624" s="175"/>
      <c r="AG624" s="175"/>
      <c r="AH624" s="175"/>
      <c r="AI624" s="175"/>
      <c r="AJ624" s="4"/>
      <c r="AK624" s="4"/>
      <c r="AL624" s="4"/>
      <c r="AM624" s="4"/>
    </row>
    <row r="625" spans="1:60" ht="13.75" customHeight="1">
      <c r="A625" s="4"/>
      <c r="B625" s="20"/>
      <c r="C625" s="45"/>
      <c r="D625" s="4"/>
      <c r="E625" s="185"/>
      <c r="F625" s="1827"/>
      <c r="G625" s="1828"/>
      <c r="H625" s="1828"/>
      <c r="I625" s="1828"/>
      <c r="J625" s="1828"/>
      <c r="K625" s="1828"/>
      <c r="L625" s="1828"/>
      <c r="M625" s="1828"/>
      <c r="N625" s="1828"/>
      <c r="O625" s="1828"/>
      <c r="P625" s="1828"/>
      <c r="Q625" s="1828"/>
      <c r="R625" s="1828"/>
      <c r="S625" s="1828"/>
      <c r="T625" s="1828"/>
      <c r="U625" s="1828"/>
      <c r="V625" s="1828"/>
      <c r="W625" s="1828"/>
      <c r="X625" s="1828"/>
      <c r="Y625" s="1828"/>
      <c r="Z625" s="1828"/>
      <c r="AA625" s="1828"/>
      <c r="AB625" s="1828"/>
      <c r="AC625" s="1828"/>
      <c r="AD625" s="1829"/>
      <c r="AE625" s="4"/>
      <c r="AF625" s="175"/>
      <c r="AG625" s="175"/>
      <c r="AH625" s="175"/>
      <c r="AI625" s="175"/>
      <c r="AJ625" s="4"/>
      <c r="AK625" s="4"/>
      <c r="AL625" s="4"/>
      <c r="AM625" s="4"/>
    </row>
    <row r="626" spans="1:60" ht="13.75"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5" customHeight="1">
      <c r="A627" s="4"/>
      <c r="B627" s="1670" t="s">
        <v>2247</v>
      </c>
      <c r="C627" s="1670"/>
      <c r="D627" s="1670"/>
      <c r="E627" s="1670"/>
      <c r="F627" s="1670"/>
      <c r="G627" s="1670"/>
      <c r="H627" s="1670"/>
      <c r="I627" s="1670"/>
      <c r="J627" s="1670"/>
      <c r="K627" s="1670"/>
      <c r="L627" s="1670"/>
      <c r="M627" s="1670"/>
      <c r="N627" s="1670"/>
      <c r="O627" s="1670"/>
      <c r="P627" s="1670"/>
      <c r="Q627" s="1670"/>
      <c r="R627" s="1670"/>
      <c r="S627" s="1670"/>
      <c r="T627" s="1670"/>
      <c r="U627" s="1670"/>
      <c r="V627" s="1670"/>
      <c r="W627" s="1670"/>
      <c r="X627" s="1670"/>
      <c r="Y627" s="1670"/>
      <c r="Z627" s="1670"/>
      <c r="AA627" s="1670"/>
      <c r="AB627" s="1670"/>
      <c r="AC627" s="1670"/>
      <c r="AD627" s="1670"/>
      <c r="AE627" s="1670"/>
      <c r="AF627" s="1670"/>
      <c r="AG627" s="1670"/>
      <c r="AH627" s="1670"/>
      <c r="AI627" s="175"/>
      <c r="AJ627" s="4"/>
      <c r="AK627" s="4"/>
      <c r="AL627" s="4"/>
      <c r="AM627" s="4"/>
      <c r="AN627" s="79"/>
    </row>
    <row r="628" spans="1:60" ht="13.75" customHeight="1">
      <c r="B628" s="1670"/>
      <c r="C628" s="1670"/>
      <c r="D628" s="1670"/>
      <c r="E628" s="1670"/>
      <c r="F628" s="1670"/>
      <c r="G628" s="1670"/>
      <c r="H628" s="1670"/>
      <c r="I628" s="1670"/>
      <c r="J628" s="1670"/>
      <c r="K628" s="1670"/>
      <c r="L628" s="1670"/>
      <c r="M628" s="1670"/>
      <c r="N628" s="1670"/>
      <c r="O628" s="1670"/>
      <c r="P628" s="1670"/>
      <c r="Q628" s="1670"/>
      <c r="R628" s="1670"/>
      <c r="S628" s="1670"/>
      <c r="T628" s="1670"/>
      <c r="U628" s="1670"/>
      <c r="V628" s="1670"/>
      <c r="W628" s="1670"/>
      <c r="X628" s="1670"/>
      <c r="Y628" s="1670"/>
      <c r="Z628" s="1670"/>
      <c r="AA628" s="1670"/>
      <c r="AB628" s="1670"/>
      <c r="AC628" s="1670"/>
      <c r="AD628" s="1670"/>
      <c r="AE628" s="1670"/>
      <c r="AF628" s="1670"/>
      <c r="AG628" s="1670"/>
      <c r="AH628" s="1670"/>
      <c r="AI628" s="162"/>
      <c r="AJ628" s="4"/>
      <c r="AK628" s="4"/>
      <c r="AL628" s="4"/>
      <c r="AM628" s="4"/>
      <c r="AN628" s="79"/>
      <c r="AR628" s="41"/>
    </row>
    <row r="629" spans="1:60" ht="13.75" customHeight="1">
      <c r="A629" s="4"/>
      <c r="B629" s="1670"/>
      <c r="C629" s="1670"/>
      <c r="D629" s="1670"/>
      <c r="E629" s="1670"/>
      <c r="F629" s="1670"/>
      <c r="G629" s="1670"/>
      <c r="H629" s="1670"/>
      <c r="I629" s="1670"/>
      <c r="J629" s="1670"/>
      <c r="K629" s="1670"/>
      <c r="L629" s="1670"/>
      <c r="M629" s="1670"/>
      <c r="N629" s="1670"/>
      <c r="O629" s="1670"/>
      <c r="P629" s="1670"/>
      <c r="Q629" s="1670"/>
      <c r="R629" s="1670"/>
      <c r="S629" s="1670"/>
      <c r="T629" s="1670"/>
      <c r="U629" s="1670"/>
      <c r="V629" s="1670"/>
      <c r="W629" s="1670"/>
      <c r="X629" s="1670"/>
      <c r="Y629" s="1670"/>
      <c r="Z629" s="1670"/>
      <c r="AA629" s="1670"/>
      <c r="AB629" s="1670"/>
      <c r="AC629" s="1670"/>
      <c r="AD629" s="1670"/>
      <c r="AE629" s="1670"/>
      <c r="AF629" s="1670"/>
      <c r="AG629" s="1670"/>
      <c r="AH629" s="1670"/>
      <c r="AI629" s="162"/>
      <c r="AJ629" s="4"/>
      <c r="AK629" s="4"/>
      <c r="AL629" s="4"/>
      <c r="AM629" s="4"/>
      <c r="AN629" s="79"/>
    </row>
    <row r="630" spans="1:60" ht="13.75" customHeight="1">
      <c r="A630" s="4"/>
      <c r="B630" s="1670"/>
      <c r="C630" s="1670"/>
      <c r="D630" s="1670"/>
      <c r="E630" s="1670"/>
      <c r="F630" s="1670"/>
      <c r="G630" s="1670"/>
      <c r="H630" s="1670"/>
      <c r="I630" s="1670"/>
      <c r="J630" s="1670"/>
      <c r="K630" s="1670"/>
      <c r="L630" s="1670"/>
      <c r="M630" s="1670"/>
      <c r="N630" s="1670"/>
      <c r="O630" s="1670"/>
      <c r="P630" s="1670"/>
      <c r="Q630" s="1670"/>
      <c r="R630" s="1670"/>
      <c r="S630" s="1670"/>
      <c r="T630" s="1670"/>
      <c r="U630" s="1670"/>
      <c r="V630" s="1670"/>
      <c r="W630" s="1670"/>
      <c r="X630" s="1670"/>
      <c r="Y630" s="1670"/>
      <c r="Z630" s="1670"/>
      <c r="AA630" s="1670"/>
      <c r="AB630" s="1670"/>
      <c r="AC630" s="1670"/>
      <c r="AD630" s="1670"/>
      <c r="AE630" s="1670"/>
      <c r="AF630" s="1670"/>
      <c r="AG630" s="1670"/>
      <c r="AH630" s="1670"/>
      <c r="AI630" s="162"/>
      <c r="AJ630" s="4"/>
      <c r="AK630" s="4"/>
      <c r="AL630" s="4"/>
      <c r="AM630" s="4"/>
      <c r="AN630" s="79"/>
    </row>
    <row r="631" spans="1:60" ht="13.75" customHeight="1">
      <c r="A631" s="4"/>
      <c r="B631" s="1670"/>
      <c r="C631" s="1670"/>
      <c r="D631" s="1670"/>
      <c r="E631" s="1670"/>
      <c r="F631" s="1670"/>
      <c r="G631" s="1670"/>
      <c r="H631" s="1670"/>
      <c r="I631" s="1670"/>
      <c r="J631" s="1670"/>
      <c r="K631" s="1670"/>
      <c r="L631" s="1670"/>
      <c r="M631" s="1670"/>
      <c r="N631" s="1670"/>
      <c r="O631" s="1670"/>
      <c r="P631" s="1670"/>
      <c r="Q631" s="1670"/>
      <c r="R631" s="1670"/>
      <c r="S631" s="1670"/>
      <c r="T631" s="1670"/>
      <c r="U631" s="1670"/>
      <c r="V631" s="1670"/>
      <c r="W631" s="1670"/>
      <c r="X631" s="1670"/>
      <c r="Y631" s="1670"/>
      <c r="Z631" s="1670"/>
      <c r="AA631" s="1670"/>
      <c r="AB631" s="1670"/>
      <c r="AC631" s="1670"/>
      <c r="AD631" s="1670"/>
      <c r="AE631" s="1670"/>
      <c r="AF631" s="1670"/>
      <c r="AG631" s="1670"/>
      <c r="AH631" s="1670"/>
      <c r="AI631" s="162"/>
      <c r="AJ631" s="4"/>
      <c r="AK631" s="4"/>
      <c r="AL631" s="4"/>
      <c r="AM631" s="4"/>
      <c r="AN631" s="79"/>
    </row>
    <row r="632" spans="1:60" ht="13.75" customHeight="1">
      <c r="A632" s="4"/>
      <c r="B632" s="1670"/>
      <c r="C632" s="1670"/>
      <c r="D632" s="1670"/>
      <c r="E632" s="1670"/>
      <c r="F632" s="1670"/>
      <c r="G632" s="1670"/>
      <c r="H632" s="1670"/>
      <c r="I632" s="1670"/>
      <c r="J632" s="1670"/>
      <c r="K632" s="1670"/>
      <c r="L632" s="1670"/>
      <c r="M632" s="1670"/>
      <c r="N632" s="1670"/>
      <c r="O632" s="1670"/>
      <c r="P632" s="1670"/>
      <c r="Q632" s="1670"/>
      <c r="R632" s="1670"/>
      <c r="S632" s="1670"/>
      <c r="T632" s="1670"/>
      <c r="U632" s="1670"/>
      <c r="V632" s="1670"/>
      <c r="W632" s="1670"/>
      <c r="X632" s="1670"/>
      <c r="Y632" s="1670"/>
      <c r="Z632" s="1670"/>
      <c r="AA632" s="1670"/>
      <c r="AB632" s="1670"/>
      <c r="AC632" s="1670"/>
      <c r="AD632" s="1670"/>
      <c r="AE632" s="1670"/>
      <c r="AF632" s="1670"/>
      <c r="AG632" s="1670"/>
      <c r="AH632" s="1670"/>
      <c r="AI632" s="162"/>
      <c r="AJ632" s="4"/>
      <c r="AK632" s="4"/>
      <c r="AL632" s="4"/>
      <c r="AM632" s="4"/>
      <c r="AN632" s="79"/>
    </row>
    <row r="633" spans="1:60" ht="13.75" customHeight="1">
      <c r="A633" s="4"/>
      <c r="B633" s="1670"/>
      <c r="C633" s="1670"/>
      <c r="D633" s="1670"/>
      <c r="E633" s="1670"/>
      <c r="F633" s="1670"/>
      <c r="G633" s="1670"/>
      <c r="H633" s="1670"/>
      <c r="I633" s="1670"/>
      <c r="J633" s="1670"/>
      <c r="K633" s="1670"/>
      <c r="L633" s="1670"/>
      <c r="M633" s="1670"/>
      <c r="N633" s="1670"/>
      <c r="O633" s="1670"/>
      <c r="P633" s="1670"/>
      <c r="Q633" s="1670"/>
      <c r="R633" s="1670"/>
      <c r="S633" s="1670"/>
      <c r="T633" s="1670"/>
      <c r="U633" s="1670"/>
      <c r="V633" s="1670"/>
      <c r="W633" s="1670"/>
      <c r="X633" s="1670"/>
      <c r="Y633" s="1670"/>
      <c r="Z633" s="1670"/>
      <c r="AA633" s="1670"/>
      <c r="AB633" s="1670"/>
      <c r="AC633" s="1670"/>
      <c r="AD633" s="1670"/>
      <c r="AE633" s="1670"/>
      <c r="AF633" s="1670"/>
      <c r="AG633" s="1670"/>
      <c r="AH633" s="1670"/>
      <c r="AI633" s="162"/>
      <c r="AJ633" s="4"/>
      <c r="AK633" s="4"/>
      <c r="AL633" s="4"/>
      <c r="AM633" s="4"/>
      <c r="AN633" s="79"/>
    </row>
    <row r="634" spans="1:60">
      <c r="A634" s="4"/>
      <c r="B634" s="1670"/>
      <c r="C634" s="1670"/>
      <c r="D634" s="1670"/>
      <c r="E634" s="1670"/>
      <c r="F634" s="1670"/>
      <c r="G634" s="1670"/>
      <c r="H634" s="1670"/>
      <c r="I634" s="1670"/>
      <c r="J634" s="1670"/>
      <c r="K634" s="1670"/>
      <c r="L634" s="1670"/>
      <c r="M634" s="1670"/>
      <c r="N634" s="1670"/>
      <c r="O634" s="1670"/>
      <c r="P634" s="1670"/>
      <c r="Q634" s="1670"/>
      <c r="R634" s="1670"/>
      <c r="S634" s="1670"/>
      <c r="T634" s="1670"/>
      <c r="U634" s="1670"/>
      <c r="V634" s="1670"/>
      <c r="W634" s="1670"/>
      <c r="X634" s="1670"/>
      <c r="Y634" s="1670"/>
      <c r="Z634" s="1670"/>
      <c r="AA634" s="1670"/>
      <c r="AB634" s="1670"/>
      <c r="AC634" s="1670"/>
      <c r="AD634" s="1670"/>
      <c r="AE634" s="1670"/>
      <c r="AF634" s="1670"/>
      <c r="AG634" s="1670"/>
      <c r="AH634" s="1670"/>
      <c r="AI634" s="162"/>
      <c r="AJ634" s="4"/>
      <c r="AK634" s="4"/>
      <c r="AL634" s="4"/>
      <c r="AM634" s="4"/>
      <c r="AN634" s="79"/>
    </row>
    <row r="635" spans="1:60">
      <c r="A635" s="4"/>
      <c r="B635" s="1670"/>
      <c r="C635" s="1670"/>
      <c r="D635" s="1670"/>
      <c r="E635" s="1670"/>
      <c r="F635" s="1670"/>
      <c r="G635" s="1670"/>
      <c r="H635" s="1670"/>
      <c r="I635" s="1670"/>
      <c r="J635" s="1670"/>
      <c r="K635" s="1670"/>
      <c r="L635" s="1670"/>
      <c r="M635" s="1670"/>
      <c r="N635" s="1670"/>
      <c r="O635" s="1670"/>
      <c r="P635" s="1670"/>
      <c r="Q635" s="1670"/>
      <c r="R635" s="1670"/>
      <c r="S635" s="1670"/>
      <c r="T635" s="1670"/>
      <c r="U635" s="1670"/>
      <c r="V635" s="1670"/>
      <c r="W635" s="1670"/>
      <c r="X635" s="1670"/>
      <c r="Y635" s="1670"/>
      <c r="Z635" s="1670"/>
      <c r="AA635" s="1670"/>
      <c r="AB635" s="1670"/>
      <c r="AC635" s="1670"/>
      <c r="AD635" s="1670"/>
      <c r="AE635" s="1670"/>
      <c r="AF635" s="1670"/>
      <c r="AG635" s="1670"/>
      <c r="AH635" s="1670"/>
      <c r="AI635" s="162"/>
      <c r="AJ635" s="4"/>
      <c r="AK635" s="4"/>
      <c r="AL635" s="4"/>
      <c r="AM635" s="4"/>
      <c r="AN635" s="79"/>
    </row>
    <row r="636" spans="1:60">
      <c r="A636" s="4"/>
      <c r="B636" s="1670"/>
      <c r="C636" s="1670"/>
      <c r="D636" s="1670"/>
      <c r="E636" s="1670"/>
      <c r="F636" s="1670"/>
      <c r="G636" s="1670"/>
      <c r="H636" s="1670"/>
      <c r="I636" s="1670"/>
      <c r="J636" s="1670"/>
      <c r="K636" s="1670"/>
      <c r="L636" s="1670"/>
      <c r="M636" s="1670"/>
      <c r="N636" s="1670"/>
      <c r="O636" s="1670"/>
      <c r="P636" s="1670"/>
      <c r="Q636" s="1670"/>
      <c r="R636" s="1670"/>
      <c r="S636" s="1670"/>
      <c r="T636" s="1670"/>
      <c r="U636" s="1670"/>
      <c r="V636" s="1670"/>
      <c r="W636" s="1670"/>
      <c r="X636" s="1670"/>
      <c r="Y636" s="1670"/>
      <c r="Z636" s="1670"/>
      <c r="AA636" s="1670"/>
      <c r="AB636" s="1670"/>
      <c r="AC636" s="1670"/>
      <c r="AD636" s="1670"/>
      <c r="AE636" s="1670"/>
      <c r="AF636" s="1670"/>
      <c r="AG636" s="1670"/>
      <c r="AH636" s="1670"/>
      <c r="AI636" s="162"/>
      <c r="AJ636" s="4"/>
      <c r="AK636" s="4"/>
      <c r="AL636" s="4"/>
      <c r="AM636" s="4"/>
      <c r="AN636" s="79"/>
    </row>
    <row r="637" spans="1:60">
      <c r="A637" s="4"/>
      <c r="B637" s="1670"/>
      <c r="C637" s="1670"/>
      <c r="D637" s="1670"/>
      <c r="E637" s="1670"/>
      <c r="F637" s="1670"/>
      <c r="G637" s="1670"/>
      <c r="H637" s="1670"/>
      <c r="I637" s="1670"/>
      <c r="J637" s="1670"/>
      <c r="K637" s="1670"/>
      <c r="L637" s="1670"/>
      <c r="M637" s="1670"/>
      <c r="N637" s="1670"/>
      <c r="O637" s="1670"/>
      <c r="P637" s="1670"/>
      <c r="Q637" s="1670"/>
      <c r="R637" s="1670"/>
      <c r="S637" s="1670"/>
      <c r="T637" s="1670"/>
      <c r="U637" s="1670"/>
      <c r="V637" s="1670"/>
      <c r="W637" s="1670"/>
      <c r="X637" s="1670"/>
      <c r="Y637" s="1670"/>
      <c r="Z637" s="1670"/>
      <c r="AA637" s="1670"/>
      <c r="AB637" s="1670"/>
      <c r="AC637" s="1670"/>
      <c r="AD637" s="1670"/>
      <c r="AE637" s="1670"/>
      <c r="AF637" s="1670"/>
      <c r="AG637" s="1670"/>
      <c r="AH637" s="1670"/>
      <c r="AI637" s="162"/>
      <c r="AJ637" s="4"/>
      <c r="AK637" s="4"/>
      <c r="AL637" s="4"/>
      <c r="AM637" s="4"/>
      <c r="AN637" s="79"/>
    </row>
    <row r="638" spans="1:60" s="659" customFormat="1" ht="12.45" customHeight="1">
      <c r="A638" s="4"/>
      <c r="B638" s="1670"/>
      <c r="C638" s="1670"/>
      <c r="D638" s="1670"/>
      <c r="E638" s="1670"/>
      <c r="F638" s="1670"/>
      <c r="G638" s="1670"/>
      <c r="H638" s="1670"/>
      <c r="I638" s="1670"/>
      <c r="J638" s="1670"/>
      <c r="K638" s="1670"/>
      <c r="L638" s="1670"/>
      <c r="M638" s="1670"/>
      <c r="N638" s="1670"/>
      <c r="O638" s="1670"/>
      <c r="P638" s="1670"/>
      <c r="Q638" s="1670"/>
      <c r="R638" s="1670"/>
      <c r="S638" s="1670"/>
      <c r="T638" s="1670"/>
      <c r="U638" s="1670"/>
      <c r="V638" s="1670"/>
      <c r="W638" s="1670"/>
      <c r="X638" s="1670"/>
      <c r="Y638" s="1670"/>
      <c r="Z638" s="1670"/>
      <c r="AA638" s="1670"/>
      <c r="AB638" s="1670"/>
      <c r="AC638" s="1670"/>
      <c r="AD638" s="1670"/>
      <c r="AE638" s="1670"/>
      <c r="AF638" s="1670"/>
      <c r="AG638" s="1670"/>
      <c r="AH638" s="1670"/>
      <c r="AI638" s="162"/>
      <c r="AJ638" s="4"/>
      <c r="AK638" s="4"/>
      <c r="AL638" s="4"/>
      <c r="AM638" s="4"/>
      <c r="AN638" s="693"/>
      <c r="BD638" s="661"/>
      <c r="BE638" s="661"/>
      <c r="BF638" s="661"/>
      <c r="BG638" s="661"/>
      <c r="BH638" s="661"/>
    </row>
    <row r="639" spans="1:60">
      <c r="A639" s="4"/>
      <c r="B639" s="1670"/>
      <c r="C639" s="1670"/>
      <c r="D639" s="1670"/>
      <c r="E639" s="1670"/>
      <c r="F639" s="1670"/>
      <c r="G639" s="1670"/>
      <c r="H639" s="1670"/>
      <c r="I639" s="1670"/>
      <c r="J639" s="1670"/>
      <c r="K639" s="1670"/>
      <c r="L639" s="1670"/>
      <c r="M639" s="1670"/>
      <c r="N639" s="1670"/>
      <c r="O639" s="1670"/>
      <c r="P639" s="1670"/>
      <c r="Q639" s="1670"/>
      <c r="R639" s="1670"/>
      <c r="S639" s="1670"/>
      <c r="T639" s="1670"/>
      <c r="U639" s="1670"/>
      <c r="V639" s="1670"/>
      <c r="W639" s="1670"/>
      <c r="X639" s="1670"/>
      <c r="Y639" s="1670"/>
      <c r="Z639" s="1670"/>
      <c r="AA639" s="1670"/>
      <c r="AB639" s="1670"/>
      <c r="AC639" s="1670"/>
      <c r="AD639" s="1670"/>
      <c r="AE639" s="1670"/>
      <c r="AF639" s="1670"/>
      <c r="AG639" s="1670"/>
      <c r="AH639" s="1670"/>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1">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35">
        <f>IF($C$623="yes",10,0)</f>
        <v>10</v>
      </c>
      <c r="AL641" s="1236"/>
      <c r="AM641" s="1237"/>
      <c r="AN641" s="79"/>
      <c r="AO641" s="4"/>
    </row>
    <row r="642" spans="1:49" ht="13.1"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1" thickTop="1">
      <c r="AN643" s="79"/>
      <c r="AO643" s="21"/>
      <c r="AP643"/>
      <c r="AQ643" s="657"/>
      <c r="AR643"/>
      <c r="AS643"/>
      <c r="AT643"/>
      <c r="AU643"/>
      <c r="AV643" s="40"/>
      <c r="AW643" s="40"/>
    </row>
    <row r="644" spans="1:49" ht="13.1">
      <c r="A644" s="128" t="s">
        <v>2046</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ht="13.1">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1">
      <c r="C646" s="1225" t="s">
        <v>132</v>
      </c>
      <c r="D646" s="1225"/>
      <c r="E646" s="185" t="s">
        <v>612</v>
      </c>
      <c r="F646" s="19" t="s">
        <v>1851</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ht="13.1">
      <c r="A647" s="128"/>
      <c r="B647" s="20"/>
      <c r="F647" s="19" t="s">
        <v>1852</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1853</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1">
      <c r="A651" s="4"/>
      <c r="B651" s="19"/>
      <c r="C651" s="1225" t="s">
        <v>132</v>
      </c>
      <c r="D651" s="1225"/>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1">
      <c r="A655" s="4"/>
      <c r="B655" s="19"/>
      <c r="C655" s="1225" t="s">
        <v>116</v>
      </c>
      <c r="D655" s="1225"/>
      <c r="E655" s="185" t="s">
        <v>932</v>
      </c>
      <c r="F655" s="517" t="s">
        <v>1321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
      <c r="A659" s="4"/>
      <c r="B659" s="19"/>
      <c r="C659" s="1225" t="s">
        <v>132</v>
      </c>
      <c r="D659" s="1225"/>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1">
      <c r="A661" s="4"/>
      <c r="B661" s="19"/>
      <c r="C661" s="1225" t="s">
        <v>132</v>
      </c>
      <c r="D661" s="1225"/>
      <c r="E661" s="185" t="s">
        <v>768</v>
      </c>
      <c r="F661" s="19" t="s">
        <v>1322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1">
      <c r="A666" s="4"/>
      <c r="B666" s="19"/>
      <c r="C666" s="1225" t="s">
        <v>132</v>
      </c>
      <c r="D666" s="1225"/>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1">
      <c r="A669" s="4"/>
      <c r="B669" s="19"/>
      <c r="C669" s="1225" t="s">
        <v>132</v>
      </c>
      <c r="D669" s="1225"/>
      <c r="E669" s="185" t="s">
        <v>296</v>
      </c>
      <c r="F669" s="1670" t="s">
        <v>2350</v>
      </c>
      <c r="G669" s="1670"/>
      <c r="H669" s="1670"/>
      <c r="I669" s="1670"/>
      <c r="J669" s="1670"/>
      <c r="K669" s="1670"/>
      <c r="L669" s="1670"/>
      <c r="M669" s="1670"/>
      <c r="N669" s="1670"/>
      <c r="O669" s="1670"/>
      <c r="P669" s="1670"/>
      <c r="Q669" s="1670"/>
      <c r="R669" s="1670"/>
      <c r="S669" s="1670"/>
      <c r="T669" s="1670"/>
      <c r="U669" s="1670"/>
      <c r="V669" s="1670"/>
      <c r="W669" s="1670"/>
      <c r="X669" s="1670"/>
      <c r="Y669" s="1670"/>
      <c r="Z669" s="1670"/>
      <c r="AA669" s="1670"/>
      <c r="AB669" s="1670"/>
      <c r="AC669" s="1670"/>
      <c r="AD669" s="1670"/>
      <c r="AE669" s="19"/>
      <c r="AF669" s="19"/>
      <c r="AG669" s="3" t="s">
        <v>111</v>
      </c>
      <c r="AH669" s="19"/>
      <c r="AI669" s="19"/>
      <c r="AJ669" s="4"/>
      <c r="AK669" s="4"/>
      <c r="AL669" s="4"/>
      <c r="AM669" s="4"/>
      <c r="AN669" s="79"/>
      <c r="AO669" s="21"/>
    </row>
    <row r="670" spans="1:41">
      <c r="A670" s="4"/>
      <c r="B670" s="19"/>
      <c r="C670" s="19"/>
      <c r="D670" s="19"/>
      <c r="E670" s="19"/>
      <c r="F670" s="1670"/>
      <c r="G670" s="1670"/>
      <c r="H670" s="1670"/>
      <c r="I670" s="1670"/>
      <c r="J670" s="1670"/>
      <c r="K670" s="1670"/>
      <c r="L670" s="1670"/>
      <c r="M670" s="1670"/>
      <c r="N670" s="1670"/>
      <c r="O670" s="1670"/>
      <c r="P670" s="1670"/>
      <c r="Q670" s="1670"/>
      <c r="R670" s="1670"/>
      <c r="S670" s="1670"/>
      <c r="T670" s="1670"/>
      <c r="U670" s="1670"/>
      <c r="V670" s="1670"/>
      <c r="W670" s="1670"/>
      <c r="X670" s="1670"/>
      <c r="Y670" s="1670"/>
      <c r="Z670" s="1670"/>
      <c r="AA670" s="1670"/>
      <c r="AB670" s="1670"/>
      <c r="AC670" s="1670"/>
      <c r="AD670" s="1670"/>
      <c r="AE670" s="19"/>
      <c r="AF670" s="19"/>
      <c r="AG670" s="19"/>
      <c r="AH670" s="19"/>
      <c r="AI670" s="19"/>
      <c r="AJ670" s="4"/>
      <c r="AK670" s="4"/>
      <c r="AL670" s="4"/>
      <c r="AM670" s="4"/>
      <c r="AN670" s="79"/>
      <c r="AO670" s="21"/>
    </row>
    <row r="671" spans="1:41" ht="1" customHeight="1">
      <c r="A671" s="4"/>
      <c r="B671" s="19"/>
      <c r="C671" s="19"/>
      <c r="D671" s="19"/>
      <c r="E671" s="19"/>
      <c r="F671" s="1670"/>
      <c r="G671" s="1670"/>
      <c r="H671" s="1670"/>
      <c r="I671" s="1670"/>
      <c r="J671" s="1670"/>
      <c r="K671" s="1670"/>
      <c r="L671" s="1670"/>
      <c r="M671" s="1670"/>
      <c r="N671" s="1670"/>
      <c r="O671" s="1670"/>
      <c r="P671" s="1670"/>
      <c r="Q671" s="1670"/>
      <c r="R671" s="1670"/>
      <c r="S671" s="1670"/>
      <c r="T671" s="1670"/>
      <c r="U671" s="1670"/>
      <c r="V671" s="1670"/>
      <c r="W671" s="1670"/>
      <c r="X671" s="1670"/>
      <c r="Y671" s="1670"/>
      <c r="Z671" s="1670"/>
      <c r="AA671" s="1670"/>
      <c r="AB671" s="1670"/>
      <c r="AC671" s="1670"/>
      <c r="AD671" s="1670"/>
      <c r="AE671" s="19"/>
      <c r="AF671" s="19"/>
      <c r="AG671" s="19"/>
      <c r="AH671" s="19"/>
      <c r="AI671" s="19"/>
      <c r="AJ671" s="4"/>
      <c r="AK671" s="4"/>
      <c r="AL671" s="4"/>
      <c r="AM671" s="4"/>
      <c r="AN671" s="79"/>
      <c r="AO671" s="21"/>
    </row>
    <row r="672" spans="1:41" ht="12.8"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1">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35">
        <f>$AO$651</f>
        <v>2</v>
      </c>
      <c r="AL684" s="1236"/>
      <c r="AM684" s="1237"/>
    </row>
    <row r="685" spans="1:60" ht="13.1">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2" t="s">
        <v>758</v>
      </c>
      <c r="B687" s="1812"/>
      <c r="C687" s="1812"/>
      <c r="D687" s="1812"/>
      <c r="E687" s="1812"/>
      <c r="F687" s="1812"/>
      <c r="G687" s="1812"/>
      <c r="H687" s="1812"/>
      <c r="I687" s="1812"/>
      <c r="J687" s="1812"/>
      <c r="K687" s="1812"/>
      <c r="L687" s="1812"/>
      <c r="M687" s="1812"/>
      <c r="N687" s="1812"/>
      <c r="O687" s="1812"/>
      <c r="P687" s="1812"/>
      <c r="Q687" s="1812"/>
      <c r="R687" s="1812"/>
      <c r="S687" s="1812"/>
      <c r="T687" s="1812"/>
      <c r="U687" s="1812"/>
      <c r="V687" s="1812"/>
      <c r="W687" s="1812"/>
      <c r="X687" s="1812"/>
      <c r="Y687" s="1812"/>
      <c r="Z687" s="1812"/>
      <c r="AA687" s="1812"/>
      <c r="AB687" s="1812"/>
      <c r="AC687" s="1812"/>
      <c r="AD687" s="1812"/>
      <c r="AE687" s="1812"/>
      <c r="AF687" s="1812"/>
      <c r="AG687" s="1812"/>
      <c r="AH687" s="1812"/>
      <c r="AI687" s="1812"/>
      <c r="AJ687" s="1812"/>
      <c r="AK687" s="1812"/>
      <c r="AL687" s="1812"/>
      <c r="AM687" s="1812"/>
      <c r="AO687" s="206"/>
      <c r="AP687" s="206"/>
      <c r="AQ687" s="206"/>
    </row>
    <row r="688" spans="1:60">
      <c r="A688" s="1813"/>
      <c r="B688" s="1813"/>
      <c r="C688" s="1813"/>
      <c r="D688" s="1813"/>
      <c r="E688" s="1813"/>
      <c r="F688" s="1813"/>
      <c r="G688" s="1813"/>
      <c r="H688" s="1813"/>
      <c r="I688" s="1813"/>
      <c r="J688" s="1813"/>
      <c r="K688" s="1813"/>
      <c r="L688" s="1813"/>
      <c r="M688" s="1813"/>
      <c r="N688" s="1813"/>
      <c r="O688" s="1813"/>
      <c r="P688" s="1813"/>
      <c r="Q688" s="1813"/>
      <c r="R688" s="1813"/>
      <c r="S688" s="1813"/>
      <c r="T688" s="1813"/>
      <c r="U688" s="1813"/>
      <c r="V688" s="1813"/>
      <c r="W688" s="1813"/>
      <c r="X688" s="1813"/>
      <c r="Y688" s="1813"/>
      <c r="Z688" s="1813"/>
      <c r="AA688" s="1813"/>
      <c r="AB688" s="1813"/>
      <c r="AC688" s="1813"/>
      <c r="AD688" s="1813"/>
      <c r="AE688" s="1813"/>
      <c r="AF688" s="1813"/>
      <c r="AG688" s="1813"/>
      <c r="AH688" s="1813"/>
      <c r="AI688" s="1813"/>
      <c r="AJ688" s="1813"/>
      <c r="AK688" s="1813"/>
      <c r="AL688" s="1813"/>
      <c r="AM688" s="1813"/>
      <c r="AP688" s="206"/>
      <c r="AQ688" s="206"/>
    </row>
    <row r="689" spans="1:43" ht="13.1">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ht="13.1">
      <c r="A690" s="1642" t="s">
        <v>2040</v>
      </c>
      <c r="B690" s="1642"/>
      <c r="C690" s="1642"/>
      <c r="D690" s="1642"/>
      <c r="E690" s="1642"/>
      <c r="F690" s="1642"/>
      <c r="G690" s="1642"/>
      <c r="H690" s="1642"/>
      <c r="I690" s="1642"/>
      <c r="J690" s="1642"/>
      <c r="K690" s="1642"/>
      <c r="L690" s="1642"/>
      <c r="M690" s="1642"/>
      <c r="N690" s="1642"/>
      <c r="O690" s="1642"/>
      <c r="P690" s="1642"/>
      <c r="Q690" s="1642"/>
      <c r="R690" s="1642"/>
      <c r="S690" s="1642"/>
      <c r="T690" s="1642"/>
      <c r="U690" s="1642"/>
      <c r="V690" s="1642"/>
      <c r="W690" s="1642"/>
      <c r="X690" s="1642"/>
      <c r="Y690" s="1642"/>
      <c r="Z690" s="1642"/>
      <c r="AA690" s="1642"/>
      <c r="AB690" s="1642"/>
      <c r="AC690" s="1642"/>
      <c r="AD690" s="1642"/>
      <c r="AE690" s="1642"/>
      <c r="AF690" s="1642"/>
      <c r="AG690" s="1642"/>
      <c r="AH690" s="1642"/>
      <c r="AI690" s="1642"/>
      <c r="AJ690" s="1642"/>
      <c r="AK690" s="1642"/>
      <c r="AL690" s="1642"/>
      <c r="AM690" s="1642"/>
      <c r="AO690" s="206">
        <f>IF(T699&gt;15,15,T699)</f>
        <v>15</v>
      </c>
      <c r="AP690" s="206"/>
      <c r="AQ690" s="206"/>
    </row>
    <row r="691" spans="1:43" ht="13.1">
      <c r="A691" s="1642" t="s">
        <v>2041</v>
      </c>
      <c r="B691" s="1642"/>
      <c r="C691" s="1642"/>
      <c r="D691" s="1642"/>
      <c r="E691" s="1642"/>
      <c r="F691" s="1642"/>
      <c r="G691" s="1642"/>
      <c r="H691" s="1642"/>
      <c r="I691" s="1642"/>
      <c r="J691" s="1642"/>
      <c r="K691" s="1642"/>
      <c r="L691" s="1642"/>
      <c r="M691" s="1642"/>
      <c r="N691" s="1642"/>
      <c r="O691" s="1642"/>
      <c r="P691" s="1642"/>
      <c r="Q691" s="1642"/>
      <c r="R691" s="1642"/>
      <c r="S691" s="1642"/>
      <c r="T691" s="1642"/>
      <c r="U691" s="1642"/>
      <c r="V691" s="1642"/>
      <c r="W691" s="1642"/>
      <c r="X691" s="1642"/>
      <c r="Y691" s="1642"/>
      <c r="Z691" s="1642"/>
      <c r="AA691" s="1642"/>
      <c r="AB691" s="1642"/>
      <c r="AC691" s="1642"/>
      <c r="AD691" s="1642"/>
      <c r="AE691" s="1642"/>
      <c r="AF691" s="1642"/>
      <c r="AG691" s="1642"/>
      <c r="AH691" s="1642"/>
      <c r="AI691" s="1642"/>
      <c r="AJ691" s="1642"/>
      <c r="AK691" s="1642"/>
      <c r="AL691" s="1642"/>
      <c r="AM691" s="1642"/>
      <c r="AO691" s="206">
        <f>IF(T700&gt;10,10,T700)</f>
        <v>10</v>
      </c>
      <c r="AP691" s="206"/>
      <c r="AQ691" s="206"/>
    </row>
    <row r="692" spans="1:43" ht="13.1">
      <c r="A692" s="280"/>
      <c r="B692" s="218"/>
      <c r="C692" s="218"/>
      <c r="D692" s="218"/>
      <c r="E692" s="218"/>
      <c r="F692" s="218"/>
      <c r="G692" s="218"/>
      <c r="H692" s="218"/>
      <c r="I692" s="218"/>
      <c r="J692" s="218"/>
      <c r="K692" s="218"/>
      <c r="L692" s="218"/>
      <c r="M692" s="218"/>
      <c r="N692" s="218"/>
      <c r="O692" s="218"/>
      <c r="P692" s="218"/>
      <c r="Q692" s="218"/>
      <c r="R692" s="218"/>
      <c r="S692" s="219"/>
      <c r="T692" s="1502" t="s">
        <v>249</v>
      </c>
      <c r="U692" s="1173"/>
      <c r="V692" s="1173"/>
      <c r="W692" s="1173"/>
      <c r="X692" s="1173"/>
      <c r="Y692" s="1174"/>
      <c r="Z692" s="1502" t="s">
        <v>248</v>
      </c>
      <c r="AA692" s="1173"/>
      <c r="AB692" s="1173"/>
      <c r="AC692" s="1173"/>
      <c r="AD692" s="1173"/>
      <c r="AE692" s="1174"/>
      <c r="AF692" s="1502" t="s">
        <v>250</v>
      </c>
      <c r="AG692" s="1173"/>
      <c r="AH692" s="1173"/>
      <c r="AI692" s="1173"/>
      <c r="AJ692" s="1173"/>
      <c r="AK692" s="1174"/>
      <c r="AL692" s="795"/>
      <c r="AM692" s="20"/>
    </row>
    <row r="693" spans="1:43" ht="13.1">
      <c r="A693" s="229"/>
      <c r="B693" s="170"/>
      <c r="C693" s="170"/>
      <c r="D693" s="170"/>
      <c r="E693" s="170"/>
      <c r="F693" s="170"/>
      <c r="G693" s="170"/>
      <c r="H693" s="170"/>
      <c r="I693" s="170"/>
      <c r="J693" s="170"/>
      <c r="K693" s="170"/>
      <c r="L693" s="170"/>
      <c r="M693" s="170"/>
      <c r="N693" s="170"/>
      <c r="O693" s="170"/>
      <c r="P693" s="170"/>
      <c r="Q693" s="170"/>
      <c r="R693" s="170"/>
      <c r="S693" s="172"/>
      <c r="T693" s="1505"/>
      <c r="U693" s="1175"/>
      <c r="V693" s="1175"/>
      <c r="W693" s="1175"/>
      <c r="X693" s="1175"/>
      <c r="Y693" s="1176"/>
      <c r="Z693" s="1505"/>
      <c r="AA693" s="1175"/>
      <c r="AB693" s="1175"/>
      <c r="AC693" s="1175"/>
      <c r="AD693" s="1175"/>
      <c r="AE693" s="1176"/>
      <c r="AF693" s="1505"/>
      <c r="AG693" s="1175"/>
      <c r="AH693" s="1175"/>
      <c r="AI693" s="1175"/>
      <c r="AJ693" s="1175"/>
      <c r="AK693" s="1176"/>
      <c r="AL693" s="795"/>
      <c r="AM693" s="20"/>
    </row>
    <row r="694" spans="1:43" ht="13.1">
      <c r="A694" s="609" t="s">
        <v>689</v>
      </c>
      <c r="B694" s="1781" t="s">
        <v>285</v>
      </c>
      <c r="C694" s="1781"/>
      <c r="D694" s="1781"/>
      <c r="E694" s="1781"/>
      <c r="F694" s="1781"/>
      <c r="G694" s="1781"/>
      <c r="H694" s="1781"/>
      <c r="I694" s="1781"/>
      <c r="J694" s="1781"/>
      <c r="K694" s="1781"/>
      <c r="L694" s="1781"/>
      <c r="M694" s="1781"/>
      <c r="N694" s="1781"/>
      <c r="O694" s="1781"/>
      <c r="P694" s="1781"/>
      <c r="Q694" s="1781"/>
      <c r="R694" s="1781"/>
      <c r="S694" s="1782"/>
      <c r="T694" s="1780">
        <f>SUM(T695:Y696)</f>
        <v>10</v>
      </c>
      <c r="U694" s="1780"/>
      <c r="V694" s="1780"/>
      <c r="W694" s="1780"/>
      <c r="X694" s="1780"/>
      <c r="Y694" s="1780"/>
      <c r="Z694" s="1177">
        <v>10</v>
      </c>
      <c r="AA694" s="1177"/>
      <c r="AB694" s="1177"/>
      <c r="AC694" s="1177"/>
      <c r="AD694" s="1177"/>
      <c r="AE694" s="1177"/>
      <c r="AF694" s="1177">
        <f>IF(T694&gt;Z694,Z694,T694)</f>
        <v>10</v>
      </c>
      <c r="AG694" s="1177"/>
      <c r="AH694" s="1177"/>
      <c r="AI694" s="1177"/>
      <c r="AJ694" s="1177"/>
      <c r="AK694" s="1177"/>
      <c r="AL694" s="795"/>
      <c r="AM694" s="20"/>
      <c r="AO694" s="4">
        <f>IF(T703&gt;50,50,T703)</f>
        <v>50</v>
      </c>
    </row>
    <row r="695" spans="1:43" ht="13.1">
      <c r="A695" s="629"/>
      <c r="B695" s="630"/>
      <c r="C695" s="635"/>
      <c r="D695" s="307" t="s">
        <v>224</v>
      </c>
      <c r="E695" s="1784" t="s">
        <v>251</v>
      </c>
      <c r="F695" s="1784"/>
      <c r="G695" s="1784"/>
      <c r="H695" s="1784"/>
      <c r="I695" s="1784"/>
      <c r="J695" s="1784"/>
      <c r="K695" s="1784"/>
      <c r="L695" s="1784"/>
      <c r="M695" s="1784"/>
      <c r="N695" s="1784"/>
      <c r="O695" s="1784"/>
      <c r="P695" s="1784"/>
      <c r="Q695" s="1784"/>
      <c r="R695" s="1784"/>
      <c r="S695" s="1785"/>
      <c r="T695" s="1783">
        <f>AJ31</f>
        <v>7</v>
      </c>
      <c r="U695" s="1783"/>
      <c r="V695" s="1783"/>
      <c r="W695" s="1783"/>
      <c r="X695" s="1783"/>
      <c r="Y695" s="1783"/>
      <c r="Z695" s="1689">
        <v>7</v>
      </c>
      <c r="AA695" s="1689"/>
      <c r="AB695" s="1689"/>
      <c r="AC695" s="1689"/>
      <c r="AD695" s="1689"/>
      <c r="AE695" s="1689"/>
      <c r="AF695" s="1796"/>
      <c r="AG695" s="1796"/>
      <c r="AH695" s="1796"/>
      <c r="AI695" s="1796"/>
      <c r="AJ695" s="1796"/>
      <c r="AK695" s="1796"/>
      <c r="AL695" s="795"/>
      <c r="AM695" s="20"/>
    </row>
    <row r="696" spans="1:43" ht="13.1">
      <c r="A696" s="631"/>
      <c r="B696" s="630"/>
      <c r="C696" s="630"/>
      <c r="D696" s="307" t="s">
        <v>457</v>
      </c>
      <c r="E696" s="1784" t="s">
        <v>252</v>
      </c>
      <c r="F696" s="1784"/>
      <c r="G696" s="1784"/>
      <c r="H696" s="1784"/>
      <c r="I696" s="1784"/>
      <c r="J696" s="1784"/>
      <c r="K696" s="1784"/>
      <c r="L696" s="1784"/>
      <c r="M696" s="1784"/>
      <c r="N696" s="1784"/>
      <c r="O696" s="1784"/>
      <c r="P696" s="1784"/>
      <c r="Q696" s="1784"/>
      <c r="R696" s="1784"/>
      <c r="S696" s="1785"/>
      <c r="T696" s="1783">
        <f>AJ47</f>
        <v>3</v>
      </c>
      <c r="U696" s="1783"/>
      <c r="V696" s="1783"/>
      <c r="W696" s="1783"/>
      <c r="X696" s="1783"/>
      <c r="Y696" s="1783"/>
      <c r="Z696" s="1689">
        <v>3</v>
      </c>
      <c r="AA696" s="1689"/>
      <c r="AB696" s="1689"/>
      <c r="AC696" s="1689"/>
      <c r="AD696" s="1689"/>
      <c r="AE696" s="1689"/>
      <c r="AF696" s="1796"/>
      <c r="AG696" s="1796"/>
      <c r="AH696" s="1796"/>
      <c r="AI696" s="1796"/>
      <c r="AJ696" s="1796"/>
      <c r="AK696" s="1796"/>
      <c r="AL696" s="795"/>
      <c r="AM696" s="20"/>
    </row>
    <row r="697" spans="1:43" ht="13.1">
      <c r="A697" s="609" t="s">
        <v>8</v>
      </c>
      <c r="B697" s="1781" t="s">
        <v>286</v>
      </c>
      <c r="C697" s="1781"/>
      <c r="D697" s="1781"/>
      <c r="E697" s="1781"/>
      <c r="F697" s="1781"/>
      <c r="G697" s="1781"/>
      <c r="H697" s="1781"/>
      <c r="I697" s="1781"/>
      <c r="J697" s="1781"/>
      <c r="K697" s="1781"/>
      <c r="L697" s="1781"/>
      <c r="M697" s="1781"/>
      <c r="N697" s="1781"/>
      <c r="O697" s="1781"/>
      <c r="P697" s="1781"/>
      <c r="Q697" s="1781"/>
      <c r="R697" s="1781"/>
      <c r="S697" s="1782"/>
      <c r="T697" s="1780">
        <f>AK68</f>
        <v>10</v>
      </c>
      <c r="U697" s="1780"/>
      <c r="V697" s="1780"/>
      <c r="W697" s="1780"/>
      <c r="X697" s="1780"/>
      <c r="Y697" s="1780"/>
      <c r="Z697" s="1177">
        <v>10</v>
      </c>
      <c r="AA697" s="1177"/>
      <c r="AB697" s="1177"/>
      <c r="AC697" s="1177"/>
      <c r="AD697" s="1177"/>
      <c r="AE697" s="1177"/>
      <c r="AF697" s="1177">
        <f>IF(T697&gt;Z697,Z697,T697)</f>
        <v>10</v>
      </c>
      <c r="AG697" s="1177"/>
      <c r="AH697" s="1177"/>
      <c r="AI697" s="1177"/>
      <c r="AJ697" s="1177"/>
      <c r="AK697" s="1177"/>
      <c r="AL697" s="795"/>
      <c r="AM697" s="20"/>
    </row>
    <row r="698" spans="1:43" ht="13.1">
      <c r="A698" s="609" t="s">
        <v>127</v>
      </c>
      <c r="B698" s="1781" t="s">
        <v>287</v>
      </c>
      <c r="C698" s="1781"/>
      <c r="D698" s="1781"/>
      <c r="E698" s="1781"/>
      <c r="F698" s="1781"/>
      <c r="G698" s="1781"/>
      <c r="H698" s="1781"/>
      <c r="I698" s="1781"/>
      <c r="J698" s="1781"/>
      <c r="K698" s="1781"/>
      <c r="L698" s="1781"/>
      <c r="M698" s="1781"/>
      <c r="N698" s="1781"/>
      <c r="O698" s="1781"/>
      <c r="P698" s="1781"/>
      <c r="Q698" s="1781"/>
      <c r="R698" s="1781"/>
      <c r="S698" s="1782"/>
      <c r="T698" s="1780">
        <f>AO689</f>
        <v>25</v>
      </c>
      <c r="U698" s="1780">
        <f>IF(AND(AND(A699&gt;15,15+A700),A700&gt;10,A699+10),A698,0)</f>
        <v>0</v>
      </c>
      <c r="V698" s="1780">
        <f>IF(AND(AND(B699&gt;15,15+B700),B700&gt;10,B699+10),#REF!,0)</f>
        <v>0</v>
      </c>
      <c r="W698" s="1780">
        <f>IF(AND(AND(C699&gt;15,15+C700),C700&gt;10,C699+10),B698,0)</f>
        <v>0</v>
      </c>
      <c r="X698" s="1780" t="e">
        <f>IF(AND(AND(D699&gt;15,15+D700),D700&gt;10,D699+10),D698,0)</f>
        <v>#VALUE!</v>
      </c>
      <c r="Y698" s="1780" t="e">
        <f>IF(AND(AND(E699&gt;15,15+E700),E700&gt;10,E699+10),E698,0)</f>
        <v>#VALUE!</v>
      </c>
      <c r="Z698" s="1177">
        <v>25</v>
      </c>
      <c r="AA698" s="1177"/>
      <c r="AB698" s="1177"/>
      <c r="AC698" s="1177"/>
      <c r="AD698" s="1177"/>
      <c r="AE698" s="1177"/>
      <c r="AF698" s="1177">
        <f>IF(T698&gt;Z698,Z698,T698)</f>
        <v>25</v>
      </c>
      <c r="AG698" s="1177"/>
      <c r="AH698" s="1177"/>
      <c r="AI698" s="1177"/>
      <c r="AJ698" s="1177"/>
      <c r="AK698" s="1177"/>
      <c r="AL698" s="795"/>
      <c r="AM698" s="20"/>
    </row>
    <row r="699" spans="1:43" ht="13.1" hidden="1">
      <c r="A699" s="609"/>
      <c r="B699" s="630"/>
      <c r="C699" s="630"/>
      <c r="D699" s="307" t="s">
        <v>1535</v>
      </c>
      <c r="E699" s="1784" t="s">
        <v>310</v>
      </c>
      <c r="F699" s="1784"/>
      <c r="G699" s="1784"/>
      <c r="H699" s="1784"/>
      <c r="I699" s="1784"/>
      <c r="J699" s="1784"/>
      <c r="K699" s="1784"/>
      <c r="L699" s="1784"/>
      <c r="M699" s="1784"/>
      <c r="N699" s="1784"/>
      <c r="O699" s="1784"/>
      <c r="P699" s="1784"/>
      <c r="Q699" s="1784"/>
      <c r="R699" s="1784"/>
      <c r="S699" s="1785"/>
      <c r="T699" s="1783">
        <f>AK280</f>
        <v>28</v>
      </c>
      <c r="U699" s="1783"/>
      <c r="V699" s="1783"/>
      <c r="W699" s="1783"/>
      <c r="X699" s="1783"/>
      <c r="Y699" s="1783"/>
      <c r="Z699" s="1689">
        <v>15</v>
      </c>
      <c r="AA699" s="1689"/>
      <c r="AB699" s="1689"/>
      <c r="AC699" s="1689"/>
      <c r="AD699" s="1689"/>
      <c r="AE699" s="1689"/>
      <c r="AF699" s="1796"/>
      <c r="AG699" s="1796"/>
      <c r="AH699" s="1796"/>
      <c r="AI699" s="1796"/>
      <c r="AJ699" s="1796"/>
      <c r="AK699" s="1796"/>
      <c r="AL699" s="795"/>
      <c r="AM699" s="20"/>
    </row>
    <row r="700" spans="1:43" ht="13.1">
      <c r="A700" s="632"/>
      <c r="B700" s="90"/>
      <c r="C700" s="90"/>
      <c r="D700" s="633" t="s">
        <v>1536</v>
      </c>
      <c r="E700" s="1784" t="s">
        <v>311</v>
      </c>
      <c r="F700" s="1784"/>
      <c r="G700" s="1784"/>
      <c r="H700" s="1784"/>
      <c r="I700" s="1784"/>
      <c r="J700" s="1784"/>
      <c r="K700" s="1784"/>
      <c r="L700" s="1784"/>
      <c r="M700" s="1784"/>
      <c r="N700" s="1784"/>
      <c r="O700" s="1784"/>
      <c r="P700" s="1784"/>
      <c r="Q700" s="1784"/>
      <c r="R700" s="1784"/>
      <c r="S700" s="1785"/>
      <c r="T700" s="1783">
        <f>AK471</f>
        <v>10</v>
      </c>
      <c r="U700" s="1783"/>
      <c r="V700" s="1783"/>
      <c r="W700" s="1783"/>
      <c r="X700" s="1783"/>
      <c r="Y700" s="1783"/>
      <c r="Z700" s="1689">
        <v>10</v>
      </c>
      <c r="AA700" s="1689"/>
      <c r="AB700" s="1689"/>
      <c r="AC700" s="1689"/>
      <c r="AD700" s="1689"/>
      <c r="AE700" s="1689"/>
      <c r="AF700" s="1796"/>
      <c r="AG700" s="1796"/>
      <c r="AH700" s="1796"/>
      <c r="AI700" s="1796"/>
      <c r="AJ700" s="1796"/>
      <c r="AK700" s="1796"/>
      <c r="AL700" s="795"/>
      <c r="AM700" s="20"/>
    </row>
    <row r="701" spans="1:43" ht="13.1">
      <c r="A701" s="609" t="s">
        <v>130</v>
      </c>
      <c r="B701" s="1781" t="s">
        <v>571</v>
      </c>
      <c r="C701" s="1781"/>
      <c r="D701" s="1781"/>
      <c r="E701" s="1781"/>
      <c r="F701" s="1781"/>
      <c r="G701" s="1781"/>
      <c r="H701" s="1781"/>
      <c r="I701" s="1781"/>
      <c r="J701" s="1781"/>
      <c r="K701" s="1781"/>
      <c r="L701" s="1781"/>
      <c r="M701" s="1781"/>
      <c r="N701" s="1781"/>
      <c r="O701" s="1781"/>
      <c r="P701" s="1781"/>
      <c r="Q701" s="1781"/>
      <c r="R701" s="1781"/>
      <c r="S701" s="1782"/>
      <c r="T701" s="1780"/>
      <c r="U701" s="1780"/>
      <c r="V701" s="1780"/>
      <c r="W701" s="1780"/>
      <c r="X701" s="1780"/>
      <c r="Y701" s="1780"/>
      <c r="Z701" s="1177"/>
      <c r="AA701" s="1177"/>
      <c r="AB701" s="1177"/>
      <c r="AC701" s="1177"/>
      <c r="AD701" s="1177"/>
      <c r="AE701" s="1177"/>
      <c r="AF701" s="1177"/>
      <c r="AG701" s="1177"/>
      <c r="AH701" s="1177"/>
      <c r="AI701" s="1177"/>
      <c r="AJ701" s="1177"/>
      <c r="AK701" s="1177"/>
      <c r="AL701" s="795"/>
      <c r="AM701" s="20"/>
    </row>
    <row r="702" spans="1:43" ht="13.1">
      <c r="A702" s="609" t="s">
        <v>130</v>
      </c>
      <c r="B702" s="1781" t="s">
        <v>572</v>
      </c>
      <c r="C702" s="1781"/>
      <c r="D702" s="1781"/>
      <c r="E702" s="1781"/>
      <c r="F702" s="1781"/>
      <c r="G702" s="1781"/>
      <c r="H702" s="1781"/>
      <c r="I702" s="1781"/>
      <c r="J702" s="1781"/>
      <c r="K702" s="1781"/>
      <c r="L702" s="1781"/>
      <c r="M702" s="1781"/>
      <c r="N702" s="1781"/>
      <c r="O702" s="1781"/>
      <c r="P702" s="1781"/>
      <c r="Q702" s="1781"/>
      <c r="R702" s="1781"/>
      <c r="S702" s="1782"/>
      <c r="T702" s="1802">
        <f>IF(SUM(T703:Y704)&gt;52,52,SUM(T703:Y704))</f>
        <v>52</v>
      </c>
      <c r="U702" s="1776"/>
      <c r="V702" s="1776"/>
      <c r="W702" s="1776"/>
      <c r="X702" s="1776"/>
      <c r="Y702" s="1776"/>
      <c r="Z702" s="1776">
        <v>52</v>
      </c>
      <c r="AA702" s="1776"/>
      <c r="AB702" s="1776"/>
      <c r="AC702" s="1776"/>
      <c r="AD702" s="1776"/>
      <c r="AE702" s="1776"/>
      <c r="AF702" s="1776">
        <f>$AO$694+$T$704</f>
        <v>52</v>
      </c>
      <c r="AG702" s="1776"/>
      <c r="AH702" s="1776"/>
      <c r="AI702" s="1776"/>
      <c r="AJ702" s="1776"/>
      <c r="AK702" s="1776"/>
      <c r="AL702" s="795"/>
      <c r="AM702" s="20"/>
    </row>
    <row r="703" spans="1:43" ht="13.1">
      <c r="A703" s="634"/>
      <c r="B703" s="636"/>
      <c r="C703" s="636"/>
      <c r="D703" s="637" t="s">
        <v>1537</v>
      </c>
      <c r="E703" s="1784" t="s">
        <v>194</v>
      </c>
      <c r="F703" s="1784"/>
      <c r="G703" s="1784"/>
      <c r="H703" s="1784"/>
      <c r="I703" s="1784"/>
      <c r="J703" s="1784"/>
      <c r="K703" s="1784"/>
      <c r="L703" s="1784"/>
      <c r="M703" s="1784"/>
      <c r="N703" s="1784"/>
      <c r="O703" s="1784"/>
      <c r="P703" s="1784"/>
      <c r="Q703" s="1784"/>
      <c r="R703" s="1784"/>
      <c r="S703" s="1785"/>
      <c r="T703" s="1777">
        <f>AC589</f>
        <v>70</v>
      </c>
      <c r="U703" s="1778"/>
      <c r="V703" s="1778"/>
      <c r="W703" s="1778"/>
      <c r="X703" s="1778"/>
      <c r="Y703" s="1779"/>
      <c r="Z703" s="1777">
        <v>50</v>
      </c>
      <c r="AA703" s="1778"/>
      <c r="AB703" s="1778"/>
      <c r="AC703" s="1778"/>
      <c r="AD703" s="1778"/>
      <c r="AE703" s="1779"/>
      <c r="AF703" s="1809"/>
      <c r="AG703" s="1810"/>
      <c r="AH703" s="1810"/>
      <c r="AI703" s="1810"/>
      <c r="AJ703" s="1810"/>
      <c r="AK703" s="1811"/>
      <c r="AL703" s="795"/>
      <c r="AM703" s="4"/>
    </row>
    <row r="704" spans="1:43" ht="13.1">
      <c r="A704" s="638"/>
      <c r="B704" s="630"/>
      <c r="C704" s="630"/>
      <c r="D704" s="307" t="s">
        <v>1538</v>
      </c>
      <c r="E704" s="1784" t="s">
        <v>284</v>
      </c>
      <c r="F704" s="1784"/>
      <c r="G704" s="1784"/>
      <c r="H704" s="1784"/>
      <c r="I704" s="1784"/>
      <c r="J704" s="1784"/>
      <c r="K704" s="1784"/>
      <c r="L704" s="1784"/>
      <c r="M704" s="1784"/>
      <c r="N704" s="1784"/>
      <c r="O704" s="1784"/>
      <c r="P704" s="1784"/>
      <c r="Q704" s="1784"/>
      <c r="R704" s="1784"/>
      <c r="S704" s="1785"/>
      <c r="T704" s="1769">
        <f>IF(AJ613&gt;0,2,0)</f>
        <v>2</v>
      </c>
      <c r="U704" s="1770"/>
      <c r="V704" s="1770"/>
      <c r="W704" s="1770"/>
      <c r="X704" s="1770"/>
      <c r="Y704" s="1771"/>
      <c r="Z704" s="1235">
        <v>2</v>
      </c>
      <c r="AA704" s="1236"/>
      <c r="AB704" s="1236"/>
      <c r="AC704" s="1236"/>
      <c r="AD704" s="1236"/>
      <c r="AE704" s="1237"/>
      <c r="AF704" s="1799"/>
      <c r="AG704" s="1800"/>
      <c r="AH704" s="1800"/>
      <c r="AI704" s="1800"/>
      <c r="AJ704" s="1800"/>
      <c r="AK704" s="1801"/>
      <c r="AL704" s="795"/>
      <c r="AM704" s="4"/>
    </row>
    <row r="705" spans="1:39" ht="13.1">
      <c r="A705" s="634" t="s">
        <v>131</v>
      </c>
      <c r="B705" s="1781" t="s">
        <v>573</v>
      </c>
      <c r="C705" s="1781"/>
      <c r="D705" s="1781"/>
      <c r="E705" s="1781"/>
      <c r="F705" s="1781"/>
      <c r="G705" s="1781"/>
      <c r="H705" s="1781"/>
      <c r="I705" s="1781"/>
      <c r="J705" s="1781"/>
      <c r="K705" s="1781"/>
      <c r="L705" s="1781"/>
      <c r="M705" s="1781"/>
      <c r="N705" s="1781"/>
      <c r="O705" s="1781"/>
      <c r="P705" s="1781"/>
      <c r="Q705" s="1781"/>
      <c r="R705" s="1781"/>
      <c r="S705" s="1782"/>
      <c r="T705" s="1780">
        <f>AK641</f>
        <v>10</v>
      </c>
      <c r="U705" s="1780"/>
      <c r="V705" s="1780"/>
      <c r="W705" s="1780"/>
      <c r="X705" s="1780"/>
      <c r="Y705" s="1780"/>
      <c r="Z705" s="1177">
        <v>10</v>
      </c>
      <c r="AA705" s="1177"/>
      <c r="AB705" s="1177"/>
      <c r="AC705" s="1177"/>
      <c r="AD705" s="1177"/>
      <c r="AE705" s="1177"/>
      <c r="AF705" s="1303">
        <f>IF(T705&gt;Z705,Z705,T705)</f>
        <v>10</v>
      </c>
      <c r="AG705" s="1304"/>
      <c r="AH705" s="1304"/>
      <c r="AI705" s="1304"/>
      <c r="AJ705" s="1304"/>
      <c r="AK705" s="1305"/>
      <c r="AL705" s="795"/>
      <c r="AM705" s="20"/>
    </row>
    <row r="706" spans="1:39" ht="13.1">
      <c r="A706" s="634" t="s">
        <v>133</v>
      </c>
      <c r="B706" s="1781" t="s">
        <v>1029</v>
      </c>
      <c r="C706" s="1781"/>
      <c r="D706" s="1781"/>
      <c r="E706" s="1781"/>
      <c r="F706" s="1781"/>
      <c r="G706" s="1781"/>
      <c r="H706" s="1781"/>
      <c r="I706" s="1781"/>
      <c r="J706" s="1781"/>
      <c r="K706" s="1781"/>
      <c r="L706" s="1781"/>
      <c r="M706" s="1781"/>
      <c r="N706" s="1781"/>
      <c r="O706" s="1781"/>
      <c r="P706" s="1781"/>
      <c r="Q706" s="1781"/>
      <c r="R706" s="1781"/>
      <c r="S706" s="1782"/>
      <c r="T706" s="1803">
        <f>IF(AK684&gt;2,2,AK684)</f>
        <v>2</v>
      </c>
      <c r="U706" s="1804"/>
      <c r="V706" s="1804"/>
      <c r="W706" s="1804"/>
      <c r="X706" s="1804"/>
      <c r="Y706" s="1805"/>
      <c r="Z706" s="1303">
        <v>2</v>
      </c>
      <c r="AA706" s="1304"/>
      <c r="AB706" s="1304"/>
      <c r="AC706" s="1304"/>
      <c r="AD706" s="1304"/>
      <c r="AE706" s="1305"/>
      <c r="AF706" s="1303">
        <f>IF(T706&gt;Z706,Z706,T706)</f>
        <v>2</v>
      </c>
      <c r="AG706" s="1797"/>
      <c r="AH706" s="1797"/>
      <c r="AI706" s="1797"/>
      <c r="AJ706" s="1797"/>
      <c r="AK706" s="1798"/>
      <c r="AL706" s="3"/>
      <c r="AM706" s="20"/>
    </row>
    <row r="707" spans="1:39" ht="13.1">
      <c r="A707" s="1885" t="s">
        <v>313</v>
      </c>
      <c r="B707" s="1781"/>
      <c r="C707" s="1781"/>
      <c r="D707" s="1781"/>
      <c r="E707" s="1781"/>
      <c r="F707" s="1781"/>
      <c r="G707" s="1781"/>
      <c r="H707" s="1781"/>
      <c r="I707" s="1781"/>
      <c r="J707" s="1781"/>
      <c r="K707" s="1781"/>
      <c r="L707" s="1781"/>
      <c r="M707" s="1781"/>
      <c r="N707" s="1781"/>
      <c r="O707" s="1781"/>
      <c r="P707" s="1781"/>
      <c r="Q707" s="1781"/>
      <c r="R707" s="1781"/>
      <c r="S707" s="1782"/>
      <c r="T707" s="1377"/>
      <c r="U707" s="1377"/>
      <c r="V707" s="1377"/>
      <c r="W707" s="1377"/>
      <c r="X707" s="1377"/>
      <c r="Y707" s="1377"/>
      <c r="Z707" s="1689" t="s">
        <v>312</v>
      </c>
      <c r="AA707" s="1689"/>
      <c r="AB707" s="1689"/>
      <c r="AC707" s="1689"/>
      <c r="AD707" s="1689"/>
      <c r="AE707" s="1689"/>
      <c r="AF707" s="1303">
        <f>IF(T707&gt;0,T707,0)</f>
        <v>0</v>
      </c>
      <c r="AG707" s="1304"/>
      <c r="AH707" s="1304"/>
      <c r="AI707" s="1304"/>
      <c r="AJ707" s="1304"/>
      <c r="AK707" s="1305"/>
      <c r="AL707" s="18"/>
      <c r="AM707" s="20"/>
    </row>
    <row r="708" spans="1:39" ht="15.05">
      <c r="A708" s="1875" t="s">
        <v>757</v>
      </c>
      <c r="B708" s="1876"/>
      <c r="C708" s="1876"/>
      <c r="D708" s="1876"/>
      <c r="E708" s="1876"/>
      <c r="F708" s="1876"/>
      <c r="G708" s="1876"/>
      <c r="H708" s="1876"/>
      <c r="I708" s="1876"/>
      <c r="J708" s="1876"/>
      <c r="K708" s="1876"/>
      <c r="L708" s="1876"/>
      <c r="M708" s="1876"/>
      <c r="N708" s="1876"/>
      <c r="O708" s="1876"/>
      <c r="P708" s="1876"/>
      <c r="Q708" s="1876"/>
      <c r="R708" s="1876"/>
      <c r="S708" s="1876"/>
      <c r="T708" s="1876"/>
      <c r="U708" s="1876"/>
      <c r="V708" s="1876"/>
      <c r="W708" s="1876"/>
      <c r="X708" s="1876"/>
      <c r="Y708" s="1876"/>
      <c r="Z708" s="1876"/>
      <c r="AA708" s="1876"/>
      <c r="AB708" s="1876"/>
      <c r="AC708" s="1876"/>
      <c r="AD708" s="1876"/>
      <c r="AE708" s="1877"/>
      <c r="AF708" s="1786">
        <f>SUM(AF694:AK706)-AF707</f>
        <v>109</v>
      </c>
      <c r="AG708" s="1787"/>
      <c r="AH708" s="1787"/>
      <c r="AI708" s="1787"/>
      <c r="AJ708" s="1787"/>
      <c r="AK708" s="1788"/>
      <c r="AL708" s="796"/>
      <c r="AM708" s="4"/>
    </row>
    <row r="709" spans="1:39" ht="12.45" customHeight="1">
      <c r="A709" s="1878"/>
      <c r="B709" s="1879"/>
      <c r="C709" s="1879"/>
      <c r="D709" s="1879"/>
      <c r="E709" s="1879"/>
      <c r="F709" s="1879"/>
      <c r="G709" s="1879"/>
      <c r="H709" s="1879"/>
      <c r="I709" s="1879"/>
      <c r="J709" s="1879"/>
      <c r="K709" s="1879"/>
      <c r="L709" s="1879"/>
      <c r="M709" s="1879"/>
      <c r="N709" s="1879"/>
      <c r="O709" s="1879"/>
      <c r="P709" s="1879"/>
      <c r="Q709" s="1879"/>
      <c r="R709" s="1879"/>
      <c r="S709" s="1879"/>
      <c r="T709" s="1879"/>
      <c r="U709" s="1879"/>
      <c r="V709" s="1879"/>
      <c r="W709" s="1879"/>
      <c r="X709" s="1879"/>
      <c r="Y709" s="1879"/>
      <c r="Z709" s="1879"/>
      <c r="AA709" s="1879"/>
      <c r="AB709" s="1879"/>
      <c r="AC709" s="1879"/>
      <c r="AD709" s="1879"/>
      <c r="AE709" s="1880"/>
      <c r="AF709" s="1789"/>
      <c r="AG709" s="1790"/>
      <c r="AH709" s="1790"/>
      <c r="AI709" s="1790"/>
      <c r="AJ709" s="1790"/>
      <c r="AK709" s="1791"/>
      <c r="AL709" s="796"/>
      <c r="AM709" s="4"/>
    </row>
    <row r="710" spans="1:39" ht="56.3" customHeight="1">
      <c r="A710" s="980" t="s">
        <v>7</v>
      </c>
      <c r="B710" s="980"/>
      <c r="C710" s="980"/>
      <c r="D710" s="980"/>
      <c r="E710" s="980"/>
      <c r="F710" s="980"/>
      <c r="G710" s="980"/>
      <c r="H710" s="980"/>
      <c r="I710" s="980"/>
      <c r="J710" s="980"/>
      <c r="K710" s="980"/>
      <c r="L710" s="980"/>
      <c r="M710" s="980"/>
      <c r="N710" s="980"/>
      <c r="O710" s="980"/>
      <c r="P710" s="980"/>
      <c r="Q710" s="980"/>
      <c r="R710" s="980"/>
      <c r="S710" s="980"/>
      <c r="T710" s="980"/>
      <c r="U710" s="980"/>
      <c r="V710" s="980"/>
      <c r="W710" s="980"/>
      <c r="X710" s="980"/>
      <c r="Y710" s="980"/>
      <c r="Z710" s="980"/>
      <c r="AA710" s="980"/>
      <c r="AB710" s="980"/>
      <c r="AC710" s="980"/>
      <c r="AD710" s="980"/>
      <c r="AE710" s="980"/>
      <c r="AF710" s="980"/>
      <c r="AG710" s="980"/>
      <c r="AH710" s="980"/>
      <c r="AI710" s="980"/>
      <c r="AJ710" s="980"/>
      <c r="AK710" s="980"/>
      <c r="AL710" s="980"/>
      <c r="AM710" s="1671"/>
    </row>
    <row r="711" spans="1:39" ht="12.45" hidden="1" customHeight="1">
      <c r="A711" s="980"/>
      <c r="B711" s="980"/>
      <c r="C711" s="980"/>
      <c r="D711" s="980"/>
      <c r="E711" s="980"/>
      <c r="F711" s="980"/>
      <c r="G711" s="980"/>
      <c r="H711" s="980"/>
      <c r="I711" s="980"/>
      <c r="J711" s="980"/>
      <c r="K711" s="980"/>
      <c r="L711" s="980"/>
      <c r="M711" s="980"/>
      <c r="N711" s="980"/>
      <c r="O711" s="980"/>
      <c r="P711" s="980"/>
      <c r="Q711" s="980"/>
      <c r="R711" s="980"/>
      <c r="S711" s="980"/>
      <c r="T711" s="980"/>
      <c r="U711" s="980"/>
      <c r="V711" s="980"/>
      <c r="W711" s="980"/>
      <c r="X711" s="980"/>
      <c r="Y711" s="980"/>
      <c r="Z711" s="980"/>
      <c r="AA711" s="980"/>
      <c r="AB711" s="980"/>
      <c r="AC711" s="980"/>
      <c r="AD711" s="980"/>
      <c r="AE711" s="980"/>
      <c r="AF711" s="980"/>
      <c r="AG711" s="980"/>
      <c r="AH711" s="980"/>
      <c r="AI711" s="980"/>
      <c r="AJ711" s="980"/>
      <c r="AK711" s="980"/>
      <c r="AL711" s="980"/>
      <c r="AM711" s="1671"/>
    </row>
    <row r="712" spans="1:39" ht="12.45" hidden="1" customHeight="1">
      <c r="A712" s="980"/>
      <c r="B712" s="980"/>
      <c r="C712" s="980"/>
      <c r="D712" s="980"/>
      <c r="E712" s="980"/>
      <c r="F712" s="980"/>
      <c r="G712" s="980"/>
      <c r="H712" s="980"/>
      <c r="I712" s="980"/>
      <c r="J712" s="980"/>
      <c r="K712" s="980"/>
      <c r="L712" s="980"/>
      <c r="M712" s="980"/>
      <c r="N712" s="980"/>
      <c r="O712" s="980"/>
      <c r="P712" s="980"/>
      <c r="Q712" s="980"/>
      <c r="R712" s="980"/>
      <c r="S712" s="980"/>
      <c r="T712" s="980"/>
      <c r="U712" s="980"/>
      <c r="V712" s="980"/>
      <c r="W712" s="980"/>
      <c r="X712" s="980"/>
      <c r="Y712" s="980"/>
      <c r="Z712" s="980"/>
      <c r="AA712" s="980"/>
      <c r="AB712" s="980"/>
      <c r="AC712" s="980"/>
      <c r="AD712" s="980"/>
      <c r="AE712" s="980"/>
      <c r="AF712" s="980"/>
      <c r="AG712" s="980"/>
      <c r="AH712" s="980"/>
      <c r="AI712" s="980"/>
      <c r="AJ712" s="980"/>
      <c r="AK712" s="980"/>
      <c r="AL712" s="980"/>
      <c r="AM712" s="1671"/>
    </row>
    <row r="713" spans="1:39" ht="12.45" hidden="1" customHeight="1">
      <c r="A713" s="980"/>
      <c r="B713" s="980"/>
      <c r="C713" s="980"/>
      <c r="D713" s="980"/>
      <c r="E713" s="980"/>
      <c r="F713" s="980"/>
      <c r="G713" s="980"/>
      <c r="H713" s="980"/>
      <c r="I713" s="980"/>
      <c r="J713" s="980"/>
      <c r="K713" s="980"/>
      <c r="L713" s="980"/>
      <c r="M713" s="980"/>
      <c r="N713" s="980"/>
      <c r="O713" s="980"/>
      <c r="P713" s="980"/>
      <c r="Q713" s="980"/>
      <c r="R713" s="980"/>
      <c r="S713" s="980"/>
      <c r="T713" s="980"/>
      <c r="U713" s="980"/>
      <c r="V713" s="980"/>
      <c r="W713" s="980"/>
      <c r="X713" s="980"/>
      <c r="Y713" s="980"/>
      <c r="Z713" s="980"/>
      <c r="AA713" s="980"/>
      <c r="AB713" s="980"/>
      <c r="AC713" s="980"/>
      <c r="AD713" s="980"/>
      <c r="AE713" s="980"/>
      <c r="AF713" s="980"/>
      <c r="AG713" s="980"/>
      <c r="AH713" s="980"/>
      <c r="AI713" s="980"/>
      <c r="AJ713" s="980"/>
      <c r="AK713" s="980"/>
      <c r="AL713" s="980"/>
      <c r="AM713" s="1671"/>
    </row>
    <row r="714" spans="1:39" hidden="1">
      <c r="A714" s="980"/>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671"/>
    </row>
    <row r="715" spans="1:39">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671"/>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5" priority="1">
      <formula>$H$112="(iv)"</formula>
    </cfRule>
  </conditionalFormatting>
  <conditionalFormatting sqref="T112:Y112">
    <cfRule type="expression" dxfId="4" priority="2">
      <formula>$H$112="(iv)"</formula>
    </cfRule>
  </conditionalFormatting>
  <conditionalFormatting sqref="AP453 AQ454:AQ456 AN454:AN458 W578:W588 AC578:AC590 AJ613 T694:AK694 T695:AE707 AF695:AF708 AG697:AK697 AF698:AK698 AG701:AK701 AG705:AK705 AG707:AL707">
    <cfRule type="expression" dxfId="3" priority="4" stopIfTrue="1">
      <formula>ISERROR(T453)</formula>
    </cfRule>
  </conditionalFormatting>
  <conditionalFormatting sqref="AP473">
    <cfRule type="expression" dxfId="2"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800-000000000000}">
      <formula1>"N/A, Yes"</formula1>
    </dataValidation>
    <dataValidation type="whole" allowBlank="1" showInputMessage="1" showErrorMessage="1" error="Please enter whole numbers only" sqref="E578:E588" xr:uid="{00000000-0002-0000-0800-000001000000}">
      <formula1>0</formula1>
      <formula2>100000000</formula2>
    </dataValidation>
    <dataValidation type="list" allowBlank="1" showInputMessage="1" showErrorMessage="1" sqref="G515:AF515" xr:uid="{00000000-0002-0000-0800-000002000000}">
      <formula1>$AO$490:$AO$493</formula1>
    </dataValidation>
    <dataValidation type="list" allowBlank="1" showInputMessage="1" showErrorMessage="1" sqref="H251:I251 H239:I239 H225:I225 H213:I213 H201:I201 H149:I149 H137:I137" xr:uid="{00000000-0002-0000-0800-000003000000}">
      <formula1>$AO$96:$AO$98</formula1>
    </dataValidation>
    <dataValidation type="list" allowBlank="1" showInputMessage="1" showErrorMessage="1" sqref="H266:I266" xr:uid="{00000000-0002-0000-0800-000004000000}">
      <formula1>$AP$211:$AP$213</formula1>
    </dataValidation>
    <dataValidation type="list" showInputMessage="1" showErrorMessage="1" sqref="AA298:AK298 AA289:AK289 H289:R289 H325:R325 AA325:AK325 H316:R316 AA316:AK316 H307:R307 AA307:AK307 H298:R298" xr:uid="{00000000-0002-0000-0800-000005000000}">
      <formula1>$AP$200:$AP$210</formula1>
    </dataValidation>
    <dataValidation type="list" allowBlank="1" showInputMessage="1" showErrorMessage="1" sqref="H182:I182" xr:uid="{00000000-0002-0000-0800-000006000000}">
      <formula1>$AO$132:$AO$139</formula1>
    </dataValidation>
    <dataValidation type="list" allowBlank="1" showInputMessage="1" showErrorMessage="1" sqref="H149:I149" xr:uid="{00000000-0002-0000-0800-000007000000}">
      <formula1>$AO$96:$AO$97</formula1>
    </dataValidation>
    <dataValidation type="list" showInputMessage="1" showErrorMessage="1" sqref="B120:C120" xr:uid="{00000000-0002-0000-0800-000008000000}">
      <formula1>$AP$86:$AP$87</formula1>
    </dataValidation>
    <dataValidation type="list" allowBlank="1" showInputMessage="1" showErrorMessage="1" sqref="AB13:AC13 AC37:AD37" xr:uid="{00000000-0002-0000-0800-000009000000}">
      <formula1>"N/A,Yes,"</formula1>
    </dataValidation>
    <dataValidation type="list" allowBlank="1" showInputMessage="1" showErrorMessage="1" sqref="B16" xr:uid="{00000000-0002-0000-0800-00000A000000}">
      <formula1>$AO$14:$AO$16</formula1>
    </dataValidation>
    <dataValidation type="list" allowBlank="1" showInputMessage="1" showErrorMessage="1" sqref="C40:AD40" xr:uid="{00000000-0002-0000-0800-00000B000000}">
      <formula1>$AO$35:$AO$37</formula1>
    </dataValidation>
    <dataValidation type="list" allowBlank="1" showInputMessage="1" showErrorMessage="1" sqref="C36:AD36" xr:uid="{00000000-0002-0000-0800-00000C000000}">
      <formula1>$AO$29:$AO$34</formula1>
    </dataValidation>
    <dataValidation type="list" allowBlank="1" showInputMessage="1" showErrorMessage="1" sqref="B11" xr:uid="{00000000-0002-0000-0800-00000D000000}">
      <formula1>$AO$9:$AO$11</formula1>
    </dataValidation>
    <dataValidation type="list" allowBlank="1" showInputMessage="1" showErrorMessage="1" sqref="V489:X489" xr:uid="{00000000-0002-0000-0800-00000E000000}">
      <formula1>$AO$463:$AO$465</formula1>
    </dataValidation>
    <dataValidation type="list" allowBlank="1" showInputMessage="1" showErrorMessage="1" sqref="V498:X498" xr:uid="{00000000-0002-0000-0800-00000F000000}">
      <formula1>$AW$463:$AW$466</formula1>
    </dataValidation>
    <dataValidation type="list" allowBlank="1" showInputMessage="1" showErrorMessage="1" sqref="V500:X500" xr:uid="{00000000-0002-0000-0800-000010000000}">
      <formula1>$BA$463:$BA$465</formula1>
    </dataValidation>
    <dataValidation type="list" allowBlank="1" showInputMessage="1" showErrorMessage="1" sqref="H112:I116" xr:uid="{00000000-0002-0000-0800-000011000000}">
      <formula1>$AO$96:$AO$101</formula1>
    </dataValidation>
    <dataValidation type="list" allowBlank="1" showInputMessage="1" showErrorMessage="1" sqref="H118:AE118" xr:uid="{00000000-0002-0000-0800-000012000000}">
      <formula1>$AO$116:$AO$118</formula1>
    </dataValidation>
    <dataValidation type="list" showInputMessage="1" showErrorMessage="1" sqref="T67:AC67" xr:uid="{00000000-0002-0000-0800-000013000000}">
      <formula1>$AP$66:$AP$68</formula1>
    </dataValidation>
    <dataValidation type="list" allowBlank="1" showInputMessage="1" showErrorMessage="1" sqref="F482:Z482" xr:uid="{00000000-0002-0000-0800-000014000000}">
      <formula1>$AO$453:$AO$461</formula1>
    </dataValidation>
    <dataValidation type="list" allowBlank="1" showInputMessage="1" showErrorMessage="1" sqref="F505:Z505" xr:uid="{00000000-0002-0000-0800-000015000000}">
      <formula1>$AO$473:$AO$481</formula1>
    </dataValidation>
    <dataValidation type="list" allowBlank="1" showInputMessage="1" showErrorMessage="1" sqref="F510:H510" xr:uid="{00000000-0002-0000-0800-000016000000}">
      <formula1>$AO$483:$AO$485</formula1>
    </dataValidation>
    <dataValidation type="list" allowBlank="1" showInputMessage="1" showErrorMessage="1" sqref="V494:X494" xr:uid="{00000000-0002-0000-0800-000017000000}">
      <formula1>$AO$467:$AO$469</formula1>
    </dataValidation>
    <dataValidation type="whole" allowBlank="1" showInputMessage="1" showErrorMessage="1" sqref="AJ613:AK613" xr:uid="{00000000-0002-0000-0800-000018000000}">
      <formula1>0</formula1>
      <formula2>2</formula2>
    </dataValidation>
    <dataValidation type="list" allowBlank="1" showInputMessage="1" showErrorMessage="1" sqref="F526" xr:uid="{00000000-0002-0000-0800-000019000000}">
      <formula1>$AO$496:$AO$499</formula1>
    </dataValidation>
    <dataValidation type="list" allowBlank="1" showInputMessage="1" showErrorMessage="1" sqref="H276:I276" xr:uid="{00000000-0002-0000-0800-00001A000000}">
      <formula1>$AO$271:$AO$272</formula1>
    </dataValidation>
    <dataValidation type="list" allowBlank="1" showInputMessage="1" showErrorMessage="1" sqref="V487:X487" xr:uid="{00000000-0002-0000-0800-00001B000000}">
      <formula1>$AR$463:$AR$465</formula1>
    </dataValidation>
    <dataValidation type="list" showInputMessage="1" showErrorMessage="1" sqref="B66:K66" xr:uid="{00000000-0002-0000-0800-00001C000000}">
      <formula1>$AP$45:$AP$50</formula1>
    </dataValidation>
    <dataValidation type="list" allowBlank="1" showInputMessage="1" showErrorMessage="1" sqref="C35:AD35" xr:uid="{00000000-0002-0000-0800-00001D000000}">
      <formula1>$AO$29:$AO$31</formula1>
    </dataValidation>
    <dataValidation type="list" allowBlank="1" showInputMessage="1" showErrorMessage="1" sqref="T112:Y112" xr:uid="{00000000-0002-0000-08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Disaster Credit Tie Breaker</vt:lpstr>
      <vt:lpstr>Points System</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Lorenzo Alvarez</cp:lastModifiedBy>
  <cp:lastPrinted>2023-04-25T16:02:55Z</cp:lastPrinted>
  <dcterms:created xsi:type="dcterms:W3CDTF">2007-12-27T18:26:28Z</dcterms:created>
  <dcterms:modified xsi:type="dcterms:W3CDTF">2023-04-25T20:52:35Z</dcterms:modified>
</cp:coreProperties>
</file>